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15" windowWidth="28365" windowHeight="12240" tabRatio="192" activeTab="3"/>
  </bookViews>
  <sheets>
    <sheet name="Suivi livrables" sheetId="4" r:id="rId1"/>
    <sheet name="jalons" sheetId="17" r:id="rId2"/>
    <sheet name="Feuil1" sheetId="16" r:id="rId3"/>
    <sheet name="Feuil2" sheetId="18" r:id="rId4"/>
  </sheets>
  <externalReferences>
    <externalReference r:id="rId5"/>
    <externalReference r:id="rId6"/>
  </externalReferences>
  <definedNames>
    <definedName name="_xlnm._FilterDatabase" localSheetId="1" hidden="1">jalons!$A$7:$AA$39</definedName>
    <definedName name="_xlnm._FilterDatabase" localSheetId="0" hidden="1">'Suivi livrables'!$A$7:$BG$39</definedName>
    <definedName name="_xlnm.Print_Area" localSheetId="1">jalons!$A$4:$W$76</definedName>
    <definedName name="_xlnm.Print_Area" localSheetId="0">'Suivi livrables'!$A$4:$L$76</definedName>
  </definedNames>
  <calcPr calcId="145621"/>
</workbook>
</file>

<file path=xl/calcChain.xml><?xml version="1.0" encoding="utf-8"?>
<calcChain xmlns="http://schemas.openxmlformats.org/spreadsheetml/2006/main">
  <c r="A13" i="18" l="1"/>
  <c r="CK8" i="4"/>
  <c r="CK9" i="4"/>
  <c r="CK10" i="4"/>
  <c r="CK11" i="4"/>
  <c r="CK12" i="4"/>
  <c r="CK13" i="4"/>
  <c r="CK14" i="4"/>
  <c r="CK15" i="4"/>
  <c r="CK16" i="4"/>
  <c r="CK17" i="4"/>
  <c r="CK18" i="4"/>
  <c r="CK19" i="4"/>
  <c r="CK20" i="4"/>
  <c r="CK21" i="4"/>
  <c r="CK22" i="4"/>
  <c r="CK23" i="4"/>
  <c r="CK24" i="4"/>
  <c r="CK25" i="4"/>
  <c r="CK26" i="4"/>
  <c r="CK27" i="4"/>
  <c r="CK28" i="4"/>
  <c r="CK29" i="4"/>
  <c r="CK30" i="4"/>
  <c r="CK31" i="4"/>
  <c r="CK32" i="4"/>
  <c r="CK33" i="4"/>
  <c r="CK34" i="4"/>
  <c r="CK35" i="4"/>
  <c r="CK36" i="4"/>
  <c r="CK37" i="4"/>
  <c r="CK38" i="4"/>
  <c r="CK39" i="4"/>
  <c r="CK40" i="4"/>
  <c r="CK41" i="4"/>
  <c r="CK42" i="4"/>
  <c r="CK43" i="4"/>
  <c r="CK44" i="4"/>
  <c r="CK45" i="4"/>
  <c r="CK46" i="4"/>
  <c r="CK47" i="4"/>
  <c r="CK48" i="4"/>
  <c r="CK49" i="4"/>
  <c r="CK50" i="4"/>
  <c r="CK51" i="4"/>
  <c r="CK52" i="4"/>
  <c r="CK53" i="4"/>
  <c r="CK54" i="4"/>
  <c r="CK55" i="4"/>
  <c r="CK56" i="4"/>
  <c r="CK57" i="4"/>
  <c r="CK58" i="4"/>
  <c r="CK59" i="4"/>
  <c r="CK60" i="4"/>
  <c r="CK61" i="4"/>
  <c r="CK62" i="4"/>
  <c r="CK63" i="4"/>
  <c r="CK64" i="4"/>
  <c r="CK65" i="4"/>
  <c r="CK66" i="4"/>
  <c r="CK67" i="4"/>
  <c r="CK68" i="4"/>
  <c r="CK69" i="4"/>
  <c r="CK70" i="4"/>
  <c r="CK71" i="4"/>
  <c r="CK72" i="4"/>
  <c r="CK73" i="4"/>
  <c r="CK74" i="4"/>
  <c r="CK75" i="4"/>
  <c r="CK76" i="4"/>
  <c r="CK77" i="4"/>
  <c r="CK78" i="4"/>
  <c r="CK79" i="4"/>
  <c r="CK80" i="4"/>
  <c r="CK81" i="4"/>
  <c r="CK82" i="4"/>
  <c r="CK83" i="4"/>
  <c r="CK84" i="4"/>
  <c r="CK85" i="4"/>
  <c r="CK86" i="4"/>
  <c r="CK87" i="4"/>
  <c r="CK88" i="4"/>
  <c r="CK89" i="4"/>
  <c r="CK90" i="4"/>
  <c r="CK91" i="4"/>
  <c r="CK92" i="4"/>
  <c r="CK93" i="4"/>
  <c r="CK94" i="4"/>
  <c r="CK95" i="4"/>
  <c r="CK96" i="4"/>
  <c r="CK97" i="4"/>
  <c r="CK98" i="4"/>
  <c r="CK99" i="4"/>
  <c r="CK100" i="4"/>
  <c r="CK101" i="4"/>
  <c r="CK102" i="4"/>
  <c r="CK103" i="4"/>
  <c r="CK104" i="4"/>
  <c r="CK105" i="4"/>
  <c r="CK106" i="4"/>
  <c r="CK107" i="4"/>
  <c r="CK108" i="4"/>
  <c r="CK109" i="4"/>
  <c r="CK110" i="4"/>
  <c r="CK111" i="4"/>
  <c r="CK112" i="4"/>
  <c r="CK113" i="4"/>
  <c r="CK114" i="4"/>
  <c r="CK115" i="4"/>
  <c r="CK116" i="4"/>
  <c r="CK117" i="4"/>
  <c r="CK118" i="4"/>
  <c r="CK119" i="4"/>
  <c r="CK120" i="4"/>
  <c r="CK121" i="4"/>
  <c r="CK122" i="4"/>
  <c r="CK123" i="4"/>
  <c r="CK124" i="4"/>
  <c r="CK125" i="4"/>
  <c r="CJ8" i="4"/>
  <c r="CJ9" i="4"/>
  <c r="CJ10" i="4"/>
  <c r="CJ11" i="4"/>
  <c r="CJ12" i="4"/>
  <c r="CJ13" i="4"/>
  <c r="CJ14" i="4"/>
  <c r="CJ15" i="4"/>
  <c r="CJ16" i="4"/>
  <c r="CJ17" i="4"/>
  <c r="CJ18" i="4"/>
  <c r="CJ19" i="4"/>
  <c r="CJ20" i="4"/>
  <c r="CJ21" i="4"/>
  <c r="L29" i="18" s="1"/>
  <c r="CJ22" i="4"/>
  <c r="CJ23" i="4"/>
  <c r="CJ24" i="4"/>
  <c r="CJ25" i="4"/>
  <c r="CJ26" i="4"/>
  <c r="CJ27" i="4"/>
  <c r="CJ28" i="4"/>
  <c r="CJ29" i="4"/>
  <c r="CJ30" i="4"/>
  <c r="CJ31" i="4"/>
  <c r="CJ32" i="4"/>
  <c r="CJ33" i="4"/>
  <c r="CJ34" i="4"/>
  <c r="CJ35" i="4"/>
  <c r="CJ36" i="4"/>
  <c r="CJ37" i="4"/>
  <c r="CJ38" i="4"/>
  <c r="CJ39" i="4"/>
  <c r="CJ40" i="4"/>
  <c r="CJ41" i="4"/>
  <c r="CJ42" i="4"/>
  <c r="CJ43" i="4"/>
  <c r="CJ44" i="4"/>
  <c r="CJ45" i="4"/>
  <c r="CJ46" i="4"/>
  <c r="CJ47" i="4"/>
  <c r="CJ48" i="4"/>
  <c r="CJ49" i="4"/>
  <c r="CJ50" i="4"/>
  <c r="CJ51" i="4"/>
  <c r="CJ52" i="4"/>
  <c r="CJ53" i="4"/>
  <c r="CJ54" i="4"/>
  <c r="CJ55" i="4"/>
  <c r="CJ56" i="4"/>
  <c r="CJ57" i="4"/>
  <c r="CJ58" i="4"/>
  <c r="CJ59" i="4"/>
  <c r="CJ60" i="4"/>
  <c r="CJ61" i="4"/>
  <c r="CJ62" i="4"/>
  <c r="CJ63" i="4"/>
  <c r="CJ64" i="4"/>
  <c r="CJ65" i="4"/>
  <c r="CJ66" i="4"/>
  <c r="CJ67" i="4"/>
  <c r="CJ68" i="4"/>
  <c r="CJ69" i="4"/>
  <c r="CJ70" i="4"/>
  <c r="CJ71" i="4"/>
  <c r="CJ72" i="4"/>
  <c r="CJ73" i="4"/>
  <c r="CJ74" i="4"/>
  <c r="CJ75" i="4"/>
  <c r="CJ76" i="4"/>
  <c r="CJ77" i="4"/>
  <c r="CJ78" i="4"/>
  <c r="CJ79" i="4"/>
  <c r="CJ80" i="4"/>
  <c r="CJ81" i="4"/>
  <c r="CJ82" i="4"/>
  <c r="CJ83" i="4"/>
  <c r="CJ84" i="4"/>
  <c r="CJ85" i="4"/>
  <c r="CJ86" i="4"/>
  <c r="CJ87" i="4"/>
  <c r="CJ88" i="4"/>
  <c r="CJ89" i="4"/>
  <c r="CJ90" i="4"/>
  <c r="CJ91" i="4"/>
  <c r="CJ92" i="4"/>
  <c r="CJ93" i="4"/>
  <c r="CJ94" i="4"/>
  <c r="CJ95" i="4"/>
  <c r="CJ96" i="4"/>
  <c r="CJ97" i="4"/>
  <c r="CJ98" i="4"/>
  <c r="CJ99" i="4"/>
  <c r="CJ100" i="4"/>
  <c r="CJ101" i="4"/>
  <c r="CJ102" i="4"/>
  <c r="CJ103" i="4"/>
  <c r="CJ104" i="4"/>
  <c r="CJ105" i="4"/>
  <c r="CJ106" i="4"/>
  <c r="CJ107" i="4"/>
  <c r="CJ108" i="4"/>
  <c r="CJ109" i="4"/>
  <c r="CJ110" i="4"/>
  <c r="CJ111" i="4"/>
  <c r="CJ112" i="4"/>
  <c r="CJ113" i="4"/>
  <c r="CJ114" i="4"/>
  <c r="CJ115" i="4"/>
  <c r="CJ116" i="4"/>
  <c r="CJ117" i="4"/>
  <c r="CJ118" i="4"/>
  <c r="CJ119" i="4"/>
  <c r="CJ120" i="4"/>
  <c r="CJ121" i="4"/>
  <c r="CJ122" i="4"/>
  <c r="CJ123" i="4"/>
  <c r="CJ124" i="4"/>
  <c r="CJ125" i="4"/>
  <c r="CI8" i="4"/>
  <c r="CI9" i="4"/>
  <c r="CI10" i="4"/>
  <c r="CI11" i="4"/>
  <c r="CI12" i="4"/>
  <c r="CI13" i="4"/>
  <c r="CI14" i="4"/>
  <c r="CI15" i="4"/>
  <c r="CI16" i="4"/>
  <c r="CI17" i="4"/>
  <c r="CI18" i="4"/>
  <c r="CI19" i="4"/>
  <c r="CI20" i="4"/>
  <c r="CI21" i="4"/>
  <c r="K29" i="18" s="1"/>
  <c r="CI22" i="4"/>
  <c r="CI23" i="4"/>
  <c r="CI24" i="4"/>
  <c r="CI25" i="4"/>
  <c r="CI26" i="4"/>
  <c r="CI27" i="4"/>
  <c r="CI28" i="4"/>
  <c r="CI29" i="4"/>
  <c r="CI30" i="4"/>
  <c r="CI31" i="4"/>
  <c r="CI32" i="4"/>
  <c r="CI33" i="4"/>
  <c r="CI34" i="4"/>
  <c r="CI35" i="4"/>
  <c r="CI36" i="4"/>
  <c r="CI37" i="4"/>
  <c r="CI38" i="4"/>
  <c r="CI39" i="4"/>
  <c r="CI40" i="4"/>
  <c r="CI41" i="4"/>
  <c r="CI42" i="4"/>
  <c r="CI43" i="4"/>
  <c r="CI44" i="4"/>
  <c r="CI45" i="4"/>
  <c r="CI46" i="4"/>
  <c r="CI47" i="4"/>
  <c r="CI48" i="4"/>
  <c r="CI49" i="4"/>
  <c r="CI50" i="4"/>
  <c r="CI51" i="4"/>
  <c r="CI52" i="4"/>
  <c r="CI53" i="4"/>
  <c r="CI54" i="4"/>
  <c r="CI55" i="4"/>
  <c r="CI56" i="4"/>
  <c r="CI57" i="4"/>
  <c r="CI58" i="4"/>
  <c r="CI59" i="4"/>
  <c r="CI60" i="4"/>
  <c r="CI61" i="4"/>
  <c r="CI62" i="4"/>
  <c r="CI63" i="4"/>
  <c r="CI64" i="4"/>
  <c r="CI65" i="4"/>
  <c r="CI66" i="4"/>
  <c r="CI67" i="4"/>
  <c r="CI68" i="4"/>
  <c r="CI69" i="4"/>
  <c r="CI70" i="4"/>
  <c r="CI71" i="4"/>
  <c r="CI72" i="4"/>
  <c r="CI73" i="4"/>
  <c r="CI74" i="4"/>
  <c r="CI75" i="4"/>
  <c r="CI76" i="4"/>
  <c r="CI77" i="4"/>
  <c r="CI78" i="4"/>
  <c r="CI79" i="4"/>
  <c r="CI80" i="4"/>
  <c r="CI81" i="4"/>
  <c r="CI82" i="4"/>
  <c r="CI83" i="4"/>
  <c r="CI84" i="4"/>
  <c r="CI85" i="4"/>
  <c r="CI86" i="4"/>
  <c r="CI87" i="4"/>
  <c r="CI88" i="4"/>
  <c r="CI89" i="4"/>
  <c r="CI90" i="4"/>
  <c r="CI91" i="4"/>
  <c r="CI92" i="4"/>
  <c r="CI93" i="4"/>
  <c r="CI94" i="4"/>
  <c r="CI95" i="4"/>
  <c r="CI96" i="4"/>
  <c r="CI97" i="4"/>
  <c r="CI98" i="4"/>
  <c r="CI99" i="4"/>
  <c r="CI100" i="4"/>
  <c r="CI101" i="4"/>
  <c r="CI102" i="4"/>
  <c r="CI103" i="4"/>
  <c r="CI104" i="4"/>
  <c r="CI105" i="4"/>
  <c r="CI106" i="4"/>
  <c r="CI107" i="4"/>
  <c r="CI108" i="4"/>
  <c r="CI109" i="4"/>
  <c r="CI110" i="4"/>
  <c r="CI111" i="4"/>
  <c r="CI112" i="4"/>
  <c r="CI113" i="4"/>
  <c r="CI114" i="4"/>
  <c r="CI115" i="4"/>
  <c r="CI116" i="4"/>
  <c r="CI117" i="4"/>
  <c r="CI118" i="4"/>
  <c r="CI119" i="4"/>
  <c r="CI120" i="4"/>
  <c r="CI121" i="4"/>
  <c r="CI122" i="4"/>
  <c r="CI123" i="4"/>
  <c r="CI124" i="4"/>
  <c r="CI125" i="4"/>
  <c r="CK7" i="4"/>
  <c r="CJ7" i="4"/>
  <c r="CI7" i="4"/>
  <c r="CH7" i="4"/>
  <c r="BZ12" i="4"/>
  <c r="BZ13" i="4"/>
  <c r="BZ14" i="4"/>
  <c r="BZ15" i="4"/>
  <c r="BZ16" i="4"/>
  <c r="BZ17" i="4"/>
  <c r="BZ18" i="4"/>
  <c r="BZ19" i="4"/>
  <c r="BZ20" i="4"/>
  <c r="BZ21" i="4"/>
  <c r="B29" i="18" s="1"/>
  <c r="BZ22" i="4"/>
  <c r="BZ23" i="4"/>
  <c r="BZ24" i="4"/>
  <c r="BZ25" i="4"/>
  <c r="BZ26" i="4"/>
  <c r="BZ27" i="4"/>
  <c r="BZ28" i="4"/>
  <c r="BZ29" i="4"/>
  <c r="BZ30" i="4"/>
  <c r="BZ31" i="4"/>
  <c r="BZ32" i="4"/>
  <c r="BZ33" i="4"/>
  <c r="BZ34" i="4"/>
  <c r="BZ35" i="4"/>
  <c r="BZ36" i="4"/>
  <c r="BZ37" i="4"/>
  <c r="BZ38" i="4"/>
  <c r="BZ39" i="4"/>
  <c r="BZ40" i="4"/>
  <c r="BZ41" i="4"/>
  <c r="BZ42" i="4"/>
  <c r="BZ43" i="4"/>
  <c r="BZ44" i="4"/>
  <c r="BZ45" i="4"/>
  <c r="BZ46" i="4"/>
  <c r="BZ47" i="4"/>
  <c r="BZ48" i="4"/>
  <c r="BZ49" i="4"/>
  <c r="BZ50" i="4"/>
  <c r="BZ51" i="4"/>
  <c r="BZ52" i="4"/>
  <c r="BZ53" i="4"/>
  <c r="BZ54" i="4"/>
  <c r="BZ55" i="4"/>
  <c r="BZ56" i="4"/>
  <c r="BZ57" i="4"/>
  <c r="BZ58" i="4"/>
  <c r="BZ59" i="4"/>
  <c r="BZ60" i="4"/>
  <c r="BZ61" i="4"/>
  <c r="BZ62" i="4"/>
  <c r="BZ63" i="4"/>
  <c r="BZ64" i="4"/>
  <c r="BZ65" i="4"/>
  <c r="BZ66" i="4"/>
  <c r="BZ67" i="4"/>
  <c r="BZ68" i="4"/>
  <c r="BZ69" i="4"/>
  <c r="BZ70" i="4"/>
  <c r="BZ71" i="4"/>
  <c r="BZ72" i="4"/>
  <c r="BZ73" i="4"/>
  <c r="BZ74" i="4"/>
  <c r="BZ75" i="4"/>
  <c r="BZ76" i="4"/>
  <c r="BZ77" i="4"/>
  <c r="BZ78" i="4"/>
  <c r="BZ79" i="4"/>
  <c r="BZ80" i="4"/>
  <c r="BZ81" i="4"/>
  <c r="BZ82" i="4"/>
  <c r="BZ83" i="4"/>
  <c r="BZ84" i="4"/>
  <c r="BZ85" i="4"/>
  <c r="BZ86" i="4"/>
  <c r="BZ87" i="4"/>
  <c r="BZ88" i="4"/>
  <c r="BZ89" i="4"/>
  <c r="BZ90" i="4"/>
  <c r="BZ91" i="4"/>
  <c r="BZ92" i="4"/>
  <c r="BZ93" i="4"/>
  <c r="BZ94" i="4"/>
  <c r="BZ95" i="4"/>
  <c r="BZ96" i="4"/>
  <c r="BZ97" i="4"/>
  <c r="BZ98" i="4"/>
  <c r="BZ99" i="4"/>
  <c r="BZ100" i="4"/>
  <c r="BZ101" i="4"/>
  <c r="BZ102" i="4"/>
  <c r="BZ103" i="4"/>
  <c r="BZ104" i="4"/>
  <c r="BZ105" i="4"/>
  <c r="BZ106" i="4"/>
  <c r="BZ107" i="4"/>
  <c r="BZ108" i="4"/>
  <c r="BZ109" i="4"/>
  <c r="BZ110" i="4"/>
  <c r="BZ111" i="4"/>
  <c r="BZ112" i="4"/>
  <c r="BZ113" i="4"/>
  <c r="BZ114" i="4"/>
  <c r="BZ115" i="4"/>
  <c r="BZ116" i="4"/>
  <c r="BZ117" i="4"/>
  <c r="BZ118" i="4"/>
  <c r="BZ119" i="4"/>
  <c r="BZ120" i="4"/>
  <c r="BZ121" i="4"/>
  <c r="BZ122" i="4"/>
  <c r="BZ123" i="4"/>
  <c r="BZ124" i="4"/>
  <c r="BZ125" i="4"/>
  <c r="BZ7" i="4"/>
  <c r="BZ8" i="4"/>
  <c r="BZ9" i="4"/>
  <c r="BZ10" i="4"/>
  <c r="BZ11" i="4"/>
  <c r="CN11" i="4"/>
  <c r="CN12" i="4"/>
  <c r="CN13" i="4"/>
  <c r="CN14" i="4"/>
  <c r="CN15" i="4"/>
  <c r="CN16" i="4"/>
  <c r="CN17" i="4"/>
  <c r="CN18" i="4"/>
  <c r="CN19" i="4"/>
  <c r="CN20" i="4"/>
  <c r="CN21" i="4"/>
  <c r="CN22" i="4"/>
  <c r="CN23" i="4"/>
  <c r="CN24" i="4"/>
  <c r="CN25" i="4"/>
  <c r="CN26" i="4"/>
  <c r="CN27" i="4"/>
  <c r="CN28" i="4"/>
  <c r="CN29" i="4"/>
  <c r="CN30" i="4"/>
  <c r="CN31" i="4"/>
  <c r="CN32" i="4"/>
  <c r="CN33" i="4"/>
  <c r="CN34" i="4"/>
  <c r="CN35" i="4"/>
  <c r="CN36" i="4"/>
  <c r="CN37" i="4"/>
  <c r="CN38" i="4"/>
  <c r="CN39" i="4"/>
  <c r="CN40" i="4"/>
  <c r="CN41" i="4"/>
  <c r="CN42" i="4"/>
  <c r="CN43" i="4"/>
  <c r="CN44" i="4"/>
  <c r="CN45" i="4"/>
  <c r="CN46" i="4"/>
  <c r="CN47" i="4"/>
  <c r="CN48" i="4"/>
  <c r="CN49" i="4"/>
  <c r="CN50" i="4"/>
  <c r="CN51" i="4"/>
  <c r="CN52" i="4"/>
  <c r="CN53" i="4"/>
  <c r="CN54" i="4"/>
  <c r="CN55" i="4"/>
  <c r="CN56" i="4"/>
  <c r="CN57" i="4"/>
  <c r="CN58" i="4"/>
  <c r="CN59" i="4"/>
  <c r="CN60" i="4"/>
  <c r="CN61" i="4"/>
  <c r="CN62" i="4"/>
  <c r="CN63" i="4"/>
  <c r="CN64" i="4"/>
  <c r="CN65" i="4"/>
  <c r="CN66" i="4"/>
  <c r="CN67" i="4"/>
  <c r="CN68" i="4"/>
  <c r="CN69" i="4"/>
  <c r="CN70" i="4"/>
  <c r="CN71" i="4"/>
  <c r="CN72" i="4"/>
  <c r="CN73" i="4"/>
  <c r="CN74" i="4"/>
  <c r="CN75" i="4"/>
  <c r="CN76" i="4"/>
  <c r="CN77" i="4"/>
  <c r="CN78" i="4"/>
  <c r="CN79" i="4"/>
  <c r="CN80" i="4"/>
  <c r="CN81" i="4"/>
  <c r="CN82" i="4"/>
  <c r="CN83" i="4"/>
  <c r="CN84" i="4"/>
  <c r="CN85" i="4"/>
  <c r="CN86" i="4"/>
  <c r="CN87" i="4"/>
  <c r="CN88" i="4"/>
  <c r="CN89" i="4"/>
  <c r="CN90" i="4"/>
  <c r="CN91" i="4"/>
  <c r="CN92" i="4"/>
  <c r="CN93" i="4"/>
  <c r="CN94" i="4"/>
  <c r="CN95" i="4"/>
  <c r="CN96" i="4"/>
  <c r="CN97" i="4"/>
  <c r="CN98" i="4"/>
  <c r="CN99" i="4"/>
  <c r="CN100" i="4"/>
  <c r="CN101" i="4"/>
  <c r="CN102" i="4"/>
  <c r="CN103" i="4"/>
  <c r="CN104" i="4"/>
  <c r="CN105" i="4"/>
  <c r="CN106" i="4"/>
  <c r="CN107" i="4"/>
  <c r="CN108" i="4"/>
  <c r="CN109" i="4"/>
  <c r="CN110" i="4"/>
  <c r="CN111" i="4"/>
  <c r="CN112" i="4"/>
  <c r="CN113" i="4"/>
  <c r="CN114" i="4"/>
  <c r="CN115" i="4"/>
  <c r="CN116" i="4"/>
  <c r="CN117" i="4"/>
  <c r="CN118" i="4"/>
  <c r="CN119" i="4"/>
  <c r="CN120" i="4"/>
  <c r="CN121" i="4"/>
  <c r="CN122" i="4"/>
  <c r="CN123" i="4"/>
  <c r="CN124" i="4"/>
  <c r="CN125" i="4"/>
  <c r="CN7" i="4"/>
  <c r="CN8" i="4"/>
  <c r="CN9" i="4"/>
  <c r="CM11" i="4"/>
  <c r="CM12" i="4"/>
  <c r="CM13" i="4"/>
  <c r="CM14" i="4"/>
  <c r="CM15" i="4"/>
  <c r="CM16" i="4"/>
  <c r="CM17" i="4"/>
  <c r="CM18" i="4"/>
  <c r="CM19" i="4"/>
  <c r="CM20" i="4"/>
  <c r="CM21" i="4"/>
  <c r="O29" i="18" s="1"/>
  <c r="CM22" i="4"/>
  <c r="CM23" i="4"/>
  <c r="CM24" i="4"/>
  <c r="CM25" i="4"/>
  <c r="CM26" i="4"/>
  <c r="CM27" i="4"/>
  <c r="CM28" i="4"/>
  <c r="CM29" i="4"/>
  <c r="CM30" i="4"/>
  <c r="CM31" i="4"/>
  <c r="CM32" i="4"/>
  <c r="CM33" i="4"/>
  <c r="CM34" i="4"/>
  <c r="CM35" i="4"/>
  <c r="CM36" i="4"/>
  <c r="CM37" i="4"/>
  <c r="CM38" i="4"/>
  <c r="CM39" i="4"/>
  <c r="CM40" i="4"/>
  <c r="CM41" i="4"/>
  <c r="CM42" i="4"/>
  <c r="CM43" i="4"/>
  <c r="CM44" i="4"/>
  <c r="CM45" i="4"/>
  <c r="CM46" i="4"/>
  <c r="CM47" i="4"/>
  <c r="CM48" i="4"/>
  <c r="CM49" i="4"/>
  <c r="CM50" i="4"/>
  <c r="CM51" i="4"/>
  <c r="CM52" i="4"/>
  <c r="CM53" i="4"/>
  <c r="CM54" i="4"/>
  <c r="CM55" i="4"/>
  <c r="CM56" i="4"/>
  <c r="CM57" i="4"/>
  <c r="CM58" i="4"/>
  <c r="CM59" i="4"/>
  <c r="CM60" i="4"/>
  <c r="CM61" i="4"/>
  <c r="CM62" i="4"/>
  <c r="CM63" i="4"/>
  <c r="CM64" i="4"/>
  <c r="CM65" i="4"/>
  <c r="CM66" i="4"/>
  <c r="CM67" i="4"/>
  <c r="CM68" i="4"/>
  <c r="CM69" i="4"/>
  <c r="CM70" i="4"/>
  <c r="CM71" i="4"/>
  <c r="CM72" i="4"/>
  <c r="CM73" i="4"/>
  <c r="CM74" i="4"/>
  <c r="CM75" i="4"/>
  <c r="CM76" i="4"/>
  <c r="CM77" i="4"/>
  <c r="CM78" i="4"/>
  <c r="CM79" i="4"/>
  <c r="CM80" i="4"/>
  <c r="CM81" i="4"/>
  <c r="CM82" i="4"/>
  <c r="CM83" i="4"/>
  <c r="CM84" i="4"/>
  <c r="CM85" i="4"/>
  <c r="CM86" i="4"/>
  <c r="CM87" i="4"/>
  <c r="CM88" i="4"/>
  <c r="CM89" i="4"/>
  <c r="CM90" i="4"/>
  <c r="CM91" i="4"/>
  <c r="CM92" i="4"/>
  <c r="CM93" i="4"/>
  <c r="CM94" i="4"/>
  <c r="CM95" i="4"/>
  <c r="CM96" i="4"/>
  <c r="CM97" i="4"/>
  <c r="CM98" i="4"/>
  <c r="CM99" i="4"/>
  <c r="CM100" i="4"/>
  <c r="CM101" i="4"/>
  <c r="CM102" i="4"/>
  <c r="CM103" i="4"/>
  <c r="CM104" i="4"/>
  <c r="CM105" i="4"/>
  <c r="CM106" i="4"/>
  <c r="CM107" i="4"/>
  <c r="CM108" i="4"/>
  <c r="CM109" i="4"/>
  <c r="CM110" i="4"/>
  <c r="CM111" i="4"/>
  <c r="CM112" i="4"/>
  <c r="CM113" i="4"/>
  <c r="CM114" i="4"/>
  <c r="CM115" i="4"/>
  <c r="CM116" i="4"/>
  <c r="CM117" i="4"/>
  <c r="CM118" i="4"/>
  <c r="CM119" i="4"/>
  <c r="CM120" i="4"/>
  <c r="CM121" i="4"/>
  <c r="CM122" i="4"/>
  <c r="CM123" i="4"/>
  <c r="CM124" i="4"/>
  <c r="CM125" i="4"/>
  <c r="CM7" i="4"/>
  <c r="CM8" i="4"/>
  <c r="CM9" i="4"/>
  <c r="CL11" i="4"/>
  <c r="CL12" i="4"/>
  <c r="CL13" i="4"/>
  <c r="CL14" i="4"/>
  <c r="CL15" i="4"/>
  <c r="CL16" i="4"/>
  <c r="CL17" i="4"/>
  <c r="CL18" i="4"/>
  <c r="CL19" i="4"/>
  <c r="CL20" i="4"/>
  <c r="CL21" i="4"/>
  <c r="N29" i="18" s="1"/>
  <c r="CL22" i="4"/>
  <c r="CL23" i="4"/>
  <c r="CL24" i="4"/>
  <c r="CL25" i="4"/>
  <c r="CL26" i="4"/>
  <c r="CL27" i="4"/>
  <c r="CL28" i="4"/>
  <c r="CL29" i="4"/>
  <c r="CL30" i="4"/>
  <c r="CL31" i="4"/>
  <c r="CL32" i="4"/>
  <c r="CL33" i="4"/>
  <c r="CL34" i="4"/>
  <c r="CL35" i="4"/>
  <c r="CL36" i="4"/>
  <c r="CL37" i="4"/>
  <c r="CL38" i="4"/>
  <c r="CL39" i="4"/>
  <c r="CL40" i="4"/>
  <c r="CL41" i="4"/>
  <c r="CL42" i="4"/>
  <c r="CL43" i="4"/>
  <c r="CL44" i="4"/>
  <c r="CL45" i="4"/>
  <c r="CL46" i="4"/>
  <c r="CL47" i="4"/>
  <c r="CL48" i="4"/>
  <c r="CL49" i="4"/>
  <c r="CL50" i="4"/>
  <c r="CL51" i="4"/>
  <c r="CL52" i="4"/>
  <c r="CL53" i="4"/>
  <c r="CL54" i="4"/>
  <c r="CL55" i="4"/>
  <c r="CL56" i="4"/>
  <c r="CL57" i="4"/>
  <c r="CL58" i="4"/>
  <c r="CL59" i="4"/>
  <c r="CL60" i="4"/>
  <c r="CL61" i="4"/>
  <c r="CL62" i="4"/>
  <c r="CL63" i="4"/>
  <c r="CL64" i="4"/>
  <c r="CL65" i="4"/>
  <c r="CL66" i="4"/>
  <c r="CL67" i="4"/>
  <c r="CL68" i="4"/>
  <c r="CL69" i="4"/>
  <c r="CL70" i="4"/>
  <c r="CL71" i="4"/>
  <c r="CL72" i="4"/>
  <c r="CL73" i="4"/>
  <c r="CL74" i="4"/>
  <c r="CL75" i="4"/>
  <c r="CL76" i="4"/>
  <c r="CL77" i="4"/>
  <c r="CL78" i="4"/>
  <c r="CL79" i="4"/>
  <c r="CL80" i="4"/>
  <c r="CL81" i="4"/>
  <c r="CL82" i="4"/>
  <c r="CL83" i="4"/>
  <c r="CL84" i="4"/>
  <c r="CL85" i="4"/>
  <c r="CL86" i="4"/>
  <c r="CL87" i="4"/>
  <c r="CL88" i="4"/>
  <c r="CL89" i="4"/>
  <c r="CL90" i="4"/>
  <c r="CL91" i="4"/>
  <c r="CL92" i="4"/>
  <c r="CL93" i="4"/>
  <c r="CL94" i="4"/>
  <c r="CL95" i="4"/>
  <c r="CL96" i="4"/>
  <c r="CL97" i="4"/>
  <c r="CL98" i="4"/>
  <c r="CL99" i="4"/>
  <c r="CL100" i="4"/>
  <c r="CL101" i="4"/>
  <c r="CL102" i="4"/>
  <c r="CL103" i="4"/>
  <c r="CL104" i="4"/>
  <c r="CL105" i="4"/>
  <c r="CL106" i="4"/>
  <c r="CL107" i="4"/>
  <c r="CL108" i="4"/>
  <c r="CL109" i="4"/>
  <c r="CL110" i="4"/>
  <c r="CL111" i="4"/>
  <c r="CL112" i="4"/>
  <c r="CL113" i="4"/>
  <c r="CL114" i="4"/>
  <c r="CL115" i="4"/>
  <c r="CL116" i="4"/>
  <c r="CL117" i="4"/>
  <c r="CL118" i="4"/>
  <c r="CL119" i="4"/>
  <c r="CL120" i="4"/>
  <c r="CL121" i="4"/>
  <c r="CL122" i="4"/>
  <c r="CL123" i="4"/>
  <c r="CL124" i="4"/>
  <c r="CL125" i="4"/>
  <c r="CL7" i="4"/>
  <c r="CL8" i="4"/>
  <c r="CL9" i="4"/>
  <c r="CH11" i="4"/>
  <c r="CH12" i="4"/>
  <c r="CH13" i="4"/>
  <c r="CH14" i="4"/>
  <c r="CH15" i="4"/>
  <c r="CH16" i="4"/>
  <c r="CH17" i="4"/>
  <c r="CH18" i="4"/>
  <c r="CH19" i="4"/>
  <c r="CH20" i="4"/>
  <c r="CH21" i="4"/>
  <c r="J29" i="18" s="1"/>
  <c r="CH22" i="4"/>
  <c r="CH23" i="4"/>
  <c r="CH24" i="4"/>
  <c r="CH25" i="4"/>
  <c r="CH26" i="4"/>
  <c r="CH27" i="4"/>
  <c r="CH28" i="4"/>
  <c r="CH29" i="4"/>
  <c r="CH30" i="4"/>
  <c r="CH31" i="4"/>
  <c r="CH32" i="4"/>
  <c r="CH33" i="4"/>
  <c r="CH34" i="4"/>
  <c r="CH35" i="4"/>
  <c r="CH36" i="4"/>
  <c r="CH37" i="4"/>
  <c r="CH38" i="4"/>
  <c r="CH39" i="4"/>
  <c r="CH40" i="4"/>
  <c r="CH41" i="4"/>
  <c r="CH42" i="4"/>
  <c r="CH43" i="4"/>
  <c r="CH44" i="4"/>
  <c r="CH45" i="4"/>
  <c r="CH46" i="4"/>
  <c r="CH47" i="4"/>
  <c r="CH48" i="4"/>
  <c r="CH49" i="4"/>
  <c r="CH50" i="4"/>
  <c r="CH51" i="4"/>
  <c r="CH52" i="4"/>
  <c r="CH53" i="4"/>
  <c r="CH54" i="4"/>
  <c r="CH55" i="4"/>
  <c r="CH56" i="4"/>
  <c r="CH57" i="4"/>
  <c r="CH58" i="4"/>
  <c r="CH59" i="4"/>
  <c r="CH60" i="4"/>
  <c r="CH61" i="4"/>
  <c r="CH62" i="4"/>
  <c r="CH63" i="4"/>
  <c r="CH64" i="4"/>
  <c r="CH65" i="4"/>
  <c r="CH66" i="4"/>
  <c r="CH67" i="4"/>
  <c r="CH68" i="4"/>
  <c r="CH69" i="4"/>
  <c r="CH70" i="4"/>
  <c r="CH71" i="4"/>
  <c r="CH72" i="4"/>
  <c r="CH73" i="4"/>
  <c r="CH74" i="4"/>
  <c r="CH75" i="4"/>
  <c r="CH76" i="4"/>
  <c r="CH77" i="4"/>
  <c r="CH78" i="4"/>
  <c r="CH79" i="4"/>
  <c r="CH80" i="4"/>
  <c r="CH81" i="4"/>
  <c r="CH82" i="4"/>
  <c r="CH83" i="4"/>
  <c r="CH84" i="4"/>
  <c r="CH85" i="4"/>
  <c r="CH86" i="4"/>
  <c r="CH87" i="4"/>
  <c r="CH88" i="4"/>
  <c r="CH89" i="4"/>
  <c r="CH90" i="4"/>
  <c r="CH91" i="4"/>
  <c r="CH92" i="4"/>
  <c r="CH93" i="4"/>
  <c r="CH94" i="4"/>
  <c r="CH95" i="4"/>
  <c r="CH96" i="4"/>
  <c r="CH97" i="4"/>
  <c r="CH98" i="4"/>
  <c r="CH99" i="4"/>
  <c r="CH100" i="4"/>
  <c r="CH101" i="4"/>
  <c r="CH102" i="4"/>
  <c r="CH103" i="4"/>
  <c r="CH104" i="4"/>
  <c r="CH105" i="4"/>
  <c r="CH106" i="4"/>
  <c r="CH107" i="4"/>
  <c r="CH108" i="4"/>
  <c r="CH109" i="4"/>
  <c r="CH110" i="4"/>
  <c r="CH111" i="4"/>
  <c r="CH112" i="4"/>
  <c r="CH113" i="4"/>
  <c r="CH114" i="4"/>
  <c r="CH115" i="4"/>
  <c r="CH116" i="4"/>
  <c r="CH117" i="4"/>
  <c r="CH118" i="4"/>
  <c r="CH119" i="4"/>
  <c r="CH120" i="4"/>
  <c r="CH121" i="4"/>
  <c r="CH122" i="4"/>
  <c r="CH123" i="4"/>
  <c r="CH124" i="4"/>
  <c r="CH125" i="4"/>
  <c r="CH8" i="4"/>
  <c r="CH9" i="4"/>
  <c r="CG11" i="4"/>
  <c r="CG12" i="4"/>
  <c r="CG13" i="4"/>
  <c r="CG14" i="4"/>
  <c r="CG15" i="4"/>
  <c r="CG16" i="4"/>
  <c r="CG17" i="4"/>
  <c r="CG18" i="4"/>
  <c r="CG19" i="4"/>
  <c r="CG20" i="4"/>
  <c r="CG21" i="4"/>
  <c r="I29" i="18" s="1"/>
  <c r="CG22" i="4"/>
  <c r="CG23" i="4"/>
  <c r="CG24" i="4"/>
  <c r="CG25" i="4"/>
  <c r="CG26" i="4"/>
  <c r="CG27" i="4"/>
  <c r="CG28" i="4"/>
  <c r="CG29" i="4"/>
  <c r="CG30" i="4"/>
  <c r="CG31" i="4"/>
  <c r="CG32" i="4"/>
  <c r="CG33" i="4"/>
  <c r="CG34" i="4"/>
  <c r="CG35" i="4"/>
  <c r="CG36" i="4"/>
  <c r="CG37" i="4"/>
  <c r="CG38" i="4"/>
  <c r="CG39" i="4"/>
  <c r="CG40" i="4"/>
  <c r="CG41" i="4"/>
  <c r="CG42" i="4"/>
  <c r="CG43" i="4"/>
  <c r="CG44" i="4"/>
  <c r="CG45" i="4"/>
  <c r="CG46" i="4"/>
  <c r="CG47" i="4"/>
  <c r="CG48" i="4"/>
  <c r="CG49" i="4"/>
  <c r="CG50" i="4"/>
  <c r="CG51" i="4"/>
  <c r="CG52" i="4"/>
  <c r="CG53" i="4"/>
  <c r="CG54" i="4"/>
  <c r="CG55" i="4"/>
  <c r="CG56" i="4"/>
  <c r="CG57" i="4"/>
  <c r="CG58" i="4"/>
  <c r="CG59" i="4"/>
  <c r="CG60" i="4"/>
  <c r="CG61" i="4"/>
  <c r="CG62" i="4"/>
  <c r="CG63" i="4"/>
  <c r="CG64" i="4"/>
  <c r="CG65" i="4"/>
  <c r="CG66" i="4"/>
  <c r="CG67" i="4"/>
  <c r="CG68" i="4"/>
  <c r="CG69" i="4"/>
  <c r="CG70" i="4"/>
  <c r="CG71" i="4"/>
  <c r="CG72" i="4"/>
  <c r="CG73" i="4"/>
  <c r="CG74" i="4"/>
  <c r="CG75" i="4"/>
  <c r="CG76" i="4"/>
  <c r="CG77" i="4"/>
  <c r="CG78" i="4"/>
  <c r="CG79" i="4"/>
  <c r="CG80" i="4"/>
  <c r="CG81" i="4"/>
  <c r="CG82" i="4"/>
  <c r="CG83" i="4"/>
  <c r="CG84" i="4"/>
  <c r="CG85" i="4"/>
  <c r="CG86" i="4"/>
  <c r="CG87" i="4"/>
  <c r="CG88" i="4"/>
  <c r="CG89" i="4"/>
  <c r="CG90" i="4"/>
  <c r="CG91" i="4"/>
  <c r="CG92" i="4"/>
  <c r="CG93" i="4"/>
  <c r="CG94" i="4"/>
  <c r="CG95" i="4"/>
  <c r="CG96" i="4"/>
  <c r="CG97" i="4"/>
  <c r="CG98" i="4"/>
  <c r="CG99" i="4"/>
  <c r="CG100" i="4"/>
  <c r="CG101" i="4"/>
  <c r="CG102" i="4"/>
  <c r="CG103" i="4"/>
  <c r="CG104" i="4"/>
  <c r="CG105" i="4"/>
  <c r="CG106" i="4"/>
  <c r="CG107" i="4"/>
  <c r="CG108" i="4"/>
  <c r="CG109" i="4"/>
  <c r="CG110" i="4"/>
  <c r="CG111" i="4"/>
  <c r="CG112" i="4"/>
  <c r="CG113" i="4"/>
  <c r="CG114" i="4"/>
  <c r="CG115" i="4"/>
  <c r="CG116" i="4"/>
  <c r="CG117" i="4"/>
  <c r="CG118" i="4"/>
  <c r="CG119" i="4"/>
  <c r="CG120" i="4"/>
  <c r="CG121" i="4"/>
  <c r="CG122" i="4"/>
  <c r="CG123" i="4"/>
  <c r="CG124" i="4"/>
  <c r="CG125" i="4"/>
  <c r="CG7" i="4"/>
  <c r="CG8" i="4"/>
  <c r="CG9" i="4"/>
  <c r="CF11" i="4"/>
  <c r="CF12" i="4"/>
  <c r="CF13" i="4"/>
  <c r="CF14" i="4"/>
  <c r="CF15" i="4"/>
  <c r="CF16" i="4"/>
  <c r="CF17" i="4"/>
  <c r="CF18" i="4"/>
  <c r="CF19" i="4"/>
  <c r="CF20" i="4"/>
  <c r="CF21" i="4"/>
  <c r="H29" i="18" s="1"/>
  <c r="CF22" i="4"/>
  <c r="CF23" i="4"/>
  <c r="CF24" i="4"/>
  <c r="CF25" i="4"/>
  <c r="CF26" i="4"/>
  <c r="CF27" i="4"/>
  <c r="CF28" i="4"/>
  <c r="CF29" i="4"/>
  <c r="CF30" i="4"/>
  <c r="CF31" i="4"/>
  <c r="CF32" i="4"/>
  <c r="CF33" i="4"/>
  <c r="CF34" i="4"/>
  <c r="CF35" i="4"/>
  <c r="CF36" i="4"/>
  <c r="CF37" i="4"/>
  <c r="CF38" i="4"/>
  <c r="CF39" i="4"/>
  <c r="CF40" i="4"/>
  <c r="CF41" i="4"/>
  <c r="CF42" i="4"/>
  <c r="CF43" i="4"/>
  <c r="CF44" i="4"/>
  <c r="CF45" i="4"/>
  <c r="CF46" i="4"/>
  <c r="CF47" i="4"/>
  <c r="CF48" i="4"/>
  <c r="CF49" i="4"/>
  <c r="CF50" i="4"/>
  <c r="CF51" i="4"/>
  <c r="CF52" i="4"/>
  <c r="CF53" i="4"/>
  <c r="CF54" i="4"/>
  <c r="CF55" i="4"/>
  <c r="CF56" i="4"/>
  <c r="CF57" i="4"/>
  <c r="CF58" i="4"/>
  <c r="CF59" i="4"/>
  <c r="CF60" i="4"/>
  <c r="CF61" i="4"/>
  <c r="CF62" i="4"/>
  <c r="CF63" i="4"/>
  <c r="CF64" i="4"/>
  <c r="CF65" i="4"/>
  <c r="CF66" i="4"/>
  <c r="CF67" i="4"/>
  <c r="CF68" i="4"/>
  <c r="CF69" i="4"/>
  <c r="CF70" i="4"/>
  <c r="CF71" i="4"/>
  <c r="CF72" i="4"/>
  <c r="CF73" i="4"/>
  <c r="CF74" i="4"/>
  <c r="CF75" i="4"/>
  <c r="CF76" i="4"/>
  <c r="CF77" i="4"/>
  <c r="CF78" i="4"/>
  <c r="CF79" i="4"/>
  <c r="CF80" i="4"/>
  <c r="CF81" i="4"/>
  <c r="CF82" i="4"/>
  <c r="CF83" i="4"/>
  <c r="CF84" i="4"/>
  <c r="CF85" i="4"/>
  <c r="CF86" i="4"/>
  <c r="CF87" i="4"/>
  <c r="CF88" i="4"/>
  <c r="CF89" i="4"/>
  <c r="CF90" i="4"/>
  <c r="CF91" i="4"/>
  <c r="CF92" i="4"/>
  <c r="CF93" i="4"/>
  <c r="CF94" i="4"/>
  <c r="CF95" i="4"/>
  <c r="CF96" i="4"/>
  <c r="CF97" i="4"/>
  <c r="CF98" i="4"/>
  <c r="CF99" i="4"/>
  <c r="CF100" i="4"/>
  <c r="CF101" i="4"/>
  <c r="CF102" i="4"/>
  <c r="CF103" i="4"/>
  <c r="CF104" i="4"/>
  <c r="CF105" i="4"/>
  <c r="CF106" i="4"/>
  <c r="CF107" i="4"/>
  <c r="CF108" i="4"/>
  <c r="CF109" i="4"/>
  <c r="CF110" i="4"/>
  <c r="CF111" i="4"/>
  <c r="CF112" i="4"/>
  <c r="CF113" i="4"/>
  <c r="CF114" i="4"/>
  <c r="CF115" i="4"/>
  <c r="CF116" i="4"/>
  <c r="CF117" i="4"/>
  <c r="CF118" i="4"/>
  <c r="CF119" i="4"/>
  <c r="CF120" i="4"/>
  <c r="CF121" i="4"/>
  <c r="CF122" i="4"/>
  <c r="CF123" i="4"/>
  <c r="CF124" i="4"/>
  <c r="CF125" i="4"/>
  <c r="CF7" i="4"/>
  <c r="CF8" i="4"/>
  <c r="CF9" i="4"/>
  <c r="CE11" i="4"/>
  <c r="CE12" i="4"/>
  <c r="CE13" i="4"/>
  <c r="CE14" i="4"/>
  <c r="CE15" i="4"/>
  <c r="CE16" i="4"/>
  <c r="CE17" i="4"/>
  <c r="CE18" i="4"/>
  <c r="CE19" i="4"/>
  <c r="CE20" i="4"/>
  <c r="CE21" i="4"/>
  <c r="G29" i="18" s="1"/>
  <c r="CE22" i="4"/>
  <c r="CE23" i="4"/>
  <c r="CE24" i="4"/>
  <c r="CE25" i="4"/>
  <c r="CE26" i="4"/>
  <c r="CE27" i="4"/>
  <c r="CE28" i="4"/>
  <c r="CE29" i="4"/>
  <c r="CE30" i="4"/>
  <c r="CE31" i="4"/>
  <c r="CE32" i="4"/>
  <c r="CE33" i="4"/>
  <c r="CE34" i="4"/>
  <c r="CE35" i="4"/>
  <c r="CE36" i="4"/>
  <c r="CE37" i="4"/>
  <c r="CE38" i="4"/>
  <c r="CE39" i="4"/>
  <c r="CE40" i="4"/>
  <c r="CE41" i="4"/>
  <c r="CE42" i="4"/>
  <c r="CE43" i="4"/>
  <c r="CE44" i="4"/>
  <c r="CE45" i="4"/>
  <c r="CE46" i="4"/>
  <c r="CE47" i="4"/>
  <c r="CE48" i="4"/>
  <c r="CE49" i="4"/>
  <c r="CE50" i="4"/>
  <c r="CE51" i="4"/>
  <c r="CE52" i="4"/>
  <c r="CE53" i="4"/>
  <c r="CE54" i="4"/>
  <c r="CE55" i="4"/>
  <c r="CE56" i="4"/>
  <c r="CE57" i="4"/>
  <c r="CE58" i="4"/>
  <c r="CE59" i="4"/>
  <c r="CE60" i="4"/>
  <c r="CE61" i="4"/>
  <c r="CE62" i="4"/>
  <c r="CE63" i="4"/>
  <c r="CE64" i="4"/>
  <c r="CE65" i="4"/>
  <c r="CE66" i="4"/>
  <c r="CE67" i="4"/>
  <c r="CE68" i="4"/>
  <c r="CE69" i="4"/>
  <c r="CE70" i="4"/>
  <c r="CE71" i="4"/>
  <c r="CE72" i="4"/>
  <c r="CE73" i="4"/>
  <c r="CE74" i="4"/>
  <c r="CE75" i="4"/>
  <c r="CE76" i="4"/>
  <c r="CE77" i="4"/>
  <c r="CE78" i="4"/>
  <c r="CE79" i="4"/>
  <c r="CE80" i="4"/>
  <c r="CE81" i="4"/>
  <c r="CE82" i="4"/>
  <c r="CE83" i="4"/>
  <c r="CE84" i="4"/>
  <c r="CE85" i="4"/>
  <c r="CE86" i="4"/>
  <c r="CE87" i="4"/>
  <c r="CE88" i="4"/>
  <c r="CE89" i="4"/>
  <c r="CE90" i="4"/>
  <c r="CE91" i="4"/>
  <c r="CE92" i="4"/>
  <c r="CE93" i="4"/>
  <c r="CE94" i="4"/>
  <c r="CE95" i="4"/>
  <c r="CE96" i="4"/>
  <c r="CE97" i="4"/>
  <c r="CE98" i="4"/>
  <c r="CE99" i="4"/>
  <c r="CE100" i="4"/>
  <c r="CE101" i="4"/>
  <c r="CE102" i="4"/>
  <c r="CE103" i="4"/>
  <c r="CE104" i="4"/>
  <c r="CE105" i="4"/>
  <c r="CE106" i="4"/>
  <c r="CE107" i="4"/>
  <c r="CE108" i="4"/>
  <c r="CE109" i="4"/>
  <c r="CE110" i="4"/>
  <c r="CE111" i="4"/>
  <c r="CE112" i="4"/>
  <c r="CE113" i="4"/>
  <c r="CE114" i="4"/>
  <c r="CE115" i="4"/>
  <c r="CE116" i="4"/>
  <c r="CE117" i="4"/>
  <c r="CE118" i="4"/>
  <c r="CE119" i="4"/>
  <c r="CE120" i="4"/>
  <c r="CE121" i="4"/>
  <c r="CE122" i="4"/>
  <c r="CE123" i="4"/>
  <c r="CE124" i="4"/>
  <c r="CE125" i="4"/>
  <c r="CE7" i="4"/>
  <c r="CE8" i="4"/>
  <c r="CE9" i="4"/>
  <c r="CD11" i="4"/>
  <c r="CD12" i="4"/>
  <c r="CD13" i="4"/>
  <c r="CD14" i="4"/>
  <c r="CD15" i="4"/>
  <c r="CD16" i="4"/>
  <c r="CD17" i="4"/>
  <c r="CD18" i="4"/>
  <c r="CD19" i="4"/>
  <c r="CD20" i="4"/>
  <c r="CD21" i="4"/>
  <c r="F29" i="18" s="1"/>
  <c r="CD22" i="4"/>
  <c r="CD23" i="4"/>
  <c r="CD24" i="4"/>
  <c r="CD25" i="4"/>
  <c r="CD26" i="4"/>
  <c r="CD27" i="4"/>
  <c r="CD28" i="4"/>
  <c r="CD29" i="4"/>
  <c r="CD30" i="4"/>
  <c r="CD31" i="4"/>
  <c r="CD32" i="4"/>
  <c r="CD33" i="4"/>
  <c r="CD34" i="4"/>
  <c r="CD35" i="4"/>
  <c r="CD36" i="4"/>
  <c r="CD37" i="4"/>
  <c r="CD38" i="4"/>
  <c r="CD39" i="4"/>
  <c r="CD40" i="4"/>
  <c r="CD41" i="4"/>
  <c r="CD42" i="4"/>
  <c r="CD43" i="4"/>
  <c r="CD44" i="4"/>
  <c r="CD45" i="4"/>
  <c r="CD46" i="4"/>
  <c r="CD47" i="4"/>
  <c r="CD48" i="4"/>
  <c r="CD49" i="4"/>
  <c r="CD50" i="4"/>
  <c r="CD51" i="4"/>
  <c r="CD52" i="4"/>
  <c r="CD53" i="4"/>
  <c r="CD54" i="4"/>
  <c r="CD55" i="4"/>
  <c r="CD56" i="4"/>
  <c r="CD57" i="4"/>
  <c r="CD58" i="4"/>
  <c r="CD59" i="4"/>
  <c r="CD60" i="4"/>
  <c r="CD61" i="4"/>
  <c r="CD62" i="4"/>
  <c r="CD63" i="4"/>
  <c r="CD64" i="4"/>
  <c r="CD65" i="4"/>
  <c r="CD66" i="4"/>
  <c r="CD67" i="4"/>
  <c r="CD68" i="4"/>
  <c r="CD69" i="4"/>
  <c r="CD70" i="4"/>
  <c r="CD71" i="4"/>
  <c r="CD72" i="4"/>
  <c r="CD73" i="4"/>
  <c r="CD74" i="4"/>
  <c r="CD75" i="4"/>
  <c r="CD76" i="4"/>
  <c r="CD77" i="4"/>
  <c r="CD78" i="4"/>
  <c r="CD79" i="4"/>
  <c r="CD80" i="4"/>
  <c r="CD81" i="4"/>
  <c r="CD82" i="4"/>
  <c r="CD83" i="4"/>
  <c r="CD84" i="4"/>
  <c r="CD85" i="4"/>
  <c r="CD86" i="4"/>
  <c r="CD87" i="4"/>
  <c r="CD88" i="4"/>
  <c r="CD89" i="4"/>
  <c r="CD90" i="4"/>
  <c r="CD91" i="4"/>
  <c r="CD92" i="4"/>
  <c r="CD93" i="4"/>
  <c r="CD94" i="4"/>
  <c r="CD95" i="4"/>
  <c r="CD96" i="4"/>
  <c r="CD97" i="4"/>
  <c r="CD98" i="4"/>
  <c r="CD99" i="4"/>
  <c r="CD100" i="4"/>
  <c r="CD101" i="4"/>
  <c r="CD102" i="4"/>
  <c r="CD103" i="4"/>
  <c r="CD104" i="4"/>
  <c r="CD105" i="4"/>
  <c r="CD106" i="4"/>
  <c r="CD107" i="4"/>
  <c r="CD108" i="4"/>
  <c r="CD109" i="4"/>
  <c r="CD110" i="4"/>
  <c r="CD111" i="4"/>
  <c r="CD112" i="4"/>
  <c r="CD113" i="4"/>
  <c r="CD114" i="4"/>
  <c r="CD115" i="4"/>
  <c r="CD116" i="4"/>
  <c r="CD117" i="4"/>
  <c r="CD118" i="4"/>
  <c r="CD119" i="4"/>
  <c r="CD120" i="4"/>
  <c r="CD121" i="4"/>
  <c r="CD122" i="4"/>
  <c r="CD123" i="4"/>
  <c r="CD124" i="4"/>
  <c r="CD125" i="4"/>
  <c r="CD7" i="4"/>
  <c r="CD8" i="4"/>
  <c r="CD9" i="4"/>
  <c r="CC11" i="4"/>
  <c r="CC12" i="4"/>
  <c r="CC13" i="4"/>
  <c r="CC14" i="4"/>
  <c r="CC15" i="4"/>
  <c r="CC16" i="4"/>
  <c r="CC17" i="4"/>
  <c r="CC18" i="4"/>
  <c r="CC19" i="4"/>
  <c r="CC20" i="4"/>
  <c r="CC21" i="4"/>
  <c r="E29" i="18" s="1"/>
  <c r="CC22" i="4"/>
  <c r="CC23" i="4"/>
  <c r="CC24" i="4"/>
  <c r="CC25" i="4"/>
  <c r="CC26" i="4"/>
  <c r="CC27" i="4"/>
  <c r="CC28" i="4"/>
  <c r="CC29" i="4"/>
  <c r="CC30" i="4"/>
  <c r="CC31" i="4"/>
  <c r="CC32" i="4"/>
  <c r="CC33" i="4"/>
  <c r="CC34" i="4"/>
  <c r="CC35" i="4"/>
  <c r="CC36" i="4"/>
  <c r="CC37" i="4"/>
  <c r="CC38" i="4"/>
  <c r="CC39" i="4"/>
  <c r="CC40" i="4"/>
  <c r="CC41" i="4"/>
  <c r="CC42" i="4"/>
  <c r="CC43" i="4"/>
  <c r="CC44" i="4"/>
  <c r="CC45" i="4"/>
  <c r="CC46" i="4"/>
  <c r="CC47" i="4"/>
  <c r="CC48" i="4"/>
  <c r="CC49" i="4"/>
  <c r="CC50" i="4"/>
  <c r="CC51" i="4"/>
  <c r="CC52" i="4"/>
  <c r="CC53" i="4"/>
  <c r="CC54" i="4"/>
  <c r="CC55" i="4"/>
  <c r="CC56" i="4"/>
  <c r="CC57" i="4"/>
  <c r="CC58" i="4"/>
  <c r="CC59" i="4"/>
  <c r="CC60" i="4"/>
  <c r="CC61" i="4"/>
  <c r="CC62" i="4"/>
  <c r="CC63" i="4"/>
  <c r="CC64" i="4"/>
  <c r="CC65" i="4"/>
  <c r="CC66" i="4"/>
  <c r="CC67" i="4"/>
  <c r="CC68" i="4"/>
  <c r="CC69" i="4"/>
  <c r="CC70" i="4"/>
  <c r="CC71" i="4"/>
  <c r="CC72" i="4"/>
  <c r="CC73" i="4"/>
  <c r="CC74" i="4"/>
  <c r="CC75" i="4"/>
  <c r="CC76" i="4"/>
  <c r="CC77" i="4"/>
  <c r="CC78" i="4"/>
  <c r="CC79" i="4"/>
  <c r="CC80" i="4"/>
  <c r="CC81" i="4"/>
  <c r="CC82" i="4"/>
  <c r="CC83" i="4"/>
  <c r="CC84" i="4"/>
  <c r="CC85" i="4"/>
  <c r="CC86" i="4"/>
  <c r="CC87" i="4"/>
  <c r="CC88" i="4"/>
  <c r="CC89" i="4"/>
  <c r="CC90" i="4"/>
  <c r="CC91" i="4"/>
  <c r="CC92" i="4"/>
  <c r="CC93" i="4"/>
  <c r="CC94" i="4"/>
  <c r="CC95" i="4"/>
  <c r="CC96" i="4"/>
  <c r="CC97" i="4"/>
  <c r="CC98" i="4"/>
  <c r="CC99" i="4"/>
  <c r="CC100" i="4"/>
  <c r="CC101" i="4"/>
  <c r="CC102" i="4"/>
  <c r="CC103" i="4"/>
  <c r="CC104" i="4"/>
  <c r="CC105" i="4"/>
  <c r="CC106" i="4"/>
  <c r="CC107" i="4"/>
  <c r="CC108" i="4"/>
  <c r="CC109" i="4"/>
  <c r="CC110" i="4"/>
  <c r="CC111" i="4"/>
  <c r="CC112" i="4"/>
  <c r="CC113" i="4"/>
  <c r="CC114" i="4"/>
  <c r="CC115" i="4"/>
  <c r="CC116" i="4"/>
  <c r="CC117" i="4"/>
  <c r="CC118" i="4"/>
  <c r="CC119" i="4"/>
  <c r="CC120" i="4"/>
  <c r="CC121" i="4"/>
  <c r="CC122" i="4"/>
  <c r="CC123" i="4"/>
  <c r="CC124" i="4"/>
  <c r="CC125" i="4"/>
  <c r="CC7" i="4"/>
  <c r="CC8" i="4"/>
  <c r="CC9" i="4"/>
  <c r="CA8" i="4"/>
  <c r="CA9" i="4"/>
  <c r="CA10" i="4"/>
  <c r="CA11" i="4"/>
  <c r="CA12" i="4"/>
  <c r="CA13" i="4"/>
  <c r="CA14" i="4"/>
  <c r="CA15" i="4"/>
  <c r="CA16" i="4"/>
  <c r="CA17" i="4"/>
  <c r="CA18" i="4"/>
  <c r="CA19" i="4"/>
  <c r="CA20" i="4"/>
  <c r="CA21" i="4"/>
  <c r="C29" i="18" s="1"/>
  <c r="CA22" i="4"/>
  <c r="CA23" i="4"/>
  <c r="CA24" i="4"/>
  <c r="CA25" i="4"/>
  <c r="CA26" i="4"/>
  <c r="CA27" i="4"/>
  <c r="CA28" i="4"/>
  <c r="CA29" i="4"/>
  <c r="CA30" i="4"/>
  <c r="CA31" i="4"/>
  <c r="CA32" i="4"/>
  <c r="CA33" i="4"/>
  <c r="CA34" i="4"/>
  <c r="CA35" i="4"/>
  <c r="CA36" i="4"/>
  <c r="CA37" i="4"/>
  <c r="CA38" i="4"/>
  <c r="CA39" i="4"/>
  <c r="CA40" i="4"/>
  <c r="CA41" i="4"/>
  <c r="CA42" i="4"/>
  <c r="CA43" i="4"/>
  <c r="CA44" i="4"/>
  <c r="CA45" i="4"/>
  <c r="CA46" i="4"/>
  <c r="CA47" i="4"/>
  <c r="CA48" i="4"/>
  <c r="CA49" i="4"/>
  <c r="CA50" i="4"/>
  <c r="CA51" i="4"/>
  <c r="CA52" i="4"/>
  <c r="CA53" i="4"/>
  <c r="CA54" i="4"/>
  <c r="CA55" i="4"/>
  <c r="CA56" i="4"/>
  <c r="CA57" i="4"/>
  <c r="CA58" i="4"/>
  <c r="CA59" i="4"/>
  <c r="CA60" i="4"/>
  <c r="CA61" i="4"/>
  <c r="CA62" i="4"/>
  <c r="CA63" i="4"/>
  <c r="CA64" i="4"/>
  <c r="CA65" i="4"/>
  <c r="CA66" i="4"/>
  <c r="CA67" i="4"/>
  <c r="CA68" i="4"/>
  <c r="CA69" i="4"/>
  <c r="CA70" i="4"/>
  <c r="CA71" i="4"/>
  <c r="CA72" i="4"/>
  <c r="CA73" i="4"/>
  <c r="CA74" i="4"/>
  <c r="CA75" i="4"/>
  <c r="CA76" i="4"/>
  <c r="CA77" i="4"/>
  <c r="CA78" i="4"/>
  <c r="CA79" i="4"/>
  <c r="CA80" i="4"/>
  <c r="CA81" i="4"/>
  <c r="CA82" i="4"/>
  <c r="CA83" i="4"/>
  <c r="CA84" i="4"/>
  <c r="CA85" i="4"/>
  <c r="CA86" i="4"/>
  <c r="CA87" i="4"/>
  <c r="CA88" i="4"/>
  <c r="CA89" i="4"/>
  <c r="CA90" i="4"/>
  <c r="CA91" i="4"/>
  <c r="CA92" i="4"/>
  <c r="CA93" i="4"/>
  <c r="CA94" i="4"/>
  <c r="CA95" i="4"/>
  <c r="CA96" i="4"/>
  <c r="CA97" i="4"/>
  <c r="CA98" i="4"/>
  <c r="CA99" i="4"/>
  <c r="CA100" i="4"/>
  <c r="CA101" i="4"/>
  <c r="CA102" i="4"/>
  <c r="CA103" i="4"/>
  <c r="CA104" i="4"/>
  <c r="CA105" i="4"/>
  <c r="CA106" i="4"/>
  <c r="CA107" i="4"/>
  <c r="CA108" i="4"/>
  <c r="CA109" i="4"/>
  <c r="CA110" i="4"/>
  <c r="CA111" i="4"/>
  <c r="CA112" i="4"/>
  <c r="CA113" i="4"/>
  <c r="CA114" i="4"/>
  <c r="CA115" i="4"/>
  <c r="CA116" i="4"/>
  <c r="CA117" i="4"/>
  <c r="CA118" i="4"/>
  <c r="CA119" i="4"/>
  <c r="CA120" i="4"/>
  <c r="CA121" i="4"/>
  <c r="CA122" i="4"/>
  <c r="CA123" i="4"/>
  <c r="CA124" i="4"/>
  <c r="CA125" i="4"/>
  <c r="CB16" i="4"/>
  <c r="CB17" i="4"/>
  <c r="CB18" i="4"/>
  <c r="CB19" i="4"/>
  <c r="CB20" i="4"/>
  <c r="CB21" i="4"/>
  <c r="D29" i="18" s="1"/>
  <c r="CB22" i="4"/>
  <c r="CB23" i="4"/>
  <c r="CB24" i="4"/>
  <c r="CB25" i="4"/>
  <c r="CB26" i="4"/>
  <c r="CB27" i="4"/>
  <c r="CB28" i="4"/>
  <c r="CB29" i="4"/>
  <c r="CB30" i="4"/>
  <c r="CB31" i="4"/>
  <c r="CB32" i="4"/>
  <c r="CB33" i="4"/>
  <c r="CB34" i="4"/>
  <c r="CB35" i="4"/>
  <c r="CB36" i="4"/>
  <c r="CB37" i="4"/>
  <c r="CB38" i="4"/>
  <c r="CB39" i="4"/>
  <c r="CB40" i="4"/>
  <c r="CB41" i="4"/>
  <c r="CB42" i="4"/>
  <c r="CB43" i="4"/>
  <c r="CB44" i="4"/>
  <c r="CB45" i="4"/>
  <c r="CB46" i="4"/>
  <c r="CB47" i="4"/>
  <c r="CB48" i="4"/>
  <c r="CB49" i="4"/>
  <c r="CB50" i="4"/>
  <c r="CB51" i="4"/>
  <c r="CB52" i="4"/>
  <c r="CB53" i="4"/>
  <c r="CB54" i="4"/>
  <c r="CB55" i="4"/>
  <c r="CB56" i="4"/>
  <c r="CB57" i="4"/>
  <c r="CB58" i="4"/>
  <c r="CB59" i="4"/>
  <c r="CB60" i="4"/>
  <c r="CB61" i="4"/>
  <c r="CB62" i="4"/>
  <c r="CB63" i="4"/>
  <c r="CB64" i="4"/>
  <c r="CB65" i="4"/>
  <c r="CB66" i="4"/>
  <c r="CB67" i="4"/>
  <c r="CB68" i="4"/>
  <c r="CB69" i="4"/>
  <c r="CB70" i="4"/>
  <c r="CB71" i="4"/>
  <c r="CB72" i="4"/>
  <c r="CB73" i="4"/>
  <c r="CB74" i="4"/>
  <c r="CB75" i="4"/>
  <c r="CB76" i="4"/>
  <c r="CB77" i="4"/>
  <c r="CB78" i="4"/>
  <c r="CB79" i="4"/>
  <c r="CB80" i="4"/>
  <c r="CB81" i="4"/>
  <c r="CB82" i="4"/>
  <c r="CB83" i="4"/>
  <c r="CB84" i="4"/>
  <c r="CB85" i="4"/>
  <c r="CB86" i="4"/>
  <c r="CB87" i="4"/>
  <c r="CB88" i="4"/>
  <c r="CB89" i="4"/>
  <c r="CB90" i="4"/>
  <c r="CB91" i="4"/>
  <c r="CB92" i="4"/>
  <c r="CB93" i="4"/>
  <c r="CB94" i="4"/>
  <c r="CB95" i="4"/>
  <c r="CB96" i="4"/>
  <c r="CB97" i="4"/>
  <c r="CB98" i="4"/>
  <c r="CB99" i="4"/>
  <c r="CB100" i="4"/>
  <c r="CB101" i="4"/>
  <c r="CB102" i="4"/>
  <c r="CB103" i="4"/>
  <c r="CB104" i="4"/>
  <c r="CB105" i="4"/>
  <c r="CB106" i="4"/>
  <c r="CB107" i="4"/>
  <c r="CB108" i="4"/>
  <c r="CB109" i="4"/>
  <c r="CB110" i="4"/>
  <c r="CB111" i="4"/>
  <c r="CB112" i="4"/>
  <c r="CB113" i="4"/>
  <c r="CB114" i="4"/>
  <c r="CB115" i="4"/>
  <c r="CB116" i="4"/>
  <c r="CB117" i="4"/>
  <c r="CB118" i="4"/>
  <c r="CB119" i="4"/>
  <c r="CB120" i="4"/>
  <c r="CB121" i="4"/>
  <c r="CB122" i="4"/>
  <c r="CB123" i="4"/>
  <c r="CB124" i="4"/>
  <c r="CB125" i="4"/>
  <c r="CB13" i="4"/>
  <c r="CB14" i="4"/>
  <c r="CB15" i="4"/>
  <c r="CB11" i="4"/>
  <c r="CB12" i="4"/>
  <c r="CB7" i="4"/>
  <c r="CB8" i="4"/>
  <c r="CB9" i="4"/>
  <c r="CB10" i="4"/>
  <c r="CN10" i="4"/>
  <c r="CM10" i="4"/>
  <c r="CL10" i="4"/>
  <c r="CH10" i="4"/>
  <c r="CG10" i="4"/>
  <c r="CF10" i="4"/>
  <c r="CE10" i="4"/>
  <c r="CD10" i="4"/>
  <c r="CC10" i="4"/>
  <c r="CA7" i="4"/>
  <c r="BY7" i="4"/>
  <c r="BY8" i="4"/>
  <c r="BY9" i="4"/>
  <c r="BY39" i="4"/>
  <c r="BY40" i="4"/>
  <c r="BY41" i="4"/>
  <c r="BY42" i="4"/>
  <c r="BY43" i="4"/>
  <c r="BY44" i="4"/>
  <c r="BY45" i="4"/>
  <c r="BY46" i="4"/>
  <c r="BY47" i="4"/>
  <c r="BY48" i="4"/>
  <c r="BY49" i="4"/>
  <c r="BY50" i="4"/>
  <c r="BY51" i="4"/>
  <c r="BY52" i="4"/>
  <c r="BY53" i="4"/>
  <c r="BY54" i="4"/>
  <c r="BY55" i="4"/>
  <c r="BY56" i="4"/>
  <c r="BY57" i="4"/>
  <c r="BY58" i="4"/>
  <c r="BY59" i="4"/>
  <c r="BY60" i="4"/>
  <c r="BY61" i="4"/>
  <c r="BY62" i="4"/>
  <c r="BY63" i="4"/>
  <c r="BY64" i="4"/>
  <c r="BY65" i="4"/>
  <c r="BY66" i="4"/>
  <c r="BY67" i="4"/>
  <c r="BY68" i="4"/>
  <c r="BY69" i="4"/>
  <c r="BY70" i="4"/>
  <c r="BY71" i="4"/>
  <c r="BY72" i="4"/>
  <c r="BY73" i="4"/>
  <c r="BY74" i="4"/>
  <c r="BY75" i="4"/>
  <c r="BY76" i="4"/>
  <c r="BY77" i="4"/>
  <c r="BY78" i="4"/>
  <c r="BY79" i="4"/>
  <c r="BY80" i="4"/>
  <c r="BY81" i="4"/>
  <c r="BY82" i="4"/>
  <c r="BY83" i="4"/>
  <c r="BY84" i="4"/>
  <c r="BY85" i="4"/>
  <c r="BY86" i="4"/>
  <c r="BY87" i="4"/>
  <c r="BY88" i="4"/>
  <c r="BY89" i="4"/>
  <c r="BY90" i="4"/>
  <c r="BY91" i="4"/>
  <c r="BY92" i="4"/>
  <c r="BY93" i="4"/>
  <c r="BY94" i="4"/>
  <c r="BY95" i="4"/>
  <c r="BY96" i="4"/>
  <c r="BY97" i="4"/>
  <c r="BY98" i="4"/>
  <c r="BY99" i="4"/>
  <c r="BY100" i="4"/>
  <c r="BY101" i="4"/>
  <c r="BY102" i="4"/>
  <c r="BY103" i="4"/>
  <c r="BY104" i="4"/>
  <c r="BY105" i="4"/>
  <c r="BY106" i="4"/>
  <c r="BY107" i="4"/>
  <c r="BY108" i="4"/>
  <c r="BY109" i="4"/>
  <c r="BY110" i="4"/>
  <c r="BY111" i="4"/>
  <c r="BY112" i="4"/>
  <c r="BY113" i="4"/>
  <c r="BY114" i="4"/>
  <c r="BY115" i="4"/>
  <c r="BY116" i="4"/>
  <c r="BY117" i="4"/>
  <c r="BY118" i="4"/>
  <c r="BY119" i="4"/>
  <c r="BY120" i="4"/>
  <c r="BY121" i="4"/>
  <c r="BY122" i="4"/>
  <c r="BY123" i="4"/>
  <c r="BY124" i="4"/>
  <c r="BY125" i="4"/>
  <c r="BY21" i="4"/>
  <c r="A29" i="18" s="1"/>
  <c r="BY22" i="4"/>
  <c r="BY23" i="4"/>
  <c r="BY24" i="4"/>
  <c r="BY25" i="4"/>
  <c r="BY26" i="4"/>
  <c r="BY27" i="4"/>
  <c r="BY28" i="4"/>
  <c r="BY29" i="4"/>
  <c r="BY30" i="4"/>
  <c r="BY31" i="4"/>
  <c r="BY32" i="4"/>
  <c r="BY33" i="4"/>
  <c r="BY34" i="4"/>
  <c r="BY35" i="4"/>
  <c r="BY36" i="4"/>
  <c r="BY37" i="4"/>
  <c r="BY38" i="4"/>
  <c r="BY20" i="4"/>
  <c r="BY18" i="4"/>
  <c r="BY19" i="4"/>
  <c r="BY14" i="4"/>
  <c r="BY15" i="4"/>
  <c r="BY16" i="4"/>
  <c r="BY17" i="4"/>
  <c r="BY11" i="4"/>
  <c r="BY12" i="4"/>
  <c r="BY13" i="4"/>
  <c r="BY10" i="4"/>
  <c r="DC94" i="4"/>
  <c r="DC95" i="4"/>
  <c r="DC96" i="4"/>
  <c r="DC97" i="4"/>
  <c r="DC98" i="4"/>
  <c r="DC99" i="4"/>
  <c r="DC100" i="4"/>
  <c r="DC101" i="4"/>
  <c r="DC102" i="4"/>
  <c r="DC103" i="4"/>
  <c r="DC104" i="4"/>
  <c r="DC105" i="4"/>
  <c r="DC106" i="4"/>
  <c r="DC107" i="4"/>
  <c r="DC108" i="4"/>
  <c r="DC109" i="4"/>
  <c r="DC110" i="4"/>
  <c r="DC111" i="4"/>
  <c r="DC112" i="4"/>
  <c r="DC113" i="4"/>
  <c r="DC114" i="4"/>
  <c r="DC115" i="4"/>
  <c r="DC116" i="4"/>
  <c r="DC117" i="4"/>
  <c r="DC118" i="4"/>
  <c r="DC119" i="4"/>
  <c r="DC120" i="4"/>
  <c r="DC121" i="4"/>
  <c r="DC122" i="4"/>
  <c r="DC123" i="4"/>
  <c r="DC124" i="4"/>
  <c r="DB94" i="4"/>
  <c r="DB95" i="4"/>
  <c r="DB96" i="4"/>
  <c r="DB97" i="4"/>
  <c r="DB98" i="4"/>
  <c r="DB99" i="4"/>
  <c r="DB100" i="4"/>
  <c r="DB101" i="4"/>
  <c r="DB102" i="4"/>
  <c r="DB103" i="4"/>
  <c r="DB104" i="4"/>
  <c r="DB105" i="4"/>
  <c r="DB106" i="4"/>
  <c r="DB107" i="4"/>
  <c r="DB108" i="4"/>
  <c r="DB109" i="4"/>
  <c r="DB110" i="4"/>
  <c r="DB111" i="4"/>
  <c r="DB112" i="4"/>
  <c r="DB113" i="4"/>
  <c r="DB114" i="4"/>
  <c r="DB115" i="4"/>
  <c r="DB116" i="4"/>
  <c r="DB117" i="4"/>
  <c r="DB118" i="4"/>
  <c r="DB119" i="4"/>
  <c r="DB120" i="4"/>
  <c r="DB121" i="4"/>
  <c r="DB122" i="4"/>
  <c r="DB123" i="4"/>
  <c r="DB124" i="4"/>
  <c r="DA94" i="4"/>
  <c r="DA95" i="4"/>
  <c r="DA96" i="4"/>
  <c r="DA97" i="4"/>
  <c r="DA98" i="4"/>
  <c r="DA99" i="4"/>
  <c r="DA100" i="4"/>
  <c r="DA101" i="4"/>
  <c r="DA102" i="4"/>
  <c r="DA103" i="4"/>
  <c r="DA104" i="4"/>
  <c r="DA105" i="4"/>
  <c r="DA106" i="4"/>
  <c r="DA107" i="4"/>
  <c r="DA108" i="4"/>
  <c r="DA109" i="4"/>
  <c r="DA110" i="4"/>
  <c r="DA111" i="4"/>
  <c r="DA112" i="4"/>
  <c r="DA113" i="4"/>
  <c r="DA114" i="4"/>
  <c r="DA115" i="4"/>
  <c r="DA116" i="4"/>
  <c r="DA117" i="4"/>
  <c r="DA118" i="4"/>
  <c r="DA119" i="4"/>
  <c r="DA120" i="4"/>
  <c r="DA121" i="4"/>
  <c r="DA122" i="4"/>
  <c r="DA123" i="4"/>
  <c r="DA124" i="4"/>
  <c r="DA125" i="4"/>
  <c r="CY94" i="4"/>
  <c r="CY95" i="4"/>
  <c r="CY96" i="4"/>
  <c r="CY97" i="4"/>
  <c r="CY98" i="4"/>
  <c r="CY99" i="4"/>
  <c r="CY100" i="4"/>
  <c r="CY101" i="4"/>
  <c r="CY102" i="4"/>
  <c r="CY103" i="4"/>
  <c r="CY104" i="4"/>
  <c r="CY105" i="4"/>
  <c r="CY106" i="4"/>
  <c r="CY107" i="4"/>
  <c r="CY108" i="4"/>
  <c r="CY109" i="4"/>
  <c r="CY110" i="4"/>
  <c r="CY111" i="4"/>
  <c r="CY112" i="4"/>
  <c r="CY113" i="4"/>
  <c r="CY114" i="4"/>
  <c r="CY115" i="4"/>
  <c r="CY116" i="4"/>
  <c r="CY117" i="4"/>
  <c r="CY118" i="4"/>
  <c r="CY119" i="4"/>
  <c r="CY120" i="4"/>
  <c r="CY121" i="4"/>
  <c r="CY122" i="4"/>
  <c r="CY123" i="4"/>
  <c r="CY124" i="4"/>
  <c r="CW94" i="4"/>
  <c r="CW95" i="4"/>
  <c r="CW96" i="4"/>
  <c r="CW97" i="4"/>
  <c r="CW98" i="4"/>
  <c r="CW99" i="4"/>
  <c r="CW100" i="4"/>
  <c r="CW101" i="4"/>
  <c r="CW102" i="4"/>
  <c r="CW103" i="4"/>
  <c r="CW104" i="4"/>
  <c r="CW105" i="4"/>
  <c r="CW106" i="4"/>
  <c r="CW107" i="4"/>
  <c r="CW108" i="4"/>
  <c r="CW109" i="4"/>
  <c r="CW110" i="4"/>
  <c r="CW111" i="4"/>
  <c r="CW112" i="4"/>
  <c r="CW113" i="4"/>
  <c r="CW114" i="4"/>
  <c r="CW115" i="4"/>
  <c r="CW116" i="4"/>
  <c r="CW117" i="4"/>
  <c r="CW118" i="4"/>
  <c r="CW119" i="4"/>
  <c r="CW120" i="4"/>
  <c r="CW121" i="4"/>
  <c r="CW122" i="4"/>
  <c r="CW123" i="4"/>
  <c r="CW124" i="4"/>
  <c r="CU94" i="4"/>
  <c r="CU95" i="4"/>
  <c r="CU96" i="4"/>
  <c r="CU97" i="4"/>
  <c r="CU98" i="4"/>
  <c r="CU99" i="4"/>
  <c r="CU100" i="4"/>
  <c r="CU101" i="4"/>
  <c r="CU102" i="4"/>
  <c r="CU103" i="4"/>
  <c r="CU104" i="4"/>
  <c r="CU105" i="4"/>
  <c r="CU106" i="4"/>
  <c r="CU107" i="4"/>
  <c r="CU108" i="4"/>
  <c r="CU109" i="4"/>
  <c r="CU110" i="4"/>
  <c r="CU111" i="4"/>
  <c r="CU112" i="4"/>
  <c r="CU113" i="4"/>
  <c r="CU114" i="4"/>
  <c r="CU115" i="4"/>
  <c r="CU116" i="4"/>
  <c r="CU117" i="4"/>
  <c r="CU118" i="4"/>
  <c r="CU119" i="4"/>
  <c r="CU120" i="4"/>
  <c r="CU121" i="4"/>
  <c r="CU122" i="4"/>
  <c r="CU123" i="4"/>
  <c r="CU124" i="4"/>
  <c r="CT94" i="4"/>
  <c r="CT95" i="4"/>
  <c r="CT96" i="4"/>
  <c r="CT97" i="4"/>
  <c r="CT98" i="4"/>
  <c r="CT99" i="4"/>
  <c r="CT100" i="4"/>
  <c r="CT101" i="4"/>
  <c r="CT102" i="4"/>
  <c r="CT103" i="4"/>
  <c r="CT104" i="4"/>
  <c r="CT105" i="4"/>
  <c r="CT106" i="4"/>
  <c r="CT107" i="4"/>
  <c r="CT108" i="4"/>
  <c r="CT109" i="4"/>
  <c r="CT110" i="4"/>
  <c r="CT111" i="4"/>
  <c r="CT112" i="4"/>
  <c r="CT113" i="4"/>
  <c r="CT114" i="4"/>
  <c r="CT115" i="4"/>
  <c r="CT116" i="4"/>
  <c r="CT117" i="4"/>
  <c r="CT118" i="4"/>
  <c r="CT119" i="4"/>
  <c r="CT120" i="4"/>
  <c r="CT121" i="4"/>
  <c r="CT122" i="4"/>
  <c r="CT123" i="4"/>
  <c r="CT124" i="4"/>
  <c r="CS94" i="4"/>
  <c r="CS95" i="4"/>
  <c r="CS96" i="4"/>
  <c r="CS97" i="4"/>
  <c r="CS98" i="4"/>
  <c r="CS99" i="4"/>
  <c r="CS100" i="4"/>
  <c r="CS101" i="4"/>
  <c r="CS102" i="4"/>
  <c r="CS103" i="4"/>
  <c r="CS104" i="4"/>
  <c r="CS105" i="4"/>
  <c r="CS106" i="4"/>
  <c r="CS107" i="4"/>
  <c r="CS108" i="4"/>
  <c r="CS109" i="4"/>
  <c r="CS110" i="4"/>
  <c r="CS111" i="4"/>
  <c r="CS112" i="4"/>
  <c r="CS113" i="4"/>
  <c r="CS114" i="4"/>
  <c r="CS115" i="4"/>
  <c r="CS116" i="4"/>
  <c r="CS117" i="4"/>
  <c r="CS118" i="4"/>
  <c r="CS119" i="4"/>
  <c r="CS120" i="4"/>
  <c r="CS121" i="4"/>
  <c r="CS122" i="4"/>
  <c r="CS123" i="4"/>
  <c r="CS124" i="4"/>
  <c r="CQ94" i="4"/>
  <c r="CQ95" i="4"/>
  <c r="CQ96" i="4"/>
  <c r="CQ97" i="4"/>
  <c r="CQ98" i="4"/>
  <c r="CQ99" i="4"/>
  <c r="CQ100" i="4"/>
  <c r="CQ101" i="4"/>
  <c r="CQ102" i="4"/>
  <c r="CQ103" i="4"/>
  <c r="CQ104" i="4"/>
  <c r="CQ105" i="4"/>
  <c r="CQ106" i="4"/>
  <c r="CQ107" i="4"/>
  <c r="CQ108" i="4"/>
  <c r="CQ109" i="4"/>
  <c r="CQ110" i="4"/>
  <c r="CQ111" i="4"/>
  <c r="CQ112" i="4"/>
  <c r="CQ113" i="4"/>
  <c r="CQ114" i="4"/>
  <c r="CQ115" i="4"/>
  <c r="CQ116" i="4"/>
  <c r="CQ117" i="4"/>
  <c r="CQ118" i="4"/>
  <c r="CQ119" i="4"/>
  <c r="CQ120" i="4"/>
  <c r="CQ121" i="4"/>
  <c r="CQ122" i="4"/>
  <c r="CQ123" i="4"/>
  <c r="CQ124" i="4"/>
  <c r="CO94" i="4"/>
  <c r="CO95" i="4"/>
  <c r="CO96" i="4"/>
  <c r="CO97" i="4"/>
  <c r="CO98" i="4"/>
  <c r="CO99" i="4"/>
  <c r="CO100" i="4"/>
  <c r="CO101" i="4"/>
  <c r="CO102" i="4"/>
  <c r="CO103" i="4"/>
  <c r="CO104" i="4"/>
  <c r="CO105" i="4"/>
  <c r="CO106" i="4"/>
  <c r="CO107" i="4"/>
  <c r="CO108" i="4"/>
  <c r="CO109" i="4"/>
  <c r="CO110" i="4"/>
  <c r="CO111" i="4"/>
  <c r="CO112" i="4"/>
  <c r="CO113" i="4"/>
  <c r="CO114" i="4"/>
  <c r="CO115" i="4"/>
  <c r="CO116" i="4"/>
  <c r="CO117" i="4"/>
  <c r="CO118" i="4"/>
  <c r="CO119" i="4"/>
  <c r="CO120" i="4"/>
  <c r="CO121" i="4"/>
  <c r="CO122" i="4"/>
  <c r="CO123" i="4"/>
  <c r="CO124" i="4"/>
  <c r="F7" i="4"/>
  <c r="K7" i="4"/>
  <c r="AU125" i="17"/>
  <c r="AT125" i="17"/>
  <c r="AS125" i="17"/>
  <c r="AR125" i="17"/>
  <c r="AQ125" i="17"/>
  <c r="AP125" i="17"/>
  <c r="AO125" i="17"/>
  <c r="AN125" i="17"/>
  <c r="AU124" i="17"/>
  <c r="AT124" i="17"/>
  <c r="AS124" i="17"/>
  <c r="AR124" i="17"/>
  <c r="AQ124" i="17"/>
  <c r="AP124" i="17"/>
  <c r="AO124" i="17"/>
  <c r="AN124" i="17"/>
  <c r="AU123" i="17"/>
  <c r="AT123" i="17"/>
  <c r="AS123" i="17"/>
  <c r="AR123" i="17"/>
  <c r="AQ123" i="17"/>
  <c r="AP123" i="17"/>
  <c r="AO123" i="17"/>
  <c r="AN123" i="17"/>
  <c r="AU122" i="17"/>
  <c r="AT122" i="17"/>
  <c r="AS122" i="17"/>
  <c r="AR122" i="17"/>
  <c r="AQ122" i="17"/>
  <c r="AP122" i="17"/>
  <c r="AO122" i="17"/>
  <c r="AN122" i="17"/>
  <c r="AU121" i="17"/>
  <c r="AT121" i="17"/>
  <c r="AS121" i="17"/>
  <c r="AR121" i="17"/>
  <c r="AQ121" i="17"/>
  <c r="AP121" i="17"/>
  <c r="AO121" i="17"/>
  <c r="AN121" i="17"/>
  <c r="AU120" i="17"/>
  <c r="AT120" i="17"/>
  <c r="AS120" i="17"/>
  <c r="AR120" i="17"/>
  <c r="AQ120" i="17"/>
  <c r="AP120" i="17"/>
  <c r="AO120" i="17"/>
  <c r="AN120" i="17"/>
  <c r="AU119" i="17"/>
  <c r="AT119" i="17"/>
  <c r="AS119" i="17"/>
  <c r="AR119" i="17"/>
  <c r="AQ119" i="17"/>
  <c r="AP119" i="17"/>
  <c r="AO119" i="17"/>
  <c r="AN119" i="17"/>
  <c r="AU118" i="17"/>
  <c r="AT118" i="17"/>
  <c r="AS118" i="17"/>
  <c r="AR118" i="17"/>
  <c r="AQ118" i="17"/>
  <c r="AP118" i="17"/>
  <c r="AO118" i="17"/>
  <c r="AN118" i="17"/>
  <c r="AU117" i="17"/>
  <c r="AT117" i="17"/>
  <c r="AS117" i="17"/>
  <c r="AR117" i="17"/>
  <c r="AQ117" i="17"/>
  <c r="AP117" i="17"/>
  <c r="AO117" i="17"/>
  <c r="AN117" i="17"/>
  <c r="AU116" i="17"/>
  <c r="AT116" i="17"/>
  <c r="AS116" i="17"/>
  <c r="AR116" i="17"/>
  <c r="AQ116" i="17"/>
  <c r="AP116" i="17"/>
  <c r="AO116" i="17"/>
  <c r="AN116" i="17"/>
  <c r="AU115" i="17"/>
  <c r="AT115" i="17"/>
  <c r="AS115" i="17"/>
  <c r="AR115" i="17"/>
  <c r="AQ115" i="17"/>
  <c r="AP115" i="17"/>
  <c r="AO115" i="17"/>
  <c r="AN115" i="17"/>
  <c r="AU114" i="17"/>
  <c r="AT114" i="17"/>
  <c r="AS114" i="17"/>
  <c r="AR114" i="17"/>
  <c r="AQ114" i="17"/>
  <c r="AP114" i="17"/>
  <c r="AO114" i="17"/>
  <c r="AN114" i="17"/>
  <c r="AU113" i="17"/>
  <c r="AT113" i="17"/>
  <c r="AS113" i="17"/>
  <c r="AR113" i="17"/>
  <c r="AQ113" i="17"/>
  <c r="AP113" i="17"/>
  <c r="AO113" i="17"/>
  <c r="AN113" i="17"/>
  <c r="AU112" i="17"/>
  <c r="AT112" i="17"/>
  <c r="AS112" i="17"/>
  <c r="AR112" i="17"/>
  <c r="AQ112" i="17"/>
  <c r="AP112" i="17"/>
  <c r="AO112" i="17"/>
  <c r="AN112" i="17"/>
  <c r="AU111" i="17"/>
  <c r="AT111" i="17"/>
  <c r="AS111" i="17"/>
  <c r="AR111" i="17"/>
  <c r="AQ111" i="17"/>
  <c r="AP111" i="17"/>
  <c r="AO111" i="17"/>
  <c r="AN111" i="17"/>
  <c r="AU110" i="17"/>
  <c r="AT110" i="17"/>
  <c r="AS110" i="17"/>
  <c r="AR110" i="17"/>
  <c r="AQ110" i="17"/>
  <c r="AP110" i="17"/>
  <c r="AO110" i="17"/>
  <c r="AN110" i="17"/>
  <c r="AU109" i="17"/>
  <c r="AT109" i="17"/>
  <c r="AS109" i="17"/>
  <c r="AR109" i="17"/>
  <c r="AQ109" i="17"/>
  <c r="AP109" i="17"/>
  <c r="AO109" i="17"/>
  <c r="AN109" i="17"/>
  <c r="AU108" i="17"/>
  <c r="AT108" i="17"/>
  <c r="AS108" i="17"/>
  <c r="AR108" i="17"/>
  <c r="AQ108" i="17"/>
  <c r="AP108" i="17"/>
  <c r="AO108" i="17"/>
  <c r="AN108" i="17"/>
  <c r="AU107" i="17"/>
  <c r="AT107" i="17"/>
  <c r="AS107" i="17"/>
  <c r="AR107" i="17"/>
  <c r="AQ107" i="17"/>
  <c r="AP107" i="17"/>
  <c r="AO107" i="17"/>
  <c r="AN107" i="17"/>
  <c r="AU106" i="17"/>
  <c r="AT106" i="17"/>
  <c r="AS106" i="17"/>
  <c r="AR106" i="17"/>
  <c r="AQ106" i="17"/>
  <c r="AP106" i="17"/>
  <c r="AO106" i="17"/>
  <c r="AN106" i="17"/>
  <c r="AU105" i="17"/>
  <c r="AT105" i="17"/>
  <c r="AS105" i="17"/>
  <c r="AR105" i="17"/>
  <c r="AQ105" i="17"/>
  <c r="AP105" i="17"/>
  <c r="AO105" i="17"/>
  <c r="AN105" i="17"/>
  <c r="AU104" i="17"/>
  <c r="AT104" i="17"/>
  <c r="AS104" i="17"/>
  <c r="AR104" i="17"/>
  <c r="AQ104" i="17"/>
  <c r="AP104" i="17"/>
  <c r="AO104" i="17"/>
  <c r="AN104" i="17"/>
  <c r="AU103" i="17"/>
  <c r="AT103" i="17"/>
  <c r="AS103" i="17"/>
  <c r="AR103" i="17"/>
  <c r="AQ103" i="17"/>
  <c r="AP103" i="17"/>
  <c r="AO103" i="17"/>
  <c r="AN103" i="17"/>
  <c r="AU102" i="17"/>
  <c r="AT102" i="17"/>
  <c r="AS102" i="17"/>
  <c r="AR102" i="17"/>
  <c r="AQ102" i="17"/>
  <c r="AP102" i="17"/>
  <c r="AO102" i="17"/>
  <c r="AN102" i="17"/>
  <c r="AU101" i="17"/>
  <c r="AT101" i="17"/>
  <c r="AS101" i="17"/>
  <c r="AR101" i="17"/>
  <c r="AQ101" i="17"/>
  <c r="AP101" i="17"/>
  <c r="AO101" i="17"/>
  <c r="AN101" i="17"/>
  <c r="AU100" i="17"/>
  <c r="AT100" i="17"/>
  <c r="AS100" i="17"/>
  <c r="AR100" i="17"/>
  <c r="AQ100" i="17"/>
  <c r="AP100" i="17"/>
  <c r="AO100" i="17"/>
  <c r="AN100" i="17"/>
  <c r="AU99" i="17"/>
  <c r="AT99" i="17"/>
  <c r="AS99" i="17"/>
  <c r="AR99" i="17"/>
  <c r="AQ99" i="17"/>
  <c r="AP99" i="17"/>
  <c r="AO99" i="17"/>
  <c r="AN99" i="17"/>
  <c r="AU98" i="17"/>
  <c r="AT98" i="17"/>
  <c r="AS98" i="17"/>
  <c r="AR98" i="17"/>
  <c r="AQ98" i="17"/>
  <c r="AP98" i="17"/>
  <c r="AO98" i="17"/>
  <c r="AN98" i="17"/>
  <c r="AU97" i="17"/>
  <c r="AT97" i="17"/>
  <c r="AS97" i="17"/>
  <c r="AR97" i="17"/>
  <c r="AQ97" i="17"/>
  <c r="AP97" i="17"/>
  <c r="AO97" i="17"/>
  <c r="AN97" i="17"/>
  <c r="AU96" i="17"/>
  <c r="AT96" i="17"/>
  <c r="AS96" i="17"/>
  <c r="AR96" i="17"/>
  <c r="AQ96" i="17"/>
  <c r="AP96" i="17"/>
  <c r="AO96" i="17"/>
  <c r="AN96" i="17"/>
  <c r="AU95" i="17"/>
  <c r="AT95" i="17"/>
  <c r="AS95" i="17"/>
  <c r="AR95" i="17"/>
  <c r="AQ95" i="17"/>
  <c r="AP95" i="17"/>
  <c r="AO95" i="17"/>
  <c r="AN95" i="17"/>
  <c r="AU94" i="17"/>
  <c r="AT94" i="17"/>
  <c r="AS94" i="17"/>
  <c r="AR94" i="17"/>
  <c r="AQ94" i="17"/>
  <c r="AP94" i="17"/>
  <c r="AO94" i="17"/>
  <c r="AN94" i="17"/>
  <c r="V7" i="17"/>
  <c r="N7" i="17"/>
  <c r="L125" i="4"/>
  <c r="K125" i="4"/>
  <c r="J125" i="4"/>
  <c r="I125" i="4"/>
  <c r="H125" i="4"/>
  <c r="G125" i="4"/>
  <c r="F125" i="4"/>
  <c r="E125" i="4"/>
  <c r="L124" i="4"/>
  <c r="K124" i="4"/>
  <c r="J124" i="4"/>
  <c r="I124" i="4"/>
  <c r="H124" i="4"/>
  <c r="G124" i="4"/>
  <c r="F124" i="4"/>
  <c r="E124" i="4"/>
  <c r="L123" i="4"/>
  <c r="K123" i="4"/>
  <c r="J123" i="4"/>
  <c r="I123" i="4"/>
  <c r="H123" i="4"/>
  <c r="G123" i="4"/>
  <c r="F123" i="4"/>
  <c r="E123" i="4"/>
  <c r="L122" i="4"/>
  <c r="K122" i="4"/>
  <c r="J122" i="4"/>
  <c r="I122" i="4"/>
  <c r="H122" i="4"/>
  <c r="G122" i="4"/>
  <c r="F122" i="4"/>
  <c r="E122" i="4"/>
  <c r="L121" i="4"/>
  <c r="K121" i="4"/>
  <c r="J121" i="4"/>
  <c r="I121" i="4"/>
  <c r="H121" i="4"/>
  <c r="G121" i="4"/>
  <c r="F121" i="4"/>
  <c r="E121" i="4"/>
  <c r="L120" i="4"/>
  <c r="K120" i="4"/>
  <c r="J120" i="4"/>
  <c r="I120" i="4"/>
  <c r="H120" i="4"/>
  <c r="G120" i="4"/>
  <c r="F120" i="4"/>
  <c r="E120" i="4"/>
  <c r="L119" i="4"/>
  <c r="K119" i="4"/>
  <c r="J119" i="4"/>
  <c r="I119" i="4"/>
  <c r="H119" i="4"/>
  <c r="G119" i="4"/>
  <c r="F119" i="4"/>
  <c r="E119" i="4"/>
  <c r="L118" i="4"/>
  <c r="K118" i="4"/>
  <c r="J118" i="4"/>
  <c r="I118" i="4"/>
  <c r="H118" i="4"/>
  <c r="G118" i="4"/>
  <c r="F118" i="4"/>
  <c r="E118" i="4"/>
  <c r="L117" i="4"/>
  <c r="K117" i="4"/>
  <c r="J117" i="4"/>
  <c r="I117" i="4"/>
  <c r="H117" i="4"/>
  <c r="G117" i="4"/>
  <c r="F117" i="4"/>
  <c r="E117" i="4"/>
  <c r="L116" i="4"/>
  <c r="K116" i="4"/>
  <c r="J116" i="4"/>
  <c r="I116" i="4"/>
  <c r="H116" i="4"/>
  <c r="G116" i="4"/>
  <c r="F116" i="4"/>
  <c r="E116" i="4"/>
  <c r="L115" i="4"/>
  <c r="K115" i="4"/>
  <c r="J115" i="4"/>
  <c r="I115" i="4"/>
  <c r="H115" i="4"/>
  <c r="G115" i="4"/>
  <c r="F115" i="4"/>
  <c r="E115" i="4"/>
  <c r="L114" i="4"/>
  <c r="K114" i="4"/>
  <c r="J114" i="4"/>
  <c r="I114" i="4"/>
  <c r="H114" i="4"/>
  <c r="G114" i="4"/>
  <c r="F114" i="4"/>
  <c r="E114" i="4"/>
  <c r="L113" i="4"/>
  <c r="K113" i="4"/>
  <c r="J113" i="4"/>
  <c r="I113" i="4"/>
  <c r="H113" i="4"/>
  <c r="G113" i="4"/>
  <c r="F113" i="4"/>
  <c r="E113" i="4"/>
  <c r="L112" i="4"/>
  <c r="K112" i="4"/>
  <c r="J112" i="4"/>
  <c r="I112" i="4"/>
  <c r="H112" i="4"/>
  <c r="G112" i="4"/>
  <c r="F112" i="4"/>
  <c r="E112" i="4"/>
  <c r="L111" i="4"/>
  <c r="K111" i="4"/>
  <c r="J111" i="4"/>
  <c r="I111" i="4"/>
  <c r="H111" i="4"/>
  <c r="G111" i="4"/>
  <c r="F111" i="4"/>
  <c r="E111" i="4"/>
  <c r="L110" i="4"/>
  <c r="K110" i="4"/>
  <c r="J110" i="4"/>
  <c r="I110" i="4"/>
  <c r="H110" i="4"/>
  <c r="G110" i="4"/>
  <c r="F110" i="4"/>
  <c r="E110" i="4"/>
  <c r="L109" i="4"/>
  <c r="K109" i="4"/>
  <c r="J109" i="4"/>
  <c r="I109" i="4"/>
  <c r="H109" i="4"/>
  <c r="G109" i="4"/>
  <c r="F109" i="4"/>
  <c r="E109" i="4"/>
  <c r="L108" i="4"/>
  <c r="K108" i="4"/>
  <c r="J108" i="4"/>
  <c r="I108" i="4"/>
  <c r="H108" i="4"/>
  <c r="G108" i="4"/>
  <c r="F108" i="4"/>
  <c r="E108" i="4"/>
  <c r="L107" i="4"/>
  <c r="K107" i="4"/>
  <c r="J107" i="4"/>
  <c r="I107" i="4"/>
  <c r="H107" i="4"/>
  <c r="G107" i="4"/>
  <c r="F107" i="4"/>
  <c r="E107" i="4"/>
  <c r="L106" i="4"/>
  <c r="K106" i="4"/>
  <c r="J106" i="4"/>
  <c r="I106" i="4"/>
  <c r="H106" i="4"/>
  <c r="G106" i="4"/>
  <c r="F106" i="4"/>
  <c r="E106" i="4"/>
  <c r="L105" i="4"/>
  <c r="K105" i="4"/>
  <c r="J105" i="4"/>
  <c r="I105" i="4"/>
  <c r="H105" i="4"/>
  <c r="G105" i="4"/>
  <c r="F105" i="4"/>
  <c r="E105" i="4"/>
  <c r="L104" i="4"/>
  <c r="K104" i="4"/>
  <c r="J104" i="4"/>
  <c r="I104" i="4"/>
  <c r="H104" i="4"/>
  <c r="G104" i="4"/>
  <c r="F104" i="4"/>
  <c r="E104" i="4"/>
  <c r="L103" i="4"/>
  <c r="K103" i="4"/>
  <c r="J103" i="4"/>
  <c r="I103" i="4"/>
  <c r="H103" i="4"/>
  <c r="G103" i="4"/>
  <c r="F103" i="4"/>
  <c r="E103" i="4"/>
  <c r="L102" i="4"/>
  <c r="K102" i="4"/>
  <c r="J102" i="4"/>
  <c r="I102" i="4"/>
  <c r="H102" i="4"/>
  <c r="G102" i="4"/>
  <c r="F102" i="4"/>
  <c r="E102" i="4"/>
  <c r="L101" i="4"/>
  <c r="K101" i="4"/>
  <c r="J101" i="4"/>
  <c r="I101" i="4"/>
  <c r="H101" i="4"/>
  <c r="G101" i="4"/>
  <c r="F101" i="4"/>
  <c r="E101" i="4"/>
  <c r="L100" i="4"/>
  <c r="K100" i="4"/>
  <c r="J100" i="4"/>
  <c r="I100" i="4"/>
  <c r="H100" i="4"/>
  <c r="G100" i="4"/>
  <c r="F100" i="4"/>
  <c r="E100" i="4"/>
  <c r="L99" i="4"/>
  <c r="K99" i="4"/>
  <c r="J99" i="4"/>
  <c r="I99" i="4"/>
  <c r="H99" i="4"/>
  <c r="G99" i="4"/>
  <c r="F99" i="4"/>
  <c r="E99" i="4"/>
  <c r="L98" i="4"/>
  <c r="K98" i="4"/>
  <c r="J98" i="4"/>
  <c r="I98" i="4"/>
  <c r="H98" i="4"/>
  <c r="G98" i="4"/>
  <c r="F98" i="4"/>
  <c r="E98" i="4"/>
  <c r="L97" i="4"/>
  <c r="K97" i="4"/>
  <c r="J97" i="4"/>
  <c r="I97" i="4"/>
  <c r="H97" i="4"/>
  <c r="G97" i="4"/>
  <c r="F97" i="4"/>
  <c r="E97" i="4"/>
  <c r="L96" i="4"/>
  <c r="K96" i="4"/>
  <c r="J96" i="4"/>
  <c r="I96" i="4"/>
  <c r="H96" i="4"/>
  <c r="G96" i="4"/>
  <c r="F96" i="4"/>
  <c r="E96" i="4"/>
  <c r="L95" i="4"/>
  <c r="K95" i="4"/>
  <c r="J95" i="4"/>
  <c r="I95" i="4"/>
  <c r="H95" i="4"/>
  <c r="G95" i="4"/>
  <c r="F95" i="4"/>
  <c r="E95" i="4"/>
  <c r="L94" i="4"/>
  <c r="K94" i="4"/>
  <c r="J94" i="4"/>
  <c r="I94" i="4"/>
  <c r="H94" i="4"/>
  <c r="G94" i="4"/>
  <c r="F94" i="4"/>
  <c r="E94" i="4"/>
  <c r="L93" i="4"/>
  <c r="K93" i="4"/>
  <c r="J93" i="4"/>
  <c r="I93" i="4"/>
  <c r="H93" i="4"/>
  <c r="G93" i="4"/>
  <c r="F93" i="4"/>
  <c r="E93" i="4"/>
  <c r="L92" i="4"/>
  <c r="K92" i="4"/>
  <c r="J92" i="4"/>
  <c r="I92" i="4"/>
  <c r="H92" i="4"/>
  <c r="G92" i="4"/>
  <c r="F92" i="4"/>
  <c r="E92" i="4"/>
  <c r="L91" i="4"/>
  <c r="K91" i="4"/>
  <c r="J91" i="4"/>
  <c r="I91" i="4"/>
  <c r="H91" i="4"/>
  <c r="G91" i="4"/>
  <c r="F91" i="4"/>
  <c r="E91" i="4"/>
  <c r="L90" i="4"/>
  <c r="K90" i="4"/>
  <c r="J90" i="4"/>
  <c r="I90" i="4"/>
  <c r="H90" i="4"/>
  <c r="G90" i="4"/>
  <c r="F90" i="4"/>
  <c r="E90" i="4"/>
  <c r="L89" i="4"/>
  <c r="K89" i="4"/>
  <c r="J89" i="4"/>
  <c r="I89" i="4"/>
  <c r="H89" i="4"/>
  <c r="G89" i="4"/>
  <c r="F89" i="4"/>
  <c r="E89" i="4"/>
  <c r="BL89" i="4" s="1"/>
  <c r="L88" i="4"/>
  <c r="K88" i="4"/>
  <c r="J88" i="4"/>
  <c r="I88" i="4"/>
  <c r="H88" i="4"/>
  <c r="G88" i="4"/>
  <c r="F88" i="4"/>
  <c r="E88" i="4"/>
  <c r="BL88" i="4" s="1"/>
  <c r="L87" i="4"/>
  <c r="K87" i="4"/>
  <c r="J87" i="4"/>
  <c r="I87" i="4"/>
  <c r="H87" i="4"/>
  <c r="G87" i="4"/>
  <c r="F87" i="4"/>
  <c r="E87" i="4"/>
  <c r="BL87" i="4" s="1"/>
  <c r="L86" i="4"/>
  <c r="K86" i="4"/>
  <c r="J86" i="4"/>
  <c r="I86" i="4"/>
  <c r="H86" i="4"/>
  <c r="G86" i="4"/>
  <c r="F86" i="4"/>
  <c r="E86" i="4"/>
  <c r="L85" i="4"/>
  <c r="K85" i="4"/>
  <c r="J85" i="4"/>
  <c r="I85" i="4"/>
  <c r="H85" i="4"/>
  <c r="G85" i="4"/>
  <c r="F85" i="4"/>
  <c r="E85" i="4"/>
  <c r="L84" i="4"/>
  <c r="K84" i="4"/>
  <c r="J84" i="4"/>
  <c r="I84" i="4"/>
  <c r="H84" i="4"/>
  <c r="G84" i="4"/>
  <c r="F84" i="4"/>
  <c r="E84" i="4"/>
  <c r="L83" i="4"/>
  <c r="K83" i="4"/>
  <c r="J83" i="4"/>
  <c r="I83" i="4"/>
  <c r="H83" i="4"/>
  <c r="G83" i="4"/>
  <c r="F83" i="4"/>
  <c r="E83" i="4"/>
  <c r="L82" i="4"/>
  <c r="K82" i="4"/>
  <c r="J82" i="4"/>
  <c r="I82" i="4"/>
  <c r="H82" i="4"/>
  <c r="G82" i="4"/>
  <c r="F82" i="4"/>
  <c r="E82" i="4"/>
  <c r="L81" i="4"/>
  <c r="K81" i="4"/>
  <c r="J81" i="4"/>
  <c r="I81" i="4"/>
  <c r="H81" i="4"/>
  <c r="G81" i="4"/>
  <c r="BM81" i="4" s="1"/>
  <c r="F81" i="4"/>
  <c r="E81" i="4"/>
  <c r="L80" i="4"/>
  <c r="K80" i="4"/>
  <c r="J80" i="4"/>
  <c r="I80" i="4"/>
  <c r="H80" i="4"/>
  <c r="G80" i="4"/>
  <c r="F80" i="4"/>
  <c r="E80" i="4"/>
  <c r="L79" i="4"/>
  <c r="K79" i="4"/>
  <c r="J79" i="4"/>
  <c r="I79" i="4"/>
  <c r="H79" i="4"/>
  <c r="G79" i="4"/>
  <c r="F79" i="4"/>
  <c r="E79" i="4"/>
  <c r="L78" i="4"/>
  <c r="K78" i="4"/>
  <c r="J78" i="4"/>
  <c r="I78" i="4"/>
  <c r="H78" i="4"/>
  <c r="G78" i="4"/>
  <c r="BR78" i="4" s="1"/>
  <c r="F78" i="4"/>
  <c r="E78" i="4"/>
  <c r="BL78" i="4" s="1"/>
  <c r="L77" i="4"/>
  <c r="K77" i="4"/>
  <c r="J77" i="4"/>
  <c r="I77" i="4"/>
  <c r="H77" i="4"/>
  <c r="G77" i="4"/>
  <c r="F77" i="4"/>
  <c r="E77" i="4"/>
  <c r="L76" i="4"/>
  <c r="K76" i="4"/>
  <c r="J76" i="4"/>
  <c r="I76" i="4"/>
  <c r="H76" i="4"/>
  <c r="G76" i="4"/>
  <c r="BT76" i="4" s="1"/>
  <c r="F76" i="4"/>
  <c r="E76" i="4"/>
  <c r="BL76" i="4" s="1"/>
  <c r="L75" i="4"/>
  <c r="K75" i="4"/>
  <c r="J75" i="4"/>
  <c r="I75" i="4"/>
  <c r="H75" i="4"/>
  <c r="G75" i="4"/>
  <c r="F75" i="4"/>
  <c r="E75" i="4"/>
  <c r="L74" i="4"/>
  <c r="K74" i="4"/>
  <c r="J74" i="4"/>
  <c r="I74" i="4"/>
  <c r="H74" i="4"/>
  <c r="G74" i="4"/>
  <c r="F74" i="4"/>
  <c r="E74" i="4"/>
  <c r="BL74" i="4" s="1"/>
  <c r="L73" i="4"/>
  <c r="K73" i="4"/>
  <c r="J73" i="4"/>
  <c r="I73" i="4"/>
  <c r="H73" i="4"/>
  <c r="G73" i="4"/>
  <c r="F73" i="4"/>
  <c r="E73" i="4"/>
  <c r="L72" i="4"/>
  <c r="K72" i="4"/>
  <c r="J72" i="4"/>
  <c r="I72" i="4"/>
  <c r="H72" i="4"/>
  <c r="G72" i="4"/>
  <c r="BR72" i="4" s="1"/>
  <c r="F72" i="4"/>
  <c r="E72" i="4"/>
  <c r="L71" i="4"/>
  <c r="K71" i="4"/>
  <c r="J71" i="4"/>
  <c r="I71" i="4"/>
  <c r="H71" i="4"/>
  <c r="G71" i="4"/>
  <c r="F71" i="4"/>
  <c r="E71" i="4"/>
  <c r="L70" i="4"/>
  <c r="K70" i="4"/>
  <c r="J70" i="4"/>
  <c r="I70" i="4"/>
  <c r="H70" i="4"/>
  <c r="G70" i="4"/>
  <c r="F70" i="4"/>
  <c r="E70" i="4"/>
  <c r="L69" i="4"/>
  <c r="K69" i="4"/>
  <c r="J69" i="4"/>
  <c r="I69" i="4"/>
  <c r="H69" i="4"/>
  <c r="G69" i="4"/>
  <c r="F69" i="4"/>
  <c r="E69" i="4"/>
  <c r="L68" i="4"/>
  <c r="K68" i="4"/>
  <c r="J68" i="4"/>
  <c r="I68" i="4"/>
  <c r="H68" i="4"/>
  <c r="G68" i="4"/>
  <c r="F68" i="4"/>
  <c r="E68" i="4"/>
  <c r="L67" i="4"/>
  <c r="K67" i="4"/>
  <c r="J67" i="4"/>
  <c r="I67" i="4"/>
  <c r="H67" i="4"/>
  <c r="G67" i="4"/>
  <c r="BO67" i="4" s="1"/>
  <c r="F67" i="4"/>
  <c r="E67" i="4"/>
  <c r="L66" i="4"/>
  <c r="K66" i="4"/>
  <c r="J66" i="4"/>
  <c r="I66" i="4"/>
  <c r="H66" i="4"/>
  <c r="G66" i="4"/>
  <c r="BU66" i="4" s="1"/>
  <c r="F66" i="4"/>
  <c r="E66" i="4"/>
  <c r="L65" i="4"/>
  <c r="K65" i="4"/>
  <c r="J65" i="4"/>
  <c r="I65" i="4"/>
  <c r="H65" i="4"/>
  <c r="G65" i="4"/>
  <c r="BU65" i="4" s="1"/>
  <c r="F65" i="4"/>
  <c r="E65" i="4"/>
  <c r="L64" i="4"/>
  <c r="K64" i="4"/>
  <c r="J64" i="4"/>
  <c r="I64" i="4"/>
  <c r="H64" i="4"/>
  <c r="G64" i="4"/>
  <c r="F64" i="4"/>
  <c r="E64" i="4"/>
  <c r="L63" i="4"/>
  <c r="K63" i="4"/>
  <c r="J63" i="4"/>
  <c r="I63" i="4"/>
  <c r="H63" i="4"/>
  <c r="G63" i="4"/>
  <c r="F63" i="4"/>
  <c r="E63" i="4"/>
  <c r="BL63" i="4" s="1"/>
  <c r="L62" i="4"/>
  <c r="K62" i="4"/>
  <c r="J62" i="4"/>
  <c r="I62" i="4"/>
  <c r="H62" i="4"/>
  <c r="G62" i="4"/>
  <c r="F62" i="4"/>
  <c r="E62" i="4"/>
  <c r="L61" i="4"/>
  <c r="K61" i="4"/>
  <c r="J61" i="4"/>
  <c r="I61" i="4"/>
  <c r="H61" i="4"/>
  <c r="G61" i="4"/>
  <c r="F61" i="4"/>
  <c r="E61" i="4"/>
  <c r="BL61" i="4" s="1"/>
  <c r="L60" i="4"/>
  <c r="K60" i="4"/>
  <c r="J60" i="4"/>
  <c r="I60" i="4"/>
  <c r="H60" i="4"/>
  <c r="G60" i="4"/>
  <c r="F60" i="4"/>
  <c r="E60" i="4"/>
  <c r="BL60" i="4" s="1"/>
  <c r="L59" i="4"/>
  <c r="K59" i="4"/>
  <c r="J59" i="4"/>
  <c r="I59" i="4"/>
  <c r="H59" i="4"/>
  <c r="G59" i="4"/>
  <c r="F59" i="4"/>
  <c r="E59" i="4"/>
  <c r="BL59" i="4" s="1"/>
  <c r="L58" i="4"/>
  <c r="K58" i="4"/>
  <c r="J58" i="4"/>
  <c r="I58" i="4"/>
  <c r="H58" i="4"/>
  <c r="G58" i="4"/>
  <c r="F58" i="4"/>
  <c r="E58" i="4"/>
  <c r="BL58" i="4" s="1"/>
  <c r="L57" i="4"/>
  <c r="K57" i="4"/>
  <c r="J57" i="4"/>
  <c r="I57" i="4"/>
  <c r="H57" i="4"/>
  <c r="G57" i="4"/>
  <c r="F57" i="4"/>
  <c r="E57" i="4"/>
  <c r="L56" i="4"/>
  <c r="K56" i="4"/>
  <c r="J56" i="4"/>
  <c r="I56" i="4"/>
  <c r="H56" i="4"/>
  <c r="G56" i="4"/>
  <c r="F56" i="4"/>
  <c r="E56" i="4"/>
  <c r="BL56" i="4" s="1"/>
  <c r="L55" i="4"/>
  <c r="K55" i="4"/>
  <c r="J55" i="4"/>
  <c r="I55" i="4"/>
  <c r="H55" i="4"/>
  <c r="G55" i="4"/>
  <c r="BQ55" i="4" s="1"/>
  <c r="F55" i="4"/>
  <c r="E55" i="4"/>
  <c r="BL55" i="4" s="1"/>
  <c r="L54" i="4"/>
  <c r="K54" i="4"/>
  <c r="J54" i="4"/>
  <c r="I54" i="4"/>
  <c r="H54" i="4"/>
  <c r="G54" i="4"/>
  <c r="F54" i="4"/>
  <c r="E54" i="4"/>
  <c r="L53" i="4"/>
  <c r="K53" i="4"/>
  <c r="J53" i="4"/>
  <c r="I53" i="4"/>
  <c r="H53" i="4"/>
  <c r="G53" i="4"/>
  <c r="BT53" i="4" s="1"/>
  <c r="F53" i="4"/>
  <c r="E53" i="4"/>
  <c r="BL53" i="4" s="1"/>
  <c r="L52" i="4"/>
  <c r="K52" i="4"/>
  <c r="J52" i="4"/>
  <c r="I52" i="4"/>
  <c r="H52" i="4"/>
  <c r="G52" i="4"/>
  <c r="F52" i="4"/>
  <c r="E52" i="4"/>
  <c r="L51" i="4"/>
  <c r="K51" i="4"/>
  <c r="J51" i="4"/>
  <c r="I51" i="4"/>
  <c r="H51" i="4"/>
  <c r="G51" i="4"/>
  <c r="F51" i="4"/>
  <c r="E51" i="4"/>
  <c r="L50" i="4"/>
  <c r="K50" i="4"/>
  <c r="J50" i="4"/>
  <c r="I50" i="4"/>
  <c r="H50" i="4"/>
  <c r="G50" i="4"/>
  <c r="BR50" i="4" s="1"/>
  <c r="F50" i="4"/>
  <c r="E50" i="4"/>
  <c r="BL50" i="4" s="1"/>
  <c r="L49" i="4"/>
  <c r="K49" i="4"/>
  <c r="J49" i="4"/>
  <c r="I49" i="4"/>
  <c r="H49" i="4"/>
  <c r="G49" i="4"/>
  <c r="BR49" i="4" s="1"/>
  <c r="F49" i="4"/>
  <c r="E49" i="4"/>
  <c r="L48" i="4"/>
  <c r="K48" i="4"/>
  <c r="J48" i="4"/>
  <c r="I48" i="4"/>
  <c r="H48" i="4"/>
  <c r="G48" i="4"/>
  <c r="BR48" i="4" s="1"/>
  <c r="F48" i="4"/>
  <c r="E48" i="4"/>
  <c r="L47" i="4"/>
  <c r="K47" i="4"/>
  <c r="J47" i="4"/>
  <c r="I47" i="4"/>
  <c r="H47" i="4"/>
  <c r="G47" i="4"/>
  <c r="BT47" i="4" s="1"/>
  <c r="F47" i="4"/>
  <c r="E47" i="4"/>
  <c r="L46" i="4"/>
  <c r="K46" i="4"/>
  <c r="J46" i="4"/>
  <c r="I46" i="4"/>
  <c r="H46" i="4"/>
  <c r="G46" i="4"/>
  <c r="F46" i="4"/>
  <c r="E46" i="4"/>
  <c r="L45" i="4"/>
  <c r="K45" i="4"/>
  <c r="J45" i="4"/>
  <c r="I45" i="4"/>
  <c r="H45" i="4"/>
  <c r="G45" i="4"/>
  <c r="BU45" i="4" s="1"/>
  <c r="F45" i="4"/>
  <c r="E45" i="4"/>
  <c r="BL45" i="4" s="1"/>
  <c r="L44" i="4"/>
  <c r="K44" i="4"/>
  <c r="J44" i="4"/>
  <c r="I44" i="4"/>
  <c r="H44" i="4"/>
  <c r="G44" i="4"/>
  <c r="F44" i="4"/>
  <c r="E44" i="4"/>
  <c r="L43" i="4"/>
  <c r="K43" i="4"/>
  <c r="J43" i="4"/>
  <c r="I43" i="4"/>
  <c r="H43" i="4"/>
  <c r="G43" i="4"/>
  <c r="BJ43" i="4" s="1"/>
  <c r="F43" i="4"/>
  <c r="E43" i="4"/>
  <c r="BL43" i="4" s="1"/>
  <c r="L42" i="4"/>
  <c r="K42" i="4"/>
  <c r="J42" i="4"/>
  <c r="I42" i="4"/>
  <c r="H42" i="4"/>
  <c r="G42" i="4"/>
  <c r="F42" i="4"/>
  <c r="E42" i="4"/>
  <c r="L41" i="4"/>
  <c r="K41" i="4"/>
  <c r="J41" i="4"/>
  <c r="I41" i="4"/>
  <c r="H41" i="4"/>
  <c r="G41" i="4"/>
  <c r="F41" i="4"/>
  <c r="E41" i="4"/>
  <c r="L40" i="4"/>
  <c r="K40" i="4"/>
  <c r="J40" i="4"/>
  <c r="I40" i="4"/>
  <c r="H40" i="4"/>
  <c r="G40" i="4"/>
  <c r="F40" i="4"/>
  <c r="E40" i="4"/>
  <c r="L39" i="4"/>
  <c r="K39" i="4"/>
  <c r="J39" i="4"/>
  <c r="I39" i="4"/>
  <c r="H39" i="4"/>
  <c r="G39" i="4"/>
  <c r="F39" i="4"/>
  <c r="E39" i="4"/>
  <c r="L38" i="4"/>
  <c r="K38" i="4"/>
  <c r="J38" i="4"/>
  <c r="I38" i="4"/>
  <c r="H38" i="4"/>
  <c r="G38" i="4"/>
  <c r="F38" i="4"/>
  <c r="E38" i="4"/>
  <c r="L37" i="4"/>
  <c r="K37" i="4"/>
  <c r="J37" i="4"/>
  <c r="I37" i="4"/>
  <c r="H37" i="4"/>
  <c r="G37" i="4"/>
  <c r="BT37" i="4" s="1"/>
  <c r="F37" i="4"/>
  <c r="E37" i="4"/>
  <c r="L36" i="4"/>
  <c r="K36" i="4"/>
  <c r="J36" i="4"/>
  <c r="I36" i="4"/>
  <c r="H36" i="4"/>
  <c r="G36" i="4"/>
  <c r="F36" i="4"/>
  <c r="E36" i="4"/>
  <c r="BL36" i="4"/>
  <c r="L35" i="4"/>
  <c r="K35" i="4"/>
  <c r="J35" i="4"/>
  <c r="I35" i="4"/>
  <c r="H35" i="4"/>
  <c r="G35" i="4"/>
  <c r="F35" i="4"/>
  <c r="E35" i="4"/>
  <c r="BL35" i="4" s="1"/>
  <c r="L34" i="4"/>
  <c r="K34" i="4"/>
  <c r="J34" i="4"/>
  <c r="I34" i="4"/>
  <c r="H34" i="4"/>
  <c r="G34" i="4"/>
  <c r="BU34" i="4" s="1"/>
  <c r="F34" i="4"/>
  <c r="E34" i="4"/>
  <c r="L33" i="4"/>
  <c r="K33" i="4"/>
  <c r="J33" i="4"/>
  <c r="I33" i="4"/>
  <c r="H33" i="4"/>
  <c r="G33" i="4"/>
  <c r="F33" i="4"/>
  <c r="E33" i="4"/>
  <c r="BL33" i="4" s="1"/>
  <c r="L32" i="4"/>
  <c r="K32" i="4"/>
  <c r="J32" i="4"/>
  <c r="I32" i="4"/>
  <c r="H32" i="4"/>
  <c r="G32" i="4"/>
  <c r="F32" i="4"/>
  <c r="E32" i="4"/>
  <c r="BL32" i="4" s="1"/>
  <c r="L31" i="4"/>
  <c r="K31" i="4"/>
  <c r="J31" i="4"/>
  <c r="I31" i="4"/>
  <c r="H31" i="4"/>
  <c r="G31" i="4"/>
  <c r="F31" i="4"/>
  <c r="E31" i="4"/>
  <c r="L30" i="4"/>
  <c r="K30" i="4"/>
  <c r="J30" i="4"/>
  <c r="I30" i="4"/>
  <c r="H30" i="4"/>
  <c r="G30" i="4"/>
  <c r="F30" i="4"/>
  <c r="E30" i="4"/>
  <c r="BL30" i="4" s="1"/>
  <c r="L29" i="4"/>
  <c r="K29" i="4"/>
  <c r="J29" i="4"/>
  <c r="I29" i="4"/>
  <c r="H29" i="4"/>
  <c r="G29" i="4"/>
  <c r="F29" i="4"/>
  <c r="E29" i="4"/>
  <c r="L28" i="4"/>
  <c r="K28" i="4"/>
  <c r="J28" i="4"/>
  <c r="I28" i="4"/>
  <c r="H28" i="4"/>
  <c r="G28" i="4"/>
  <c r="BJ28" i="4" s="1"/>
  <c r="F28" i="4"/>
  <c r="E28" i="4"/>
  <c r="L27" i="4"/>
  <c r="K27" i="4"/>
  <c r="J27" i="4"/>
  <c r="I27" i="4"/>
  <c r="H27" i="4"/>
  <c r="G27" i="4"/>
  <c r="F27" i="4"/>
  <c r="E27" i="4"/>
  <c r="L26" i="4"/>
  <c r="K26" i="4"/>
  <c r="J26" i="4"/>
  <c r="I26" i="4"/>
  <c r="H26" i="4"/>
  <c r="G26" i="4"/>
  <c r="F26" i="4"/>
  <c r="E26" i="4"/>
  <c r="L25" i="4"/>
  <c r="K25" i="4"/>
  <c r="J25" i="4"/>
  <c r="I25" i="4"/>
  <c r="H25" i="4"/>
  <c r="G25" i="4"/>
  <c r="F25" i="4"/>
  <c r="E25" i="4"/>
  <c r="L24" i="4"/>
  <c r="K24" i="4"/>
  <c r="J24" i="4"/>
  <c r="I24" i="4"/>
  <c r="H24" i="4"/>
  <c r="G24" i="4"/>
  <c r="F24" i="4"/>
  <c r="E24" i="4"/>
  <c r="L23" i="4"/>
  <c r="K23" i="4"/>
  <c r="J23" i="4"/>
  <c r="I23" i="4"/>
  <c r="H23" i="4"/>
  <c r="G23" i="4"/>
  <c r="F23" i="4"/>
  <c r="E23" i="4"/>
  <c r="L22" i="4"/>
  <c r="K22" i="4"/>
  <c r="J22" i="4"/>
  <c r="I22" i="4"/>
  <c r="H22" i="4"/>
  <c r="G22" i="4"/>
  <c r="F22" i="4"/>
  <c r="E22" i="4"/>
  <c r="L21" i="4"/>
  <c r="I13" i="18" s="1"/>
  <c r="K21" i="4"/>
  <c r="H13" i="18" s="1"/>
  <c r="J21" i="4"/>
  <c r="G13" i="18" s="1"/>
  <c r="I21" i="4"/>
  <c r="F13" i="18" s="1"/>
  <c r="H21" i="4"/>
  <c r="E13" i="18" s="1"/>
  <c r="G21" i="4"/>
  <c r="D13" i="18" s="1"/>
  <c r="F21" i="4"/>
  <c r="C13" i="18" s="1"/>
  <c r="E21" i="4"/>
  <c r="B13" i="18" s="1"/>
  <c r="L20" i="4"/>
  <c r="K20" i="4"/>
  <c r="J20" i="4"/>
  <c r="I20" i="4"/>
  <c r="H20" i="4"/>
  <c r="G20" i="4"/>
  <c r="F20" i="4"/>
  <c r="E20" i="4"/>
  <c r="BL20" i="4" s="1"/>
  <c r="L19" i="4"/>
  <c r="K19" i="4"/>
  <c r="J19" i="4"/>
  <c r="I19" i="4"/>
  <c r="H19" i="4"/>
  <c r="G19" i="4"/>
  <c r="F19" i="4"/>
  <c r="E19" i="4"/>
  <c r="BL19" i="4" s="1"/>
  <c r="L18" i="4"/>
  <c r="K18" i="4"/>
  <c r="J18" i="4"/>
  <c r="I18" i="4"/>
  <c r="H18" i="4"/>
  <c r="G18" i="4"/>
  <c r="F18" i="4"/>
  <c r="E18" i="4"/>
  <c r="BL18" i="4" s="1"/>
  <c r="L17" i="4"/>
  <c r="K17" i="4"/>
  <c r="J17" i="4"/>
  <c r="I17" i="4"/>
  <c r="H17" i="4"/>
  <c r="G17" i="4"/>
  <c r="F17" i="4"/>
  <c r="E17" i="4"/>
  <c r="L16" i="4"/>
  <c r="K16" i="4"/>
  <c r="J16" i="4"/>
  <c r="I16" i="4"/>
  <c r="H16" i="4"/>
  <c r="G16" i="4"/>
  <c r="F16" i="4"/>
  <c r="E16" i="4"/>
  <c r="L15" i="4"/>
  <c r="K15" i="4"/>
  <c r="J15" i="4"/>
  <c r="I15" i="4"/>
  <c r="H15" i="4"/>
  <c r="G15" i="4"/>
  <c r="F15" i="4"/>
  <c r="E15" i="4"/>
  <c r="L14" i="4"/>
  <c r="K14" i="4"/>
  <c r="J14" i="4"/>
  <c r="I14" i="4"/>
  <c r="H14" i="4"/>
  <c r="G14" i="4"/>
  <c r="F14" i="4"/>
  <c r="E14" i="4"/>
  <c r="L13" i="4"/>
  <c r="K13" i="4"/>
  <c r="J13" i="4"/>
  <c r="I13" i="4"/>
  <c r="H13" i="4"/>
  <c r="G13" i="4"/>
  <c r="BR13" i="4" s="1"/>
  <c r="F13" i="4"/>
  <c r="E13" i="4"/>
  <c r="BL13" i="4" s="1"/>
  <c r="L12" i="4"/>
  <c r="K12" i="4"/>
  <c r="J12" i="4"/>
  <c r="I12" i="4"/>
  <c r="H12" i="4"/>
  <c r="G12" i="4"/>
  <c r="F12" i="4"/>
  <c r="E12" i="4"/>
  <c r="L11" i="4"/>
  <c r="K11" i="4"/>
  <c r="J11" i="4"/>
  <c r="I11" i="4"/>
  <c r="H11" i="4"/>
  <c r="G11" i="4"/>
  <c r="F11" i="4"/>
  <c r="E11" i="4"/>
  <c r="L10" i="4"/>
  <c r="K10" i="4"/>
  <c r="J10" i="4"/>
  <c r="I10" i="4"/>
  <c r="H10" i="4"/>
  <c r="G10" i="4"/>
  <c r="BU10" i="4" s="1"/>
  <c r="F10" i="4"/>
  <c r="E10" i="4"/>
  <c r="BL10" i="4" s="1"/>
  <c r="L9" i="4"/>
  <c r="K9" i="4"/>
  <c r="J9" i="4"/>
  <c r="I9" i="4"/>
  <c r="H9" i="4"/>
  <c r="G9" i="4"/>
  <c r="F9" i="4"/>
  <c r="E9" i="4"/>
  <c r="BL9" i="4" s="1"/>
  <c r="L8" i="4"/>
  <c r="K8" i="4"/>
  <c r="J8" i="4"/>
  <c r="I8" i="4"/>
  <c r="H8" i="4"/>
  <c r="G8" i="4"/>
  <c r="F8" i="4"/>
  <c r="E8" i="4"/>
  <c r="BL8" i="4" s="1"/>
  <c r="L7" i="4"/>
  <c r="J7" i="4"/>
  <c r="I7" i="4"/>
  <c r="H7" i="4"/>
  <c r="G7" i="4"/>
  <c r="E7" i="4"/>
  <c r="C125" i="17"/>
  <c r="C125" i="4" s="1"/>
  <c r="B125" i="17"/>
  <c r="B125" i="4" s="1"/>
  <c r="C124" i="17"/>
  <c r="C124" i="4" s="1"/>
  <c r="B124" i="17"/>
  <c r="B124" i="4" s="1"/>
  <c r="C123" i="17"/>
  <c r="C123" i="4" s="1"/>
  <c r="B123" i="17"/>
  <c r="B123" i="4" s="1"/>
  <c r="C122" i="17"/>
  <c r="C122" i="4" s="1"/>
  <c r="B122" i="17"/>
  <c r="B122" i="4" s="1"/>
  <c r="C121" i="17"/>
  <c r="C121" i="4" s="1"/>
  <c r="B121" i="17"/>
  <c r="B121" i="4" s="1"/>
  <c r="C120" i="17"/>
  <c r="C120" i="4" s="1"/>
  <c r="B120" i="17"/>
  <c r="B120" i="4" s="1"/>
  <c r="C119" i="17"/>
  <c r="C119" i="4" s="1"/>
  <c r="B119" i="17"/>
  <c r="B119" i="4" s="1"/>
  <c r="C118" i="17"/>
  <c r="C118" i="4" s="1"/>
  <c r="B118" i="17"/>
  <c r="B118" i="4" s="1"/>
  <c r="C117" i="17"/>
  <c r="C117" i="4" s="1"/>
  <c r="B117" i="17"/>
  <c r="B117" i="4" s="1"/>
  <c r="C116" i="17"/>
  <c r="C116" i="4" s="1"/>
  <c r="B116" i="17"/>
  <c r="B116" i="4" s="1"/>
  <c r="C115" i="17"/>
  <c r="C115" i="4" s="1"/>
  <c r="B115" i="17"/>
  <c r="B115" i="4" s="1"/>
  <c r="C114" i="17"/>
  <c r="C114" i="4" s="1"/>
  <c r="B114" i="17"/>
  <c r="B114" i="4" s="1"/>
  <c r="C113" i="17"/>
  <c r="C113" i="4" s="1"/>
  <c r="B113" i="17"/>
  <c r="B113" i="4"/>
  <c r="C112" i="17"/>
  <c r="C112" i="4" s="1"/>
  <c r="B112" i="17"/>
  <c r="B112" i="4" s="1"/>
  <c r="C111" i="17"/>
  <c r="C111" i="4" s="1"/>
  <c r="B111" i="17"/>
  <c r="B111" i="4" s="1"/>
  <c r="C110" i="17"/>
  <c r="C110" i="4" s="1"/>
  <c r="B110" i="17"/>
  <c r="B110" i="4" s="1"/>
  <c r="C109" i="17"/>
  <c r="C109" i="4" s="1"/>
  <c r="B109" i="17"/>
  <c r="B109" i="4" s="1"/>
  <c r="C108" i="17"/>
  <c r="C108" i="4" s="1"/>
  <c r="B108" i="17"/>
  <c r="B108" i="4" s="1"/>
  <c r="C107" i="17"/>
  <c r="C107" i="4" s="1"/>
  <c r="B107" i="17"/>
  <c r="B107" i="4" s="1"/>
  <c r="C106" i="17"/>
  <c r="C106" i="4" s="1"/>
  <c r="B106" i="17"/>
  <c r="B106" i="4" s="1"/>
  <c r="C105" i="17"/>
  <c r="C105" i="4" s="1"/>
  <c r="B105" i="17"/>
  <c r="B105" i="4" s="1"/>
  <c r="C104" i="17"/>
  <c r="C104" i="4" s="1"/>
  <c r="B104" i="17"/>
  <c r="B104" i="4" s="1"/>
  <c r="C103" i="17"/>
  <c r="C103" i="4" s="1"/>
  <c r="B103" i="17"/>
  <c r="B103" i="4" s="1"/>
  <c r="C102" i="17"/>
  <c r="C102" i="4" s="1"/>
  <c r="B102" i="17"/>
  <c r="B102" i="4" s="1"/>
  <c r="C101" i="17"/>
  <c r="C101" i="4" s="1"/>
  <c r="B101" i="17"/>
  <c r="B101" i="4" s="1"/>
  <c r="C100" i="17"/>
  <c r="C100" i="4" s="1"/>
  <c r="B100" i="17"/>
  <c r="B100" i="4" s="1"/>
  <c r="C99" i="17"/>
  <c r="C99" i="4" s="1"/>
  <c r="B99" i="17"/>
  <c r="B99" i="4" s="1"/>
  <c r="C98" i="17"/>
  <c r="C98" i="4" s="1"/>
  <c r="B98" i="17"/>
  <c r="B98" i="4"/>
  <c r="C97" i="17"/>
  <c r="C97" i="4" s="1"/>
  <c r="B97" i="17"/>
  <c r="B97" i="4" s="1"/>
  <c r="C96" i="17"/>
  <c r="C96" i="4" s="1"/>
  <c r="B96" i="17"/>
  <c r="B96" i="4" s="1"/>
  <c r="C95" i="17"/>
  <c r="C95" i="4" s="1"/>
  <c r="B95" i="17"/>
  <c r="B95" i="4" s="1"/>
  <c r="C94" i="17"/>
  <c r="C94" i="4" s="1"/>
  <c r="B94" i="17"/>
  <c r="B94" i="4" s="1"/>
  <c r="K125" i="17"/>
  <c r="J125" i="17"/>
  <c r="I125" i="17"/>
  <c r="H125" i="17"/>
  <c r="G125" i="17"/>
  <c r="F125" i="17"/>
  <c r="E125" i="17"/>
  <c r="D125" i="17"/>
  <c r="K124" i="17"/>
  <c r="J124" i="17"/>
  <c r="I124" i="17"/>
  <c r="H124" i="17"/>
  <c r="G124" i="17"/>
  <c r="F124" i="17"/>
  <c r="E124" i="17"/>
  <c r="D124" i="17"/>
  <c r="K123" i="17"/>
  <c r="J123" i="17"/>
  <c r="I123" i="17"/>
  <c r="H123" i="17"/>
  <c r="G123" i="17"/>
  <c r="F123" i="17"/>
  <c r="E123" i="17"/>
  <c r="D123" i="17"/>
  <c r="K122" i="17"/>
  <c r="J122" i="17"/>
  <c r="I122" i="17"/>
  <c r="H122" i="17"/>
  <c r="G122" i="17"/>
  <c r="F122" i="17"/>
  <c r="E122" i="17"/>
  <c r="D122" i="17"/>
  <c r="K121" i="17"/>
  <c r="J121" i="17"/>
  <c r="I121" i="17"/>
  <c r="H121" i="17"/>
  <c r="G121" i="17"/>
  <c r="F121" i="17"/>
  <c r="E121" i="17"/>
  <c r="D121" i="17"/>
  <c r="K120" i="17"/>
  <c r="J120" i="17"/>
  <c r="I120" i="17"/>
  <c r="H120" i="17"/>
  <c r="G120" i="17"/>
  <c r="F120" i="17"/>
  <c r="E120" i="17"/>
  <c r="D120" i="17"/>
  <c r="K119" i="17"/>
  <c r="J119" i="17"/>
  <c r="I119" i="17"/>
  <c r="H119" i="17"/>
  <c r="G119" i="17"/>
  <c r="F119" i="17"/>
  <c r="E119" i="17"/>
  <c r="D119" i="17"/>
  <c r="K118" i="17"/>
  <c r="J118" i="17"/>
  <c r="I118" i="17"/>
  <c r="H118" i="17"/>
  <c r="G118" i="17"/>
  <c r="F118" i="17"/>
  <c r="E118" i="17"/>
  <c r="D118" i="17"/>
  <c r="K117" i="17"/>
  <c r="J117" i="17"/>
  <c r="I117" i="17"/>
  <c r="H117" i="17"/>
  <c r="G117" i="17"/>
  <c r="F117" i="17"/>
  <c r="E117" i="17"/>
  <c r="D117" i="17"/>
  <c r="K116" i="17"/>
  <c r="J116" i="17"/>
  <c r="I116" i="17"/>
  <c r="H116" i="17"/>
  <c r="G116" i="17"/>
  <c r="F116" i="17"/>
  <c r="E116" i="17"/>
  <c r="D116" i="17"/>
  <c r="K115" i="17"/>
  <c r="J115" i="17"/>
  <c r="I115" i="17"/>
  <c r="H115" i="17"/>
  <c r="G115" i="17"/>
  <c r="F115" i="17"/>
  <c r="E115" i="17"/>
  <c r="D115" i="17"/>
  <c r="K114" i="17"/>
  <c r="J114" i="17"/>
  <c r="I114" i="17"/>
  <c r="H114" i="17"/>
  <c r="G114" i="17"/>
  <c r="F114" i="17"/>
  <c r="E114" i="17"/>
  <c r="D114" i="17"/>
  <c r="K113" i="17"/>
  <c r="J113" i="17"/>
  <c r="I113" i="17"/>
  <c r="H113" i="17"/>
  <c r="G113" i="17"/>
  <c r="F113" i="17"/>
  <c r="E113" i="17"/>
  <c r="D113" i="17"/>
  <c r="K112" i="17"/>
  <c r="J112" i="17"/>
  <c r="I112" i="17"/>
  <c r="H112" i="17"/>
  <c r="G112" i="17"/>
  <c r="F112" i="17"/>
  <c r="E112" i="17"/>
  <c r="D112" i="17"/>
  <c r="K111" i="17"/>
  <c r="J111" i="17"/>
  <c r="I111" i="17"/>
  <c r="H111" i="17"/>
  <c r="G111" i="17"/>
  <c r="F111" i="17"/>
  <c r="E111" i="17"/>
  <c r="D111" i="17"/>
  <c r="K110" i="17"/>
  <c r="J110" i="17"/>
  <c r="I110" i="17"/>
  <c r="H110" i="17"/>
  <c r="G110" i="17"/>
  <c r="F110" i="17"/>
  <c r="E110" i="17"/>
  <c r="D110" i="17"/>
  <c r="K109" i="17"/>
  <c r="J109" i="17"/>
  <c r="I109" i="17"/>
  <c r="H109" i="17"/>
  <c r="G109" i="17"/>
  <c r="F109" i="17"/>
  <c r="E109" i="17"/>
  <c r="D109" i="17"/>
  <c r="V8" i="17"/>
  <c r="W8" i="17"/>
  <c r="X8" i="17"/>
  <c r="Y8" i="17"/>
  <c r="Z8" i="17"/>
  <c r="AA8" i="17"/>
  <c r="AB8" i="17"/>
  <c r="AC8" i="17"/>
  <c r="V9" i="17"/>
  <c r="W9" i="17"/>
  <c r="X9" i="17"/>
  <c r="Y9" i="17"/>
  <c r="Z9" i="17"/>
  <c r="AA9" i="17"/>
  <c r="AB9" i="17"/>
  <c r="AC9" i="17"/>
  <c r="V10" i="17"/>
  <c r="W10" i="17"/>
  <c r="X10" i="17"/>
  <c r="Y10" i="17"/>
  <c r="Z10" i="17"/>
  <c r="AA10" i="17"/>
  <c r="AB10" i="17"/>
  <c r="AC10" i="17"/>
  <c r="V11" i="17"/>
  <c r="W11" i="17"/>
  <c r="X11" i="17"/>
  <c r="Y11" i="17"/>
  <c r="Z11" i="17"/>
  <c r="AA11" i="17"/>
  <c r="AB11" i="17"/>
  <c r="AC11" i="17"/>
  <c r="V12" i="17"/>
  <c r="W12" i="17"/>
  <c r="X12" i="17"/>
  <c r="Y12" i="17"/>
  <c r="Z12" i="17"/>
  <c r="AA12" i="17"/>
  <c r="AB12" i="17"/>
  <c r="AC12" i="17"/>
  <c r="V15" i="17"/>
  <c r="W15" i="17"/>
  <c r="X15" i="17"/>
  <c r="Y15" i="17"/>
  <c r="Z15" i="17"/>
  <c r="AA15" i="17"/>
  <c r="AB15" i="17"/>
  <c r="AC15" i="17"/>
  <c r="V13" i="17"/>
  <c r="W13" i="17"/>
  <c r="X13" i="17"/>
  <c r="Y13" i="17"/>
  <c r="Z13" i="17"/>
  <c r="AA13" i="17"/>
  <c r="AB13" i="17"/>
  <c r="AC13" i="17"/>
  <c r="V14" i="17"/>
  <c r="W14" i="17"/>
  <c r="X14" i="17"/>
  <c r="Y14" i="17"/>
  <c r="Z14" i="17"/>
  <c r="AA14" i="17"/>
  <c r="AB14" i="17"/>
  <c r="AC14" i="17"/>
  <c r="V16" i="17"/>
  <c r="W16" i="17"/>
  <c r="X16" i="17"/>
  <c r="Y16" i="17"/>
  <c r="Z16" i="17"/>
  <c r="AA16" i="17"/>
  <c r="AB16" i="17"/>
  <c r="AC16" i="17"/>
  <c r="V17" i="17"/>
  <c r="W17" i="17"/>
  <c r="X17" i="17"/>
  <c r="Y17" i="17"/>
  <c r="Z17" i="17"/>
  <c r="AA17" i="17"/>
  <c r="AB17" i="17"/>
  <c r="AC17" i="17"/>
  <c r="V18" i="17"/>
  <c r="W18" i="17"/>
  <c r="X18" i="17"/>
  <c r="Y18" i="17"/>
  <c r="Z18" i="17"/>
  <c r="AA18" i="17"/>
  <c r="AB18" i="17"/>
  <c r="AC18" i="17"/>
  <c r="V19" i="17"/>
  <c r="W19" i="17"/>
  <c r="X19" i="17"/>
  <c r="Y19" i="17"/>
  <c r="Z19" i="17"/>
  <c r="AA19" i="17"/>
  <c r="AB19" i="17"/>
  <c r="AC19" i="17"/>
  <c r="V20" i="17"/>
  <c r="W20" i="17"/>
  <c r="X20" i="17"/>
  <c r="Y20" i="17"/>
  <c r="Z20" i="17"/>
  <c r="AA20" i="17"/>
  <c r="AB20" i="17"/>
  <c r="AC20" i="17"/>
  <c r="V21" i="17"/>
  <c r="W21" i="17"/>
  <c r="X21" i="17"/>
  <c r="Y21" i="17"/>
  <c r="Z21" i="17"/>
  <c r="AA21" i="17"/>
  <c r="AB21" i="17"/>
  <c r="AC21" i="17"/>
  <c r="V22" i="17"/>
  <c r="W22" i="17"/>
  <c r="X22" i="17"/>
  <c r="Y22" i="17"/>
  <c r="Z22" i="17"/>
  <c r="AA22" i="17"/>
  <c r="AB22" i="17"/>
  <c r="AC22" i="17"/>
  <c r="V23" i="17"/>
  <c r="W23" i="17"/>
  <c r="X23" i="17"/>
  <c r="Y23" i="17"/>
  <c r="Z23" i="17"/>
  <c r="AA23" i="17"/>
  <c r="AB23" i="17"/>
  <c r="AC23" i="17"/>
  <c r="V24" i="17"/>
  <c r="W24" i="17"/>
  <c r="X24" i="17"/>
  <c r="Y24" i="17"/>
  <c r="Z24" i="17"/>
  <c r="AA24" i="17"/>
  <c r="AB24" i="17"/>
  <c r="AC24" i="17"/>
  <c r="V25" i="17"/>
  <c r="W25" i="17"/>
  <c r="X25" i="17"/>
  <c r="Y25" i="17"/>
  <c r="Z25" i="17"/>
  <c r="AA25" i="17"/>
  <c r="AB25" i="17"/>
  <c r="AC25" i="17"/>
  <c r="V26" i="17"/>
  <c r="W26" i="17"/>
  <c r="X26" i="17"/>
  <c r="Y26" i="17"/>
  <c r="Z26" i="17"/>
  <c r="AA26" i="17"/>
  <c r="AB26" i="17"/>
  <c r="AC26" i="17"/>
  <c r="V27" i="17"/>
  <c r="W27" i="17"/>
  <c r="X27" i="17"/>
  <c r="Y27" i="17"/>
  <c r="Z27" i="17"/>
  <c r="AA27" i="17"/>
  <c r="AB27" i="17"/>
  <c r="AC27" i="17"/>
  <c r="V28" i="17"/>
  <c r="W28" i="17"/>
  <c r="X28" i="17"/>
  <c r="Y28" i="17"/>
  <c r="Z28" i="17"/>
  <c r="AA28" i="17"/>
  <c r="AB28" i="17"/>
  <c r="AC28" i="17"/>
  <c r="V29" i="17"/>
  <c r="W29" i="17"/>
  <c r="X29" i="17"/>
  <c r="Y29" i="17"/>
  <c r="Z29" i="17"/>
  <c r="AA29" i="17"/>
  <c r="AB29" i="17"/>
  <c r="AC29" i="17"/>
  <c r="V30" i="17"/>
  <c r="W30" i="17"/>
  <c r="X30" i="17"/>
  <c r="Y30" i="17"/>
  <c r="Z30" i="17"/>
  <c r="AA30" i="17"/>
  <c r="AB30" i="17"/>
  <c r="AC30" i="17"/>
  <c r="V31" i="17"/>
  <c r="W31" i="17"/>
  <c r="X31" i="17"/>
  <c r="Y31" i="17"/>
  <c r="Z31" i="17"/>
  <c r="AA31" i="17"/>
  <c r="AB31" i="17"/>
  <c r="AC31" i="17"/>
  <c r="V32" i="17"/>
  <c r="W32" i="17"/>
  <c r="X32" i="17"/>
  <c r="Y32" i="17"/>
  <c r="Z32" i="17"/>
  <c r="AA32" i="17"/>
  <c r="AB32" i="17"/>
  <c r="AC32" i="17"/>
  <c r="V33" i="17"/>
  <c r="W33" i="17"/>
  <c r="X33" i="17"/>
  <c r="Y33" i="17"/>
  <c r="Z33" i="17"/>
  <c r="AA33" i="17"/>
  <c r="AB33" i="17"/>
  <c r="AC33" i="17"/>
  <c r="V34" i="17"/>
  <c r="W34" i="17"/>
  <c r="X34" i="17"/>
  <c r="Y34" i="17"/>
  <c r="Z34" i="17"/>
  <c r="AA34" i="17"/>
  <c r="AB34" i="17"/>
  <c r="AC34" i="17"/>
  <c r="V35" i="17"/>
  <c r="W35" i="17"/>
  <c r="X35" i="17"/>
  <c r="Y35" i="17"/>
  <c r="Z35" i="17"/>
  <c r="AA35" i="17"/>
  <c r="AB35" i="17"/>
  <c r="AC35" i="17"/>
  <c r="V36" i="17"/>
  <c r="W36" i="17"/>
  <c r="X36" i="17"/>
  <c r="Y36" i="17"/>
  <c r="Z36" i="17"/>
  <c r="AA36" i="17"/>
  <c r="AB36" i="17"/>
  <c r="AC36" i="17"/>
  <c r="V37" i="17"/>
  <c r="W37" i="17"/>
  <c r="X37" i="17"/>
  <c r="Y37" i="17"/>
  <c r="Z37" i="17"/>
  <c r="AA37" i="17"/>
  <c r="AB37" i="17"/>
  <c r="AC37" i="17"/>
  <c r="V40" i="17"/>
  <c r="W40" i="17"/>
  <c r="X40" i="17"/>
  <c r="Y40" i="17"/>
  <c r="Z40" i="17"/>
  <c r="AA40" i="17"/>
  <c r="AB40" i="17"/>
  <c r="AC40" i="17"/>
  <c r="V41" i="17"/>
  <c r="W41" i="17"/>
  <c r="X41" i="17"/>
  <c r="Y41" i="17"/>
  <c r="Z41" i="17"/>
  <c r="AA41" i="17"/>
  <c r="AB41" i="17"/>
  <c r="AC41" i="17"/>
  <c r="V42" i="17"/>
  <c r="W42" i="17"/>
  <c r="X42" i="17"/>
  <c r="Y42" i="17"/>
  <c r="Z42" i="17"/>
  <c r="AA42" i="17"/>
  <c r="AB42" i="17"/>
  <c r="AC42" i="17"/>
  <c r="V43" i="17"/>
  <c r="W43" i="17"/>
  <c r="X43" i="17"/>
  <c r="Y43" i="17"/>
  <c r="Z43" i="17"/>
  <c r="AA43" i="17"/>
  <c r="AB43" i="17"/>
  <c r="AC43" i="17"/>
  <c r="V45" i="17"/>
  <c r="W45" i="17"/>
  <c r="X45" i="17"/>
  <c r="Y45" i="17"/>
  <c r="Z45" i="17"/>
  <c r="AA45" i="17"/>
  <c r="AB45" i="17"/>
  <c r="AC45" i="17"/>
  <c r="V46" i="17"/>
  <c r="W46" i="17"/>
  <c r="X46" i="17"/>
  <c r="Y46" i="17"/>
  <c r="Z46" i="17"/>
  <c r="AA46" i="17"/>
  <c r="AB46" i="17"/>
  <c r="AC46" i="17"/>
  <c r="V47" i="17"/>
  <c r="W47" i="17"/>
  <c r="X47" i="17"/>
  <c r="Y47" i="17"/>
  <c r="Z47" i="17"/>
  <c r="AA47" i="17"/>
  <c r="AB47" i="17"/>
  <c r="AC47" i="17"/>
  <c r="V48" i="17"/>
  <c r="W48" i="17"/>
  <c r="X48" i="17"/>
  <c r="Y48" i="17"/>
  <c r="Z48" i="17"/>
  <c r="AA48" i="17"/>
  <c r="AB48" i="17"/>
  <c r="AC48" i="17"/>
  <c r="V49" i="17"/>
  <c r="W49" i="17"/>
  <c r="X49" i="17"/>
  <c r="Y49" i="17"/>
  <c r="Z49" i="17"/>
  <c r="AA49" i="17"/>
  <c r="AB49" i="17"/>
  <c r="AC49" i="17"/>
  <c r="V50" i="17"/>
  <c r="W50" i="17"/>
  <c r="X50" i="17"/>
  <c r="Y50" i="17"/>
  <c r="Z50" i="17"/>
  <c r="AA50" i="17"/>
  <c r="AB50" i="17"/>
  <c r="AC50" i="17"/>
  <c r="V51" i="17"/>
  <c r="W51" i="17"/>
  <c r="X51" i="17"/>
  <c r="Y51" i="17"/>
  <c r="Z51" i="17"/>
  <c r="AA51" i="17"/>
  <c r="AB51" i="17"/>
  <c r="AC51" i="17"/>
  <c r="V52" i="17"/>
  <c r="W52" i="17"/>
  <c r="X52" i="17"/>
  <c r="Y52" i="17"/>
  <c r="Z52" i="17"/>
  <c r="AA52" i="17"/>
  <c r="AB52" i="17"/>
  <c r="AC52" i="17"/>
  <c r="V54" i="17"/>
  <c r="W54" i="17"/>
  <c r="X54" i="17"/>
  <c r="Y54" i="17"/>
  <c r="Z54" i="17"/>
  <c r="AA54" i="17"/>
  <c r="AB54" i="17"/>
  <c r="AC54" i="17"/>
  <c r="V55" i="17"/>
  <c r="W55" i="17"/>
  <c r="X55" i="17"/>
  <c r="Y55" i="17"/>
  <c r="Z55" i="17"/>
  <c r="AA55" i="17"/>
  <c r="AB55" i="17"/>
  <c r="AC55" i="17"/>
  <c r="V56" i="17"/>
  <c r="W56" i="17"/>
  <c r="X56" i="17"/>
  <c r="Y56" i="17"/>
  <c r="Z56" i="17"/>
  <c r="AA56" i="17"/>
  <c r="AB56" i="17"/>
  <c r="AC56" i="17"/>
  <c r="V57" i="17"/>
  <c r="W57" i="17"/>
  <c r="X57" i="17"/>
  <c r="Y57" i="17"/>
  <c r="Z57" i="17"/>
  <c r="AA57" i="17"/>
  <c r="AB57" i="17"/>
  <c r="AC57" i="17"/>
  <c r="V58" i="17"/>
  <c r="W58" i="17"/>
  <c r="X58" i="17"/>
  <c r="Y58" i="17"/>
  <c r="Z58" i="17"/>
  <c r="AA58" i="17"/>
  <c r="AB58" i="17"/>
  <c r="AC58" i="17"/>
  <c r="V60" i="17"/>
  <c r="W60" i="17"/>
  <c r="X60" i="17"/>
  <c r="Y60" i="17"/>
  <c r="Z60" i="17"/>
  <c r="AA60" i="17"/>
  <c r="AB60" i="17"/>
  <c r="AC60" i="17"/>
  <c r="V61" i="17"/>
  <c r="W61" i="17"/>
  <c r="X61" i="17"/>
  <c r="Y61" i="17"/>
  <c r="Z61" i="17"/>
  <c r="AA61" i="17"/>
  <c r="AB61" i="17"/>
  <c r="AC61" i="17"/>
  <c r="V62" i="17"/>
  <c r="W62" i="17"/>
  <c r="X62" i="17"/>
  <c r="Y62" i="17"/>
  <c r="Z62" i="17"/>
  <c r="AA62" i="17"/>
  <c r="AB62" i="17"/>
  <c r="AC62" i="17"/>
  <c r="V63" i="17"/>
  <c r="W63" i="17"/>
  <c r="X63" i="17"/>
  <c r="Y63" i="17"/>
  <c r="Z63" i="17"/>
  <c r="AA63" i="17"/>
  <c r="AB63" i="17"/>
  <c r="AC63" i="17"/>
  <c r="V64" i="17"/>
  <c r="W64" i="17"/>
  <c r="X64" i="17"/>
  <c r="Y64" i="17"/>
  <c r="Z64" i="17"/>
  <c r="AA64" i="17"/>
  <c r="AB64" i="17"/>
  <c r="AC64" i="17"/>
  <c r="V65" i="17"/>
  <c r="W65" i="17"/>
  <c r="X65" i="17"/>
  <c r="Y65" i="17"/>
  <c r="Z65" i="17"/>
  <c r="AA65" i="17"/>
  <c r="AB65" i="17"/>
  <c r="AC65" i="17"/>
  <c r="V66" i="17"/>
  <c r="W66" i="17"/>
  <c r="X66" i="17"/>
  <c r="Y66" i="17"/>
  <c r="Z66" i="17"/>
  <c r="AA66" i="17"/>
  <c r="AB66" i="17"/>
  <c r="AC66" i="17"/>
  <c r="V67" i="17"/>
  <c r="W67" i="17"/>
  <c r="X67" i="17"/>
  <c r="Y67" i="17"/>
  <c r="Z67" i="17"/>
  <c r="AA67" i="17"/>
  <c r="AB67" i="17"/>
  <c r="AC67" i="17"/>
  <c r="V68" i="17"/>
  <c r="W68" i="17"/>
  <c r="X68" i="17"/>
  <c r="Y68" i="17"/>
  <c r="Z68" i="17"/>
  <c r="AA68" i="17"/>
  <c r="AB68" i="17"/>
  <c r="AC68" i="17"/>
  <c r="V69" i="17"/>
  <c r="W69" i="17"/>
  <c r="X69" i="17"/>
  <c r="Y69" i="17"/>
  <c r="Z69" i="17"/>
  <c r="AA69" i="17"/>
  <c r="AB69" i="17"/>
  <c r="AC69" i="17"/>
  <c r="V70" i="17"/>
  <c r="W70" i="17"/>
  <c r="X70" i="17"/>
  <c r="Y70" i="17"/>
  <c r="Z70" i="17"/>
  <c r="AA70" i="17"/>
  <c r="AB70" i="17"/>
  <c r="AC70" i="17"/>
  <c r="V71" i="17"/>
  <c r="W71" i="17"/>
  <c r="X71" i="17"/>
  <c r="Y71" i="17"/>
  <c r="Z71" i="17"/>
  <c r="AA71" i="17"/>
  <c r="AB71" i="17"/>
  <c r="AC71" i="17"/>
  <c r="V72" i="17"/>
  <c r="W72" i="17"/>
  <c r="X72" i="17"/>
  <c r="Y72" i="17"/>
  <c r="Z72" i="17"/>
  <c r="AA72" i="17"/>
  <c r="AB72" i="17"/>
  <c r="AC72" i="17"/>
  <c r="V73" i="17"/>
  <c r="W73" i="17"/>
  <c r="X73" i="17"/>
  <c r="Y73" i="17"/>
  <c r="Z73" i="17"/>
  <c r="AA73" i="17"/>
  <c r="AB73" i="17"/>
  <c r="AC73" i="17"/>
  <c r="V74" i="17"/>
  <c r="W74" i="17"/>
  <c r="X74" i="17"/>
  <c r="Y74" i="17"/>
  <c r="Z74" i="17"/>
  <c r="AA74" i="17"/>
  <c r="AB74" i="17"/>
  <c r="AC74" i="17"/>
  <c r="V75" i="17"/>
  <c r="W75" i="17"/>
  <c r="X75" i="17"/>
  <c r="Y75" i="17"/>
  <c r="Z75" i="17"/>
  <c r="AA75" i="17"/>
  <c r="AB75" i="17"/>
  <c r="AC75" i="17"/>
  <c r="V76" i="17"/>
  <c r="W76" i="17"/>
  <c r="X76" i="17"/>
  <c r="Y76" i="17"/>
  <c r="Z76" i="17"/>
  <c r="AA76" i="17"/>
  <c r="AB76" i="17"/>
  <c r="AC76" i="17"/>
  <c r="V77" i="17"/>
  <c r="W77" i="17"/>
  <c r="X77" i="17"/>
  <c r="Y77" i="17"/>
  <c r="Z77" i="17"/>
  <c r="AA77" i="17"/>
  <c r="AB77" i="17"/>
  <c r="AC77" i="17"/>
  <c r="V78" i="17"/>
  <c r="W78" i="17"/>
  <c r="X78" i="17"/>
  <c r="Y78" i="17"/>
  <c r="Z78" i="17"/>
  <c r="AA78" i="17"/>
  <c r="AB78" i="17"/>
  <c r="AC78" i="17"/>
  <c r="V79" i="17"/>
  <c r="W79" i="17"/>
  <c r="X79" i="17"/>
  <c r="Y79" i="17"/>
  <c r="Z79" i="17"/>
  <c r="AA79" i="17"/>
  <c r="AB79" i="17"/>
  <c r="AC79" i="17"/>
  <c r="V80" i="17"/>
  <c r="W80" i="17"/>
  <c r="X80" i="17"/>
  <c r="Y80" i="17"/>
  <c r="Z80" i="17"/>
  <c r="AA80" i="17"/>
  <c r="AB80" i="17"/>
  <c r="AC80" i="17"/>
  <c r="V81" i="17"/>
  <c r="W81" i="17"/>
  <c r="X81" i="17"/>
  <c r="Y81" i="17"/>
  <c r="Z81" i="17"/>
  <c r="AA81" i="17"/>
  <c r="AB81" i="17"/>
  <c r="AC81" i="17"/>
  <c r="V82" i="17"/>
  <c r="W82" i="17"/>
  <c r="X82" i="17"/>
  <c r="Y82" i="17"/>
  <c r="Z82" i="17"/>
  <c r="AA82" i="17"/>
  <c r="AB82" i="17"/>
  <c r="AC82" i="17"/>
  <c r="V83" i="17"/>
  <c r="W83" i="17"/>
  <c r="X83" i="17"/>
  <c r="Y83" i="17"/>
  <c r="Z83" i="17"/>
  <c r="AA83" i="17"/>
  <c r="AB83" i="17"/>
  <c r="AC83" i="17"/>
  <c r="V90" i="17"/>
  <c r="W90" i="17"/>
  <c r="X90" i="17"/>
  <c r="Y90" i="17"/>
  <c r="Z90" i="17"/>
  <c r="AA90" i="17"/>
  <c r="AB90" i="17"/>
  <c r="AC90" i="17"/>
  <c r="V39" i="17"/>
  <c r="W39" i="17"/>
  <c r="X39" i="17"/>
  <c r="Y39" i="17"/>
  <c r="Z39" i="17"/>
  <c r="AA39" i="17"/>
  <c r="AB39" i="17"/>
  <c r="AC39" i="17"/>
  <c r="V44" i="17"/>
  <c r="W44" i="17"/>
  <c r="X44" i="17"/>
  <c r="Y44" i="17"/>
  <c r="Z44" i="17"/>
  <c r="AA44" i="17"/>
  <c r="AB44" i="17"/>
  <c r="AC44" i="17"/>
  <c r="V53" i="17"/>
  <c r="W53" i="17"/>
  <c r="X53" i="17"/>
  <c r="Y53" i="17"/>
  <c r="Z53" i="17"/>
  <c r="AA53" i="17"/>
  <c r="AB53" i="17"/>
  <c r="AC53" i="17"/>
  <c r="V84" i="17"/>
  <c r="W84" i="17"/>
  <c r="X84" i="17"/>
  <c r="Y84" i="17"/>
  <c r="Z84" i="17"/>
  <c r="AA84" i="17"/>
  <c r="AB84" i="17"/>
  <c r="AC84" i="17"/>
  <c r="V85" i="17"/>
  <c r="W85" i="17"/>
  <c r="X85" i="17"/>
  <c r="Y85" i="17"/>
  <c r="Z85" i="17"/>
  <c r="AA85" i="17"/>
  <c r="AB85" i="17"/>
  <c r="AC85" i="17"/>
  <c r="V86" i="17"/>
  <c r="W86" i="17"/>
  <c r="X86" i="17"/>
  <c r="Y86" i="17"/>
  <c r="Z86" i="17"/>
  <c r="AA86" i="17"/>
  <c r="AB86" i="17"/>
  <c r="AC86" i="17"/>
  <c r="V87" i="17"/>
  <c r="W87" i="17"/>
  <c r="X87" i="17"/>
  <c r="Y87" i="17"/>
  <c r="Z87" i="17"/>
  <c r="AA87" i="17"/>
  <c r="AB87" i="17"/>
  <c r="AC87" i="17"/>
  <c r="V88" i="17"/>
  <c r="W88" i="17"/>
  <c r="X88" i="17"/>
  <c r="Y88" i="17"/>
  <c r="Z88" i="17"/>
  <c r="AA88" i="17"/>
  <c r="AB88" i="17"/>
  <c r="AC88" i="17"/>
  <c r="V89" i="17"/>
  <c r="W89" i="17"/>
  <c r="X89" i="17"/>
  <c r="Y89" i="17"/>
  <c r="Z89" i="17"/>
  <c r="AA89" i="17"/>
  <c r="AB89" i="17"/>
  <c r="AC89" i="17"/>
  <c r="V91" i="17"/>
  <c r="W91" i="17"/>
  <c r="X91" i="17"/>
  <c r="Y91" i="17"/>
  <c r="Z91" i="17"/>
  <c r="AA91" i="17"/>
  <c r="AB91" i="17"/>
  <c r="AC91" i="17"/>
  <c r="V92" i="17"/>
  <c r="W92" i="17"/>
  <c r="X92" i="17"/>
  <c r="Y92" i="17"/>
  <c r="Z92" i="17"/>
  <c r="AA92" i="17"/>
  <c r="AB92" i="17"/>
  <c r="AC92" i="17"/>
  <c r="V59" i="17"/>
  <c r="W59" i="17"/>
  <c r="X59" i="17"/>
  <c r="Y59" i="17"/>
  <c r="Z59" i="17"/>
  <c r="AA59" i="17"/>
  <c r="AB59" i="17"/>
  <c r="AC59" i="17"/>
  <c r="V38" i="17"/>
  <c r="W38" i="17"/>
  <c r="X38" i="17"/>
  <c r="Y38" i="17"/>
  <c r="Z38" i="17"/>
  <c r="AA38" i="17"/>
  <c r="AB38" i="17"/>
  <c r="AC38" i="17"/>
  <c r="V93" i="17"/>
  <c r="W93" i="17"/>
  <c r="X93" i="17"/>
  <c r="Y93" i="17"/>
  <c r="Z93" i="17"/>
  <c r="AA93" i="17"/>
  <c r="AB93" i="17"/>
  <c r="AC93" i="17"/>
  <c r="V94" i="17"/>
  <c r="W94" i="17"/>
  <c r="X94" i="17"/>
  <c r="Y94" i="17"/>
  <c r="Z94" i="17"/>
  <c r="AA94" i="17"/>
  <c r="AB94" i="17"/>
  <c r="AC94" i="17"/>
  <c r="V95" i="17"/>
  <c r="W95" i="17"/>
  <c r="X95" i="17"/>
  <c r="Y95" i="17"/>
  <c r="Z95" i="17"/>
  <c r="AA95" i="17"/>
  <c r="AB95" i="17"/>
  <c r="AC95" i="17"/>
  <c r="V96" i="17"/>
  <c r="W96" i="17"/>
  <c r="X96" i="17"/>
  <c r="Y96" i="17"/>
  <c r="Z96" i="17"/>
  <c r="AA96" i="17"/>
  <c r="AB96" i="17"/>
  <c r="AC96" i="17"/>
  <c r="V97" i="17"/>
  <c r="W97" i="17"/>
  <c r="X97" i="17"/>
  <c r="Y97" i="17"/>
  <c r="Z97" i="17"/>
  <c r="AA97" i="17"/>
  <c r="AB97" i="17"/>
  <c r="AC97" i="17"/>
  <c r="V98" i="17"/>
  <c r="W98" i="17"/>
  <c r="X98" i="17"/>
  <c r="Y98" i="17"/>
  <c r="Z98" i="17"/>
  <c r="AA98" i="17"/>
  <c r="AB98" i="17"/>
  <c r="AC98" i="17"/>
  <c r="V99" i="17"/>
  <c r="W99" i="17"/>
  <c r="X99" i="17"/>
  <c r="Y99" i="17"/>
  <c r="Z99" i="17"/>
  <c r="BE99" i="17"/>
  <c r="AA99" i="17"/>
  <c r="AB99" i="17"/>
  <c r="AC99" i="17"/>
  <c r="V100" i="17"/>
  <c r="W100" i="17"/>
  <c r="X100" i="17"/>
  <c r="Y100" i="17"/>
  <c r="Z100" i="17"/>
  <c r="AA100" i="17"/>
  <c r="AB100" i="17"/>
  <c r="AC100" i="17"/>
  <c r="V101" i="17"/>
  <c r="W101" i="17"/>
  <c r="X101" i="17"/>
  <c r="Y101" i="17"/>
  <c r="Z101" i="17"/>
  <c r="BE101" i="17" s="1"/>
  <c r="AA101" i="17"/>
  <c r="AB101" i="17"/>
  <c r="AC101" i="17"/>
  <c r="V102" i="17"/>
  <c r="W102" i="17"/>
  <c r="X102" i="17"/>
  <c r="Y102" i="17"/>
  <c r="Z102" i="17"/>
  <c r="AA102" i="17"/>
  <c r="AB102" i="17"/>
  <c r="AC102" i="17"/>
  <c r="V103" i="17"/>
  <c r="W103" i="17"/>
  <c r="X103" i="17"/>
  <c r="Y103" i="17"/>
  <c r="Z103" i="17"/>
  <c r="AA103" i="17"/>
  <c r="AB103" i="17"/>
  <c r="AC103" i="17"/>
  <c r="V104" i="17"/>
  <c r="W104" i="17"/>
  <c r="X104" i="17"/>
  <c r="Y104" i="17"/>
  <c r="Z104" i="17"/>
  <c r="AA104" i="17"/>
  <c r="AB104" i="17"/>
  <c r="AC104" i="17"/>
  <c r="V105" i="17"/>
  <c r="W105" i="17"/>
  <c r="X105" i="17"/>
  <c r="Y105" i="17"/>
  <c r="Z105" i="17"/>
  <c r="AA105" i="17"/>
  <c r="AB105" i="17"/>
  <c r="AC105" i="17"/>
  <c r="V106" i="17"/>
  <c r="W106" i="17"/>
  <c r="X106" i="17"/>
  <c r="Y106" i="17"/>
  <c r="Z106" i="17"/>
  <c r="AA106" i="17"/>
  <c r="AB106" i="17"/>
  <c r="AC106" i="17"/>
  <c r="V107" i="17"/>
  <c r="W107" i="17"/>
  <c r="X107" i="17"/>
  <c r="Y107" i="17"/>
  <c r="Z107" i="17"/>
  <c r="AA107" i="17"/>
  <c r="AB107" i="17"/>
  <c r="AC107" i="17"/>
  <c r="V108" i="17"/>
  <c r="W108" i="17"/>
  <c r="X108" i="17"/>
  <c r="Y108" i="17"/>
  <c r="Z108" i="17"/>
  <c r="AA108" i="17"/>
  <c r="AB108" i="17"/>
  <c r="AC108" i="17"/>
  <c r="V109" i="17"/>
  <c r="W109" i="17"/>
  <c r="X109" i="17"/>
  <c r="Y109" i="17"/>
  <c r="Z109" i="17"/>
  <c r="AA109" i="17"/>
  <c r="AB109" i="17"/>
  <c r="AC109" i="17"/>
  <c r="V110" i="17"/>
  <c r="W110" i="17"/>
  <c r="X110" i="17"/>
  <c r="Y110" i="17"/>
  <c r="Z110" i="17"/>
  <c r="AA110" i="17"/>
  <c r="AB110" i="17"/>
  <c r="AC110" i="17"/>
  <c r="V111" i="17"/>
  <c r="W111" i="17"/>
  <c r="X111" i="17"/>
  <c r="Y111" i="17"/>
  <c r="Z111" i="17"/>
  <c r="AA111" i="17"/>
  <c r="AB111" i="17"/>
  <c r="AC111" i="17"/>
  <c r="V112" i="17"/>
  <c r="W112" i="17"/>
  <c r="X112" i="17"/>
  <c r="Y112" i="17"/>
  <c r="Z112" i="17"/>
  <c r="AA112" i="17"/>
  <c r="AB112" i="17"/>
  <c r="AC112" i="17"/>
  <c r="V113" i="17"/>
  <c r="W113" i="17"/>
  <c r="X113" i="17"/>
  <c r="Y113" i="17"/>
  <c r="Z113" i="17"/>
  <c r="AA113" i="17"/>
  <c r="AB113" i="17"/>
  <c r="AC113" i="17"/>
  <c r="V114" i="17"/>
  <c r="W114" i="17"/>
  <c r="X114" i="17"/>
  <c r="Y114" i="17"/>
  <c r="Z114" i="17"/>
  <c r="AA114" i="17"/>
  <c r="AB114" i="17"/>
  <c r="AC114" i="17"/>
  <c r="V115" i="17"/>
  <c r="W115" i="17"/>
  <c r="X115" i="17"/>
  <c r="Y115" i="17"/>
  <c r="Z115" i="17"/>
  <c r="AA115" i="17"/>
  <c r="AB115" i="17"/>
  <c r="AC115" i="17"/>
  <c r="V116" i="17"/>
  <c r="W116" i="17"/>
  <c r="X116" i="17"/>
  <c r="Y116" i="17"/>
  <c r="Z116" i="17"/>
  <c r="AA116" i="17"/>
  <c r="AB116" i="17"/>
  <c r="AC116" i="17"/>
  <c r="V117" i="17"/>
  <c r="W117" i="17"/>
  <c r="X117" i="17"/>
  <c r="Y117" i="17"/>
  <c r="Z117" i="17"/>
  <c r="AA117" i="17"/>
  <c r="AB117" i="17"/>
  <c r="AC117" i="17"/>
  <c r="V118" i="17"/>
  <c r="W118" i="17"/>
  <c r="X118" i="17"/>
  <c r="Y118" i="17"/>
  <c r="Z118" i="17"/>
  <c r="AA118" i="17"/>
  <c r="AB118" i="17"/>
  <c r="AC118" i="17"/>
  <c r="V119" i="17"/>
  <c r="W119" i="17"/>
  <c r="X119" i="17"/>
  <c r="Y119" i="17"/>
  <c r="Z119" i="17"/>
  <c r="AA119" i="17"/>
  <c r="AB119" i="17"/>
  <c r="AC119" i="17"/>
  <c r="V120" i="17"/>
  <c r="W120" i="17"/>
  <c r="X120" i="17"/>
  <c r="Y120" i="17"/>
  <c r="Z120" i="17"/>
  <c r="AA120" i="17"/>
  <c r="AB120" i="17"/>
  <c r="AC120" i="17"/>
  <c r="V121" i="17"/>
  <c r="W121" i="17"/>
  <c r="X121" i="17"/>
  <c r="Y121" i="17"/>
  <c r="Z121" i="17"/>
  <c r="AA121" i="17"/>
  <c r="AB121" i="17"/>
  <c r="AC121" i="17"/>
  <c r="V122" i="17"/>
  <c r="W122" i="17"/>
  <c r="X122" i="17"/>
  <c r="Y122" i="17"/>
  <c r="Z122" i="17"/>
  <c r="AA122" i="17"/>
  <c r="AB122" i="17"/>
  <c r="AC122" i="17"/>
  <c r="V123" i="17"/>
  <c r="W123" i="17"/>
  <c r="X123" i="17"/>
  <c r="Y123" i="17"/>
  <c r="Z123" i="17"/>
  <c r="AA123" i="17"/>
  <c r="AB123" i="17"/>
  <c r="AC123" i="17"/>
  <c r="V124" i="17"/>
  <c r="W124" i="17"/>
  <c r="X124" i="17"/>
  <c r="Y124" i="17"/>
  <c r="Z124" i="17"/>
  <c r="AA124" i="17"/>
  <c r="AB124" i="17"/>
  <c r="AC124" i="17"/>
  <c r="V125" i="17"/>
  <c r="W125" i="17"/>
  <c r="X125" i="17"/>
  <c r="Y125" i="17"/>
  <c r="Z125" i="17"/>
  <c r="AA125" i="17"/>
  <c r="AB125" i="17"/>
  <c r="AC125" i="17"/>
  <c r="AC7" i="17"/>
  <c r="AB7" i="17"/>
  <c r="AA7" i="17"/>
  <c r="Z7" i="17"/>
  <c r="Y7" i="17"/>
  <c r="U102" i="17"/>
  <c r="BK102" i="17" s="1"/>
  <c r="T102" i="17"/>
  <c r="BI102" i="17" s="1"/>
  <c r="S102" i="17"/>
  <c r="R102" i="17"/>
  <c r="Q102" i="17"/>
  <c r="P102" i="17"/>
  <c r="BA102" i="17" s="1"/>
  <c r="O102" i="17"/>
  <c r="N102" i="17"/>
  <c r="AW102" i="17" s="1"/>
  <c r="M102" i="17"/>
  <c r="L102" i="17"/>
  <c r="U101" i="17"/>
  <c r="BK101" i="17"/>
  <c r="T101" i="17"/>
  <c r="S101" i="17"/>
  <c r="BD101" i="17" s="1"/>
  <c r="R101" i="17"/>
  <c r="Q101" i="17"/>
  <c r="P101" i="17"/>
  <c r="AZ101" i="17" s="1"/>
  <c r="O101" i="17"/>
  <c r="AY101" i="17" s="1"/>
  <c r="N101" i="17"/>
  <c r="AV101" i="17" s="1"/>
  <c r="M101" i="17"/>
  <c r="L101" i="17"/>
  <c r="U100" i="17"/>
  <c r="T100" i="17"/>
  <c r="BH100" i="17" s="1"/>
  <c r="S100" i="17"/>
  <c r="R100" i="17"/>
  <c r="Q100" i="17"/>
  <c r="P100" i="17"/>
  <c r="AZ100" i="17" s="1"/>
  <c r="O100" i="17"/>
  <c r="N100" i="17"/>
  <c r="M100" i="17"/>
  <c r="L100" i="17"/>
  <c r="U99" i="17"/>
  <c r="T99" i="17"/>
  <c r="S99" i="17"/>
  <c r="R99" i="17"/>
  <c r="Q99" i="17"/>
  <c r="P99" i="17"/>
  <c r="O99" i="17"/>
  <c r="N99" i="17"/>
  <c r="M99" i="17"/>
  <c r="L99" i="17"/>
  <c r="U98" i="17"/>
  <c r="T98" i="17"/>
  <c r="S98" i="17"/>
  <c r="R98" i="17"/>
  <c r="BE98" i="17" s="1"/>
  <c r="Q98" i="17"/>
  <c r="P98" i="17"/>
  <c r="O98" i="17"/>
  <c r="N98" i="17"/>
  <c r="AV98" i="17"/>
  <c r="M98" i="17"/>
  <c r="L98" i="17"/>
  <c r="U97" i="17"/>
  <c r="T97" i="17"/>
  <c r="BH97" i="17" s="1"/>
  <c r="S97" i="17"/>
  <c r="BD97" i="17" s="1"/>
  <c r="R97" i="17"/>
  <c r="Q97" i="17"/>
  <c r="BC97" i="17"/>
  <c r="P97" i="17"/>
  <c r="O97" i="17"/>
  <c r="N97" i="17"/>
  <c r="M97" i="17"/>
  <c r="L97" i="17"/>
  <c r="U96" i="17"/>
  <c r="T96" i="17"/>
  <c r="S96" i="17"/>
  <c r="R96" i="17"/>
  <c r="Q96" i="17"/>
  <c r="BC96" i="17" s="1"/>
  <c r="P96" i="17"/>
  <c r="O96" i="17"/>
  <c r="AX96" i="17" s="1"/>
  <c r="N96" i="17"/>
  <c r="AW96" i="17" s="1"/>
  <c r="M96" i="17"/>
  <c r="L96" i="17"/>
  <c r="U95" i="17"/>
  <c r="T95" i="17"/>
  <c r="S95" i="17"/>
  <c r="BF95" i="17" s="1"/>
  <c r="R95" i="17"/>
  <c r="BE95" i="17" s="1"/>
  <c r="Q95" i="17"/>
  <c r="P95" i="17"/>
  <c r="AZ95" i="17" s="1"/>
  <c r="O95" i="17"/>
  <c r="AX95" i="17" s="1"/>
  <c r="N95" i="17"/>
  <c r="M95" i="17"/>
  <c r="L95" i="17"/>
  <c r="U94" i="17"/>
  <c r="T94" i="17"/>
  <c r="S94" i="17"/>
  <c r="BG94" i="17" s="1"/>
  <c r="R94" i="17"/>
  <c r="BE94" i="17" s="1"/>
  <c r="Q94" i="17"/>
  <c r="BC94" i="17"/>
  <c r="P94" i="17"/>
  <c r="AZ94" i="17" s="1"/>
  <c r="O94" i="17"/>
  <c r="AX94" i="17" s="1"/>
  <c r="N94" i="17"/>
  <c r="M94" i="17"/>
  <c r="L94" i="17"/>
  <c r="U93" i="17"/>
  <c r="T93" i="17"/>
  <c r="S93" i="17"/>
  <c r="R93" i="17"/>
  <c r="BE93" i="17" s="1"/>
  <c r="Q93" i="17"/>
  <c r="P93" i="17"/>
  <c r="O93" i="17"/>
  <c r="AY93" i="17" s="1"/>
  <c r="N93" i="17"/>
  <c r="AV93" i="17" s="1"/>
  <c r="AN93" i="17" s="1"/>
  <c r="M93" i="17"/>
  <c r="C93" i="17" s="1"/>
  <c r="C93" i="4" s="1"/>
  <c r="L93" i="17"/>
  <c r="B93" i="17" s="1"/>
  <c r="B93" i="4" s="1"/>
  <c r="U38" i="17"/>
  <c r="BJ38" i="17" s="1"/>
  <c r="T38" i="17"/>
  <c r="BH38" i="17" s="1"/>
  <c r="S38" i="17"/>
  <c r="R38" i="17"/>
  <c r="Q38" i="17"/>
  <c r="P38" i="17"/>
  <c r="BA38" i="17" s="1"/>
  <c r="AP38" i="17" s="1"/>
  <c r="O38" i="17"/>
  <c r="AX38" i="17" s="1"/>
  <c r="N38" i="17"/>
  <c r="AW38" i="17" s="1"/>
  <c r="AN38" i="17" s="1"/>
  <c r="M38" i="17"/>
  <c r="C38" i="17" s="1"/>
  <c r="C38" i="4" s="1"/>
  <c r="L38" i="17"/>
  <c r="B38" i="17" s="1"/>
  <c r="B38" i="4" s="1"/>
  <c r="U59" i="17"/>
  <c r="T59" i="17"/>
  <c r="S59" i="17"/>
  <c r="R59" i="17"/>
  <c r="Q59" i="17"/>
  <c r="BC59" i="17" s="1"/>
  <c r="AQ59" i="17" s="1"/>
  <c r="P59" i="17"/>
  <c r="BA59" i="17" s="1"/>
  <c r="AP59" i="17" s="1"/>
  <c r="O59" i="17"/>
  <c r="N59" i="17"/>
  <c r="AW59" i="17"/>
  <c r="M59" i="17"/>
  <c r="C59" i="17" s="1"/>
  <c r="C59" i="4" s="1"/>
  <c r="L59" i="17"/>
  <c r="B59" i="17" s="1"/>
  <c r="B59" i="4" s="1"/>
  <c r="U92" i="17"/>
  <c r="T92" i="17"/>
  <c r="BI92" i="17" s="1"/>
  <c r="AT92" i="17" s="1"/>
  <c r="S92" i="17"/>
  <c r="BD92" i="17" s="1"/>
  <c r="R92" i="17"/>
  <c r="BE92" i="17" s="1"/>
  <c r="Q92" i="17"/>
  <c r="P92" i="17"/>
  <c r="AZ92" i="17" s="1"/>
  <c r="O92" i="17"/>
  <c r="AY92" i="17" s="1"/>
  <c r="AO92" i="17" s="1"/>
  <c r="N92" i="17"/>
  <c r="AW92" i="17"/>
  <c r="AN92" i="17" s="1"/>
  <c r="M92" i="17"/>
  <c r="C92" i="17" s="1"/>
  <c r="C92" i="4" s="1"/>
  <c r="L92" i="17"/>
  <c r="B92" i="17" s="1"/>
  <c r="B92" i="4" s="1"/>
  <c r="U91" i="17"/>
  <c r="T91" i="17"/>
  <c r="S91" i="17"/>
  <c r="R91" i="17"/>
  <c r="BE91" i="17" s="1"/>
  <c r="AR91" i="17" s="1"/>
  <c r="Q91" i="17"/>
  <c r="BC91" i="17" s="1"/>
  <c r="AQ91" i="17" s="1"/>
  <c r="P91" i="17"/>
  <c r="BA91" i="17" s="1"/>
  <c r="AP91" i="17" s="1"/>
  <c r="O91" i="17"/>
  <c r="AY91" i="17" s="1"/>
  <c r="N91" i="17"/>
  <c r="AW91" i="17"/>
  <c r="AN91" i="17" s="1"/>
  <c r="M91" i="17"/>
  <c r="C91" i="17" s="1"/>
  <c r="C91" i="4" s="1"/>
  <c r="L91" i="17"/>
  <c r="B91" i="17"/>
  <c r="B91" i="4" s="1"/>
  <c r="U89" i="17"/>
  <c r="BK89" i="17" s="1"/>
  <c r="AU89" i="17" s="1"/>
  <c r="T89" i="17"/>
  <c r="S89" i="17"/>
  <c r="BG89" i="17" s="1"/>
  <c r="AS89" i="17" s="1"/>
  <c r="R89" i="17"/>
  <c r="BE89" i="17" s="1"/>
  <c r="AR89" i="17" s="1"/>
  <c r="Q89" i="17"/>
  <c r="BC89" i="17" s="1"/>
  <c r="AQ89" i="17" s="1"/>
  <c r="P89" i="17"/>
  <c r="BA89" i="17" s="1"/>
  <c r="AP89" i="17" s="1"/>
  <c r="O89" i="17"/>
  <c r="N89" i="17"/>
  <c r="M89" i="17"/>
  <c r="C89" i="17" s="1"/>
  <c r="C89" i="4" s="1"/>
  <c r="L89" i="17"/>
  <c r="B89" i="17"/>
  <c r="B89" i="4" s="1"/>
  <c r="U88" i="17"/>
  <c r="BK88" i="17"/>
  <c r="T88" i="17"/>
  <c r="S88" i="17"/>
  <c r="R88" i="17"/>
  <c r="BE88" i="17"/>
  <c r="AR88" i="17" s="1"/>
  <c r="Q88" i="17"/>
  <c r="P88" i="17"/>
  <c r="BA88" i="17" s="1"/>
  <c r="AP88" i="17" s="1"/>
  <c r="O88" i="17"/>
  <c r="AX88" i="17" s="1"/>
  <c r="N88" i="17"/>
  <c r="AW88" i="17" s="1"/>
  <c r="AN88" i="17" s="1"/>
  <c r="M88" i="17"/>
  <c r="C88" i="17" s="1"/>
  <c r="C88" i="4" s="1"/>
  <c r="L88" i="17"/>
  <c r="B88" i="17" s="1"/>
  <c r="B88" i="4" s="1"/>
  <c r="U87" i="17"/>
  <c r="T87" i="17"/>
  <c r="BI87" i="17" s="1"/>
  <c r="AT87" i="17" s="1"/>
  <c r="S87" i="17"/>
  <c r="BG87" i="17" s="1"/>
  <c r="AS87" i="17" s="1"/>
  <c r="R87" i="17"/>
  <c r="BE87" i="17" s="1"/>
  <c r="AR87" i="17" s="1"/>
  <c r="Q87" i="17"/>
  <c r="BC87" i="17" s="1"/>
  <c r="AQ87" i="17" s="1"/>
  <c r="P87" i="17"/>
  <c r="AZ87" i="17" s="1"/>
  <c r="O87" i="17"/>
  <c r="AX87" i="17" s="1"/>
  <c r="N87" i="17"/>
  <c r="M87" i="17"/>
  <c r="C87" i="17" s="1"/>
  <c r="C87" i="4" s="1"/>
  <c r="L87" i="17"/>
  <c r="B87" i="17"/>
  <c r="B87" i="4" s="1"/>
  <c r="U86" i="17"/>
  <c r="T86" i="17"/>
  <c r="BH86" i="17"/>
  <c r="S86" i="17"/>
  <c r="R86" i="17"/>
  <c r="BE86" i="17" s="1"/>
  <c r="AR86" i="17" s="1"/>
  <c r="Q86" i="17"/>
  <c r="P86" i="17"/>
  <c r="BA86" i="17" s="1"/>
  <c r="AP86" i="17" s="1"/>
  <c r="O86" i="17"/>
  <c r="AY86" i="17" s="1"/>
  <c r="AO86" i="17" s="1"/>
  <c r="N86" i="17"/>
  <c r="AV86" i="17"/>
  <c r="M86" i="17"/>
  <c r="C86" i="17" s="1"/>
  <c r="C86" i="4" s="1"/>
  <c r="L86" i="17"/>
  <c r="B86" i="17" s="1"/>
  <c r="B86" i="4" s="1"/>
  <c r="U85" i="17"/>
  <c r="BJ85" i="17" s="1"/>
  <c r="T85" i="17"/>
  <c r="BI85" i="17" s="1"/>
  <c r="AT85" i="17" s="1"/>
  <c r="S85" i="17"/>
  <c r="BF85" i="17"/>
  <c r="R85" i="17"/>
  <c r="BE85" i="17" s="1"/>
  <c r="AR85" i="17" s="1"/>
  <c r="Q85" i="17"/>
  <c r="BB85" i="17" s="1"/>
  <c r="P85" i="17"/>
  <c r="BA85" i="17" s="1"/>
  <c r="AP85" i="17" s="1"/>
  <c r="O85" i="17"/>
  <c r="AX85" i="17" s="1"/>
  <c r="N85" i="17"/>
  <c r="AW85" i="17" s="1"/>
  <c r="AN85" i="17" s="1"/>
  <c r="M85" i="17"/>
  <c r="C85" i="17" s="1"/>
  <c r="C85" i="4" s="1"/>
  <c r="L85" i="17"/>
  <c r="U84" i="17"/>
  <c r="BJ84" i="17" s="1"/>
  <c r="T84" i="17"/>
  <c r="S84" i="17"/>
  <c r="BG84" i="17"/>
  <c r="AS84" i="17" s="1"/>
  <c r="R84" i="17"/>
  <c r="Q84" i="17"/>
  <c r="BC84" i="17"/>
  <c r="AQ84" i="17" s="1"/>
  <c r="P84" i="17"/>
  <c r="O84" i="17"/>
  <c r="N84" i="17"/>
  <c r="M84" i="17"/>
  <c r="C84" i="17" s="1"/>
  <c r="C84" i="4" s="1"/>
  <c r="L84" i="17"/>
  <c r="U53" i="17"/>
  <c r="T53" i="17"/>
  <c r="BI53" i="17" s="1"/>
  <c r="AT53" i="17" s="1"/>
  <c r="S53" i="17"/>
  <c r="BG53" i="17" s="1"/>
  <c r="AS53" i="17" s="1"/>
  <c r="R53" i="17"/>
  <c r="BE53" i="17"/>
  <c r="AR53" i="17" s="1"/>
  <c r="Q53" i="17"/>
  <c r="BC53" i="17" s="1"/>
  <c r="AQ53" i="17" s="1"/>
  <c r="P53" i="17"/>
  <c r="AZ53" i="17"/>
  <c r="O53" i="17"/>
  <c r="N53" i="17"/>
  <c r="AV53" i="17"/>
  <c r="M53" i="17"/>
  <c r="C53" i="17" s="1"/>
  <c r="C53" i="4" s="1"/>
  <c r="L53" i="17"/>
  <c r="B53" i="17" s="1"/>
  <c r="B53" i="4" s="1"/>
  <c r="U44" i="17"/>
  <c r="BJ44" i="17" s="1"/>
  <c r="T44" i="17"/>
  <c r="S44" i="17"/>
  <c r="R44" i="17"/>
  <c r="BE44" i="17" s="1"/>
  <c r="AR44" i="17" s="1"/>
  <c r="Q44" i="17"/>
  <c r="P44" i="17"/>
  <c r="AZ44" i="17" s="1"/>
  <c r="O44" i="17"/>
  <c r="AX44" i="17"/>
  <c r="N44" i="17"/>
  <c r="M44" i="17"/>
  <c r="C44" i="17" s="1"/>
  <c r="C44" i="4" s="1"/>
  <c r="L44" i="17"/>
  <c r="B44" i="17" s="1"/>
  <c r="B44" i="4" s="1"/>
  <c r="U39" i="17"/>
  <c r="T39" i="17"/>
  <c r="S39" i="17"/>
  <c r="BF39" i="17" s="1"/>
  <c r="AS39" i="17" s="1"/>
  <c r="R39" i="17"/>
  <c r="BE39" i="17" s="1"/>
  <c r="Q39" i="17"/>
  <c r="BC39" i="17" s="1"/>
  <c r="AQ39" i="17" s="1"/>
  <c r="P39" i="17"/>
  <c r="O39" i="17"/>
  <c r="N39" i="17"/>
  <c r="AW39" i="17"/>
  <c r="M39" i="17"/>
  <c r="C39" i="17"/>
  <c r="C39" i="4" s="1"/>
  <c r="L39" i="17"/>
  <c r="B39" i="17" s="1"/>
  <c r="B39" i="4" s="1"/>
  <c r="X7" i="17"/>
  <c r="W7" i="17"/>
  <c r="L8" i="17"/>
  <c r="B8" i="17"/>
  <c r="B8" i="4"/>
  <c r="M8" i="17"/>
  <c r="C8" i="17" s="1"/>
  <c r="C8" i="4" s="1"/>
  <c r="N8" i="17"/>
  <c r="AW8" i="17" s="1"/>
  <c r="AN8" i="17" s="1"/>
  <c r="O8" i="17"/>
  <c r="P8" i="17"/>
  <c r="Q8" i="17"/>
  <c r="R8" i="17"/>
  <c r="BE8" i="17"/>
  <c r="AR8" i="17"/>
  <c r="S8" i="17"/>
  <c r="BF8" i="17" s="1"/>
  <c r="T8" i="17"/>
  <c r="BH8" i="17" s="1"/>
  <c r="U8" i="17"/>
  <c r="BJ8" i="17" s="1"/>
  <c r="L9" i="17"/>
  <c r="B9" i="17" s="1"/>
  <c r="B9" i="4" s="1"/>
  <c r="M9" i="17"/>
  <c r="C9" i="17" s="1"/>
  <c r="C9" i="4" s="1"/>
  <c r="N9" i="17"/>
  <c r="AV9" i="17" s="1"/>
  <c r="O9" i="17"/>
  <c r="AX9" i="17" s="1"/>
  <c r="P9" i="17"/>
  <c r="AZ9" i="17" s="1"/>
  <c r="Q9" i="17"/>
  <c r="R9" i="17"/>
  <c r="BE9" i="17" s="1"/>
  <c r="AR9" i="17" s="1"/>
  <c r="S9" i="17"/>
  <c r="T9" i="17"/>
  <c r="BI9" i="17" s="1"/>
  <c r="AT9" i="17" s="1"/>
  <c r="U9" i="17"/>
  <c r="L10" i="17"/>
  <c r="B10" i="17" s="1"/>
  <c r="B10" i="4" s="1"/>
  <c r="M10" i="17"/>
  <c r="C10" i="17"/>
  <c r="C10" i="4" s="1"/>
  <c r="N10" i="17"/>
  <c r="AV10" i="17" s="1"/>
  <c r="O10" i="17"/>
  <c r="AY10" i="17"/>
  <c r="AO10" i="17" s="1"/>
  <c r="P10" i="17"/>
  <c r="Q10" i="17"/>
  <c r="R10" i="17"/>
  <c r="BE10" i="17" s="1"/>
  <c r="AR10" i="17" s="1"/>
  <c r="S10" i="17"/>
  <c r="BG10" i="17" s="1"/>
  <c r="AS10" i="17"/>
  <c r="T10" i="17"/>
  <c r="BH10" i="17" s="1"/>
  <c r="U10" i="17"/>
  <c r="BK10" i="17"/>
  <c r="AU10" i="17" s="1"/>
  <c r="L11" i="17"/>
  <c r="B11" i="17" s="1"/>
  <c r="B11" i="4" s="1"/>
  <c r="M11" i="17"/>
  <c r="C11" i="17" s="1"/>
  <c r="C11" i="4" s="1"/>
  <c r="N11" i="17"/>
  <c r="O11" i="17"/>
  <c r="P11" i="17"/>
  <c r="BA11" i="17" s="1"/>
  <c r="AP11" i="17" s="1"/>
  <c r="Q11" i="17"/>
  <c r="BC11" i="17" s="1"/>
  <c r="AQ11" i="17" s="1"/>
  <c r="R11" i="17"/>
  <c r="BE11" i="17" s="1"/>
  <c r="AR11" i="17" s="1"/>
  <c r="S11" i="17"/>
  <c r="T11" i="17"/>
  <c r="U11" i="17"/>
  <c r="BK11" i="17" s="1"/>
  <c r="AU11" i="17" s="1"/>
  <c r="L12" i="17"/>
  <c r="B12" i="17" s="1"/>
  <c r="B12" i="4" s="1"/>
  <c r="M12" i="17"/>
  <c r="C12" i="17" s="1"/>
  <c r="C12" i="4" s="1"/>
  <c r="N12" i="17"/>
  <c r="O12" i="17"/>
  <c r="AY12" i="17" s="1"/>
  <c r="P12" i="17"/>
  <c r="Q12" i="17"/>
  <c r="R12" i="17"/>
  <c r="BE12" i="17"/>
  <c r="S12" i="17"/>
  <c r="T12" i="17"/>
  <c r="U12" i="17"/>
  <c r="BK12" i="17" s="1"/>
  <c r="BJ12" i="17"/>
  <c r="AU12" i="17" s="1"/>
  <c r="L15" i="17"/>
  <c r="B15" i="17" s="1"/>
  <c r="B15" i="4" s="1"/>
  <c r="M15" i="17"/>
  <c r="C15" i="17" s="1"/>
  <c r="C15" i="4" s="1"/>
  <c r="N15" i="17"/>
  <c r="O15" i="17"/>
  <c r="AX15" i="17" s="1"/>
  <c r="P15" i="17"/>
  <c r="BA15" i="17" s="1"/>
  <c r="AP15" i="17" s="1"/>
  <c r="Q15" i="17"/>
  <c r="R15" i="17"/>
  <c r="BE15" i="17" s="1"/>
  <c r="AR15" i="17" s="1"/>
  <c r="S15" i="17"/>
  <c r="T15" i="17"/>
  <c r="U15" i="17"/>
  <c r="BK15" i="17"/>
  <c r="AU15" i="17" s="1"/>
  <c r="L13" i="17"/>
  <c r="B13" i="17" s="1"/>
  <c r="B13" i="4" s="1"/>
  <c r="M13" i="17"/>
  <c r="C13" i="17" s="1"/>
  <c r="C13" i="4" s="1"/>
  <c r="N13" i="17"/>
  <c r="AV13" i="17" s="1"/>
  <c r="O13" i="17"/>
  <c r="P13" i="17"/>
  <c r="AZ13" i="17" s="1"/>
  <c r="Q13" i="17"/>
  <c r="BB13" i="17" s="1"/>
  <c r="R13" i="17"/>
  <c r="BE13" i="17"/>
  <c r="AR13" i="17" s="1"/>
  <c r="S13" i="17"/>
  <c r="BD13" i="17" s="1"/>
  <c r="T13" i="17"/>
  <c r="U13" i="17"/>
  <c r="L14" i="17"/>
  <c r="B14" i="17" s="1"/>
  <c r="B14" i="4" s="1"/>
  <c r="M14" i="17"/>
  <c r="C14" i="17" s="1"/>
  <c r="C14" i="4" s="1"/>
  <c r="N14" i="17"/>
  <c r="AW14" i="17" s="1"/>
  <c r="AN14" i="17" s="1"/>
  <c r="O14" i="17"/>
  <c r="P14" i="17"/>
  <c r="Q14" i="17"/>
  <c r="R14" i="17"/>
  <c r="BE14" i="17"/>
  <c r="AR14" i="17" s="1"/>
  <c r="S14" i="17"/>
  <c r="T14" i="17"/>
  <c r="U14" i="17"/>
  <c r="BK14" i="17" s="1"/>
  <c r="L16" i="17"/>
  <c r="B16" i="17"/>
  <c r="B16" i="4" s="1"/>
  <c r="M16" i="17"/>
  <c r="C16" i="17" s="1"/>
  <c r="C16" i="4" s="1"/>
  <c r="N16" i="17"/>
  <c r="O16" i="17"/>
  <c r="AY16" i="17" s="1"/>
  <c r="P16" i="17"/>
  <c r="Q16" i="17"/>
  <c r="R16" i="17"/>
  <c r="BE16" i="17"/>
  <c r="AR16" i="17" s="1"/>
  <c r="S16" i="17"/>
  <c r="T16" i="17"/>
  <c r="BH16" i="17" s="1"/>
  <c r="U16" i="17"/>
  <c r="BJ16" i="17" s="1"/>
  <c r="L17" i="17"/>
  <c r="B17" i="17" s="1"/>
  <c r="B17" i="4" s="1"/>
  <c r="M17" i="17"/>
  <c r="C17" i="17"/>
  <c r="C17" i="4"/>
  <c r="N17" i="17"/>
  <c r="AW17" i="17" s="1"/>
  <c r="AN17" i="17" s="1"/>
  <c r="O17" i="17"/>
  <c r="P17" i="17"/>
  <c r="Q17" i="17"/>
  <c r="BB17" i="17" s="1"/>
  <c r="R17" i="17"/>
  <c r="BE17" i="17" s="1"/>
  <c r="AR17" i="17" s="1"/>
  <c r="S17" i="17"/>
  <c r="T17" i="17"/>
  <c r="U17" i="17"/>
  <c r="L18" i="17"/>
  <c r="B18" i="17" s="1"/>
  <c r="B18" i="4" s="1"/>
  <c r="M18" i="17"/>
  <c r="C18" i="17" s="1"/>
  <c r="C18" i="4" s="1"/>
  <c r="N18" i="17"/>
  <c r="O18" i="17"/>
  <c r="P18" i="17"/>
  <c r="Q18" i="17"/>
  <c r="BC18" i="17" s="1"/>
  <c r="AQ18" i="17" s="1"/>
  <c r="R18" i="17"/>
  <c r="S18" i="17"/>
  <c r="T18" i="17"/>
  <c r="BH18" i="17" s="1"/>
  <c r="U18" i="17"/>
  <c r="L19" i="17"/>
  <c r="M19" i="17"/>
  <c r="C19" i="17" s="1"/>
  <c r="C19" i="4" s="1"/>
  <c r="N19" i="17"/>
  <c r="AV19" i="17"/>
  <c r="O19" i="17"/>
  <c r="P19" i="17"/>
  <c r="BA19" i="17" s="1"/>
  <c r="AP19" i="17" s="1"/>
  <c r="Q19" i="17"/>
  <c r="BC19" i="17" s="1"/>
  <c r="AQ19" i="17" s="1"/>
  <c r="R19" i="17"/>
  <c r="S19" i="17"/>
  <c r="BG19" i="17" s="1"/>
  <c r="AS19" i="17" s="1"/>
  <c r="T19" i="17"/>
  <c r="BH19" i="17"/>
  <c r="U19" i="17"/>
  <c r="BK19" i="17" s="1"/>
  <c r="AU19" i="17" s="1"/>
  <c r="L20" i="17"/>
  <c r="B20" i="17" s="1"/>
  <c r="B20" i="4" s="1"/>
  <c r="M20" i="17"/>
  <c r="C20" i="17" s="1"/>
  <c r="C20" i="4" s="1"/>
  <c r="N20" i="17"/>
  <c r="AV20" i="17"/>
  <c r="AW20" i="17"/>
  <c r="AN20" i="17" s="1"/>
  <c r="O20" i="17"/>
  <c r="AY20" i="17" s="1"/>
  <c r="AO20" i="17" s="1"/>
  <c r="P20" i="17"/>
  <c r="Q20" i="17"/>
  <c r="BB20" i="17" s="1"/>
  <c r="R20" i="17"/>
  <c r="BE20" i="17" s="1"/>
  <c r="AR20" i="17" s="1"/>
  <c r="S20" i="17"/>
  <c r="BG20" i="17" s="1"/>
  <c r="AS20" i="17" s="1"/>
  <c r="T20" i="17"/>
  <c r="U20" i="17"/>
  <c r="BJ20" i="17" s="1"/>
  <c r="L21" i="17"/>
  <c r="B21" i="17" s="1"/>
  <c r="B21" i="4" s="1"/>
  <c r="M21" i="17"/>
  <c r="C21" i="17" s="1"/>
  <c r="C21" i="4" s="1"/>
  <c r="N21" i="17"/>
  <c r="O21" i="17"/>
  <c r="P21" i="17"/>
  <c r="AZ21" i="17" s="1"/>
  <c r="Q21" i="17"/>
  <c r="BB21" i="17" s="1"/>
  <c r="R21" i="17"/>
  <c r="S21" i="17"/>
  <c r="T21" i="17"/>
  <c r="U21" i="17"/>
  <c r="BJ21" i="17" s="1"/>
  <c r="L22" i="17"/>
  <c r="B22" i="17" s="1"/>
  <c r="B22" i="4" s="1"/>
  <c r="M22" i="17"/>
  <c r="C22" i="17" s="1"/>
  <c r="C22" i="4" s="1"/>
  <c r="N22" i="17"/>
  <c r="O22" i="17"/>
  <c r="AX22" i="17" s="1"/>
  <c r="P22" i="17"/>
  <c r="BA22" i="17" s="1"/>
  <c r="AP22" i="17" s="1"/>
  <c r="Q22" i="17"/>
  <c r="R22" i="17"/>
  <c r="S22" i="17"/>
  <c r="BD22" i="17" s="1"/>
  <c r="T22" i="17"/>
  <c r="BH22" i="17"/>
  <c r="U22" i="17"/>
  <c r="BK22" i="17" s="1"/>
  <c r="L23" i="17"/>
  <c r="B23" i="17"/>
  <c r="B23" i="4" s="1"/>
  <c r="M23" i="17"/>
  <c r="C23" i="17" s="1"/>
  <c r="C23" i="4" s="1"/>
  <c r="N23" i="17"/>
  <c r="O23" i="17"/>
  <c r="P23" i="17"/>
  <c r="Q23" i="17"/>
  <c r="BC23" i="17" s="1"/>
  <c r="AQ23" i="17" s="1"/>
  <c r="R23" i="17"/>
  <c r="BE23" i="17" s="1"/>
  <c r="AR23" i="17" s="1"/>
  <c r="S23" i="17"/>
  <c r="T23" i="17"/>
  <c r="BH23" i="17" s="1"/>
  <c r="U23" i="17"/>
  <c r="BK23" i="17" s="1"/>
  <c r="AU23" i="17" s="1"/>
  <c r="L24" i="17"/>
  <c r="B24" i="17" s="1"/>
  <c r="B24" i="4" s="1"/>
  <c r="M24" i="17"/>
  <c r="C24" i="17" s="1"/>
  <c r="C24" i="4" s="1"/>
  <c r="N24" i="17"/>
  <c r="AW24" i="17"/>
  <c r="AN24" i="17"/>
  <c r="O24" i="17"/>
  <c r="AY24" i="17" s="1"/>
  <c r="AO24" i="17" s="1"/>
  <c r="P24" i="17"/>
  <c r="Q24" i="17"/>
  <c r="R24" i="17"/>
  <c r="S24" i="17"/>
  <c r="BG24" i="17" s="1"/>
  <c r="AS24" i="17" s="1"/>
  <c r="T24" i="17"/>
  <c r="BH24" i="17" s="1"/>
  <c r="U24" i="17"/>
  <c r="L25" i="17"/>
  <c r="M25" i="17"/>
  <c r="C25" i="17" s="1"/>
  <c r="C25" i="4" s="1"/>
  <c r="N25" i="17"/>
  <c r="AW25" i="17" s="1"/>
  <c r="AN25" i="17" s="1"/>
  <c r="O25" i="17"/>
  <c r="P25" i="17"/>
  <c r="AZ25" i="17" s="1"/>
  <c r="Q25" i="17"/>
  <c r="BB25" i="17" s="1"/>
  <c r="R25" i="17"/>
  <c r="BE25" i="17" s="1"/>
  <c r="AR25" i="17" s="1"/>
  <c r="S25" i="17"/>
  <c r="BD25" i="17" s="1"/>
  <c r="T25" i="17"/>
  <c r="U25" i="17"/>
  <c r="L26" i="17"/>
  <c r="B26" i="17" s="1"/>
  <c r="B26" i="4" s="1"/>
  <c r="M26" i="17"/>
  <c r="C26" i="17"/>
  <c r="C26" i="4" s="1"/>
  <c r="N26" i="17"/>
  <c r="AW26" i="17" s="1"/>
  <c r="O26" i="17"/>
  <c r="P26" i="17"/>
  <c r="AZ26" i="17" s="1"/>
  <c r="AP26" i="17" s="1"/>
  <c r="Q26" i="17"/>
  <c r="BC26" i="17" s="1"/>
  <c r="R26" i="17"/>
  <c r="BE26" i="17" s="1"/>
  <c r="S26" i="17"/>
  <c r="BF26" i="17"/>
  <c r="AS26" i="17"/>
  <c r="T26" i="17"/>
  <c r="U26" i="17"/>
  <c r="BJ26" i="17" s="1"/>
  <c r="L27" i="17"/>
  <c r="B27" i="17" s="1"/>
  <c r="B27" i="4" s="1"/>
  <c r="M27" i="17"/>
  <c r="C27" i="17" s="1"/>
  <c r="C27" i="4" s="1"/>
  <c r="N27" i="17"/>
  <c r="AW27" i="17" s="1"/>
  <c r="AV27" i="17"/>
  <c r="AN27" i="17" s="1"/>
  <c r="O27" i="17"/>
  <c r="AX27" i="17" s="1"/>
  <c r="AO27" i="17" s="1"/>
  <c r="P27" i="17"/>
  <c r="AZ27" i="17" s="1"/>
  <c r="AP27" i="17" s="1"/>
  <c r="Q27" i="17"/>
  <c r="BC27" i="17" s="1"/>
  <c r="R27" i="17"/>
  <c r="BE27" i="17" s="1"/>
  <c r="S27" i="17"/>
  <c r="T27" i="17"/>
  <c r="BH27" i="17" s="1"/>
  <c r="U27" i="17"/>
  <c r="BJ27" i="17" s="1"/>
  <c r="L28" i="17"/>
  <c r="B28" i="17" s="1"/>
  <c r="B28" i="4" s="1"/>
  <c r="M28" i="17"/>
  <c r="C28" i="17" s="1"/>
  <c r="C28" i="4" s="1"/>
  <c r="N28" i="17"/>
  <c r="O28" i="17"/>
  <c r="AY28" i="17" s="1"/>
  <c r="AO28" i="17" s="1"/>
  <c r="P28" i="17"/>
  <c r="AZ28" i="17" s="1"/>
  <c r="Q28" i="17"/>
  <c r="BC28" i="17" s="1"/>
  <c r="AQ28" i="17" s="1"/>
  <c r="R28" i="17"/>
  <c r="BE28" i="17"/>
  <c r="AR28" i="17" s="1"/>
  <c r="S28" i="17"/>
  <c r="BG28" i="17" s="1"/>
  <c r="AS28" i="17" s="1"/>
  <c r="T28" i="17"/>
  <c r="BI28" i="17" s="1"/>
  <c r="AT28" i="17" s="1"/>
  <c r="U28" i="17"/>
  <c r="BK28" i="17" s="1"/>
  <c r="AU28" i="17" s="1"/>
  <c r="L29" i="17"/>
  <c r="B29" i="17" s="1"/>
  <c r="B29" i="4" s="1"/>
  <c r="M29" i="17"/>
  <c r="C29" i="17"/>
  <c r="C29" i="4" s="1"/>
  <c r="N29" i="17"/>
  <c r="AV29" i="17" s="1"/>
  <c r="O29" i="17"/>
  <c r="P29" i="17"/>
  <c r="BA29" i="17" s="1"/>
  <c r="AP29" i="17" s="1"/>
  <c r="Q29" i="17"/>
  <c r="R29" i="17"/>
  <c r="BE29" i="17"/>
  <c r="AR29" i="17" s="1"/>
  <c r="S29" i="17"/>
  <c r="T29" i="17"/>
  <c r="U29" i="17"/>
  <c r="BJ29" i="17" s="1"/>
  <c r="L30" i="17"/>
  <c r="B30" i="17" s="1"/>
  <c r="B30" i="4" s="1"/>
  <c r="M30" i="17"/>
  <c r="C30" i="17" s="1"/>
  <c r="C30" i="4" s="1"/>
  <c r="N30" i="17"/>
  <c r="O30" i="17"/>
  <c r="P30" i="17"/>
  <c r="AZ30" i="17"/>
  <c r="Q30" i="17"/>
  <c r="BB30" i="17" s="1"/>
  <c r="R30" i="17"/>
  <c r="BE30" i="17"/>
  <c r="AR30" i="17"/>
  <c r="S30" i="17"/>
  <c r="T30" i="17"/>
  <c r="U30" i="17"/>
  <c r="BJ30" i="17" s="1"/>
  <c r="L31" i="17"/>
  <c r="B31" i="17" s="1"/>
  <c r="B31" i="4" s="1"/>
  <c r="M31" i="17"/>
  <c r="C31" i="17" s="1"/>
  <c r="C31" i="4" s="1"/>
  <c r="N31" i="17"/>
  <c r="AW31" i="17" s="1"/>
  <c r="AN31" i="17" s="1"/>
  <c r="O31" i="17"/>
  <c r="P31" i="17"/>
  <c r="AZ31" i="17" s="1"/>
  <c r="Q31" i="17"/>
  <c r="BC31" i="17"/>
  <c r="AQ31" i="17"/>
  <c r="R31" i="17"/>
  <c r="BE31" i="17" s="1"/>
  <c r="AR31" i="17" s="1"/>
  <c r="S31" i="17"/>
  <c r="BD31" i="17" s="1"/>
  <c r="T31" i="17"/>
  <c r="BI31" i="17" s="1"/>
  <c r="AT31" i="17" s="1"/>
  <c r="U31" i="17"/>
  <c r="L32" i="17"/>
  <c r="B32" i="17" s="1"/>
  <c r="B32" i="4" s="1"/>
  <c r="M32" i="17"/>
  <c r="C32" i="17" s="1"/>
  <c r="C32" i="4" s="1"/>
  <c r="N32" i="17"/>
  <c r="O32" i="17"/>
  <c r="AY32" i="17" s="1"/>
  <c r="AO32" i="17" s="1"/>
  <c r="P32" i="17"/>
  <c r="AZ32" i="17"/>
  <c r="Q32" i="17"/>
  <c r="R32" i="17"/>
  <c r="BE32" i="17" s="1"/>
  <c r="AR32" i="17" s="1"/>
  <c r="S32" i="17"/>
  <c r="BD32" i="17" s="1"/>
  <c r="T32" i="17"/>
  <c r="BH32" i="17" s="1"/>
  <c r="U32" i="17"/>
  <c r="BJ32" i="17" s="1"/>
  <c r="L33" i="17"/>
  <c r="B33" i="17" s="1"/>
  <c r="B33" i="4" s="1"/>
  <c r="M33" i="17"/>
  <c r="C33" i="17" s="1"/>
  <c r="C33" i="4" s="1"/>
  <c r="N33" i="17"/>
  <c r="AW33" i="17" s="1"/>
  <c r="AN33" i="17" s="1"/>
  <c r="O33" i="17"/>
  <c r="P33" i="17"/>
  <c r="Q33" i="17"/>
  <c r="BB33" i="17" s="1"/>
  <c r="R33" i="17"/>
  <c r="S33" i="17"/>
  <c r="BD33" i="17" s="1"/>
  <c r="T33" i="17"/>
  <c r="BI33" i="17" s="1"/>
  <c r="AT33" i="17" s="1"/>
  <c r="U33" i="17"/>
  <c r="BK33" i="17" s="1"/>
  <c r="AU33" i="17" s="1"/>
  <c r="L34" i="17"/>
  <c r="B34" i="17" s="1"/>
  <c r="B34" i="4" s="1"/>
  <c r="M34" i="17"/>
  <c r="C34" i="17" s="1"/>
  <c r="C34" i="4" s="1"/>
  <c r="N34" i="17"/>
  <c r="O34" i="17"/>
  <c r="P34" i="17"/>
  <c r="Q34" i="17"/>
  <c r="BC34" i="17" s="1"/>
  <c r="AQ34" i="17" s="1"/>
  <c r="R34" i="17"/>
  <c r="BE34" i="17" s="1"/>
  <c r="AR34" i="17" s="1"/>
  <c r="S34" i="17"/>
  <c r="BG34" i="17" s="1"/>
  <c r="AS34" i="17" s="1"/>
  <c r="T34" i="17"/>
  <c r="BH34" i="17" s="1"/>
  <c r="U34" i="17"/>
  <c r="BJ34" i="17" s="1"/>
  <c r="L35" i="17"/>
  <c r="B35" i="17"/>
  <c r="B35" i="4" s="1"/>
  <c r="M35" i="17"/>
  <c r="C35" i="17" s="1"/>
  <c r="C35" i="4" s="1"/>
  <c r="N35" i="17"/>
  <c r="O35" i="17"/>
  <c r="P35" i="17"/>
  <c r="AZ35" i="17" s="1"/>
  <c r="Q35" i="17"/>
  <c r="R35" i="17"/>
  <c r="BE35" i="17" s="1"/>
  <c r="AR35" i="17" s="1"/>
  <c r="S35" i="17"/>
  <c r="BF35" i="17" s="1"/>
  <c r="T35" i="17"/>
  <c r="U35" i="17"/>
  <c r="BK35" i="17"/>
  <c r="AU35" i="17" s="1"/>
  <c r="L36" i="17"/>
  <c r="B36" i="17" s="1"/>
  <c r="B36" i="4" s="1"/>
  <c r="M36" i="17"/>
  <c r="C36" i="17"/>
  <c r="C36" i="4" s="1"/>
  <c r="N36" i="17"/>
  <c r="O36" i="17"/>
  <c r="AY36" i="17" s="1"/>
  <c r="AO36" i="17" s="1"/>
  <c r="P36" i="17"/>
  <c r="Q36" i="17"/>
  <c r="BC36" i="17" s="1"/>
  <c r="AQ36" i="17" s="1"/>
  <c r="R36" i="17"/>
  <c r="BE36" i="17" s="1"/>
  <c r="AR36" i="17" s="1"/>
  <c r="S36" i="17"/>
  <c r="BF36" i="17" s="1"/>
  <c r="T36" i="17"/>
  <c r="U36" i="17"/>
  <c r="BK36" i="17" s="1"/>
  <c r="AU36" i="17" s="1"/>
  <c r="L37" i="17"/>
  <c r="B37" i="17" s="1"/>
  <c r="B37" i="4" s="1"/>
  <c r="M37" i="17"/>
  <c r="C37" i="17"/>
  <c r="C37" i="4" s="1"/>
  <c r="N37" i="17"/>
  <c r="O37" i="17"/>
  <c r="P37" i="17"/>
  <c r="BA37" i="17" s="1"/>
  <c r="AP37" i="17" s="1"/>
  <c r="Q37" i="17"/>
  <c r="R37" i="17"/>
  <c r="BE37" i="17" s="1"/>
  <c r="AR37" i="17" s="1"/>
  <c r="S37" i="17"/>
  <c r="BG37" i="17" s="1"/>
  <c r="AS37" i="17" s="1"/>
  <c r="T37" i="17"/>
  <c r="BH37" i="17" s="1"/>
  <c r="U37" i="17"/>
  <c r="BJ37" i="17" s="1"/>
  <c r="L40" i="17"/>
  <c r="B40" i="17" s="1"/>
  <c r="B40" i="4" s="1"/>
  <c r="M40" i="17"/>
  <c r="C40" i="17" s="1"/>
  <c r="C40" i="4" s="1"/>
  <c r="N40" i="17"/>
  <c r="AW40" i="17"/>
  <c r="AN40" i="17" s="1"/>
  <c r="O40" i="17"/>
  <c r="P40" i="17"/>
  <c r="Q40" i="17"/>
  <c r="R40" i="17"/>
  <c r="BE40" i="17" s="1"/>
  <c r="AR40" i="17" s="1"/>
  <c r="S40" i="17"/>
  <c r="BG40" i="17" s="1"/>
  <c r="AS40" i="17" s="1"/>
  <c r="BF40" i="17"/>
  <c r="BD40" i="17"/>
  <c r="T40" i="17"/>
  <c r="BI40" i="17" s="1"/>
  <c r="AT40" i="17" s="1"/>
  <c r="U40" i="17"/>
  <c r="L41" i="17"/>
  <c r="B41" i="17" s="1"/>
  <c r="B41" i="4" s="1"/>
  <c r="M41" i="17"/>
  <c r="C41" i="17"/>
  <c r="C41" i="4" s="1"/>
  <c r="N41" i="17"/>
  <c r="AV41" i="17" s="1"/>
  <c r="O41" i="17"/>
  <c r="P41" i="17"/>
  <c r="AZ41" i="17" s="1"/>
  <c r="Q41" i="17"/>
  <c r="BC41" i="17" s="1"/>
  <c r="R41" i="17"/>
  <c r="BE41" i="17" s="1"/>
  <c r="S41" i="17"/>
  <c r="T41" i="17"/>
  <c r="BI41" i="17"/>
  <c r="AT41" i="17" s="1"/>
  <c r="U41" i="17"/>
  <c r="L42" i="17"/>
  <c r="B42" i="17"/>
  <c r="B42" i="4" s="1"/>
  <c r="M42" i="17"/>
  <c r="C42" i="17" s="1"/>
  <c r="C42" i="4" s="1"/>
  <c r="N42" i="17"/>
  <c r="O42" i="17"/>
  <c r="AY42" i="17" s="1"/>
  <c r="AO42" i="17" s="1"/>
  <c r="P42" i="17"/>
  <c r="Q42" i="17"/>
  <c r="BB42" i="17" s="1"/>
  <c r="R42" i="17"/>
  <c r="BE42" i="17" s="1"/>
  <c r="AR42" i="17" s="1"/>
  <c r="S42" i="17"/>
  <c r="T42" i="17"/>
  <c r="U42" i="17"/>
  <c r="BJ42" i="17"/>
  <c r="L43" i="17"/>
  <c r="B43" i="17" s="1"/>
  <c r="B43" i="4" s="1"/>
  <c r="M43" i="17"/>
  <c r="C43" i="17" s="1"/>
  <c r="C43" i="4" s="1"/>
  <c r="N43" i="17"/>
  <c r="O43" i="17"/>
  <c r="AX43" i="17" s="1"/>
  <c r="P43" i="17"/>
  <c r="AZ43" i="17" s="1"/>
  <c r="Q43" i="17"/>
  <c r="R43" i="17"/>
  <c r="BE43" i="17" s="1"/>
  <c r="AR43" i="17" s="1"/>
  <c r="S43" i="17"/>
  <c r="T43" i="17"/>
  <c r="BI43" i="17" s="1"/>
  <c r="AT43" i="17" s="1"/>
  <c r="U43" i="17"/>
  <c r="L45" i="17"/>
  <c r="B45" i="17" s="1"/>
  <c r="B45" i="4" s="1"/>
  <c r="M45" i="17"/>
  <c r="C45" i="17" s="1"/>
  <c r="C45" i="4" s="1"/>
  <c r="N45" i="17"/>
  <c r="O45" i="17"/>
  <c r="AX45" i="17" s="1"/>
  <c r="P45" i="17"/>
  <c r="AZ45" i="17" s="1"/>
  <c r="AP45" i="17" s="1"/>
  <c r="Q45" i="17"/>
  <c r="BC45" i="17" s="1"/>
  <c r="R45" i="17"/>
  <c r="BE45" i="17" s="1"/>
  <c r="S45" i="17"/>
  <c r="BF45" i="17" s="1"/>
  <c r="AS45" i="17" s="1"/>
  <c r="T45" i="17"/>
  <c r="BH45" i="17"/>
  <c r="AT45" i="17" s="1"/>
  <c r="U45" i="17"/>
  <c r="BK45" i="17" s="1"/>
  <c r="L46" i="17"/>
  <c r="B46" i="17"/>
  <c r="B46" i="4" s="1"/>
  <c r="M46" i="17"/>
  <c r="C46" i="17" s="1"/>
  <c r="C46" i="4" s="1"/>
  <c r="N46" i="17"/>
  <c r="O46" i="17"/>
  <c r="P46" i="17"/>
  <c r="AZ46" i="17" s="1"/>
  <c r="AP46" i="17" s="1"/>
  <c r="Q46" i="17"/>
  <c r="R46" i="17"/>
  <c r="BE46" i="17" s="1"/>
  <c r="S46" i="17"/>
  <c r="BG46" i="17" s="1"/>
  <c r="T46" i="17"/>
  <c r="BH46" i="17" s="1"/>
  <c r="AT46" i="17" s="1"/>
  <c r="U46" i="17"/>
  <c r="L47" i="17"/>
  <c r="B47" i="17" s="1"/>
  <c r="B47" i="4" s="1"/>
  <c r="M47" i="17"/>
  <c r="C47" i="17" s="1"/>
  <c r="C47" i="4" s="1"/>
  <c r="N47" i="17"/>
  <c r="O47" i="17"/>
  <c r="P47" i="17"/>
  <c r="Q47" i="17"/>
  <c r="R47" i="17"/>
  <c r="BE47" i="17"/>
  <c r="S47" i="17"/>
  <c r="BD47" i="17" s="1"/>
  <c r="AR47" i="17" s="1"/>
  <c r="T47" i="17"/>
  <c r="BI47" i="17" s="1"/>
  <c r="U47" i="17"/>
  <c r="L48" i="17"/>
  <c r="B48" i="17" s="1"/>
  <c r="B48" i="4" s="1"/>
  <c r="M48" i="17"/>
  <c r="C48" i="17"/>
  <c r="C48" i="4"/>
  <c r="N48" i="17"/>
  <c r="AW48" i="17" s="1"/>
  <c r="AN48" i="17" s="1"/>
  <c r="O48" i="17"/>
  <c r="AY48" i="17" s="1"/>
  <c r="AO48" i="17" s="1"/>
  <c r="P48" i="17"/>
  <c r="BA48" i="17"/>
  <c r="AP48" i="17" s="1"/>
  <c r="Q48" i="17"/>
  <c r="BC48" i="17" s="1"/>
  <c r="AQ48" i="17" s="1"/>
  <c r="R48" i="17"/>
  <c r="BE48" i="17" s="1"/>
  <c r="AR48" i="17" s="1"/>
  <c r="S48" i="17"/>
  <c r="T48" i="17"/>
  <c r="U48" i="17"/>
  <c r="BK48" i="17"/>
  <c r="AU48" i="17" s="1"/>
  <c r="L49" i="17"/>
  <c r="B49" i="17" s="1"/>
  <c r="B49" i="4" s="1"/>
  <c r="M49" i="17"/>
  <c r="C49" i="17" s="1"/>
  <c r="C49" i="4" s="1"/>
  <c r="N49" i="17"/>
  <c r="O49" i="17"/>
  <c r="AY49" i="17" s="1"/>
  <c r="AO49" i="17" s="1"/>
  <c r="P49" i="17"/>
  <c r="Q49" i="17"/>
  <c r="R49" i="17"/>
  <c r="BE49" i="17" s="1"/>
  <c r="AR49" i="17" s="1"/>
  <c r="S49" i="17"/>
  <c r="T49" i="17"/>
  <c r="U49" i="17"/>
  <c r="BK49" i="17" s="1"/>
  <c r="AU49" i="17" s="1"/>
  <c r="L50" i="17"/>
  <c r="B50" i="17" s="1"/>
  <c r="B50" i="4" s="1"/>
  <c r="M50" i="17"/>
  <c r="C50" i="17" s="1"/>
  <c r="C50" i="4" s="1"/>
  <c r="N50" i="17"/>
  <c r="O50" i="17"/>
  <c r="AY50" i="17" s="1"/>
  <c r="AO50" i="17" s="1"/>
  <c r="P50" i="17"/>
  <c r="AZ50" i="17" s="1"/>
  <c r="Q50" i="17"/>
  <c r="BC50" i="17" s="1"/>
  <c r="AQ50" i="17" s="1"/>
  <c r="R50" i="17"/>
  <c r="BE50" i="17" s="1"/>
  <c r="AR50" i="17" s="1"/>
  <c r="S50" i="17"/>
  <c r="T50" i="17"/>
  <c r="U50" i="17"/>
  <c r="BJ50" i="17" s="1"/>
  <c r="L51" i="17"/>
  <c r="M51" i="17"/>
  <c r="C51" i="17" s="1"/>
  <c r="C51" i="4" s="1"/>
  <c r="N51" i="17"/>
  <c r="AV51" i="17" s="1"/>
  <c r="O51" i="17"/>
  <c r="AX51" i="17" s="1"/>
  <c r="P51" i="17"/>
  <c r="BA51" i="17" s="1"/>
  <c r="AP51" i="17" s="1"/>
  <c r="Q51" i="17"/>
  <c r="R51" i="17"/>
  <c r="BE51" i="17" s="1"/>
  <c r="AR51" i="17" s="1"/>
  <c r="S51" i="17"/>
  <c r="BF51" i="17" s="1"/>
  <c r="T51" i="17"/>
  <c r="BH51" i="17" s="1"/>
  <c r="U51" i="17"/>
  <c r="L52" i="17"/>
  <c r="B52" i="17" s="1"/>
  <c r="B52" i="4" s="1"/>
  <c r="M52" i="17"/>
  <c r="C52" i="17"/>
  <c r="C52" i="4" s="1"/>
  <c r="N52" i="17"/>
  <c r="O52" i="17"/>
  <c r="AY52" i="17"/>
  <c r="P52" i="17"/>
  <c r="Q52" i="17"/>
  <c r="BB52" i="17"/>
  <c r="AQ52" i="17"/>
  <c r="R52" i="17"/>
  <c r="BE52" i="17" s="1"/>
  <c r="S52" i="17"/>
  <c r="BG52" i="17" s="1"/>
  <c r="T52" i="17"/>
  <c r="U52" i="17"/>
  <c r="BJ52" i="17" s="1"/>
  <c r="L54" i="17"/>
  <c r="B54" i="17" s="1"/>
  <c r="B54" i="4" s="1"/>
  <c r="M54" i="17"/>
  <c r="C54" i="17" s="1"/>
  <c r="C54" i="4" s="1"/>
  <c r="N54" i="17"/>
  <c r="AV54" i="17" s="1"/>
  <c r="O54" i="17"/>
  <c r="P54" i="17"/>
  <c r="Q54" i="17"/>
  <c r="BB54" i="17" s="1"/>
  <c r="R54" i="17"/>
  <c r="BE54" i="17" s="1"/>
  <c r="AR54" i="17" s="1"/>
  <c r="S54" i="17"/>
  <c r="T54" i="17"/>
  <c r="BI54" i="17" s="1"/>
  <c r="AT54" i="17" s="1"/>
  <c r="U54" i="17"/>
  <c r="BJ54" i="17"/>
  <c r="L55" i="17"/>
  <c r="B55" i="17" s="1"/>
  <c r="B55" i="4" s="1"/>
  <c r="M55" i="17"/>
  <c r="C55" i="17" s="1"/>
  <c r="C55" i="4" s="1"/>
  <c r="N55" i="17"/>
  <c r="O55" i="17"/>
  <c r="AY55" i="17" s="1"/>
  <c r="AO55" i="17" s="1"/>
  <c r="P55" i="17"/>
  <c r="Q55" i="17"/>
  <c r="BC55" i="17" s="1"/>
  <c r="AQ55" i="17" s="1"/>
  <c r="R55" i="17"/>
  <c r="BE55" i="17" s="1"/>
  <c r="AR55" i="17" s="1"/>
  <c r="S55" i="17"/>
  <c r="BD55" i="17" s="1"/>
  <c r="T55" i="17"/>
  <c r="BI55" i="17" s="1"/>
  <c r="AT55" i="17" s="1"/>
  <c r="U55" i="17"/>
  <c r="BK55" i="17" s="1"/>
  <c r="AU55" i="17" s="1"/>
  <c r="BJ55" i="17"/>
  <c r="L56" i="17"/>
  <c r="B56" i="17" s="1"/>
  <c r="B56" i="4" s="1"/>
  <c r="M56" i="17"/>
  <c r="C56" i="17"/>
  <c r="C56" i="4" s="1"/>
  <c r="N56" i="17"/>
  <c r="O56" i="17"/>
  <c r="AX56" i="17" s="1"/>
  <c r="P56" i="17"/>
  <c r="AZ56" i="17" s="1"/>
  <c r="Q56" i="17"/>
  <c r="BC56" i="17" s="1"/>
  <c r="AQ56" i="17" s="1"/>
  <c r="R56" i="17"/>
  <c r="BE56" i="17" s="1"/>
  <c r="AR56" i="17" s="1"/>
  <c r="S56" i="17"/>
  <c r="BD56" i="17" s="1"/>
  <c r="T56" i="17"/>
  <c r="U56" i="17"/>
  <c r="L57" i="17"/>
  <c r="B57" i="17" s="1"/>
  <c r="B57" i="4" s="1"/>
  <c r="M57" i="17"/>
  <c r="C57" i="17" s="1"/>
  <c r="C57" i="4" s="1"/>
  <c r="N57" i="17"/>
  <c r="O57" i="17"/>
  <c r="AY57" i="17"/>
  <c r="AO57" i="17" s="1"/>
  <c r="P57" i="17"/>
  <c r="AZ57" i="17" s="1"/>
  <c r="Q57" i="17"/>
  <c r="R57" i="17"/>
  <c r="BE57" i="17" s="1"/>
  <c r="AR57" i="17" s="1"/>
  <c r="S57" i="17"/>
  <c r="T57" i="17"/>
  <c r="BH57" i="17" s="1"/>
  <c r="U57" i="17"/>
  <c r="L58" i="17"/>
  <c r="B58" i="17"/>
  <c r="B58" i="4" s="1"/>
  <c r="M58" i="17"/>
  <c r="C58" i="17" s="1"/>
  <c r="C58" i="4" s="1"/>
  <c r="N58" i="17"/>
  <c r="AV58" i="17" s="1"/>
  <c r="O58" i="17"/>
  <c r="AY58" i="17" s="1"/>
  <c r="AO58" i="17" s="1"/>
  <c r="P58" i="17"/>
  <c r="AZ58" i="17" s="1"/>
  <c r="Q58" i="17"/>
  <c r="BB58" i="17" s="1"/>
  <c r="R58" i="17"/>
  <c r="BE58" i="17"/>
  <c r="AR58" i="17"/>
  <c r="S58" i="17"/>
  <c r="BG58" i="17" s="1"/>
  <c r="AS58" i="17" s="1"/>
  <c r="T58" i="17"/>
  <c r="BH58" i="17" s="1"/>
  <c r="U58" i="17"/>
  <c r="BJ58" i="17" s="1"/>
  <c r="L60" i="17"/>
  <c r="B60" i="17" s="1"/>
  <c r="B60" i="4" s="1"/>
  <c r="M60" i="17"/>
  <c r="C60" i="17" s="1"/>
  <c r="C60" i="4" s="1"/>
  <c r="N60" i="17"/>
  <c r="AW60" i="17" s="1"/>
  <c r="AN60" i="17" s="1"/>
  <c r="O60" i="17"/>
  <c r="AY60" i="17" s="1"/>
  <c r="AO60" i="17" s="1"/>
  <c r="P60" i="17"/>
  <c r="BA60" i="17" s="1"/>
  <c r="AP60" i="17" s="1"/>
  <c r="Q60" i="17"/>
  <c r="BB60" i="17" s="1"/>
  <c r="R60" i="17"/>
  <c r="BE60" i="17" s="1"/>
  <c r="AR60" i="17" s="1"/>
  <c r="S60" i="17"/>
  <c r="T60" i="17"/>
  <c r="U60" i="17"/>
  <c r="BJ60" i="17"/>
  <c r="L61" i="17"/>
  <c r="B61" i="17" s="1"/>
  <c r="B61" i="4" s="1"/>
  <c r="M61" i="17"/>
  <c r="C61" i="17" s="1"/>
  <c r="C61" i="4" s="1"/>
  <c r="N61" i="17"/>
  <c r="O61" i="17"/>
  <c r="P61" i="17"/>
  <c r="AZ61" i="17" s="1"/>
  <c r="Q61" i="17"/>
  <c r="BC61" i="17" s="1"/>
  <c r="AQ61" i="17" s="1"/>
  <c r="R61" i="17"/>
  <c r="BE61" i="17" s="1"/>
  <c r="AR61" i="17" s="1"/>
  <c r="S61" i="17"/>
  <c r="T61" i="17"/>
  <c r="BI61" i="17" s="1"/>
  <c r="AT61" i="17" s="1"/>
  <c r="U61" i="17"/>
  <c r="BJ61" i="17" s="1"/>
  <c r="L62" i="17"/>
  <c r="B62" i="17"/>
  <c r="B62" i="4" s="1"/>
  <c r="M62" i="17"/>
  <c r="C62" i="17" s="1"/>
  <c r="C62" i="4" s="1"/>
  <c r="N62" i="17"/>
  <c r="AW62" i="17" s="1"/>
  <c r="AN62" i="17" s="1"/>
  <c r="O62" i="17"/>
  <c r="AX62" i="17" s="1"/>
  <c r="P62" i="17"/>
  <c r="Q62" i="17"/>
  <c r="R62" i="17"/>
  <c r="BE62" i="17" s="1"/>
  <c r="AR62" i="17" s="1"/>
  <c r="S62" i="17"/>
  <c r="BF62" i="17" s="1"/>
  <c r="T62" i="17"/>
  <c r="BI62" i="17" s="1"/>
  <c r="AT62" i="17" s="1"/>
  <c r="U62" i="17"/>
  <c r="BJ62" i="17" s="1"/>
  <c r="L63" i="17"/>
  <c r="M63" i="17"/>
  <c r="C63" i="17" s="1"/>
  <c r="C63" i="4" s="1"/>
  <c r="N63" i="17"/>
  <c r="O63" i="17"/>
  <c r="AX63" i="17" s="1"/>
  <c r="P63" i="17"/>
  <c r="AZ63" i="17" s="1"/>
  <c r="Q63" i="17"/>
  <c r="R63" i="17"/>
  <c r="BE63" i="17" s="1"/>
  <c r="AR63" i="17" s="1"/>
  <c r="S63" i="17"/>
  <c r="BD63" i="17" s="1"/>
  <c r="T63" i="17"/>
  <c r="U63" i="17"/>
  <c r="L64" i="17"/>
  <c r="B64" i="17" s="1"/>
  <c r="B64" i="4" s="1"/>
  <c r="M64" i="17"/>
  <c r="C64" i="17" s="1"/>
  <c r="C64" i="4" s="1"/>
  <c r="N64" i="17"/>
  <c r="AW64" i="17" s="1"/>
  <c r="AN64" i="17" s="1"/>
  <c r="O64" i="17"/>
  <c r="AX64" i="17" s="1"/>
  <c r="P64" i="17"/>
  <c r="AZ64" i="17"/>
  <c r="Q64" i="17"/>
  <c r="BC64" i="17" s="1"/>
  <c r="AQ64" i="17" s="1"/>
  <c r="R64" i="17"/>
  <c r="BE64" i="17" s="1"/>
  <c r="AR64" i="17" s="1"/>
  <c r="S64" i="17"/>
  <c r="T64" i="17"/>
  <c r="U64" i="17"/>
  <c r="L65" i="17"/>
  <c r="B65" i="17" s="1"/>
  <c r="B65" i="4" s="1"/>
  <c r="M65" i="17"/>
  <c r="C65" i="17"/>
  <c r="C65" i="4" s="1"/>
  <c r="N65" i="17"/>
  <c r="O65" i="17"/>
  <c r="AX65" i="17" s="1"/>
  <c r="P65" i="17"/>
  <c r="AZ65" i="17" s="1"/>
  <c r="Q65" i="17"/>
  <c r="BB65" i="17" s="1"/>
  <c r="R65" i="17"/>
  <c r="BE65" i="17" s="1"/>
  <c r="AR65" i="17" s="1"/>
  <c r="S65" i="17"/>
  <c r="T65" i="17"/>
  <c r="BH65" i="17" s="1"/>
  <c r="U65" i="17"/>
  <c r="BK65" i="17" s="1"/>
  <c r="AU65" i="17" s="1"/>
  <c r="L66" i="17"/>
  <c r="B66" i="17"/>
  <c r="B66" i="4" s="1"/>
  <c r="M66" i="17"/>
  <c r="C66" i="17" s="1"/>
  <c r="C66" i="4" s="1"/>
  <c r="N66" i="17"/>
  <c r="AW66" i="17" s="1"/>
  <c r="AN66" i="17" s="1"/>
  <c r="AV66" i="17"/>
  <c r="O66" i="17"/>
  <c r="AX66" i="17" s="1"/>
  <c r="P66" i="17"/>
  <c r="Q66" i="17"/>
  <c r="R66" i="17"/>
  <c r="BE66" i="17" s="1"/>
  <c r="AR66" i="17" s="1"/>
  <c r="S66" i="17"/>
  <c r="BD66" i="17" s="1"/>
  <c r="T66" i="17"/>
  <c r="BI66" i="17" s="1"/>
  <c r="AT66" i="17" s="1"/>
  <c r="BH66" i="17"/>
  <c r="U66" i="17"/>
  <c r="L67" i="17"/>
  <c r="B67" i="17" s="1"/>
  <c r="B67" i="4" s="1"/>
  <c r="M67" i="17"/>
  <c r="C67" i="17" s="1"/>
  <c r="C67" i="4" s="1"/>
  <c r="N67" i="17"/>
  <c r="AV67" i="17" s="1"/>
  <c r="O67" i="17"/>
  <c r="P67" i="17"/>
  <c r="AZ67" i="17" s="1"/>
  <c r="Q67" i="17"/>
  <c r="BC67" i="17" s="1"/>
  <c r="AQ67" i="17" s="1"/>
  <c r="R67" i="17"/>
  <c r="S67" i="17"/>
  <c r="BG67" i="17" s="1"/>
  <c r="AS67" i="17" s="1"/>
  <c r="T67" i="17"/>
  <c r="BI67" i="17"/>
  <c r="AT67" i="17" s="1"/>
  <c r="U67" i="17"/>
  <c r="L68" i="17"/>
  <c r="B68" i="17" s="1"/>
  <c r="B68" i="4" s="1"/>
  <c r="M68" i="17"/>
  <c r="C68" i="17" s="1"/>
  <c r="C68" i="4" s="1"/>
  <c r="N68" i="17"/>
  <c r="AW68" i="17" s="1"/>
  <c r="AN68" i="17" s="1"/>
  <c r="O68" i="17"/>
  <c r="AX68" i="17" s="1"/>
  <c r="P68" i="17"/>
  <c r="BA68" i="17" s="1"/>
  <c r="AP68" i="17" s="1"/>
  <c r="Q68" i="17"/>
  <c r="BB68" i="17" s="1"/>
  <c r="R68" i="17"/>
  <c r="BE68" i="17" s="1"/>
  <c r="AR68" i="17" s="1"/>
  <c r="S68" i="17"/>
  <c r="BF68" i="17"/>
  <c r="T68" i="17"/>
  <c r="BI68" i="17" s="1"/>
  <c r="AT68" i="17" s="1"/>
  <c r="U68" i="17"/>
  <c r="L69" i="17"/>
  <c r="B69" i="17" s="1"/>
  <c r="B69" i="4" s="1"/>
  <c r="M69" i="17"/>
  <c r="C69" i="17" s="1"/>
  <c r="C69" i="4" s="1"/>
  <c r="N69" i="17"/>
  <c r="O69" i="17"/>
  <c r="AY69" i="17" s="1"/>
  <c r="AO69" i="17" s="1"/>
  <c r="P69" i="17"/>
  <c r="BA69" i="17" s="1"/>
  <c r="AP69" i="17" s="1"/>
  <c r="Q69" i="17"/>
  <c r="BC69" i="17" s="1"/>
  <c r="AQ69" i="17" s="1"/>
  <c r="R69" i="17"/>
  <c r="BE69" i="17" s="1"/>
  <c r="AR69" i="17" s="1"/>
  <c r="S69" i="17"/>
  <c r="BD69" i="17" s="1"/>
  <c r="T69" i="17"/>
  <c r="U69" i="17"/>
  <c r="L70" i="17"/>
  <c r="B70" i="17" s="1"/>
  <c r="B70" i="4" s="1"/>
  <c r="M70" i="17"/>
  <c r="C70" i="17" s="1"/>
  <c r="C70" i="4" s="1"/>
  <c r="N70" i="17"/>
  <c r="AV70" i="17" s="1"/>
  <c r="O70" i="17"/>
  <c r="AY70" i="17" s="1"/>
  <c r="AO70" i="17" s="1"/>
  <c r="P70" i="17"/>
  <c r="Q70" i="17"/>
  <c r="R70" i="17"/>
  <c r="BE70" i="17" s="1"/>
  <c r="AR70" i="17" s="1"/>
  <c r="S70" i="17"/>
  <c r="BD70" i="17" s="1"/>
  <c r="T70" i="17"/>
  <c r="U70" i="17"/>
  <c r="BJ70" i="17" s="1"/>
  <c r="L71" i="17"/>
  <c r="B71" i="17" s="1"/>
  <c r="B71" i="4" s="1"/>
  <c r="M71" i="17"/>
  <c r="C71" i="17" s="1"/>
  <c r="C71" i="4" s="1"/>
  <c r="N71" i="17"/>
  <c r="O71" i="17"/>
  <c r="AX71" i="17" s="1"/>
  <c r="P71" i="17"/>
  <c r="Q71" i="17"/>
  <c r="BC71" i="17" s="1"/>
  <c r="AQ71" i="17" s="1"/>
  <c r="R71" i="17"/>
  <c r="BE71" i="17" s="1"/>
  <c r="AR71" i="17" s="1"/>
  <c r="S71" i="17"/>
  <c r="BG71" i="17" s="1"/>
  <c r="AS71" i="17" s="1"/>
  <c r="T71" i="17"/>
  <c r="BH71" i="17" s="1"/>
  <c r="U71" i="17"/>
  <c r="BJ71" i="17" s="1"/>
  <c r="L72" i="17"/>
  <c r="B72" i="17" s="1"/>
  <c r="B72" i="4" s="1"/>
  <c r="M72" i="17"/>
  <c r="C72" i="17"/>
  <c r="C72" i="4" s="1"/>
  <c r="N72" i="17"/>
  <c r="AV72" i="17" s="1"/>
  <c r="O72" i="17"/>
  <c r="AX72" i="17" s="1"/>
  <c r="P72" i="17"/>
  <c r="BA72" i="17" s="1"/>
  <c r="AP72" i="17" s="1"/>
  <c r="Q72" i="17"/>
  <c r="BB72" i="17" s="1"/>
  <c r="R72" i="17"/>
  <c r="BE72" i="17" s="1"/>
  <c r="AR72" i="17" s="1"/>
  <c r="S72" i="17"/>
  <c r="BF72" i="17" s="1"/>
  <c r="T72" i="17"/>
  <c r="U72" i="17"/>
  <c r="BK72" i="17" s="1"/>
  <c r="L73" i="17"/>
  <c r="B73" i="17" s="1"/>
  <c r="B73" i="4" s="1"/>
  <c r="M73" i="17"/>
  <c r="C73" i="17"/>
  <c r="C73" i="4" s="1"/>
  <c r="N73" i="17"/>
  <c r="AW73" i="17" s="1"/>
  <c r="AN73" i="17" s="1"/>
  <c r="O73" i="17"/>
  <c r="AY73" i="17" s="1"/>
  <c r="AO73" i="17" s="1"/>
  <c r="P73" i="17"/>
  <c r="BA73" i="17" s="1"/>
  <c r="AP73" i="17" s="1"/>
  <c r="Q73" i="17"/>
  <c r="BB73" i="17" s="1"/>
  <c r="BC73" i="17"/>
  <c r="AQ73" i="17" s="1"/>
  <c r="R73" i="17"/>
  <c r="BE73" i="17"/>
  <c r="AR73" i="17" s="1"/>
  <c r="S73" i="17"/>
  <c r="BF73" i="17" s="1"/>
  <c r="T73" i="17"/>
  <c r="BH73" i="17" s="1"/>
  <c r="U73" i="17"/>
  <c r="BK73" i="17" s="1"/>
  <c r="AU73" i="17" s="1"/>
  <c r="L74" i="17"/>
  <c r="B74" i="17"/>
  <c r="B74" i="4" s="1"/>
  <c r="M74" i="17"/>
  <c r="C74" i="17" s="1"/>
  <c r="C74" i="4" s="1"/>
  <c r="N74" i="17"/>
  <c r="O74" i="17"/>
  <c r="P74" i="17"/>
  <c r="BA74" i="17" s="1"/>
  <c r="AP74" i="17" s="1"/>
  <c r="Q74" i="17"/>
  <c r="R74" i="17"/>
  <c r="BE74" i="17" s="1"/>
  <c r="AR74" i="17" s="1"/>
  <c r="S74" i="17"/>
  <c r="BF74" i="17" s="1"/>
  <c r="T74" i="17"/>
  <c r="BH74" i="17" s="1"/>
  <c r="U74" i="17"/>
  <c r="BK74" i="17" s="1"/>
  <c r="AU74" i="17" s="1"/>
  <c r="L75" i="17"/>
  <c r="B75" i="17"/>
  <c r="B75" i="4" s="1"/>
  <c r="M75" i="17"/>
  <c r="C75" i="17" s="1"/>
  <c r="C75" i="4" s="1"/>
  <c r="N75" i="17"/>
  <c r="AW75" i="17"/>
  <c r="AN75" i="17" s="1"/>
  <c r="O75" i="17"/>
  <c r="P75" i="17"/>
  <c r="Q75" i="17"/>
  <c r="BC75" i="17" s="1"/>
  <c r="R75" i="17"/>
  <c r="BE75" i="17" s="1"/>
  <c r="AR75" i="17" s="1"/>
  <c r="S75" i="17"/>
  <c r="BG75" i="17" s="1"/>
  <c r="AS75" i="17" s="1"/>
  <c r="T75" i="17"/>
  <c r="BH75" i="17" s="1"/>
  <c r="BI75" i="17"/>
  <c r="AT75" i="17" s="1"/>
  <c r="U75" i="17"/>
  <c r="L76" i="17"/>
  <c r="B76" i="17" s="1"/>
  <c r="B76" i="4" s="1"/>
  <c r="M76" i="17"/>
  <c r="C76" i="17" s="1"/>
  <c r="C76" i="4" s="1"/>
  <c r="N76" i="17"/>
  <c r="O76" i="17"/>
  <c r="P76" i="17"/>
  <c r="Q76" i="17"/>
  <c r="BB76" i="17" s="1"/>
  <c r="R76" i="17"/>
  <c r="S76" i="17"/>
  <c r="BF76" i="17" s="1"/>
  <c r="T76" i="17"/>
  <c r="BH76" i="17"/>
  <c r="U76" i="17"/>
  <c r="BJ76" i="17" s="1"/>
  <c r="L77" i="17"/>
  <c r="B77" i="17" s="1"/>
  <c r="B77" i="4" s="1"/>
  <c r="M77" i="17"/>
  <c r="C77" i="17" s="1"/>
  <c r="C77" i="4"/>
  <c r="N77" i="17"/>
  <c r="AW77" i="17" s="1"/>
  <c r="AN77" i="17" s="1"/>
  <c r="O77" i="17"/>
  <c r="AY77" i="17"/>
  <c r="AO77" i="17" s="1"/>
  <c r="P77" i="17"/>
  <c r="Q77" i="17"/>
  <c r="BB77" i="17" s="1"/>
  <c r="R77" i="17"/>
  <c r="BE77" i="17" s="1"/>
  <c r="AR77" i="17" s="1"/>
  <c r="S77" i="17"/>
  <c r="T77" i="17"/>
  <c r="U77" i="17"/>
  <c r="BJ77" i="17" s="1"/>
  <c r="L78" i="17"/>
  <c r="B78" i="17"/>
  <c r="B78" i="4" s="1"/>
  <c r="M78" i="17"/>
  <c r="C78" i="17" s="1"/>
  <c r="C78" i="4" s="1"/>
  <c r="N78" i="17"/>
  <c r="O78" i="17"/>
  <c r="P78" i="17"/>
  <c r="BA78" i="17" s="1"/>
  <c r="AP78" i="17" s="1"/>
  <c r="Q78" i="17"/>
  <c r="BC78" i="17" s="1"/>
  <c r="AQ78" i="17" s="1"/>
  <c r="R78" i="17"/>
  <c r="BE78" i="17"/>
  <c r="AR78" i="17" s="1"/>
  <c r="S78" i="17"/>
  <c r="BF78" i="17" s="1"/>
  <c r="T78" i="17"/>
  <c r="BH78" i="17" s="1"/>
  <c r="U78" i="17"/>
  <c r="BJ78" i="17"/>
  <c r="L79" i="17"/>
  <c r="B79" i="17" s="1"/>
  <c r="B79" i="4" s="1"/>
  <c r="M79" i="17"/>
  <c r="C79" i="17" s="1"/>
  <c r="C79" i="4" s="1"/>
  <c r="N79" i="17"/>
  <c r="AV79" i="17" s="1"/>
  <c r="O79" i="17"/>
  <c r="AX79" i="17" s="1"/>
  <c r="P79" i="17"/>
  <c r="AZ79" i="17" s="1"/>
  <c r="Q79" i="17"/>
  <c r="R79" i="17"/>
  <c r="BE79" i="17" s="1"/>
  <c r="AR79" i="17" s="1"/>
  <c r="S79" i="17"/>
  <c r="T79" i="17"/>
  <c r="BI79" i="17" s="1"/>
  <c r="AT79" i="17"/>
  <c r="U79" i="17"/>
  <c r="L80" i="17"/>
  <c r="B80" i="17" s="1"/>
  <c r="B80" i="4" s="1"/>
  <c r="M80" i="17"/>
  <c r="C80" i="17"/>
  <c r="C80" i="4" s="1"/>
  <c r="N80" i="17"/>
  <c r="O80" i="17"/>
  <c r="AX80" i="17" s="1"/>
  <c r="P80" i="17"/>
  <c r="AZ80" i="17" s="1"/>
  <c r="Q80" i="17"/>
  <c r="BB80" i="17" s="1"/>
  <c r="R80" i="17"/>
  <c r="BE80" i="17" s="1"/>
  <c r="AR80" i="17" s="1"/>
  <c r="S80" i="17"/>
  <c r="T80" i="17"/>
  <c r="BH80" i="17" s="1"/>
  <c r="BI80" i="17"/>
  <c r="AT80" i="17" s="1"/>
  <c r="U80" i="17"/>
  <c r="BJ80" i="17"/>
  <c r="L81" i="17"/>
  <c r="B81" i="17" s="1"/>
  <c r="B81" i="4" s="1"/>
  <c r="M81" i="17"/>
  <c r="C81" i="17" s="1"/>
  <c r="C81" i="4" s="1"/>
  <c r="N81" i="17"/>
  <c r="AV81" i="17" s="1"/>
  <c r="O81" i="17"/>
  <c r="AY81" i="17" s="1"/>
  <c r="AO81" i="17" s="1"/>
  <c r="P81" i="17"/>
  <c r="AZ81" i="17" s="1"/>
  <c r="Q81" i="17"/>
  <c r="BC81" i="17" s="1"/>
  <c r="AQ81" i="17" s="1"/>
  <c r="R81" i="17"/>
  <c r="BE81" i="17"/>
  <c r="AR81" i="17" s="1"/>
  <c r="S81" i="17"/>
  <c r="T81" i="17"/>
  <c r="BI81" i="17"/>
  <c r="AT81" i="17" s="1"/>
  <c r="BH81" i="17"/>
  <c r="U81" i="17"/>
  <c r="BK81" i="17" s="1"/>
  <c r="AU81" i="17" s="1"/>
  <c r="L82" i="17"/>
  <c r="B82" i="17" s="1"/>
  <c r="B82" i="4"/>
  <c r="M82" i="17"/>
  <c r="C82" i="17" s="1"/>
  <c r="C82" i="4" s="1"/>
  <c r="N82" i="17"/>
  <c r="O82" i="17"/>
  <c r="P82" i="17"/>
  <c r="Q82" i="17"/>
  <c r="BB82" i="17"/>
  <c r="R82" i="17"/>
  <c r="BE82" i="17" s="1"/>
  <c r="AR82" i="17" s="1"/>
  <c r="S82" i="17"/>
  <c r="BF82" i="17" s="1"/>
  <c r="T82" i="17"/>
  <c r="U82" i="17"/>
  <c r="BJ82" i="17" s="1"/>
  <c r="L83" i="17"/>
  <c r="B83" i="17"/>
  <c r="B83" i="4" s="1"/>
  <c r="M83" i="17"/>
  <c r="C83" i="17" s="1"/>
  <c r="C83" i="4" s="1"/>
  <c r="N83" i="17"/>
  <c r="AV83" i="17" s="1"/>
  <c r="O83" i="17"/>
  <c r="P83" i="17"/>
  <c r="AZ83" i="17"/>
  <c r="Q83" i="17"/>
  <c r="BC83" i="17" s="1"/>
  <c r="AQ83" i="17" s="1"/>
  <c r="R83" i="17"/>
  <c r="BE83" i="17" s="1"/>
  <c r="AR83" i="17"/>
  <c r="S83" i="17"/>
  <c r="BF83" i="17" s="1"/>
  <c r="T83" i="17"/>
  <c r="BH83" i="17"/>
  <c r="U83" i="17"/>
  <c r="BK83" i="17" s="1"/>
  <c r="AU83" i="17" s="1"/>
  <c r="L90" i="17"/>
  <c r="B90" i="17" s="1"/>
  <c r="B90" i="4" s="1"/>
  <c r="M90" i="17"/>
  <c r="C90" i="17"/>
  <c r="C90" i="4" s="1"/>
  <c r="N90" i="17"/>
  <c r="AW90" i="17" s="1"/>
  <c r="AN90" i="17" s="1"/>
  <c r="O90" i="17"/>
  <c r="P90" i="17"/>
  <c r="Q90" i="17"/>
  <c r="R90" i="17"/>
  <c r="BE90" i="17" s="1"/>
  <c r="AR90" i="17" s="1"/>
  <c r="S90" i="17"/>
  <c r="BG90" i="17"/>
  <c r="AS90" i="17" s="1"/>
  <c r="T90" i="17"/>
  <c r="BH90" i="17" s="1"/>
  <c r="U90" i="17"/>
  <c r="L103" i="17"/>
  <c r="M103" i="17"/>
  <c r="N103" i="17"/>
  <c r="AV103" i="17" s="1"/>
  <c r="AW103" i="17"/>
  <c r="O103" i="17"/>
  <c r="AY103" i="17" s="1"/>
  <c r="P103" i="17"/>
  <c r="BA103" i="17" s="1"/>
  <c r="AZ103" i="17"/>
  <c r="Q103" i="17"/>
  <c r="BB103" i="17" s="1"/>
  <c r="R103" i="17"/>
  <c r="BE103" i="17"/>
  <c r="S103" i="17"/>
  <c r="BG103" i="17" s="1"/>
  <c r="T103" i="17"/>
  <c r="U103" i="17"/>
  <c r="L104" i="17"/>
  <c r="M104" i="17"/>
  <c r="N104" i="17"/>
  <c r="AW104" i="17"/>
  <c r="O104" i="17"/>
  <c r="AX104" i="17" s="1"/>
  <c r="P104" i="17"/>
  <c r="Q104" i="17"/>
  <c r="BB104" i="17" s="1"/>
  <c r="R104" i="17"/>
  <c r="BE104" i="17" s="1"/>
  <c r="S104" i="17"/>
  <c r="BG104" i="17" s="1"/>
  <c r="T104" i="17"/>
  <c r="U104" i="17"/>
  <c r="BJ104" i="17" s="1"/>
  <c r="L105" i="17"/>
  <c r="M105" i="17"/>
  <c r="N105" i="17"/>
  <c r="AV105" i="17" s="1"/>
  <c r="O105" i="17"/>
  <c r="AX105" i="17"/>
  <c r="P105" i="17"/>
  <c r="BA105" i="17" s="1"/>
  <c r="Q105" i="17"/>
  <c r="R105" i="17"/>
  <c r="BE105" i="17"/>
  <c r="S105" i="17"/>
  <c r="T105" i="17"/>
  <c r="BH105" i="17" s="1"/>
  <c r="U105" i="17"/>
  <c r="BK105" i="17" s="1"/>
  <c r="L106" i="17"/>
  <c r="M106" i="17"/>
  <c r="N106" i="17"/>
  <c r="O106" i="17"/>
  <c r="AY106" i="17" s="1"/>
  <c r="P106" i="17"/>
  <c r="Q106" i="17"/>
  <c r="BC106" i="17" s="1"/>
  <c r="R106" i="17"/>
  <c r="BE106" i="17"/>
  <c r="S106" i="17"/>
  <c r="BF106" i="17" s="1"/>
  <c r="T106" i="17"/>
  <c r="BI106" i="17"/>
  <c r="U106" i="17"/>
  <c r="BJ106" i="17" s="1"/>
  <c r="L107" i="17"/>
  <c r="M107" i="17"/>
  <c r="N107" i="17"/>
  <c r="AV107" i="17" s="1"/>
  <c r="O107" i="17"/>
  <c r="AY107" i="17" s="1"/>
  <c r="P107" i="17"/>
  <c r="Q107" i="17"/>
  <c r="R107" i="17"/>
  <c r="S107" i="17"/>
  <c r="BD107" i="17"/>
  <c r="T107" i="17"/>
  <c r="U107" i="17"/>
  <c r="BJ107" i="17" s="1"/>
  <c r="L108" i="17"/>
  <c r="M108" i="17"/>
  <c r="N108" i="17"/>
  <c r="AW108" i="17" s="1"/>
  <c r="O108" i="17"/>
  <c r="P108" i="17"/>
  <c r="Q108" i="17"/>
  <c r="BB108" i="17" s="1"/>
  <c r="R108" i="17"/>
  <c r="BE108" i="17"/>
  <c r="S108" i="17"/>
  <c r="T108" i="17"/>
  <c r="BI108" i="17" s="1"/>
  <c r="U108" i="17"/>
  <c r="L109" i="17"/>
  <c r="M109" i="17"/>
  <c r="N109" i="17"/>
  <c r="O109" i="17"/>
  <c r="AX109" i="17"/>
  <c r="P109" i="17"/>
  <c r="BA109" i="17" s="1"/>
  <c r="AZ109" i="17"/>
  <c r="Q109" i="17"/>
  <c r="R109" i="17"/>
  <c r="S109" i="17"/>
  <c r="T109" i="17"/>
  <c r="BI109" i="17" s="1"/>
  <c r="U109" i="17"/>
  <c r="BK109" i="17" s="1"/>
  <c r="L110" i="17"/>
  <c r="M110" i="17"/>
  <c r="N110" i="17"/>
  <c r="AW110" i="17" s="1"/>
  <c r="O110" i="17"/>
  <c r="P110" i="17"/>
  <c r="Q110" i="17"/>
  <c r="R110" i="17"/>
  <c r="BE110" i="17" s="1"/>
  <c r="S110" i="17"/>
  <c r="BD110" i="17" s="1"/>
  <c r="T110" i="17"/>
  <c r="BH110" i="17" s="1"/>
  <c r="U110" i="17"/>
  <c r="BJ110" i="17" s="1"/>
  <c r="L111" i="17"/>
  <c r="M111" i="17"/>
  <c r="N111" i="17"/>
  <c r="O111" i="17"/>
  <c r="AX111" i="17" s="1"/>
  <c r="P111" i="17"/>
  <c r="Q111" i="17"/>
  <c r="BB111" i="17" s="1"/>
  <c r="R111" i="17"/>
  <c r="BE111" i="17"/>
  <c r="S111" i="17"/>
  <c r="BD111" i="17" s="1"/>
  <c r="T111" i="17"/>
  <c r="BH111" i="17" s="1"/>
  <c r="U111" i="17"/>
  <c r="BJ111" i="17"/>
  <c r="L112" i="17"/>
  <c r="M112" i="17"/>
  <c r="N112" i="17"/>
  <c r="AV112" i="17" s="1"/>
  <c r="O112" i="17"/>
  <c r="AX112" i="17" s="1"/>
  <c r="AY112" i="17"/>
  <c r="P112" i="17"/>
  <c r="BA112" i="17" s="1"/>
  <c r="Q112" i="17"/>
  <c r="BC112" i="17"/>
  <c r="R112" i="17"/>
  <c r="BE112" i="17" s="1"/>
  <c r="S112" i="17"/>
  <c r="T112" i="17"/>
  <c r="BI112" i="17" s="1"/>
  <c r="U112" i="17"/>
  <c r="BJ112" i="17" s="1"/>
  <c r="L113" i="17"/>
  <c r="M113" i="17"/>
  <c r="N113" i="17"/>
  <c r="O113" i="17"/>
  <c r="AX113" i="17" s="1"/>
  <c r="P113" i="17"/>
  <c r="Q113" i="17"/>
  <c r="R113" i="17"/>
  <c r="BE113" i="17" s="1"/>
  <c r="S113" i="17"/>
  <c r="BF113" i="17" s="1"/>
  <c r="T113" i="17"/>
  <c r="U113" i="17"/>
  <c r="BK113" i="17" s="1"/>
  <c r="L114" i="17"/>
  <c r="M114" i="17"/>
  <c r="N114" i="17"/>
  <c r="AW114" i="17" s="1"/>
  <c r="O114" i="17"/>
  <c r="AY114" i="17"/>
  <c r="P114" i="17"/>
  <c r="Q114" i="17"/>
  <c r="R114" i="17"/>
  <c r="BE114" i="17"/>
  <c r="S114" i="17"/>
  <c r="BG114" i="17" s="1"/>
  <c r="T114" i="17"/>
  <c r="BH114" i="17"/>
  <c r="U114" i="17"/>
  <c r="L115" i="17"/>
  <c r="M115" i="17"/>
  <c r="N115" i="17"/>
  <c r="AW115" i="17" s="1"/>
  <c r="O115" i="17"/>
  <c r="P115" i="17"/>
  <c r="Q115" i="17"/>
  <c r="R115" i="17"/>
  <c r="BE115" i="17"/>
  <c r="S115" i="17"/>
  <c r="BD115" i="17" s="1"/>
  <c r="T115" i="17"/>
  <c r="BH115" i="17"/>
  <c r="U115" i="17"/>
  <c r="BK115" i="17" s="1"/>
  <c r="L116" i="17"/>
  <c r="M116" i="17"/>
  <c r="N116" i="17"/>
  <c r="AW116" i="17" s="1"/>
  <c r="O116" i="17"/>
  <c r="P116" i="17"/>
  <c r="Q116" i="17"/>
  <c r="BB116" i="17" s="1"/>
  <c r="R116" i="17"/>
  <c r="BE116" i="17" s="1"/>
  <c r="S116" i="17"/>
  <c r="T116" i="17"/>
  <c r="BH116" i="17"/>
  <c r="U116" i="17"/>
  <c r="L117" i="17"/>
  <c r="M117" i="17"/>
  <c r="N117" i="17"/>
  <c r="AV117" i="17" s="1"/>
  <c r="O117" i="17"/>
  <c r="P117" i="17"/>
  <c r="Q117" i="17"/>
  <c r="BC117" i="17" s="1"/>
  <c r="R117" i="17"/>
  <c r="BE117" i="17" s="1"/>
  <c r="S117" i="17"/>
  <c r="BF117" i="17" s="1"/>
  <c r="T117" i="17"/>
  <c r="BH117" i="17" s="1"/>
  <c r="U117" i="17"/>
  <c r="BK117" i="17"/>
  <c r="L118" i="17"/>
  <c r="M118" i="17"/>
  <c r="N118" i="17"/>
  <c r="AW118" i="17" s="1"/>
  <c r="O118" i="17"/>
  <c r="AX118" i="17" s="1"/>
  <c r="P118" i="17"/>
  <c r="Q118" i="17"/>
  <c r="BB118" i="17"/>
  <c r="R118" i="17"/>
  <c r="BE118" i="17" s="1"/>
  <c r="S118" i="17"/>
  <c r="BF118" i="17"/>
  <c r="T118" i="17"/>
  <c r="BH118" i="17" s="1"/>
  <c r="U118" i="17"/>
  <c r="BJ118" i="17" s="1"/>
  <c r="L119" i="17"/>
  <c r="M119" i="17"/>
  <c r="N119" i="17"/>
  <c r="AV119" i="17" s="1"/>
  <c r="O119" i="17"/>
  <c r="AX119" i="17"/>
  <c r="P119" i="17"/>
  <c r="BA119" i="17" s="1"/>
  <c r="Q119" i="17"/>
  <c r="BC119" i="17" s="1"/>
  <c r="R119" i="17"/>
  <c r="BE119" i="17" s="1"/>
  <c r="S119" i="17"/>
  <c r="BD119" i="17" s="1"/>
  <c r="T119" i="17"/>
  <c r="BH119" i="17" s="1"/>
  <c r="U119" i="17"/>
  <c r="BJ119" i="17"/>
  <c r="L120" i="17"/>
  <c r="M120" i="17"/>
  <c r="N120" i="17"/>
  <c r="AV120" i="17"/>
  <c r="O120" i="17"/>
  <c r="P120" i="17"/>
  <c r="Q120" i="17"/>
  <c r="BB120" i="17" s="1"/>
  <c r="R120" i="17"/>
  <c r="BE120" i="17" s="1"/>
  <c r="S120" i="17"/>
  <c r="BF120" i="17" s="1"/>
  <c r="T120" i="17"/>
  <c r="BH120" i="17" s="1"/>
  <c r="U120" i="17"/>
  <c r="L121" i="17"/>
  <c r="M121" i="17"/>
  <c r="N121" i="17"/>
  <c r="AW121" i="17" s="1"/>
  <c r="O121" i="17"/>
  <c r="AX121" i="17" s="1"/>
  <c r="P121" i="17"/>
  <c r="BA121" i="17" s="1"/>
  <c r="Q121" i="17"/>
  <c r="BB121" i="17" s="1"/>
  <c r="R121" i="17"/>
  <c r="BE121" i="17" s="1"/>
  <c r="S121" i="17"/>
  <c r="BG121" i="17" s="1"/>
  <c r="T121" i="17"/>
  <c r="U121" i="17"/>
  <c r="BJ121" i="17" s="1"/>
  <c r="BK121" i="17"/>
  <c r="L122" i="17"/>
  <c r="M122" i="17"/>
  <c r="N122" i="17"/>
  <c r="AV122" i="17" s="1"/>
  <c r="O122" i="17"/>
  <c r="P122" i="17"/>
  <c r="AZ122" i="17" s="1"/>
  <c r="Q122" i="17"/>
  <c r="BB122" i="17" s="1"/>
  <c r="R122" i="17"/>
  <c r="BE122" i="17"/>
  <c r="S122" i="17"/>
  <c r="T122" i="17"/>
  <c r="U122" i="17"/>
  <c r="BJ122" i="17"/>
  <c r="L123" i="17"/>
  <c r="M123" i="17"/>
  <c r="N123" i="17"/>
  <c r="AV123" i="17" s="1"/>
  <c r="AW123" i="17"/>
  <c r="O123" i="17"/>
  <c r="P123" i="17"/>
  <c r="Q123" i="17"/>
  <c r="BB123" i="17" s="1"/>
  <c r="R123" i="17"/>
  <c r="BE123" i="17" s="1"/>
  <c r="S123" i="17"/>
  <c r="BG123" i="17" s="1"/>
  <c r="T123" i="17"/>
  <c r="U123" i="17"/>
  <c r="BJ123" i="17"/>
  <c r="L124" i="17"/>
  <c r="M124" i="17"/>
  <c r="N124" i="17"/>
  <c r="AW124" i="17"/>
  <c r="O124" i="17"/>
  <c r="AY124" i="17" s="1"/>
  <c r="P124" i="17"/>
  <c r="Q124" i="17"/>
  <c r="BC124" i="17" s="1"/>
  <c r="R124" i="17"/>
  <c r="BE124" i="17" s="1"/>
  <c r="S124" i="17"/>
  <c r="BF124" i="17" s="1"/>
  <c r="BG124" i="17"/>
  <c r="T124" i="17"/>
  <c r="U124" i="17"/>
  <c r="BK124" i="17" s="1"/>
  <c r="L125" i="17"/>
  <c r="M125" i="17"/>
  <c r="N125" i="17"/>
  <c r="O125" i="17"/>
  <c r="P125" i="17"/>
  <c r="AZ125" i="17"/>
  <c r="Q125" i="17"/>
  <c r="R125" i="17"/>
  <c r="BE125" i="17" s="1"/>
  <c r="S125" i="17"/>
  <c r="T125" i="17"/>
  <c r="BI125" i="17" s="1"/>
  <c r="U125" i="17"/>
  <c r="U7" i="17"/>
  <c r="BK7" i="17"/>
  <c r="AU7" i="17" s="1"/>
  <c r="T7" i="17"/>
  <c r="S7" i="17"/>
  <c r="BF7" i="17" s="1"/>
  <c r="R7" i="17"/>
  <c r="BE7" i="17" s="1"/>
  <c r="AR7" i="17" s="1"/>
  <c r="Q7" i="17"/>
  <c r="BB7" i="17" s="1"/>
  <c r="P7" i="17"/>
  <c r="O7" i="17"/>
  <c r="M7" i="17"/>
  <c r="C7" i="17" s="1"/>
  <c r="C7" i="4" s="1"/>
  <c r="L7" i="17"/>
  <c r="B7" i="17" s="1"/>
  <c r="B7" i="4" s="1"/>
  <c r="B84" i="17"/>
  <c r="B84" i="4" s="1"/>
  <c r="B19" i="17"/>
  <c r="B19" i="4" s="1"/>
  <c r="B25" i="17"/>
  <c r="B25" i="4" s="1"/>
  <c r="B51" i="17"/>
  <c r="B51" i="4" s="1"/>
  <c r="B63" i="17"/>
  <c r="B63" i="4" s="1"/>
  <c r="B85" i="17"/>
  <c r="B85" i="4" s="1"/>
  <c r="AR92" i="17"/>
  <c r="AV92" i="17"/>
  <c r="AY119" i="17"/>
  <c r="BB106" i="17"/>
  <c r="BC108" i="17"/>
  <c r="BF66" i="17"/>
  <c r="AY66" i="17"/>
  <c r="AO66" i="17" s="1"/>
  <c r="AY65" i="17"/>
  <c r="AO65" i="17"/>
  <c r="AX52" i="17"/>
  <c r="AO52" i="17" s="1"/>
  <c r="AY43" i="17"/>
  <c r="AO43" i="17"/>
  <c r="AX114" i="17"/>
  <c r="BH67" i="17"/>
  <c r="BK66" i="17"/>
  <c r="AU66" i="17"/>
  <c r="BJ66" i="17"/>
  <c r="AW55" i="17"/>
  <c r="AN55" i="17" s="1"/>
  <c r="AV55" i="17"/>
  <c r="BA49" i="17"/>
  <c r="AP49" i="17" s="1"/>
  <c r="AZ49" i="17"/>
  <c r="BI48" i="17"/>
  <c r="AT48" i="17" s="1"/>
  <c r="BH48" i="17"/>
  <c r="BJ45" i="17"/>
  <c r="AU45" i="17" s="1"/>
  <c r="BF41" i="17"/>
  <c r="BD41" i="17"/>
  <c r="AR41" i="17" s="1"/>
  <c r="BK25" i="17"/>
  <c r="AU25" i="17" s="1"/>
  <c r="BJ25" i="17"/>
  <c r="BA20" i="17"/>
  <c r="AP20" i="17"/>
  <c r="AZ20" i="17"/>
  <c r="BD53" i="17"/>
  <c r="BF53" i="17"/>
  <c r="AW87" i="17"/>
  <c r="AN87" i="17" s="1"/>
  <c r="AV87" i="17"/>
  <c r="BK91" i="17"/>
  <c r="AU91" i="17"/>
  <c r="BJ91" i="17"/>
  <c r="BH55" i="17"/>
  <c r="BK63" i="17"/>
  <c r="AU63" i="17"/>
  <c r="BJ63" i="17"/>
  <c r="BI49" i="17"/>
  <c r="AT49" i="17" s="1"/>
  <c r="BH49" i="17"/>
  <c r="BK43" i="17"/>
  <c r="AU43" i="17"/>
  <c r="AX30" i="17"/>
  <c r="AY30" i="17"/>
  <c r="AO30" i="17" s="1"/>
  <c r="AY44" i="17"/>
  <c r="AO44" i="17" s="1"/>
  <c r="AV48" i="17"/>
  <c r="BB53" i="17"/>
  <c r="BA71" i="17"/>
  <c r="AP71" i="17"/>
  <c r="AZ71" i="17"/>
  <c r="BI69" i="17"/>
  <c r="AT69" i="17" s="1"/>
  <c r="BH69" i="17"/>
  <c r="BD62" i="17"/>
  <c r="BG61" i="17"/>
  <c r="AS61" i="17" s="1"/>
  <c r="BD61" i="17"/>
  <c r="BF61" i="17"/>
  <c r="AW58" i="17"/>
  <c r="AN58" i="17" s="1"/>
  <c r="AX50" i="17"/>
  <c r="BF47" i="17"/>
  <c r="AS47" i="17" s="1"/>
  <c r="BI46" i="17"/>
  <c r="BF24" i="17"/>
  <c r="BD24" i="17"/>
  <c r="AX24" i="17"/>
  <c r="AY23" i="17"/>
  <c r="AO23" i="17"/>
  <c r="BF22" i="17"/>
  <c r="BF21" i="17"/>
  <c r="AX21" i="17"/>
  <c r="AY21" i="17"/>
  <c r="AO21" i="17" s="1"/>
  <c r="BI10" i="17"/>
  <c r="AT10" i="17" s="1"/>
  <c r="BH9" i="17"/>
  <c r="BI8" i="17"/>
  <c r="AT8" i="17"/>
  <c r="BA8" i="17"/>
  <c r="AP8" i="17" s="1"/>
  <c r="AZ8" i="17"/>
  <c r="BB84" i="17"/>
  <c r="BF86" i="17"/>
  <c r="BD86" i="17"/>
  <c r="BB59" i="17"/>
  <c r="BK59" i="17"/>
  <c r="AU59" i="17" s="1"/>
  <c r="BJ59" i="17"/>
  <c r="BD93" i="17"/>
  <c r="AR93" i="17"/>
  <c r="BB94" i="17"/>
  <c r="AY95" i="17"/>
  <c r="BD95" i="17"/>
  <c r="BG95" i="17"/>
  <c r="BF97" i="17"/>
  <c r="BG97" i="17"/>
  <c r="BC98" i="17"/>
  <c r="BB98" i="17"/>
  <c r="BF99" i="17"/>
  <c r="BC100" i="17"/>
  <c r="BB100" i="17"/>
  <c r="BJ100" i="17"/>
  <c r="AX101" i="17"/>
  <c r="AV11" i="17"/>
  <c r="AV15" i="17"/>
  <c r="BG21" i="17"/>
  <c r="AS21" i="17" s="1"/>
  <c r="AV31" i="17"/>
  <c r="BG41" i="17"/>
  <c r="AS41" i="17" s="1"/>
  <c r="BJ53" i="17"/>
  <c r="BG62" i="17"/>
  <c r="AS62" i="17" s="1"/>
  <c r="AO45" i="17"/>
  <c r="AY45" i="17"/>
  <c r="BK42" i="17"/>
  <c r="AU42" i="17" s="1"/>
  <c r="BI27" i="17"/>
  <c r="AT27" i="17" s="1"/>
  <c r="BF25" i="17"/>
  <c r="AX25" i="17"/>
  <c r="AY25" i="17"/>
  <c r="AO25" i="17" s="1"/>
  <c r="BI15" i="17"/>
  <c r="AT15" i="17" s="1"/>
  <c r="BH15" i="17"/>
  <c r="AZ15" i="17"/>
  <c r="AX39" i="17"/>
  <c r="AO39" i="17" s="1"/>
  <c r="AY39" i="17"/>
  <c r="BD39" i="17"/>
  <c r="AR39" i="17" s="1"/>
  <c r="BK44" i="17"/>
  <c r="AU44" i="17"/>
  <c r="AY85" i="17"/>
  <c r="AO85" i="17" s="1"/>
  <c r="BD85" i="17"/>
  <c r="BG85" i="17"/>
  <c r="AS85" i="17" s="1"/>
  <c r="BH87" i="17"/>
  <c r="BI88" i="17"/>
  <c r="AT88" i="17"/>
  <c r="BH88" i="17"/>
  <c r="AO91" i="17"/>
  <c r="BC92" i="17"/>
  <c r="AQ92" i="17"/>
  <c r="BB92" i="17"/>
  <c r="BK92" i="17"/>
  <c r="AU92" i="17" s="1"/>
  <c r="BJ92" i="17"/>
  <c r="BG12" i="17"/>
  <c r="BB91" i="17"/>
  <c r="AZ82" i="17"/>
  <c r="BK78" i="17"/>
  <c r="AU78" i="17" s="1"/>
  <c r="BK62" i="17"/>
  <c r="AU62" i="17" s="1"/>
  <c r="BK50" i="17"/>
  <c r="AU50" i="17" s="1"/>
  <c r="BI37" i="17"/>
  <c r="AT37" i="17" s="1"/>
  <c r="BI35" i="17"/>
  <c r="AT35" i="17" s="1"/>
  <c r="BH35" i="17"/>
  <c r="BA35" i="17"/>
  <c r="AP35" i="17" s="1"/>
  <c r="BI29" i="17"/>
  <c r="AT29" i="17"/>
  <c r="BH29" i="17"/>
  <c r="AZ29" i="17"/>
  <c r="BJ23" i="17"/>
  <c r="AU22" i="17"/>
  <c r="BA17" i="17"/>
  <c r="AP17" i="17" s="1"/>
  <c r="AZ17" i="17"/>
  <c r="BI16" i="17"/>
  <c r="AT16" i="17" s="1"/>
  <c r="BA16" i="17"/>
  <c r="AP16" i="17" s="1"/>
  <c r="AZ16" i="17"/>
  <c r="BA13" i="17"/>
  <c r="AP13" i="17"/>
  <c r="AZ11" i="17"/>
  <c r="AX84" i="17"/>
  <c r="AY84" i="17"/>
  <c r="AO84" i="17"/>
  <c r="BF84" i="17"/>
  <c r="BK86" i="17"/>
  <c r="AU86" i="17" s="1"/>
  <c r="AX89" i="17"/>
  <c r="BD89" i="17"/>
  <c r="BD59" i="17"/>
  <c r="BG59" i="17"/>
  <c r="AS59" i="17" s="1"/>
  <c r="BK93" i="17"/>
  <c r="AU93" i="17"/>
  <c r="BJ93" i="17"/>
  <c r="AY94" i="17"/>
  <c r="BF94" i="17"/>
  <c r="BD94" i="17"/>
  <c r="BF98" i="17"/>
  <c r="BK99" i="17"/>
  <c r="BJ99" i="17"/>
  <c r="AY100" i="17"/>
  <c r="AX100" i="17"/>
  <c r="BG100" i="17"/>
  <c r="BJ101" i="17"/>
  <c r="AY102" i="17"/>
  <c r="AX102" i="17"/>
  <c r="BG102" i="17"/>
  <c r="BF102" i="17"/>
  <c r="BD102" i="17"/>
  <c r="AV33" i="17"/>
  <c r="BG39" i="17"/>
  <c r="BG47" i="17"/>
  <c r="AY51" i="17"/>
  <c r="AO51" i="17" s="1"/>
  <c r="BK52" i="17"/>
  <c r="AU52" i="17" s="1"/>
  <c r="BG86" i="17"/>
  <c r="AS86" i="17" s="1"/>
  <c r="BI120" i="17"/>
  <c r="AW119" i="17"/>
  <c r="AZ112" i="17"/>
  <c r="BI90" i="17"/>
  <c r="AT90" i="17"/>
  <c r="AZ90" i="17"/>
  <c r="BA83" i="17"/>
  <c r="AP83" i="17" s="1"/>
  <c r="AY79" i="17"/>
  <c r="AO79" i="17" s="1"/>
  <c r="AX73" i="17"/>
  <c r="BK68" i="17"/>
  <c r="AU68" i="17" s="1"/>
  <c r="BJ68" i="17"/>
  <c r="AV65" i="17"/>
  <c r="BH61" i="17"/>
  <c r="BF60" i="17"/>
  <c r="BF58" i="17"/>
  <c r="BC57" i="17"/>
  <c r="AQ57" i="17" s="1"/>
  <c r="BI52" i="17"/>
  <c r="BH52" i="17"/>
  <c r="AT52" i="17" s="1"/>
  <c r="AX49" i="17"/>
  <c r="BJ48" i="17"/>
  <c r="AZ47" i="17"/>
  <c r="AP47" i="17" s="1"/>
  <c r="AZ42" i="17"/>
  <c r="BK40" i="17"/>
  <c r="AU40" i="17" s="1"/>
  <c r="AX37" i="17"/>
  <c r="AX34" i="17"/>
  <c r="BI30" i="17"/>
  <c r="AT30" i="17" s="1"/>
  <c r="BA30" i="17"/>
  <c r="AP30" i="17" s="1"/>
  <c r="BF28" i="17"/>
  <c r="AX28" i="17"/>
  <c r="BK27" i="17"/>
  <c r="AU27" i="17" s="1"/>
  <c r="BI25" i="17"/>
  <c r="AT25" i="17" s="1"/>
  <c r="BH25" i="17"/>
  <c r="BI21" i="17"/>
  <c r="AT21" i="17"/>
  <c r="BH21" i="17"/>
  <c r="BK20" i="17"/>
  <c r="AU20" i="17" s="1"/>
  <c r="BK17" i="17"/>
  <c r="AU17" i="17" s="1"/>
  <c r="AX16" i="17"/>
  <c r="AU14" i="17"/>
  <c r="BK13" i="17"/>
  <c r="AU13" i="17" s="1"/>
  <c r="BI12" i="17"/>
  <c r="BH12" i="17"/>
  <c r="AT12" i="17"/>
  <c r="BA12" i="17"/>
  <c r="AZ12" i="17"/>
  <c r="AP12" i="17" s="1"/>
  <c r="AX11" i="17"/>
  <c r="BK8" i="17"/>
  <c r="AU8" i="17" s="1"/>
  <c r="BH53" i="17"/>
  <c r="BI84" i="17"/>
  <c r="AT84" i="17" s="1"/>
  <c r="BH84" i="17"/>
  <c r="BI86" i="17"/>
  <c r="AT86" i="17" s="1"/>
  <c r="BK87" i="17"/>
  <c r="AU87" i="17"/>
  <c r="BJ87" i="17"/>
  <c r="AY88" i="17"/>
  <c r="AO88" i="17" s="1"/>
  <c r="BI91" i="17"/>
  <c r="AT91" i="17" s="1"/>
  <c r="BH91" i="17"/>
  <c r="AN59" i="17"/>
  <c r="AV59" i="17"/>
  <c r="BI38" i="17"/>
  <c r="AT38" i="17"/>
  <c r="BI94" i="17"/>
  <c r="BH94" i="17"/>
  <c r="BA98" i="17"/>
  <c r="AZ98" i="17"/>
  <c r="BD9" i="17"/>
  <c r="BJ10" i="17"/>
  <c r="BJ14" i="17"/>
  <c r="BD19" i="17"/>
  <c r="AY34" i="17"/>
  <c r="AO34" i="17" s="1"/>
  <c r="BD35" i="17"/>
  <c r="BD37" i="17"/>
  <c r="BB55" i="17"/>
  <c r="AV85" i="17"/>
  <c r="BH125" i="17"/>
  <c r="AZ117" i="17"/>
  <c r="BA117" i="17"/>
  <c r="AV108" i="17"/>
  <c r="BK82" i="17"/>
  <c r="AU82" i="17" s="1"/>
  <c r="BK79" i="17"/>
  <c r="AU79" i="17" s="1"/>
  <c r="BJ79" i="17"/>
  <c r="BC79" i="17"/>
  <c r="AQ79" i="17"/>
  <c r="BI78" i="17"/>
  <c r="AT78" i="17" s="1"/>
  <c r="BF69" i="17"/>
  <c r="AX69" i="17"/>
  <c r="AX67" i="17"/>
  <c r="AY67" i="17"/>
  <c r="AO67" i="17"/>
  <c r="BA65" i="17"/>
  <c r="AP65" i="17" s="1"/>
  <c r="AW61" i="17"/>
  <c r="AN61" i="17"/>
  <c r="AV61" i="17"/>
  <c r="AX57" i="17"/>
  <c r="BG55" i="17"/>
  <c r="AS55" i="17"/>
  <c r="BI51" i="17"/>
  <c r="AT51" i="17" s="1"/>
  <c r="BI50" i="17"/>
  <c r="AT50" i="17"/>
  <c r="BH50" i="17"/>
  <c r="BI45" i="17"/>
  <c r="BA41" i="17"/>
  <c r="AP41" i="17"/>
  <c r="BK37" i="17"/>
  <c r="AU37" i="17" s="1"/>
  <c r="BF33" i="17"/>
  <c r="AX33" i="17"/>
  <c r="AX31" i="17"/>
  <c r="BI22" i="17"/>
  <c r="AT22" i="17" s="1"/>
  <c r="AZ22" i="17"/>
  <c r="AX20" i="17"/>
  <c r="AX17" i="17"/>
  <c r="BK16" i="17"/>
  <c r="AU16" i="17" s="1"/>
  <c r="BF13" i="17"/>
  <c r="AX13" i="17"/>
  <c r="BF10" i="17"/>
  <c r="AX10" i="17"/>
  <c r="BC9" i="17"/>
  <c r="AQ9" i="17"/>
  <c r="AX8" i="17"/>
  <c r="BA44" i="17"/>
  <c r="AP44" i="17" s="1"/>
  <c r="BI44" i="17"/>
  <c r="AT44" i="17" s="1"/>
  <c r="BH44" i="17"/>
  <c r="BF87" i="17"/>
  <c r="BC88" i="17"/>
  <c r="AQ88" i="17" s="1"/>
  <c r="AU88" i="17"/>
  <c r="BI95" i="17"/>
  <c r="BH95" i="17"/>
  <c r="BI97" i="17"/>
  <c r="BA99" i="17"/>
  <c r="AZ99" i="17"/>
  <c r="AW100" i="17"/>
  <c r="AV102" i="17"/>
  <c r="BJ7" i="17"/>
  <c r="BD8" i="17"/>
  <c r="BD10" i="17"/>
  <c r="AY11" i="17"/>
  <c r="AO11" i="17"/>
  <c r="AY13" i="17"/>
  <c r="AO13" i="17" s="1"/>
  <c r="BJ13" i="17"/>
  <c r="AY17" i="17"/>
  <c r="AO17" i="17" s="1"/>
  <c r="BJ17" i="17"/>
  <c r="BD28" i="17"/>
  <c r="AY31" i="17"/>
  <c r="AO31" i="17" s="1"/>
  <c r="BJ31" i="17"/>
  <c r="AY33" i="17"/>
  <c r="AO33" i="17" s="1"/>
  <c r="BJ35" i="17"/>
  <c r="BD36" i="17"/>
  <c r="AY37" i="17"/>
  <c r="AO37" i="17" s="1"/>
  <c r="BD58" i="17"/>
  <c r="BG69" i="17"/>
  <c r="AS69" i="17" s="1"/>
  <c r="BB88" i="17"/>
  <c r="AV99" i="17"/>
  <c r="BH102" i="17"/>
  <c r="BH106" i="17"/>
  <c r="BI119" i="17"/>
  <c r="AV7" i="17"/>
  <c r="AW7" i="17"/>
  <c r="AN7" i="17" s="1"/>
  <c r="BD74" i="17"/>
  <c r="BI73" i="17"/>
  <c r="AT73" i="17" s="1"/>
  <c r="AW54" i="17"/>
  <c r="AN54" i="17"/>
  <c r="BH68" i="17"/>
  <c r="BG116" i="17"/>
  <c r="BD116" i="17"/>
  <c r="BF116" i="17"/>
  <c r="AV68" i="17"/>
  <c r="BH54" i="17"/>
  <c r="BG33" i="17"/>
  <c r="AS33" i="17"/>
  <c r="BK9" i="17"/>
  <c r="AU9" i="17" s="1"/>
  <c r="BJ9" i="17"/>
  <c r="BI103" i="17"/>
  <c r="BH103" i="17"/>
  <c r="AY7" i="17"/>
  <c r="AO7" i="17" s="1"/>
  <c r="AX7" i="17"/>
  <c r="AV74" i="17"/>
  <c r="AW74" i="17"/>
  <c r="AN74" i="17" s="1"/>
  <c r="BD7" i="17"/>
  <c r="AV78" i="17"/>
  <c r="AW78" i="17"/>
  <c r="AN78" i="17" s="1"/>
  <c r="AV36" i="17"/>
  <c r="AW36" i="17"/>
  <c r="AN36" i="17" s="1"/>
  <c r="AV76" i="17"/>
  <c r="AW76" i="17"/>
  <c r="AN76" i="17" s="1"/>
  <c r="AV34" i="17"/>
  <c r="AW34" i="17"/>
  <c r="AN34" i="17"/>
  <c r="BI121" i="17"/>
  <c r="BH121" i="17"/>
  <c r="BC47" i="17"/>
  <c r="BK53" i="17"/>
  <c r="AU53" i="17" s="1"/>
  <c r="BA101" i="17"/>
  <c r="AV21" i="17"/>
  <c r="AW21" i="17"/>
  <c r="AN21" i="17" s="1"/>
  <c r="AV14" i="17"/>
  <c r="BB11" i="17"/>
  <c r="AW10" i="17"/>
  <c r="AN10" i="17" s="1"/>
  <c r="AV40" i="17"/>
  <c r="AW16" i="17"/>
  <c r="AN16" i="17"/>
  <c r="AW44" i="17"/>
  <c r="AN44" i="17" s="1"/>
  <c r="AW86" i="17"/>
  <c r="AN86" i="17"/>
  <c r="BG13" i="17"/>
  <c r="AS13" i="17" s="1"/>
  <c r="BB95" i="17"/>
  <c r="AZ38" i="17"/>
  <c r="BD52" i="17"/>
  <c r="AR52" i="17" s="1"/>
  <c r="AZ89" i="17"/>
  <c r="AY96" i="17"/>
  <c r="AZ40" i="17"/>
  <c r="AZ19" i="17"/>
  <c r="BA93" i="17"/>
  <c r="AZ93" i="17"/>
  <c r="AP93" i="17" s="1"/>
  <c r="BA53" i="17"/>
  <c r="AP53" i="17" s="1"/>
  <c r="BA94" i="17"/>
  <c r="BA95" i="17"/>
  <c r="BA115" i="17"/>
  <c r="AZ115" i="17"/>
  <c r="AV114" i="17"/>
  <c r="AZ84" i="17"/>
  <c r="BA84" i="17"/>
  <c r="AP84" i="17" s="1"/>
  <c r="AV121" i="17"/>
  <c r="AV90" i="17"/>
  <c r="AW45" i="17"/>
  <c r="AV26" i="17"/>
  <c r="AN26" i="17"/>
  <c r="AW11" i="17"/>
  <c r="AN11" i="17" s="1"/>
  <c r="AV94" i="17"/>
  <c r="AW70" i="17"/>
  <c r="AN70" i="17"/>
  <c r="BE59" i="17"/>
  <c r="AR59" i="17" s="1"/>
  <c r="BE38" i="17"/>
  <c r="AR38" i="17" s="1"/>
  <c r="BE102" i="17"/>
  <c r="BA100" i="17"/>
  <c r="BH47" i="17"/>
  <c r="AT47" i="17" s="1"/>
  <c r="AW117" i="17"/>
  <c r="BI74" i="17"/>
  <c r="AT74" i="17"/>
  <c r="BB71" i="17"/>
  <c r="AW98" i="17"/>
  <c r="BH41" i="17"/>
  <c r="AY56" i="17"/>
  <c r="AO56" i="17" s="1"/>
  <c r="AW37" i="17"/>
  <c r="AN37" i="17" s="1"/>
  <c r="AV37" i="17"/>
  <c r="BG65" i="17"/>
  <c r="AS65" i="17" s="1"/>
  <c r="BF65" i="17"/>
  <c r="BD65" i="17"/>
  <c r="AV38" i="17"/>
  <c r="BB45" i="17"/>
  <c r="AQ45" i="17" s="1"/>
  <c r="AX110" i="17"/>
  <c r="AY110" i="17"/>
  <c r="BD60" i="17"/>
  <c r="BG60" i="17"/>
  <c r="AS60" i="17"/>
  <c r="AW52" i="17"/>
  <c r="AV52" i="17"/>
  <c r="AN52" i="17" s="1"/>
  <c r="BA50" i="17"/>
  <c r="AP50" i="17"/>
  <c r="BH82" i="17"/>
  <c r="BI82" i="17"/>
  <c r="AT82" i="17" s="1"/>
  <c r="BK98" i="17"/>
  <c r="AW32" i="17"/>
  <c r="AN32" i="17" s="1"/>
  <c r="AV32" i="17"/>
  <c r="AY105" i="17"/>
  <c r="BH33" i="17"/>
  <c r="BK77" i="17"/>
  <c r="AU77" i="17" s="1"/>
  <c r="AW125" i="17"/>
  <c r="AV125" i="17"/>
  <c r="BI114" i="17"/>
  <c r="BI56" i="17"/>
  <c r="AT56" i="17" s="1"/>
  <c r="BH56" i="17"/>
  <c r="BG110" i="17"/>
  <c r="BF110" i="17"/>
  <c r="BC72" i="17"/>
  <c r="AQ72" i="17" s="1"/>
  <c r="AZ86" i="17"/>
  <c r="BK38" i="17"/>
  <c r="AU38" i="17" s="1"/>
  <c r="BA81" i="17"/>
  <c r="AP81" i="17" s="1"/>
  <c r="BI116" i="17"/>
  <c r="AW79" i="17"/>
  <c r="AN79" i="17" s="1"/>
  <c r="BD114" i="17"/>
  <c r="BF114" i="17"/>
  <c r="BK107" i="17"/>
  <c r="AZ105" i="17"/>
  <c r="BD26" i="17"/>
  <c r="AR26" i="17" s="1"/>
  <c r="BG22" i="17"/>
  <c r="AS22" i="17" s="1"/>
  <c r="BG66" i="17"/>
  <c r="AS66" i="17"/>
  <c r="BI57" i="17"/>
  <c r="AT57" i="17" s="1"/>
  <c r="AW42" i="17"/>
  <c r="AN42" i="17"/>
  <c r="AU72" i="17"/>
  <c r="BJ72" i="17"/>
  <c r="AZ54" i="17"/>
  <c r="BA54" i="17"/>
  <c r="AP54" i="17" s="1"/>
  <c r="BG43" i="17"/>
  <c r="AS43" i="17" s="1"/>
  <c r="BF43" i="17"/>
  <c r="BD43" i="17"/>
  <c r="AZ120" i="17"/>
  <c r="BA120" i="17"/>
  <c r="AZ116" i="17"/>
  <c r="BA116" i="17"/>
  <c r="AZ104" i="17"/>
  <c r="BA104" i="17"/>
  <c r="BG57" i="17"/>
  <c r="AS57" i="17" s="1"/>
  <c r="BD57" i="17"/>
  <c r="BF57" i="17"/>
  <c r="BJ46" i="17"/>
  <c r="BK46" i="17"/>
  <c r="AU46" i="17"/>
  <c r="BG27" i="17"/>
  <c r="BD27" i="17"/>
  <c r="AR27" i="17" s="1"/>
  <c r="BF27" i="17"/>
  <c r="AS27" i="17"/>
  <c r="BG15" i="17"/>
  <c r="AS15" i="17" s="1"/>
  <c r="BF15" i="17"/>
  <c r="BD15" i="17"/>
  <c r="BG93" i="17"/>
  <c r="BF93" i="17"/>
  <c r="AS93" i="17" s="1"/>
  <c r="BB112" i="17"/>
  <c r="BK26" i="17"/>
  <c r="AU26" i="17" s="1"/>
  <c r="BC80" i="17"/>
  <c r="AQ80" i="17" s="1"/>
  <c r="AX120" i="17"/>
  <c r="AY120" i="17"/>
  <c r="BB47" i="17"/>
  <c r="AQ47" i="17" s="1"/>
  <c r="BA39" i="17"/>
  <c r="AZ39" i="17"/>
  <c r="AP39" i="17"/>
  <c r="BF32" i="17"/>
  <c r="BG32" i="17"/>
  <c r="AS32" i="17" s="1"/>
  <c r="BD51" i="17"/>
  <c r="AW122" i="17"/>
  <c r="AZ111" i="17"/>
  <c r="BA111" i="17"/>
  <c r="BF31" i="17"/>
  <c r="BG31" i="17"/>
  <c r="AS31" i="17" s="1"/>
  <c r="BC66" i="17"/>
  <c r="AQ66" i="17" s="1"/>
  <c r="BB66" i="17"/>
  <c r="BB64" i="17"/>
  <c r="BC51" i="17"/>
  <c r="AQ51" i="17" s="1"/>
  <c r="BB51" i="17"/>
  <c r="BB26" i="17"/>
  <c r="AQ26" i="17" s="1"/>
  <c r="BC17" i="17"/>
  <c r="AQ17" i="17" s="1"/>
  <c r="BC121" i="17"/>
  <c r="BB78" i="17"/>
  <c r="AV62" i="17"/>
  <c r="AV113" i="17"/>
  <c r="AW113" i="17"/>
  <c r="BK111" i="17"/>
  <c r="BB14" i="17"/>
  <c r="BC14" i="17"/>
  <c r="AQ14" i="17" s="1"/>
  <c r="BH13" i="17"/>
  <c r="BI13" i="17"/>
  <c r="AT13" i="17" s="1"/>
  <c r="AZ114" i="17"/>
  <c r="BA114" i="17"/>
  <c r="BG113" i="17"/>
  <c r="BF103" i="17"/>
  <c r="BK24" i="17"/>
  <c r="AU24" i="17"/>
  <c r="BJ24" i="17"/>
  <c r="BB75" i="17"/>
  <c r="AQ75" i="17"/>
  <c r="BC43" i="17"/>
  <c r="AQ43" i="17" s="1"/>
  <c r="BB43" i="17"/>
  <c r="BC111" i="17"/>
  <c r="BG51" i="17"/>
  <c r="AS51" i="17" s="1"/>
  <c r="AX92" i="17"/>
  <c r="AW83" i="17"/>
  <c r="AN83" i="17" s="1"/>
  <c r="BB74" i="17"/>
  <c r="BC62" i="17"/>
  <c r="AQ62" i="17" s="1"/>
  <c r="BG16" i="17"/>
  <c r="AS16" i="17" s="1"/>
  <c r="BD16" i="17"/>
  <c r="BF16" i="17"/>
  <c r="BC93" i="17"/>
  <c r="BB93" i="17"/>
  <c r="AQ93" i="17" s="1"/>
  <c r="BF96" i="17"/>
  <c r="BD96" i="17"/>
  <c r="BG96" i="17"/>
  <c r="BA97" i="17"/>
  <c r="AZ97" i="17"/>
  <c r="AY82" i="17"/>
  <c r="AO82" i="17" s="1"/>
  <c r="AX82" i="17"/>
  <c r="AV12" i="17"/>
  <c r="AN12" i="17" s="1"/>
  <c r="AW12" i="17"/>
  <c r="AY122" i="17"/>
  <c r="AX122" i="17"/>
  <c r="AZ96" i="17"/>
  <c r="BA96" i="17"/>
  <c r="BK97" i="17"/>
  <c r="BJ97" i="17"/>
  <c r="BC104" i="17"/>
  <c r="AZ18" i="17"/>
  <c r="BA18" i="17"/>
  <c r="AP18" i="17" s="1"/>
  <c r="BB63" i="17"/>
  <c r="BC63" i="17"/>
  <c r="AQ63" i="17"/>
  <c r="BB46" i="17"/>
  <c r="AQ46" i="17" s="1"/>
  <c r="BC46" i="17"/>
  <c r="BC37" i="17"/>
  <c r="AQ37" i="17" s="1"/>
  <c r="BB37" i="17"/>
  <c r="BC24" i="17"/>
  <c r="AQ24" i="17" s="1"/>
  <c r="BB24" i="17"/>
  <c r="BC116" i="17"/>
  <c r="BB69" i="17"/>
  <c r="BG117" i="17"/>
  <c r="BB61" i="17"/>
  <c r="BJ124" i="17"/>
  <c r="AZ123" i="17"/>
  <c r="BA123" i="17"/>
  <c r="AV115" i="17"/>
  <c r="BG109" i="17"/>
  <c r="BB90" i="17"/>
  <c r="BC90" i="17"/>
  <c r="AQ90" i="17" s="1"/>
  <c r="BB79" i="17"/>
  <c r="AX77" i="17"/>
  <c r="AV73" i="17"/>
  <c r="BB70" i="17"/>
  <c r="BH39" i="17"/>
  <c r="BI39" i="17"/>
  <c r="AT39" i="17" s="1"/>
  <c r="AY53" i="17"/>
  <c r="AO53" i="17" s="1"/>
  <c r="AX53" i="17"/>
  <c r="BK64" i="17"/>
  <c r="AU64" i="17" s="1"/>
  <c r="BJ64" i="17"/>
  <c r="BC58" i="17"/>
  <c r="AQ58" i="17" s="1"/>
  <c r="BC25" i="17"/>
  <c r="AQ25" i="17" s="1"/>
  <c r="BG8" i="17"/>
  <c r="AS8" i="17" s="1"/>
  <c r="AY89" i="17"/>
  <c r="AO89" i="17" s="1"/>
  <c r="BG98" i="17"/>
  <c r="BD98" i="17"/>
  <c r="BF52" i="17"/>
  <c r="AS52" i="17" s="1"/>
  <c r="BI115" i="17"/>
  <c r="AV75" i="17"/>
  <c r="AV91" i="17"/>
  <c r="AY9" i="17"/>
  <c r="AO9" i="17"/>
  <c r="BC74" i="17"/>
  <c r="AQ74" i="17" s="1"/>
  <c r="BJ22" i="17"/>
  <c r="BA7" i="17"/>
  <c r="AP7" i="17"/>
  <c r="BA82" i="17"/>
  <c r="AP82" i="17" s="1"/>
  <c r="BA58" i="17"/>
  <c r="AP58" i="17" s="1"/>
  <c r="BB41" i="17"/>
  <c r="AQ41" i="17" s="1"/>
  <c r="BJ86" i="17"/>
  <c r="AW94" i="17"/>
  <c r="BE96" i="17"/>
  <c r="AZ74" i="17"/>
  <c r="AZ14" i="17"/>
  <c r="BK123" i="17"/>
  <c r="AV96" i="17"/>
  <c r="BC70" i="17"/>
  <c r="AQ70" i="17" s="1"/>
  <c r="AW101" i="17"/>
  <c r="BA77" i="17"/>
  <c r="AP77" i="17" s="1"/>
  <c r="BH108" i="17"/>
  <c r="AZ37" i="17"/>
  <c r="BJ102" i="17"/>
  <c r="AZ69" i="17"/>
  <c r="AZ73" i="17"/>
  <c r="BJ83" i="17"/>
  <c r="BB81" i="17"/>
  <c r="AY75" i="17"/>
  <c r="AO75" i="17" s="1"/>
  <c r="AX75" i="17"/>
  <c r="BD72" i="17"/>
  <c r="BG72" i="17"/>
  <c r="AS72" i="17" s="1"/>
  <c r="AZ62" i="17"/>
  <c r="BB19" i="17"/>
  <c r="AZ88" i="17"/>
  <c r="AX91" i="17"/>
  <c r="BE100" i="17"/>
  <c r="CO125" i="4"/>
  <c r="DB125" i="4"/>
  <c r="BJ11" i="17"/>
  <c r="AY87" i="17"/>
  <c r="AO87" i="17" s="1"/>
  <c r="AX32" i="17"/>
  <c r="AZ51" i="17"/>
  <c r="BA63" i="17"/>
  <c r="AP63" i="17" s="1"/>
  <c r="BB96" i="17"/>
  <c r="BD106" i="17"/>
  <c r="BG106" i="17"/>
  <c r="BA64" i="17"/>
  <c r="AP64" i="17" s="1"/>
  <c r="BD45" i="17"/>
  <c r="AR45" i="17"/>
  <c r="BG45" i="17"/>
  <c r="BC42" i="17"/>
  <c r="AQ42" i="17" s="1"/>
  <c r="BA26" i="17"/>
  <c r="BC21" i="17"/>
  <c r="AQ21" i="17"/>
  <c r="AW99" i="17"/>
  <c r="BI71" i="17"/>
  <c r="AT71" i="17" s="1"/>
  <c r="BC122" i="17"/>
  <c r="BB83" i="17"/>
  <c r="BB62" i="17"/>
  <c r="BK118" i="17"/>
  <c r="AY27" i="17"/>
  <c r="BJ105" i="17"/>
  <c r="BC52" i="17"/>
  <c r="BB50" i="17"/>
  <c r="BA40" i="17"/>
  <c r="AP40" i="17" s="1"/>
  <c r="BB28" i="17"/>
  <c r="BB18" i="17"/>
  <c r="BF59" i="17"/>
  <c r="BI65" i="17"/>
  <c r="AT65" i="17"/>
  <c r="BB113" i="17"/>
  <c r="BE109" i="17"/>
  <c r="BE107" i="17"/>
  <c r="BA90" i="17"/>
  <c r="AP90" i="17" s="1"/>
  <c r="BK70" i="17"/>
  <c r="AU70" i="17" s="1"/>
  <c r="BA70" i="17"/>
  <c r="AP70" i="17" s="1"/>
  <c r="BC65" i="17"/>
  <c r="AQ65" i="17" s="1"/>
  <c r="BB36" i="17"/>
  <c r="BC30" i="17"/>
  <c r="AQ30" i="17" s="1"/>
  <c r="BB27" i="17"/>
  <c r="AQ27" i="17"/>
  <c r="BE19" i="17"/>
  <c r="AR19" i="17" s="1"/>
  <c r="AX18" i="17"/>
  <c r="AV39" i="17"/>
  <c r="AN39" i="17" s="1"/>
  <c r="BC44" i="17"/>
  <c r="AQ44" i="17" s="1"/>
  <c r="AW65" i="17"/>
  <c r="AN65" i="17" s="1"/>
  <c r="BB56" i="17"/>
  <c r="BA31" i="17"/>
  <c r="AP31" i="17" s="1"/>
  <c r="AO16" i="17"/>
  <c r="AY14" i="17"/>
  <c r="AO14" i="17" s="1"/>
  <c r="BI93" i="17"/>
  <c r="BJ98" i="17"/>
  <c r="BB57" i="17"/>
  <c r="AV45" i="17"/>
  <c r="AN45" i="17"/>
  <c r="BB40" i="17"/>
  <c r="BK32" i="17"/>
  <c r="AU32" i="17" s="1"/>
  <c r="BA32" i="17"/>
  <c r="AP32" i="17" s="1"/>
  <c r="BE22" i="17"/>
  <c r="AR22" i="17" s="1"/>
  <c r="BE18" i="17"/>
  <c r="AR18" i="17" s="1"/>
  <c r="AY8" i="17"/>
  <c r="AO8" i="17" s="1"/>
  <c r="AW93" i="17"/>
  <c r="BE97" i="17"/>
  <c r="AV42" i="17"/>
  <c r="BE24" i="17"/>
  <c r="AR24" i="17"/>
  <c r="AX23" i="17"/>
  <c r="AW15" i="17"/>
  <c r="AN15" i="17" s="1"/>
  <c r="BB9" i="17"/>
  <c r="AV44" i="17"/>
  <c r="BJ81" i="17"/>
  <c r="BA46" i="17"/>
  <c r="BJ57" i="17"/>
  <c r="BK57" i="17"/>
  <c r="AU57" i="17"/>
  <c r="BD50" i="17"/>
  <c r="BI36" i="17"/>
  <c r="AT36" i="17" s="1"/>
  <c r="BH36" i="17"/>
  <c r="AZ34" i="17"/>
  <c r="BA34" i="17"/>
  <c r="AP34" i="17" s="1"/>
  <c r="BI20" i="17"/>
  <c r="AT20" i="17" s="1"/>
  <c r="BH20" i="17"/>
  <c r="BF46" i="17"/>
  <c r="AS46" i="17" s="1"/>
  <c r="AY113" i="17"/>
  <c r="BH79" i="17"/>
  <c r="BK122" i="17"/>
  <c r="BD121" i="17"/>
  <c r="AV104" i="17"/>
  <c r="BI83" i="17"/>
  <c r="AT83" i="17" s="1"/>
  <c r="BJ65" i="17"/>
  <c r="BF54" i="17"/>
  <c r="BD54" i="17"/>
  <c r="BG54" i="17"/>
  <c r="AS54" i="17" s="1"/>
  <c r="BJ51" i="17"/>
  <c r="BK51" i="17"/>
  <c r="AU51" i="17"/>
  <c r="AV46" i="17"/>
  <c r="AN46" i="17" s="1"/>
  <c r="AW46" i="17"/>
  <c r="BI14" i="17"/>
  <c r="AT14" i="17" s="1"/>
  <c r="BH14" i="17"/>
  <c r="BI118" i="17"/>
  <c r="AY80" i="17"/>
  <c r="AO80" i="17" s="1"/>
  <c r="AY83" i="17"/>
  <c r="AO83" i="17" s="1"/>
  <c r="AX83" i="17"/>
  <c r="BA125" i="17"/>
  <c r="AZ91" i="17"/>
  <c r="BJ114" i="17"/>
  <c r="BK114" i="17"/>
  <c r="AX103" i="17"/>
  <c r="AV8" i="17"/>
  <c r="BD48" i="17"/>
  <c r="BK69" i="17"/>
  <c r="AU69" i="17" s="1"/>
  <c r="BJ69" i="17"/>
  <c r="BI32" i="17"/>
  <c r="AT32" i="17"/>
  <c r="BD29" i="17"/>
  <c r="BB44" i="17"/>
  <c r="BF119" i="17"/>
  <c r="BG119" i="17"/>
  <c r="BK60" i="17"/>
  <c r="AU60" i="17" s="1"/>
  <c r="BK96" i="17"/>
  <c r="BJ96" i="17"/>
  <c r="BH93" i="17"/>
  <c r="AT93" i="17" s="1"/>
  <c r="AW53" i="17"/>
  <c r="AN53" i="17"/>
  <c r="AX14" i="17"/>
  <c r="AX98" i="17"/>
  <c r="BH31" i="17"/>
  <c r="BF108" i="17"/>
  <c r="BB109" i="17"/>
  <c r="BC109" i="17"/>
  <c r="BF55" i="17"/>
  <c r="AY35" i="17"/>
  <c r="AO35" i="17" s="1"/>
  <c r="AX35" i="17"/>
  <c r="AY26" i="17"/>
  <c r="AX26" i="17"/>
  <c r="AO26" i="17" s="1"/>
  <c r="BF38" i="17"/>
  <c r="BD38" i="17"/>
  <c r="BG38" i="17"/>
  <c r="AS38" i="17" s="1"/>
  <c r="BK94" i="17"/>
  <c r="BJ94" i="17"/>
  <c r="AW41" i="17"/>
  <c r="AN41" i="17" s="1"/>
  <c r="AX90" i="17"/>
  <c r="AY90" i="17"/>
  <c r="AO90" i="17"/>
  <c r="AX55" i="17"/>
  <c r="BJ28" i="17"/>
  <c r="BB97" i="17"/>
  <c r="BF48" i="17"/>
  <c r="BA62" i="17"/>
  <c r="AP62" i="17" s="1"/>
  <c r="BJ36" i="17"/>
  <c r="AY118" i="17"/>
  <c r="BB107" i="17"/>
  <c r="BC107" i="17"/>
  <c r="AW67" i="17"/>
  <c r="AN67" i="17"/>
  <c r="BJ18" i="17"/>
  <c r="BK18" i="17"/>
  <c r="AU18" i="17" s="1"/>
  <c r="AY18" i="17"/>
  <c r="AO18" i="17" s="1"/>
  <c r="BG17" i="17"/>
  <c r="AS17" i="17" s="1"/>
  <c r="BB10" i="17"/>
  <c r="BC10" i="17"/>
  <c r="AQ10" i="17" s="1"/>
  <c r="AX99" i="17"/>
  <c r="AY99" i="17"/>
  <c r="BF100" i="17"/>
  <c r="AX107" i="17"/>
  <c r="BD103" i="17"/>
  <c r="AW69" i="17"/>
  <c r="AN69" i="17" s="1"/>
  <c r="AV69" i="17"/>
  <c r="BC113" i="17"/>
  <c r="BD118" i="17"/>
  <c r="BJ120" i="17"/>
  <c r="BK120" i="17"/>
  <c r="BB117" i="17"/>
  <c r="BD78" i="17"/>
  <c r="BG78" i="17"/>
  <c r="AS78" i="17" s="1"/>
  <c r="AX61" i="17"/>
  <c r="AY61" i="17"/>
  <c r="AO61" i="17" s="1"/>
  <c r="AV35" i="17"/>
  <c r="AW35" i="17"/>
  <c r="AN35" i="17" s="1"/>
  <c r="BG118" i="17"/>
  <c r="BG76" i="17"/>
  <c r="AS76" i="17" s="1"/>
  <c r="CU125" i="4"/>
  <c r="CW125" i="4"/>
  <c r="CY125" i="4"/>
  <c r="DC125" i="4"/>
  <c r="CQ125" i="4"/>
  <c r="CS125" i="4"/>
  <c r="CT125" i="4"/>
  <c r="AX117" i="17"/>
  <c r="AY117" i="17"/>
  <c r="BA76" i="17"/>
  <c r="AP76" i="17"/>
  <c r="AZ76" i="17"/>
  <c r="BG42" i="17"/>
  <c r="AS42" i="17" s="1"/>
  <c r="BF42" i="17"/>
  <c r="AY19" i="17"/>
  <c r="AO19" i="17"/>
  <c r="AX19" i="17"/>
  <c r="BC15" i="17"/>
  <c r="AQ15" i="17" s="1"/>
  <c r="BB15" i="17"/>
  <c r="BD88" i="17"/>
  <c r="BG88" i="17"/>
  <c r="AS88" i="17" s="1"/>
  <c r="BI17" i="17"/>
  <c r="AT17" i="17" s="1"/>
  <c r="BH17" i="17"/>
  <c r="AV82" i="17"/>
  <c r="AW82" i="17"/>
  <c r="AN82" i="17" s="1"/>
  <c r="BG77" i="17"/>
  <c r="AS77" i="17" s="1"/>
  <c r="BF77" i="17"/>
  <c r="AY76" i="17"/>
  <c r="AO76" i="17" s="1"/>
  <c r="AX76" i="17"/>
  <c r="BA66" i="17"/>
  <c r="AP66" i="17" s="1"/>
  <c r="AZ66" i="17"/>
  <c r="AZ33" i="17"/>
  <c r="BA33" i="17"/>
  <c r="AP33" i="17" s="1"/>
  <c r="BC29" i="17"/>
  <c r="AQ29" i="17" s="1"/>
  <c r="BB29" i="17"/>
  <c r="BB16" i="17"/>
  <c r="BC16" i="17"/>
  <c r="AQ16" i="17" s="1"/>
  <c r="BD91" i="17"/>
  <c r="BF91" i="17"/>
  <c r="AY111" i="17"/>
  <c r="AW81" i="17"/>
  <c r="AN81" i="17"/>
  <c r="BH109" i="17"/>
  <c r="BK29" i="17"/>
  <c r="AU29" i="17" s="1"/>
  <c r="BI63" i="17"/>
  <c r="AT63" i="17" s="1"/>
  <c r="BH63" i="17"/>
  <c r="BC101" i="17"/>
  <c r="BB101" i="17"/>
  <c r="AX106" i="17"/>
  <c r="BI111" i="17"/>
  <c r="BD112" i="17"/>
  <c r="BF112" i="17"/>
  <c r="AY108" i="17"/>
  <c r="BH104" i="17"/>
  <c r="BI104" i="17"/>
  <c r="BF71" i="17"/>
  <c r="BD71" i="17"/>
  <c r="BK67" i="17"/>
  <c r="AU67" i="17" s="1"/>
  <c r="BJ67" i="17"/>
  <c r="AX54" i="17"/>
  <c r="AY54" i="17"/>
  <c r="AO54" i="17" s="1"/>
  <c r="BF12" i="17"/>
  <c r="AS12" i="17" s="1"/>
  <c r="BD12" i="17"/>
  <c r="AR12" i="17" s="1"/>
  <c r="AV118" i="17"/>
  <c r="BB67" i="17"/>
  <c r="BG74" i="17"/>
  <c r="AS74" i="17" s="1"/>
  <c r="BH85" i="17"/>
  <c r="BK54" i="17"/>
  <c r="AU54" i="17" s="1"/>
  <c r="AX108" i="17"/>
  <c r="BG79" i="17"/>
  <c r="AS79" i="17" s="1"/>
  <c r="BF79" i="17"/>
  <c r="BJ39" i="17"/>
  <c r="BK39" i="17"/>
  <c r="AU39" i="17" s="1"/>
  <c r="AW47" i="17"/>
  <c r="AV47" i="17"/>
  <c r="AN47" i="17" s="1"/>
  <c r="BB39" i="17"/>
  <c r="BA43" i="17"/>
  <c r="AP43" i="17" s="1"/>
  <c r="BK71" i="17"/>
  <c r="AU71" i="17" s="1"/>
  <c r="AV64" i="17"/>
  <c r="BH62" i="17"/>
  <c r="AV24" i="17"/>
  <c r="AV124" i="17"/>
  <c r="BB87" i="17"/>
  <c r="BD20" i="17"/>
  <c r="AX48" i="17"/>
  <c r="BJ74" i="17"/>
  <c r="BI96" i="17"/>
  <c r="BF37" i="17"/>
  <c r="BG63" i="17"/>
  <c r="AS63" i="17" s="1"/>
  <c r="BJ116" i="17"/>
  <c r="AY116" i="17"/>
  <c r="AX116" i="17"/>
  <c r="BB114" i="17"/>
  <c r="BC114" i="17"/>
  <c r="BI110" i="17"/>
  <c r="BG105" i="17"/>
  <c r="BF105" i="17"/>
  <c r="BD105" i="17"/>
  <c r="BC77" i="17"/>
  <c r="AQ77" i="17"/>
  <c r="AZ55" i="17"/>
  <c r="BA55" i="17"/>
  <c r="AP55" i="17" s="1"/>
  <c r="AX46" i="17"/>
  <c r="AO46" i="17" s="1"/>
  <c r="AY46" i="17"/>
  <c r="BB32" i="17"/>
  <c r="BC32" i="17"/>
  <c r="AQ32" i="17" s="1"/>
  <c r="BH101" i="17"/>
  <c r="BI101" i="17"/>
  <c r="BC54" i="17"/>
  <c r="AQ54" i="17" s="1"/>
  <c r="BJ47" i="17"/>
  <c r="BK47" i="17"/>
  <c r="AU47" i="17"/>
  <c r="AW19" i="17"/>
  <c r="AN19" i="17" s="1"/>
  <c r="BH70" i="17"/>
  <c r="BI70" i="17"/>
  <c r="AT70" i="17" s="1"/>
  <c r="BG49" i="17"/>
  <c r="AS49" i="17" s="1"/>
  <c r="BF49" i="17"/>
  <c r="BD49" i="17"/>
  <c r="BF23" i="17"/>
  <c r="BG23" i="17"/>
  <c r="AS23" i="17" s="1"/>
  <c r="BD23" i="17"/>
  <c r="BG11" i="17"/>
  <c r="AS11" i="17" s="1"/>
  <c r="BF11" i="17"/>
  <c r="BB8" i="17"/>
  <c r="BC8" i="17"/>
  <c r="AQ8" i="17" s="1"/>
  <c r="AW28" i="17"/>
  <c r="AN28" i="17" s="1"/>
  <c r="AV28" i="17"/>
  <c r="BE21" i="17"/>
  <c r="AR21" i="17" s="1"/>
  <c r="BD21" i="17"/>
  <c r="AZ121" i="17"/>
  <c r="BG120" i="17"/>
  <c r="AW111" i="17"/>
  <c r="AV111" i="17"/>
  <c r="BC110" i="17"/>
  <c r="BB110" i="17"/>
  <c r="AV109" i="17"/>
  <c r="AW109" i="17"/>
  <c r="BI60" i="17"/>
  <c r="AT60" i="17" s="1"/>
  <c r="BH60" i="17"/>
  <c r="AW50" i="17"/>
  <c r="AN50" i="17"/>
  <c r="AV50" i="17"/>
  <c r="BJ41" i="17"/>
  <c r="BK41" i="17"/>
  <c r="AU41" i="17"/>
  <c r="AY40" i="17"/>
  <c r="AO40" i="17" s="1"/>
  <c r="AX40" i="17"/>
  <c r="BF34" i="17"/>
  <c r="BD34" i="17"/>
  <c r="BH77" i="17"/>
  <c r="BI77" i="17"/>
  <c r="AT77" i="17"/>
  <c r="AZ24" i="17"/>
  <c r="BA24" i="17"/>
  <c r="AP24" i="17" s="1"/>
  <c r="BH40" i="17"/>
  <c r="BG82" i="17"/>
  <c r="AS82" i="17"/>
  <c r="BD82" i="17"/>
  <c r="BG70" i="17"/>
  <c r="AS70" i="17" s="1"/>
  <c r="BF70" i="17"/>
  <c r="BD44" i="17"/>
  <c r="BG44" i="17"/>
  <c r="AS44" i="17" s="1"/>
  <c r="BC118" i="17"/>
  <c r="AY15" i="17"/>
  <c r="AO15" i="17"/>
  <c r="BI124" i="17"/>
  <c r="BH124" i="17"/>
  <c r="BF64" i="17"/>
  <c r="BG64" i="17"/>
  <c r="AS64" i="17" s="1"/>
  <c r="BD64" i="17"/>
  <c r="BC99" i="17"/>
  <c r="BB99" i="17"/>
  <c r="AV49" i="17"/>
  <c r="AW49" i="17"/>
  <c r="AN49" i="17" s="1"/>
  <c r="BJ115" i="17"/>
  <c r="BH28" i="17"/>
  <c r="AW112" i="17"/>
  <c r="AW63" i="17"/>
  <c r="AN63" i="17" s="1"/>
  <c r="AV63" i="17"/>
  <c r="BK56" i="17"/>
  <c r="AU56" i="17" s="1"/>
  <c r="BJ56" i="17"/>
  <c r="AW97" i="17"/>
  <c r="AV97" i="17"/>
  <c r="BI98" i="17"/>
  <c r="BH98" i="17"/>
  <c r="BF101" i="17"/>
  <c r="BG101" i="17"/>
  <c r="BB102" i="17"/>
  <c r="BC102" i="17"/>
  <c r="BB125" i="17"/>
  <c r="BC125" i="17"/>
  <c r="BK90" i="17"/>
  <c r="AU90" i="17"/>
  <c r="BJ90" i="17"/>
  <c r="BG9" i="17"/>
  <c r="AS9" i="17" s="1"/>
  <c r="BF9" i="17"/>
  <c r="BK61" i="17"/>
  <c r="AU61" i="17" s="1"/>
  <c r="AZ102" i="17"/>
  <c r="BA56" i="17"/>
  <c r="AP56" i="17" s="1"/>
  <c r="AY121" i="17"/>
  <c r="BI24" i="17"/>
  <c r="AT24" i="17"/>
  <c r="AX58" i="17"/>
  <c r="BF44" i="17"/>
  <c r="AX42" i="17"/>
  <c r="BA36" i="17"/>
  <c r="AP36" i="17" s="1"/>
  <c r="AZ36" i="17"/>
  <c r="BB35" i="17"/>
  <c r="BC35" i="17"/>
  <c r="AQ35" i="17" s="1"/>
  <c r="BA23" i="17"/>
  <c r="AP23" i="17" s="1"/>
  <c r="AZ10" i="17"/>
  <c r="BA10" i="17"/>
  <c r="AP10" i="17" s="1"/>
  <c r="AX97" i="17"/>
  <c r="AY97" i="17"/>
  <c r="BD99" i="17"/>
  <c r="BA87" i="17"/>
  <c r="AP87" i="17" s="1"/>
  <c r="BK119" i="17"/>
  <c r="BA45" i="17"/>
  <c r="AZ59" i="17"/>
  <c r="BB31" i="17"/>
  <c r="BD124" i="17"/>
  <c r="BF104" i="17"/>
  <c r="AX60" i="17"/>
  <c r="BA92" i="17"/>
  <c r="AP92" i="17"/>
  <c r="BC123" i="17"/>
  <c r="BG108" i="17"/>
  <c r="BD108" i="17"/>
  <c r="BJ103" i="17"/>
  <c r="BG68" i="17"/>
  <c r="AS68" i="17" s="1"/>
  <c r="BD68" i="17"/>
  <c r="BJ49" i="17"/>
  <c r="BJ43" i="17"/>
  <c r="BI42" i="17"/>
  <c r="AT42" i="17" s="1"/>
  <c r="BH42" i="17"/>
  <c r="BE33" i="17"/>
  <c r="AR33" i="17" s="1"/>
  <c r="AV22" i="17"/>
  <c r="AW22" i="17"/>
  <c r="AN22" i="17" s="1"/>
  <c r="BD17" i="17"/>
  <c r="BF17" i="17"/>
  <c r="AW89" i="17"/>
  <c r="AN89" i="17" s="1"/>
  <c r="AV89" i="17"/>
  <c r="BI89" i="17"/>
  <c r="AT89" i="17" s="1"/>
  <c r="BH89" i="17"/>
  <c r="AY59" i="17"/>
  <c r="AO59" i="17" s="1"/>
  <c r="AX59" i="17"/>
  <c r="BH59" i="17"/>
  <c r="BI59" i="17"/>
  <c r="AT59" i="17" s="1"/>
  <c r="AY38" i="17"/>
  <c r="AO38" i="17" s="1"/>
  <c r="AW95" i="17"/>
  <c r="AV95" i="17"/>
  <c r="BI7" i="17"/>
  <c r="AT7" i="17" s="1"/>
  <c r="BH7" i="17"/>
  <c r="BG92" i="17"/>
  <c r="AS92" i="17" s="1"/>
  <c r="BF92" i="17"/>
  <c r="AX86" i="17"/>
  <c r="AZ85" i="17"/>
  <c r="BE67" i="17"/>
  <c r="AR67" i="17" s="1"/>
  <c r="BD67" i="17"/>
  <c r="BI64" i="17"/>
  <c r="AT64" i="17"/>
  <c r="BH64" i="17"/>
  <c r="BF50" i="17"/>
  <c r="BG50" i="17"/>
  <c r="AS50" i="17"/>
  <c r="AV18" i="17"/>
  <c r="AW18" i="17"/>
  <c r="AN18" i="17" s="1"/>
  <c r="BH122" i="17"/>
  <c r="BI122" i="17"/>
  <c r="BB115" i="17"/>
  <c r="BC115" i="17"/>
  <c r="BI107" i="17"/>
  <c r="BH107" i="17"/>
  <c r="AY47" i="17"/>
  <c r="AX47" i="17"/>
  <c r="AO47" i="17" s="1"/>
  <c r="AV43" i="17"/>
  <c r="AW43" i="17"/>
  <c r="AN43" i="17" s="1"/>
  <c r="BD30" i="17"/>
  <c r="BF30" i="17"/>
  <c r="BC33" i="17"/>
  <c r="AQ33" i="17" s="1"/>
  <c r="BG30" i="17"/>
  <c r="AS30" i="17" s="1"/>
  <c r="AW107" i="17"/>
  <c r="BD120" i="17"/>
  <c r="AZ124" i="17"/>
  <c r="BA124" i="17"/>
  <c r="BG122" i="17"/>
  <c r="BD122" i="17"/>
  <c r="BF122" i="17"/>
  <c r="BA107" i="17"/>
  <c r="AZ107" i="17"/>
  <c r="BH92" i="17"/>
  <c r="BG73" i="17"/>
  <c r="AS73" i="17" s="1"/>
  <c r="BI19" i="17"/>
  <c r="AT19" i="17" s="1"/>
  <c r="BA67" i="17"/>
  <c r="AP67" i="17" s="1"/>
  <c r="AZ110" i="17"/>
  <c r="BA110" i="17"/>
  <c r="BA108" i="17"/>
  <c r="BF107" i="17"/>
  <c r="BG107" i="17"/>
  <c r="BD81" i="17"/>
  <c r="BF81" i="17"/>
  <c r="BI76" i="17"/>
  <c r="AT76" i="17" s="1"/>
  <c r="BC49" i="17"/>
  <c r="AQ49" i="17" s="1"/>
  <c r="BB49" i="17"/>
  <c r="BF19" i="17"/>
  <c r="BC86" i="17"/>
  <c r="AQ86" i="17" s="1"/>
  <c r="BB86" i="17"/>
  <c r="BK112" i="17"/>
  <c r="BD73" i="17"/>
  <c r="BF89" i="17"/>
  <c r="AY104" i="17"/>
  <c r="BJ73" i="17"/>
  <c r="BB48" i="17"/>
  <c r="BA106" i="17"/>
  <c r="AW71" i="17"/>
  <c r="AN71" i="17" s="1"/>
  <c r="BJ33" i="17"/>
  <c r="BG14" i="17"/>
  <c r="AS14" i="17" s="1"/>
  <c r="BF14" i="17"/>
  <c r="BD76" i="17"/>
  <c r="BE76" i="17"/>
  <c r="AR76" i="17" s="1"/>
  <c r="BG29" i="17"/>
  <c r="AS29" i="17" s="1"/>
  <c r="BF29" i="17"/>
  <c r="BK30" i="17"/>
  <c r="AU30" i="17" s="1"/>
  <c r="BA61" i="17"/>
  <c r="AP61" i="17" s="1"/>
  <c r="BD14" i="17"/>
  <c r="AY64" i="17"/>
  <c r="AO64" i="17" s="1"/>
  <c r="BF123" i="17"/>
  <c r="BD123" i="17"/>
  <c r="AV110" i="17"/>
  <c r="BG80" i="17"/>
  <c r="AS80" i="17" s="1"/>
  <c r="BF80" i="17"/>
  <c r="BD80" i="17"/>
  <c r="AW29" i="17"/>
  <c r="AN29" i="17" s="1"/>
  <c r="BI26" i="17"/>
  <c r="BH26" i="17"/>
  <c r="AT26" i="17" s="1"/>
  <c r="AV84" i="17"/>
  <c r="AW84" i="17"/>
  <c r="AN84" i="17" s="1"/>
  <c r="BD87" i="17"/>
  <c r="AX41" i="17"/>
  <c r="AY41" i="17"/>
  <c r="AO41" i="17" s="1"/>
  <c r="BD84" i="17"/>
  <c r="BE84" i="17"/>
  <c r="AR84" i="17" s="1"/>
  <c r="BG81" i="17"/>
  <c r="AS81" i="17" s="1"/>
  <c r="AV71" i="17"/>
  <c r="BI18" i="17"/>
  <c r="AT18" i="17" s="1"/>
  <c r="BG26" i="17"/>
  <c r="BJ19" i="17"/>
  <c r="BG99" i="17"/>
  <c r="BA9" i="17"/>
  <c r="AP9" i="17" s="1"/>
  <c r="BK85" i="17"/>
  <c r="AU85" i="17" s="1"/>
  <c r="AZ48" i="17"/>
  <c r="AZ60" i="17"/>
  <c r="BF115" i="17"/>
  <c r="BG115" i="17"/>
  <c r="BH72" i="17"/>
  <c r="BI72" i="17"/>
  <c r="AT72" i="17" s="1"/>
  <c r="BJ117" i="17"/>
  <c r="BB119" i="17"/>
  <c r="BF90" i="17"/>
  <c r="AY109" i="17"/>
  <c r="BD117" i="17"/>
  <c r="BF88" i="17"/>
  <c r="BC85" i="17"/>
  <c r="AQ85" i="17" s="1"/>
  <c r="BD79" i="17"/>
  <c r="AW120" i="17"/>
  <c r="BD18" i="17"/>
  <c r="BJ88" i="17"/>
  <c r="AZ23" i="17"/>
  <c r="BC60" i="17"/>
  <c r="AQ60" i="17" s="1"/>
  <c r="BD11" i="17"/>
  <c r="AW51" i="17"/>
  <c r="AN51" i="17" s="1"/>
  <c r="AV60" i="17"/>
  <c r="AV88" i="17"/>
  <c r="BK84" i="17"/>
  <c r="AU84" i="17" s="1"/>
  <c r="BD77" i="17"/>
  <c r="BG112" i="17"/>
  <c r="AZ7" i="17"/>
  <c r="BJ109" i="17"/>
  <c r="BD90" i="17"/>
  <c r="AX81" i="17"/>
  <c r="BK80" i="17"/>
  <c r="AU80" i="17" s="1"/>
  <c r="AZ75" i="17"/>
  <c r="BA75" i="17"/>
  <c r="AP75" i="17" s="1"/>
  <c r="AY72" i="17"/>
  <c r="AO72" i="17" s="1"/>
  <c r="AW57" i="17"/>
  <c r="AN57" i="17" s="1"/>
  <c r="AV57" i="17"/>
  <c r="BF56" i="17"/>
  <c r="BG56" i="17"/>
  <c r="AS56" i="17" s="1"/>
  <c r="BA47" i="17"/>
  <c r="BH43" i="17"/>
  <c r="BD42" i="17"/>
  <c r="BK31" i="17"/>
  <c r="AU31" i="17" s="1"/>
  <c r="BH30" i="17"/>
  <c r="AV30" i="17"/>
  <c r="AW30" i="17"/>
  <c r="AN30" i="17" s="1"/>
  <c r="AV23" i="17"/>
  <c r="AW23" i="17"/>
  <c r="AN23" i="17" s="1"/>
  <c r="BA14" i="17"/>
  <c r="AP14" i="17" s="1"/>
  <c r="BI11" i="17"/>
  <c r="AT11" i="17" s="1"/>
  <c r="BH11" i="17"/>
  <c r="BJ89" i="17"/>
  <c r="BK95" i="17"/>
  <c r="BJ95" i="17"/>
  <c r="BH99" i="17"/>
  <c r="BI99" i="17"/>
  <c r="BG91" i="17"/>
  <c r="AS91" i="17" s="1"/>
  <c r="AY29" i="17"/>
  <c r="AO29" i="17"/>
  <c r="AX29" i="17"/>
  <c r="AW9" i="17"/>
  <c r="AN9" i="17" s="1"/>
  <c r="BB34" i="17"/>
  <c r="BD46" i="17"/>
  <c r="AR46" i="17" s="1"/>
  <c r="BI58" i="17"/>
  <c r="AT58" i="17" s="1"/>
  <c r="BF67" i="17"/>
  <c r="BG7" i="17"/>
  <c r="AS7" i="17" s="1"/>
  <c r="BG83" i="17"/>
  <c r="AS83" i="17" s="1"/>
  <c r="BC120" i="17"/>
  <c r="AZ108" i="17"/>
  <c r="AZ106" i="17"/>
  <c r="BA80" i="17"/>
  <c r="AP80" i="17" s="1"/>
  <c r="BF75" i="17"/>
  <c r="AZ70" i="17"/>
  <c r="BI34" i="17"/>
  <c r="AT34" i="17" s="1"/>
  <c r="AX93" i="17"/>
  <c r="AO93" i="17" s="1"/>
  <c r="BK110" i="17"/>
  <c r="BK34" i="17"/>
  <c r="AU34" i="17" s="1"/>
  <c r="BB38" i="17"/>
  <c r="BC82" i="17"/>
  <c r="AQ82" i="17" s="1"/>
  <c r="BK116" i="17"/>
  <c r="BA57" i="17"/>
  <c r="AP57" i="17" s="1"/>
  <c r="BA42" i="17"/>
  <c r="AP42" i="17"/>
  <c r="BC40" i="17"/>
  <c r="AQ40" i="17" s="1"/>
  <c r="BC20" i="17"/>
  <c r="AQ20" i="17" s="1"/>
  <c r="AV16" i="17"/>
  <c r="AW13" i="17"/>
  <c r="AN13" i="17" s="1"/>
  <c r="BI100" i="17"/>
  <c r="BK103" i="17"/>
  <c r="BD113" i="17"/>
  <c r="BJ15" i="17"/>
  <c r="BC68" i="17"/>
  <c r="AQ68" i="17" s="1"/>
  <c r="BG48" i="17"/>
  <c r="AS48" i="17" s="1"/>
  <c r="BG35" i="17"/>
  <c r="AS35" i="17" s="1"/>
  <c r="BD75" i="17"/>
  <c r="BB89" i="17"/>
  <c r="AZ77" i="17"/>
  <c r="AZ68" i="17"/>
  <c r="BJ40" i="17"/>
  <c r="BA28" i="17"/>
  <c r="AP28" i="17" s="1"/>
  <c r="BA25" i="17"/>
  <c r="AP25" i="17" s="1"/>
  <c r="BB23" i="17"/>
  <c r="AV17" i="17"/>
  <c r="AV100" i="17"/>
  <c r="BT36" i="4"/>
  <c r="BM38" i="4"/>
  <c r="DI81" i="4"/>
  <c r="DK81" i="4" s="1"/>
  <c r="DE81" i="4" s="1"/>
  <c r="DG81" i="4" s="1"/>
  <c r="DI83" i="4"/>
  <c r="DG83" i="4" s="1"/>
  <c r="BT65" i="4"/>
  <c r="BR46" i="4"/>
  <c r="CY16" i="4"/>
  <c r="BQ15" i="4"/>
  <c r="BL62" i="4"/>
  <c r="BL51" i="4"/>
  <c r="BL54" i="4"/>
  <c r="BL81" i="4"/>
  <c r="BL82" i="4"/>
  <c r="BL17" i="4"/>
  <c r="BL52" i="4"/>
  <c r="BL85" i="4"/>
  <c r="BO34" i="4"/>
  <c r="BT34" i="4"/>
  <c r="BR38" i="4"/>
  <c r="BR34" i="4"/>
  <c r="BR37" i="4"/>
  <c r="DC47" i="4"/>
  <c r="BL7" i="4"/>
  <c r="BL92" i="4"/>
  <c r="CS12" i="4"/>
  <c r="BR14" i="4"/>
  <c r="DC40" i="4"/>
  <c r="CT63" i="4"/>
  <c r="CT79" i="4"/>
  <c r="BL68" i="4"/>
  <c r="BL90" i="4"/>
  <c r="CW12" i="4"/>
  <c r="CW13" i="4"/>
  <c r="BT8" i="4"/>
  <c r="BL65" i="4"/>
  <c r="CQ12" i="4"/>
  <c r="BQ17" i="4"/>
  <c r="BU17" i="4"/>
  <c r="CU17" i="4"/>
  <c r="BO47" i="4"/>
  <c r="BQ47" i="4"/>
  <c r="BM64" i="4"/>
  <c r="BO75" i="4"/>
  <c r="BR75" i="4"/>
  <c r="BQ80" i="4"/>
  <c r="BR80" i="4"/>
  <c r="CT47" i="4"/>
  <c r="DI61" i="4"/>
  <c r="BU47" i="4"/>
  <c r="BU8" i="4"/>
  <c r="BM8" i="4"/>
  <c r="BO8" i="4"/>
  <c r="BQ8" i="4"/>
  <c r="BO66" i="4"/>
  <c r="BL41" i="4"/>
  <c r="BM15" i="4"/>
  <c r="DI17" i="4"/>
  <c r="BJ55" i="4"/>
  <c r="BR55" i="4"/>
  <c r="BQ57" i="4"/>
  <c r="BJ57" i="4"/>
  <c r="BR57" i="4"/>
  <c r="DI57" i="4"/>
  <c r="DK57" i="4" s="1"/>
  <c r="DE57" i="4" s="1"/>
  <c r="DG57" i="4" s="1"/>
  <c r="BT59" i="4"/>
  <c r="BM59" i="4"/>
  <c r="BR59" i="4"/>
  <c r="BJ59" i="4"/>
  <c r="DI59" i="4"/>
  <c r="DK59" i="4" s="1"/>
  <c r="DE59" i="4" s="1"/>
  <c r="DG59" i="4" s="1"/>
  <c r="BO63" i="4"/>
  <c r="DA63" i="4"/>
  <c r="BM65" i="4"/>
  <c r="BQ65" i="4"/>
  <c r="DI65" i="4"/>
  <c r="DK65" i="4" s="1"/>
  <c r="DE65" i="4" s="1"/>
  <c r="DG65" i="4" s="1"/>
  <c r="BT74" i="4"/>
  <c r="BM74" i="4"/>
  <c r="BR74" i="4"/>
  <c r="BH82" i="4"/>
  <c r="BT82" i="4"/>
  <c r="BQ82" i="4"/>
  <c r="BM82" i="4"/>
  <c r="BJ82" i="4"/>
  <c r="BR82" i="4"/>
  <c r="BU82" i="4"/>
  <c r="BJ84" i="4"/>
  <c r="BU84" i="4"/>
  <c r="BT84" i="4"/>
  <c r="DI84" i="4"/>
  <c r="DG84" i="4" s="1"/>
  <c r="BO65" i="4"/>
  <c r="BJ65" i="4"/>
  <c r="BQ51" i="4"/>
  <c r="BJ51" i="4"/>
  <c r="BT51" i="4"/>
  <c r="DI56" i="4"/>
  <c r="CO56" i="4"/>
  <c r="BM58" i="4"/>
  <c r="BR58" i="4"/>
  <c r="BT58" i="4"/>
  <c r="BR60" i="4"/>
  <c r="BU60" i="4"/>
  <c r="BQ60" i="4"/>
  <c r="DI60" i="4"/>
  <c r="DG60" i="4" s="1"/>
  <c r="BO60" i="4"/>
  <c r="BO62" i="4"/>
  <c r="BU62" i="4"/>
  <c r="BT62" i="4"/>
  <c r="BR62" i="4"/>
  <c r="DC64" i="4"/>
  <c r="BU64" i="4"/>
  <c r="BT66" i="4"/>
  <c r="BR66" i="4"/>
  <c r="BM66" i="4"/>
  <c r="CY71" i="4"/>
  <c r="BM71" i="4"/>
  <c r="DA71" i="4"/>
  <c r="CO71" i="4"/>
  <c r="BQ71" i="4"/>
  <c r="BR73" i="4"/>
  <c r="BO73" i="4"/>
  <c r="DC79" i="4"/>
  <c r="CS79" i="4"/>
  <c r="BR81" i="4"/>
  <c r="BT81" i="4"/>
  <c r="BQ81" i="4"/>
  <c r="BJ81" i="4"/>
  <c r="BU83" i="4"/>
  <c r="BJ83" i="4"/>
  <c r="BR83" i="4"/>
  <c r="BM83" i="4"/>
  <c r="BQ83" i="4"/>
  <c r="BT83" i="4"/>
  <c r="BR63" i="4"/>
  <c r="BR79" i="4"/>
  <c r="BO59" i="4"/>
  <c r="BQ7" i="4"/>
  <c r="BU7" i="4"/>
  <c r="BM48" i="4"/>
  <c r="BQ48" i="4"/>
  <c r="BO82" i="4"/>
  <c r="BR84" i="4"/>
  <c r="DI58" i="4"/>
  <c r="DK58" i="4" s="1"/>
  <c r="DE58" i="4" s="1"/>
  <c r="DG58" i="4" s="1"/>
  <c r="BU58" i="4"/>
  <c r="CW55" i="4"/>
  <c r="BR70" i="4"/>
  <c r="BM53" i="4"/>
  <c r="BM70" i="4"/>
  <c r="BR65" i="4"/>
  <c r="BO81" i="4"/>
  <c r="BO55" i="4"/>
  <c r="CS55" i="4"/>
  <c r="BQ56" i="4"/>
  <c r="BT7" i="4"/>
  <c r="CU55" i="4"/>
  <c r="BU63" i="4"/>
  <c r="BQ11" i="4"/>
  <c r="BT11" i="4"/>
  <c r="BL16" i="4"/>
  <c r="BH12" i="4"/>
  <c r="BT12" i="4"/>
  <c r="BQ12" i="4"/>
  <c r="CO12" i="4"/>
  <c r="BJ12" i="4"/>
  <c r="BJ14" i="4"/>
  <c r="BT14" i="4"/>
  <c r="CU15" i="4"/>
  <c r="DI16" i="4"/>
  <c r="BQ16" i="4"/>
  <c r="BL34" i="4"/>
  <c r="BT16" i="4"/>
  <c r="BU70" i="4"/>
  <c r="BT75" i="4"/>
  <c r="BT78" i="4"/>
  <c r="BT80" i="4"/>
  <c r="CY57" i="4"/>
  <c r="BT15" i="4"/>
  <c r="DC20" i="4"/>
  <c r="DB23" i="4"/>
  <c r="CW47" i="4"/>
  <c r="DI8" i="4"/>
  <c r="DI47" i="4"/>
  <c r="BH37" i="4"/>
  <c r="BQ37" i="4"/>
  <c r="BU37" i="4"/>
  <c r="BJ37" i="4"/>
  <c r="BU35" i="4"/>
  <c r="BU39" i="4"/>
  <c r="BO39" i="4"/>
  <c r="BJ34" i="4"/>
  <c r="BQ34" i="4"/>
  <c r="DI34" i="4"/>
  <c r="DG34" i="4" s="1"/>
  <c r="BH38" i="4"/>
  <c r="BQ38" i="4"/>
  <c r="BQ35" i="4"/>
  <c r="BJ44" i="4"/>
  <c r="BH36" i="4"/>
  <c r="BR36" i="4"/>
  <c r="BQ36" i="4"/>
  <c r="BM39" i="4"/>
  <c r="CS63" i="4"/>
  <c r="CO55" i="4"/>
  <c r="CS64" i="4"/>
  <c r="BL83" i="4"/>
  <c r="BH55" i="4"/>
  <c r="BM55" i="4"/>
  <c r="BU55" i="4"/>
  <c r="BM57" i="4"/>
  <c r="BO58" i="4"/>
  <c r="BQ58" i="4"/>
  <c r="BQ61" i="4"/>
  <c r="BM61" i="4"/>
  <c r="BT61" i="4"/>
  <c r="BJ61" i="4"/>
  <c r="BR61" i="4"/>
  <c r="BJ62" i="4"/>
  <c r="BQ62" i="4"/>
  <c r="BM63" i="4"/>
  <c r="BQ63" i="4"/>
  <c r="BT64" i="4"/>
  <c r="BQ64" i="4"/>
  <c r="BJ64" i="4"/>
  <c r="CS15" i="4"/>
  <c r="BM24" i="4"/>
  <c r="BR24" i="4"/>
  <c r="BJ24" i="4"/>
  <c r="DB24" i="4"/>
  <c r="CO24" i="4"/>
  <c r="BO24" i="4"/>
  <c r="DC24" i="4"/>
  <c r="BQ24" i="4"/>
  <c r="CT24" i="4"/>
  <c r="CW24" i="4"/>
  <c r="CY24" i="4"/>
  <c r="DA24" i="4"/>
  <c r="CU24" i="4"/>
  <c r="BT27" i="4"/>
  <c r="BR27" i="4"/>
  <c r="BH29" i="4"/>
  <c r="BO29" i="4"/>
  <c r="BJ29" i="4"/>
  <c r="BR29" i="4"/>
  <c r="BM29" i="4"/>
  <c r="BU29" i="4"/>
  <c r="BQ29" i="4"/>
  <c r="BT29" i="4"/>
  <c r="BH86" i="4"/>
  <c r="BR86" i="4"/>
  <c r="BM86" i="4"/>
  <c r="BJ86" i="4"/>
  <c r="DI86" i="4"/>
  <c r="DG86" i="4" s="1"/>
  <c r="BQ86" i="4"/>
  <c r="BO86" i="4"/>
  <c r="BU86" i="4"/>
  <c r="BT86" i="4"/>
  <c r="BJ18" i="4"/>
  <c r="BR18" i="4"/>
  <c r="BU23" i="4"/>
  <c r="DA23" i="4"/>
  <c r="CY23" i="4"/>
  <c r="CQ23" i="4"/>
  <c r="CO23" i="4"/>
  <c r="BQ23" i="4"/>
  <c r="BT23" i="4"/>
  <c r="CT23" i="4"/>
  <c r="BJ23" i="4"/>
  <c r="BU28" i="4"/>
  <c r="BO28" i="4"/>
  <c r="BR28" i="4"/>
  <c r="DI28" i="4"/>
  <c r="BH85" i="4"/>
  <c r="BR85" i="4"/>
  <c r="BT85" i="4"/>
  <c r="BJ85" i="4"/>
  <c r="BM85" i="4"/>
  <c r="BQ85" i="4"/>
  <c r="DI85" i="4"/>
  <c r="DG85" i="4" s="1"/>
  <c r="BO85" i="4"/>
  <c r="BU85" i="4"/>
  <c r="BH22" i="4"/>
  <c r="BR22" i="4"/>
  <c r="BM22" i="4"/>
  <c r="BQ22" i="4"/>
  <c r="BJ22" i="4"/>
  <c r="BR25" i="4"/>
  <c r="DI25" i="4"/>
  <c r="BT25" i="4"/>
  <c r="BU30" i="4"/>
  <c r="BO30" i="4"/>
  <c r="BJ32" i="4"/>
  <c r="BR32" i="4"/>
  <c r="CO32" i="4"/>
  <c r="BQ32" i="4"/>
  <c r="CY32" i="4"/>
  <c r="BR87" i="4"/>
  <c r="BO87" i="4"/>
  <c r="DA87" i="4"/>
  <c r="BQ87" i="4"/>
  <c r="BH89" i="4"/>
  <c r="BQ89" i="4"/>
  <c r="BT89" i="4"/>
  <c r="BR89" i="4"/>
  <c r="DI89" i="4"/>
  <c r="DK89" i="4" s="1"/>
  <c r="DE89" i="4" s="1"/>
  <c r="DG89" i="4" s="1"/>
  <c r="BO89" i="4"/>
  <c r="BU89" i="4"/>
  <c r="BJ89" i="4"/>
  <c r="BH90" i="4"/>
  <c r="BT90" i="4"/>
  <c r="BM90" i="4"/>
  <c r="BQ90" i="4"/>
  <c r="BR90" i="4"/>
  <c r="DI90" i="4"/>
  <c r="DK90" i="4" s="1"/>
  <c r="DE90" i="4" s="1"/>
  <c r="DG90" i="4" s="1"/>
  <c r="BU90" i="4"/>
  <c r="BJ90" i="4"/>
  <c r="BO90" i="4"/>
  <c r="DI91" i="4"/>
  <c r="DG91" i="4" s="1"/>
  <c r="BM91" i="4"/>
  <c r="BO91" i="4"/>
  <c r="BR91" i="4"/>
  <c r="BQ91" i="4"/>
  <c r="BT91" i="4"/>
  <c r="BQ92" i="4"/>
  <c r="DI92" i="4"/>
  <c r="DG92" i="4" s="1"/>
  <c r="BH93" i="4"/>
  <c r="BQ93" i="4"/>
  <c r="BU93" i="4"/>
  <c r="BJ93" i="4"/>
  <c r="BO93" i="4"/>
  <c r="BR93" i="4"/>
  <c r="BQ25" i="4"/>
  <c r="DA32" i="4"/>
  <c r="BM89" i="4"/>
  <c r="BJ26" i="4"/>
  <c r="BQ26" i="4"/>
  <c r="BU31" i="4"/>
  <c r="BR31" i="4"/>
  <c r="CQ31" i="4"/>
  <c r="CU31" i="4"/>
  <c r="BT33" i="4"/>
  <c r="BR33" i="4"/>
  <c r="BQ33" i="4"/>
  <c r="CQ24" i="4"/>
  <c r="BT93" i="4"/>
  <c r="CY70" i="4"/>
  <c r="BU32" i="4"/>
  <c r="BU80" i="4"/>
  <c r="CS24" i="4"/>
  <c r="BQ30" i="4"/>
  <c r="BU41" i="4"/>
  <c r="BR41" i="4"/>
  <c r="BH45" i="4"/>
  <c r="BJ45" i="4"/>
  <c r="BQ45" i="4"/>
  <c r="BM45" i="4"/>
  <c r="BR45" i="4"/>
  <c r="DI45" i="4"/>
  <c r="BL49" i="4"/>
  <c r="BO56" i="4"/>
  <c r="BO64" i="4"/>
  <c r="BR43" i="4"/>
  <c r="BU43" i="4"/>
  <c r="BM43" i="4"/>
  <c r="DA47" i="4"/>
  <c r="CT39" i="4"/>
  <c r="BT45" i="4"/>
  <c r="CS80" i="4"/>
  <c r="CQ71" i="4"/>
  <c r="DB55" i="4"/>
  <c r="BJ74" i="4"/>
  <c r="BJ78" i="4"/>
  <c r="BO40" i="4"/>
  <c r="BM40" i="4"/>
  <c r="BH44" i="4"/>
  <c r="DI44" i="4"/>
  <c r="BQ44" i="4"/>
  <c r="BO57" i="4"/>
  <c r="BL70" i="4"/>
  <c r="BL72" i="4"/>
  <c r="BR42" i="4"/>
  <c r="DI42" i="4"/>
  <c r="BT46" i="4"/>
  <c r="DI46" i="4"/>
  <c r="BM46" i="4"/>
  <c r="BM7" i="4"/>
  <c r="DI7" i="4"/>
  <c r="DK7" i="4" s="1"/>
  <c r="DE7" i="4" s="1"/>
  <c r="DG7" i="4" s="1"/>
  <c r="BJ7" i="4"/>
  <c r="BH7" i="4"/>
  <c r="BR7" i="4"/>
  <c r="DI11" i="4"/>
  <c r="BL15" i="4"/>
  <c r="DI62" i="4"/>
  <c r="DI64" i="4"/>
  <c r="BL69" i="4"/>
  <c r="CY63" i="4"/>
  <c r="DC63" i="4"/>
  <c r="CT56" i="4"/>
  <c r="DB63" i="4"/>
  <c r="CO16" i="4"/>
  <c r="CT55" i="4"/>
  <c r="CY56" i="4"/>
  <c r="DI41" i="4"/>
  <c r="DI10" i="4"/>
  <c r="BT44" i="4"/>
  <c r="BQ43" i="4"/>
  <c r="BT40" i="4"/>
  <c r="DI70" i="4"/>
  <c r="DK70" i="4"/>
  <c r="DE70" i="4" s="1"/>
  <c r="DG70" i="4" s="1"/>
  <c r="BQ70" i="4"/>
  <c r="BO72" i="4"/>
  <c r="DI72" i="4"/>
  <c r="DK72" i="4"/>
  <c r="DE72" i="4" s="1"/>
  <c r="DG72" i="4" s="1"/>
  <c r="DI74" i="4"/>
  <c r="DK74" i="4" s="1"/>
  <c r="DE74" i="4" s="1"/>
  <c r="DG74" i="4" s="1"/>
  <c r="BO74" i="4"/>
  <c r="BH76" i="4"/>
  <c r="BQ76" i="4"/>
  <c r="BJ76" i="4"/>
  <c r="DI76" i="4"/>
  <c r="DK76" i="4" s="1"/>
  <c r="DE76" i="4" s="1"/>
  <c r="DG76" i="4" s="1"/>
  <c r="BR76" i="4"/>
  <c r="BM78" i="4"/>
  <c r="BO78" i="4"/>
  <c r="BQ78" i="4"/>
  <c r="DI78" i="4"/>
  <c r="DK78" i="4" s="1"/>
  <c r="DE78" i="4" s="1"/>
  <c r="DG78" i="4" s="1"/>
  <c r="BM80" i="4"/>
  <c r="DI80" i="4"/>
  <c r="BO80" i="4"/>
  <c r="BL84" i="4"/>
  <c r="BH66" i="4"/>
  <c r="BQ66" i="4"/>
  <c r="BO71" i="4"/>
  <c r="DI71" i="4"/>
  <c r="DK71" i="4" s="1"/>
  <c r="DE71" i="4" s="1"/>
  <c r="BR71" i="4"/>
  <c r="BM73" i="4"/>
  <c r="DI73" i="4"/>
  <c r="BQ73" i="4"/>
  <c r="BH75" i="4"/>
  <c r="BU75" i="4"/>
  <c r="BJ75" i="4"/>
  <c r="DI75" i="4"/>
  <c r="BM75" i="4"/>
  <c r="BR77" i="4"/>
  <c r="BU77" i="4"/>
  <c r="BM77" i="4"/>
  <c r="BT77" i="4"/>
  <c r="DI77" i="4"/>
  <c r="DK77" i="4" s="1"/>
  <c r="DE77" i="4" s="1"/>
  <c r="DG77" i="4" s="1"/>
  <c r="BH79" i="4"/>
  <c r="BO79" i="4"/>
  <c r="BJ79" i="4"/>
  <c r="BM79" i="4"/>
  <c r="DA79" i="4"/>
  <c r="BU79" i="4"/>
  <c r="BQ79" i="4"/>
  <c r="BQ75" i="4"/>
  <c r="CQ48" i="4"/>
  <c r="CQ39" i="4"/>
  <c r="BT79" i="4"/>
  <c r="CT71" i="4"/>
  <c r="BJ73" i="4"/>
  <c r="BO70" i="4"/>
  <c r="DI79" i="4"/>
  <c r="DK79" i="4" s="1"/>
  <c r="DE79" i="4" s="1"/>
  <c r="DG79" i="4" s="1"/>
  <c r="BO43" i="4"/>
  <c r="BU76" i="4"/>
  <c r="CW15" i="4"/>
  <c r="CS47" i="4"/>
  <c r="CU72" i="4"/>
  <c r="CQ64" i="4"/>
  <c r="BU40" i="4"/>
  <c r="DA72" i="4"/>
  <c r="CO40" i="4"/>
  <c r="CQ79" i="4"/>
  <c r="BU74" i="4"/>
  <c r="CQ55" i="4"/>
  <c r="CO15" i="4"/>
  <c r="BO7" i="4"/>
  <c r="CO79" i="4"/>
  <c r="DI66" i="4"/>
  <c r="DK66" i="4" s="1"/>
  <c r="DE66" i="4" s="1"/>
  <c r="DG66" i="4" s="1"/>
  <c r="BJ66" i="4"/>
  <c r="BO50" i="4"/>
  <c r="BH58" i="4"/>
  <c r="BJ58" i="4"/>
  <c r="BL21" i="4"/>
  <c r="P13" i="18" s="1"/>
  <c r="BL28" i="4"/>
  <c r="BM16" i="4"/>
  <c r="BM56" i="4"/>
  <c r="CO39" i="4"/>
  <c r="DI43" i="4"/>
  <c r="BT52" i="4"/>
  <c r="BR52" i="4"/>
  <c r="BJ52" i="4"/>
  <c r="BT50" i="4"/>
  <c r="BJ50" i="4"/>
  <c r="BH51" i="4"/>
  <c r="BU51" i="4"/>
  <c r="BR51" i="4"/>
  <c r="DI51" i="4"/>
  <c r="BH50" i="4"/>
  <c r="BQ50" i="4"/>
  <c r="DI50" i="4"/>
  <c r="BL71" i="4"/>
  <c r="BH53" i="4"/>
  <c r="BQ53" i="4"/>
  <c r="BU53" i="4"/>
  <c r="BR53" i="4"/>
  <c r="BO53" i="4"/>
  <c r="BJ53" i="4"/>
  <c r="BU50" i="4"/>
  <c r="BM51" i="4"/>
  <c r="DI53" i="4"/>
  <c r="DI52" i="4"/>
  <c r="BH63" i="4"/>
  <c r="BJ63" i="4"/>
  <c r="BT63" i="4"/>
  <c r="BR64" i="4"/>
  <c r="BH65" i="4"/>
  <c r="BH23" i="4"/>
  <c r="BR23" i="4"/>
  <c r="BH28" i="4"/>
  <c r="BQ28" i="4"/>
  <c r="BT28" i="4"/>
  <c r="BH30" i="4"/>
  <c r="BH32" i="4"/>
  <c r="BT32" i="4"/>
  <c r="BJ33" i="4"/>
  <c r="BL39" i="4"/>
  <c r="BJ8" i="4"/>
  <c r="BR8" i="4"/>
  <c r="BH81" i="4"/>
  <c r="BU81" i="4"/>
  <c r="BH34" i="4"/>
  <c r="BM34" i="4"/>
  <c r="BO84" i="4"/>
  <c r="BH70" i="4"/>
  <c r="BJ70" i="4"/>
  <c r="BH77" i="4"/>
  <c r="BJ77" i="4"/>
  <c r="BT22" i="4"/>
  <c r="BQ77" i="4"/>
  <c r="BJ80" i="4"/>
  <c r="BM30" i="4"/>
  <c r="BM50" i="4"/>
  <c r="DI68" i="4"/>
  <c r="DK68" i="4" s="1"/>
  <c r="DE68" i="4" s="1"/>
  <c r="DG68" i="4" s="1"/>
  <c r="CY8" i="4"/>
  <c r="DC68" i="4"/>
  <c r="CT60" i="4"/>
  <c r="CU52" i="4"/>
  <c r="DC36" i="4"/>
  <c r="CS28" i="4"/>
  <c r="CS89" i="4"/>
  <c r="CY81" i="4"/>
  <c r="CO73" i="4"/>
  <c r="CS57" i="4"/>
  <c r="DB41" i="4"/>
  <c r="CS17" i="4"/>
  <c r="CT11" i="4"/>
  <c r="CS90" i="4"/>
  <c r="DB74" i="4"/>
  <c r="DB26" i="4"/>
  <c r="CU80" i="4"/>
  <c r="CS72" i="4"/>
  <c r="CT64" i="4"/>
  <c r="CS56" i="4"/>
  <c r="CU40" i="4"/>
  <c r="CQ32" i="4"/>
  <c r="CU16" i="4"/>
  <c r="DB29" i="4"/>
  <c r="CU87" i="4"/>
  <c r="CU79" i="4"/>
  <c r="CU71" i="4"/>
  <c r="CW63" i="4"/>
  <c r="DA55" i="4"/>
  <c r="CO47" i="4"/>
  <c r="CY31" i="4"/>
  <c r="CW23" i="4"/>
  <c r="BH19" i="4"/>
  <c r="BU19" i="4"/>
  <c r="DI19" i="4"/>
  <c r="BL23" i="4"/>
  <c r="BL75" i="4"/>
  <c r="BL27" i="4"/>
  <c r="BM9" i="4"/>
  <c r="BL12" i="4"/>
  <c r="BM20" i="4"/>
  <c r="BR20" i="4"/>
  <c r="BR21" i="4"/>
  <c r="V13" i="18" s="1"/>
  <c r="BT21" i="4"/>
  <c r="X13" i="18" s="1"/>
  <c r="DI26" i="4"/>
  <c r="DI29" i="4"/>
  <c r="BH49" i="4"/>
  <c r="BT49" i="4"/>
  <c r="DA49" i="4"/>
  <c r="BO49" i="4"/>
  <c r="DB8" i="4"/>
  <c r="CO57" i="4"/>
  <c r="BL79" i="4"/>
  <c r="BO13" i="4"/>
  <c r="BM26" i="4"/>
  <c r="BQ10" i="4"/>
  <c r="BM10" i="4"/>
  <c r="BR10" i="4"/>
  <c r="CQ81" i="4"/>
  <c r="CU63" i="4"/>
  <c r="DA31" i="4"/>
  <c r="CY47" i="4"/>
  <c r="CT15" i="4"/>
  <c r="CU32" i="4"/>
  <c r="CO64" i="4"/>
  <c r="CY79" i="4"/>
  <c r="CW71" i="4"/>
  <c r="DC55" i="4"/>
  <c r="DC23" i="4"/>
  <c r="CU23" i="4"/>
  <c r="DC56" i="4"/>
  <c r="BT70" i="4"/>
  <c r="BM23" i="4"/>
  <c r="BO51" i="4"/>
  <c r="DK12" i="4"/>
  <c r="BH18" i="4"/>
  <c r="BL31" i="4"/>
  <c r="BL42" i="4"/>
  <c r="CS11" i="4"/>
  <c r="BJ13" i="4"/>
  <c r="BQ19" i="4"/>
  <c r="BQ39" i="4"/>
  <c r="DI39" i="4"/>
  <c r="CS16" i="4"/>
  <c r="CO31" i="4"/>
  <c r="CQ63" i="4"/>
  <c r="CT31" i="4"/>
  <c r="DC39" i="4"/>
  <c r="CQ72" i="4"/>
  <c r="CY39" i="4"/>
  <c r="CT32" i="4"/>
  <c r="CY64" i="4"/>
  <c r="DB71" i="4"/>
  <c r="CS23" i="4"/>
  <c r="BO19" i="4"/>
  <c r="BL22" i="4"/>
  <c r="BR19" i="4"/>
  <c r="BL25" i="4"/>
  <c r="BQ18" i="4"/>
  <c r="DI31" i="4"/>
  <c r="DK31" i="4" s="1"/>
  <c r="DE31" i="4" s="1"/>
  <c r="DG31" i="4" s="1"/>
  <c r="BJ49" i="4"/>
  <c r="BM13" i="4"/>
  <c r="BT13" i="4"/>
  <c r="BO9" i="4"/>
  <c r="DC21" i="4"/>
  <c r="AE29" i="18" s="1"/>
  <c r="BO20" i="4"/>
  <c r="DI9" i="4"/>
  <c r="DI14" i="4"/>
  <c r="DK14" i="4" s="1"/>
  <c r="DE14" i="4" s="1"/>
  <c r="DG14" i="4" s="1"/>
  <c r="BM49" i="4"/>
  <c r="BO45" i="4"/>
  <c r="BL26" i="4"/>
  <c r="DB87" i="4"/>
  <c r="DB47" i="4"/>
  <c r="CY15" i="4"/>
  <c r="BT20" i="4"/>
  <c r="DC71" i="4"/>
  <c r="DB80" i="4"/>
  <c r="CW79" i="4"/>
  <c r="DB79" i="4"/>
  <c r="CY55" i="4"/>
  <c r="CW56" i="4"/>
  <c r="BM28" i="4"/>
  <c r="CO63" i="4"/>
  <c r="BO48" i="4"/>
  <c r="CQ47" i="4"/>
  <c r="CU47" i="4"/>
  <c r="DA39" i="4"/>
  <c r="CT13" i="4"/>
  <c r="CS71" i="4"/>
  <c r="BT48" i="4"/>
  <c r="BQ13" i="4"/>
  <c r="DE24" i="4"/>
  <c r="BL24" i="4"/>
  <c r="BJ41" i="4"/>
  <c r="BO31" i="4"/>
  <c r="BL91" i="4"/>
  <c r="BL93" i="4"/>
  <c r="BL57" i="4"/>
  <c r="DA93" i="4"/>
  <c r="CQ85" i="4"/>
  <c r="CS77" i="4"/>
  <c r="CY69" i="4"/>
  <c r="DC37" i="4"/>
  <c r="CU21" i="4"/>
  <c r="W29" i="18" s="1"/>
  <c r="CO90" i="4"/>
  <c r="CU82" i="4"/>
  <c r="CW74" i="4"/>
  <c r="CW66" i="4"/>
  <c r="CO58" i="4"/>
  <c r="CT50" i="4"/>
  <c r="CU42" i="4"/>
  <c r="CQ34" i="4"/>
  <c r="DA26" i="4"/>
  <c r="DA54" i="4"/>
  <c r="CO84" i="4"/>
  <c r="CS68" i="4"/>
  <c r="CS60" i="4"/>
  <c r="DA52" i="4"/>
  <c r="CO44" i="4"/>
  <c r="DB28" i="4"/>
  <c r="DA20" i="4"/>
  <c r="CT91" i="4"/>
  <c r="DC83" i="4"/>
  <c r="CW75" i="4"/>
  <c r="CY59" i="4"/>
  <c r="DA51" i="4"/>
  <c r="CU43" i="4"/>
  <c r="DC35" i="4"/>
  <c r="DB19" i="4"/>
  <c r="BO77" i="4"/>
  <c r="BJ88" i="4"/>
  <c r="BM88" i="4"/>
  <c r="CS88" i="4"/>
  <c r="BT88" i="4"/>
  <c r="BU88" i="4"/>
  <c r="CS9" i="4"/>
  <c r="CO53" i="4"/>
  <c r="CY53" i="4"/>
  <c r="DB45" i="4"/>
  <c r="CW45" i="4"/>
  <c r="CS45" i="4"/>
  <c r="CO7" i="4"/>
  <c r="DC7" i="4"/>
  <c r="DA86" i="4"/>
  <c r="CO86" i="4"/>
  <c r="DB78" i="4"/>
  <c r="CY78" i="4"/>
  <c r="CS78" i="4"/>
  <c r="CO70" i="4"/>
  <c r="CQ70" i="4"/>
  <c r="CQ62" i="4"/>
  <c r="CT62" i="4"/>
  <c r="DC62" i="4"/>
  <c r="CQ46" i="4"/>
  <c r="CT46" i="4"/>
  <c r="CS30" i="4"/>
  <c r="CQ14" i="4"/>
  <c r="CU88" i="4"/>
  <c r="CO27" i="4"/>
  <c r="CS69" i="4"/>
  <c r="CT70" i="4"/>
  <c r="BH67" i="4"/>
  <c r="CQ67" i="4"/>
  <c r="BJ67" i="4"/>
  <c r="BM67" i="4"/>
  <c r="BR67" i="4"/>
  <c r="DI67" i="4"/>
  <c r="DK67" i="4" s="1"/>
  <c r="DE67" i="4" s="1"/>
  <c r="DG67" i="4" s="1"/>
  <c r="BH69" i="4"/>
  <c r="BT69" i="4"/>
  <c r="BR69" i="4"/>
  <c r="BQ69" i="4"/>
  <c r="BM69" i="4"/>
  <c r="BO69" i="4"/>
  <c r="DI69" i="4"/>
  <c r="DK69" i="4" s="1"/>
  <c r="DE69" i="4" s="1"/>
  <c r="DG69" i="4" s="1"/>
  <c r="CW69" i="4"/>
  <c r="BU69" i="4"/>
  <c r="CW10" i="4"/>
  <c r="CO10" i="4"/>
  <c r="CU10" i="4"/>
  <c r="DA8" i="4"/>
  <c r="CU8" i="4"/>
  <c r="CS8" i="4"/>
  <c r="CQ8" i="4"/>
  <c r="CT8" i="4"/>
  <c r="DB84" i="4"/>
  <c r="CQ84" i="4"/>
  <c r="DC76" i="4"/>
  <c r="DB76" i="4"/>
  <c r="CQ76" i="4"/>
  <c r="CU60" i="4"/>
  <c r="CQ60" i="4"/>
  <c r="DC60" i="4"/>
  <c r="CW60" i="4"/>
  <c r="CO60" i="4"/>
  <c r="DB60" i="4"/>
  <c r="CS52" i="4"/>
  <c r="DC52" i="4"/>
  <c r="CY52" i="4"/>
  <c r="CQ44" i="4"/>
  <c r="CS44" i="4"/>
  <c r="CU44" i="4"/>
  <c r="CT44" i="4"/>
  <c r="CY44" i="4"/>
  <c r="CU36" i="4"/>
  <c r="DA36" i="4"/>
  <c r="CW36" i="4"/>
  <c r="CO36" i="4"/>
  <c r="DB36" i="4"/>
  <c r="CQ36" i="4"/>
  <c r="CY28" i="4"/>
  <c r="CO28" i="4"/>
  <c r="CQ28" i="4"/>
  <c r="DC28" i="4"/>
  <c r="CW28" i="4"/>
  <c r="DA28" i="4"/>
  <c r="CQ20" i="4"/>
  <c r="CY20" i="4"/>
  <c r="DB20" i="4"/>
  <c r="CT20" i="4"/>
  <c r="CS20" i="4"/>
  <c r="CO20" i="4"/>
  <c r="CU20" i="4"/>
  <c r="DA89" i="4"/>
  <c r="CW89" i="4"/>
  <c r="CT89" i="4"/>
  <c r="CU89" i="4"/>
  <c r="CW73" i="4"/>
  <c r="CT73" i="4"/>
  <c r="CU73" i="4"/>
  <c r="CS65" i="4"/>
  <c r="CO65" i="4"/>
  <c r="CQ33" i="4"/>
  <c r="CU33" i="4"/>
  <c r="CO25" i="4"/>
  <c r="CW25" i="4"/>
  <c r="CU13" i="4"/>
  <c r="CO13" i="4"/>
  <c r="CY13" i="4"/>
  <c r="DC13" i="4"/>
  <c r="CQ13" i="4"/>
  <c r="DB13" i="4"/>
  <c r="DB11" i="4"/>
  <c r="CQ11" i="4"/>
  <c r="CW11" i="4"/>
  <c r="CU11" i="4"/>
  <c r="DA11" i="4"/>
  <c r="DC11" i="4"/>
  <c r="CO88" i="4"/>
  <c r="DC88" i="4"/>
  <c r="DB68" i="4"/>
  <c r="DA60" i="4"/>
  <c r="CW20" i="4"/>
  <c r="CQ59" i="4"/>
  <c r="DC8" i="4"/>
  <c r="DB44" i="4"/>
  <c r="CY36" i="4"/>
  <c r="DA13" i="4"/>
  <c r="CT53" i="4"/>
  <c r="DI13" i="4"/>
  <c r="DK13" i="4" s="1"/>
  <c r="DE13" i="4" s="1"/>
  <c r="DG13" i="4" s="1"/>
  <c r="BM93" i="4"/>
  <c r="DI93" i="4"/>
  <c r="DB61" i="4"/>
  <c r="CO61" i="4"/>
  <c r="CU29" i="4"/>
  <c r="CO29" i="4"/>
  <c r="CO38" i="4"/>
  <c r="DC38" i="4"/>
  <c r="CY38" i="4"/>
  <c r="DA22" i="4"/>
  <c r="CT22" i="4"/>
  <c r="CY22" i="4"/>
  <c r="CO35" i="4"/>
  <c r="DC61" i="4"/>
  <c r="CQ38" i="4"/>
  <c r="DA44" i="4"/>
  <c r="CY58" i="4"/>
  <c r="DB93" i="4"/>
  <c r="BL14" i="4"/>
  <c r="BQ68" i="4"/>
  <c r="BR68" i="4"/>
  <c r="CQ68" i="4"/>
  <c r="CO68" i="4"/>
  <c r="BU68" i="4"/>
  <c r="CT68" i="4"/>
  <c r="CY68" i="4"/>
  <c r="DA68" i="4"/>
  <c r="CU68" i="4"/>
  <c r="BL77" i="4"/>
  <c r="BH92" i="4"/>
  <c r="BJ92" i="4"/>
  <c r="BU92" i="4"/>
  <c r="BM92" i="4"/>
  <c r="BO92" i="4"/>
  <c r="BR92" i="4"/>
  <c r="BT92" i="4"/>
  <c r="CW92" i="4"/>
  <c r="CU92" i="4"/>
  <c r="CS92" i="4"/>
  <c r="CW68" i="4"/>
  <c r="CY60" i="4"/>
  <c r="CY17" i="4"/>
  <c r="CW54" i="4"/>
  <c r="CS22" i="4"/>
  <c r="CW44" i="4"/>
  <c r="CW14" i="4"/>
  <c r="CS13" i="4"/>
  <c r="DB30" i="4"/>
  <c r="CO11" i="4"/>
  <c r="DI37" i="4"/>
  <c r="DK37" i="4" s="1"/>
  <c r="DE37" i="4" s="1"/>
  <c r="DG37" i="4" s="1"/>
  <c r="BM37" i="4"/>
  <c r="DI38" i="4"/>
  <c r="DK38" i="4" s="1"/>
  <c r="DE38" i="4" s="1"/>
  <c r="DG38" i="4" s="1"/>
  <c r="BL40" i="4"/>
  <c r="BL48" i="4"/>
  <c r="BU54" i="4"/>
  <c r="BR54" i="4"/>
  <c r="BM54" i="4"/>
  <c r="BT54" i="4"/>
  <c r="BQ54" i="4"/>
  <c r="CO54" i="4"/>
  <c r="BO54" i="4"/>
  <c r="CY85" i="4"/>
  <c r="DB50" i="4"/>
  <c r="CT30" i="4"/>
  <c r="CO45" i="4"/>
  <c r="BR88" i="4"/>
  <c r="DC89" i="4"/>
  <c r="CU76" i="4"/>
  <c r="DA65" i="4"/>
  <c r="DB52" i="4"/>
  <c r="CT25" i="4"/>
  <c r="CS49" i="4"/>
  <c r="DC29" i="4"/>
  <c r="CW8" i="4"/>
  <c r="CT92" i="4"/>
  <c r="DA84" i="4"/>
  <c r="CY11" i="4"/>
  <c r="CT28" i="4"/>
  <c r="BU67" i="4"/>
  <c r="DI88" i="4"/>
  <c r="DG88" i="4" s="1"/>
  <c r="CS62" i="4"/>
  <c r="DC77" i="4"/>
  <c r="CW65" i="4"/>
  <c r="CW52" i="4"/>
  <c r="DA7" i="4"/>
  <c r="CO49" i="4"/>
  <c r="CO8" i="4"/>
  <c r="CT36" i="4"/>
  <c r="DC92" i="4"/>
  <c r="CW84" i="4"/>
  <c r="DB21" i="4"/>
  <c r="CS41" i="4"/>
  <c r="CU28" i="4"/>
  <c r="BO88" i="4"/>
  <c r="BH52" i="4"/>
  <c r="BQ52" i="4"/>
  <c r="BU52" i="4"/>
  <c r="BM52" i="4"/>
  <c r="CQ52" i="4"/>
  <c r="CT52" i="4"/>
  <c r="CO52" i="4"/>
  <c r="DI55" i="4"/>
  <c r="DK55" i="4" s="1"/>
  <c r="DE55" i="4" s="1"/>
  <c r="DG55" i="4" s="1"/>
  <c r="BO52" i="4"/>
  <c r="BH17" i="4"/>
  <c r="BO17" i="4"/>
  <c r="BH59" i="4"/>
  <c r="BU59" i="4"/>
  <c r="BQ59" i="4"/>
  <c r="BH83" i="4"/>
  <c r="BO83" i="4"/>
  <c r="BT10" i="4"/>
  <c r="BO32" i="4"/>
  <c r="BH48" i="4"/>
  <c r="BH60" i="4"/>
  <c r="BM60" i="4"/>
  <c r="BT60" i="4"/>
  <c r="BR11" i="4"/>
  <c r="BH20" i="4"/>
  <c r="BJ20" i="4"/>
  <c r="BQ20" i="4"/>
  <c r="BH21" i="4"/>
  <c r="L13" i="18" s="1"/>
  <c r="BO21" i="4"/>
  <c r="S13" i="18" s="1"/>
  <c r="BQ21" i="4"/>
  <c r="U13" i="18" s="1"/>
  <c r="BU21" i="4"/>
  <c r="Y13" i="18" s="1"/>
  <c r="BJ21" i="4"/>
  <c r="N13" i="18" s="1"/>
  <c r="BL44" i="4"/>
  <c r="BT24" i="4"/>
  <c r="BU24" i="4"/>
  <c r="BH42" i="4"/>
  <c r="BT42" i="4"/>
  <c r="BQ42" i="4"/>
  <c r="BU42" i="4"/>
  <c r="BO42" i="4"/>
  <c r="BL46" i="4"/>
  <c r="BH47" i="4"/>
  <c r="BJ47" i="4"/>
  <c r="BR47" i="4"/>
  <c r="BH71" i="4"/>
  <c r="BJ71" i="4"/>
  <c r="BJ72" i="4"/>
  <c r="BM72" i="4"/>
  <c r="BH73" i="4"/>
  <c r="BH74" i="4"/>
  <c r="BQ74" i="4"/>
  <c r="BO25" i="4"/>
  <c r="BM76" i="4"/>
  <c r="BU20" i="4"/>
  <c r="BH31" i="4"/>
  <c r="BU61" i="4"/>
  <c r="BT72" i="4"/>
  <c r="BU73" i="4"/>
  <c r="BH84" i="4"/>
  <c r="BM84" i="4"/>
  <c r="BU11" i="4"/>
  <c r="BH14" i="4"/>
  <c r="BL67" i="4"/>
  <c r="DK24" i="4"/>
  <c r="BJ36" i="4"/>
  <c r="BL38" i="4"/>
  <c r="BL64" i="4"/>
  <c r="CO37" i="4"/>
  <c r="CS37" i="4"/>
  <c r="CS7" i="4"/>
  <c r="CW85" i="4"/>
  <c r="CY61" i="4"/>
  <c r="DB38" i="4"/>
  <c r="DB7" i="4"/>
  <c r="DA29" i="4"/>
  <c r="CS54" i="4"/>
  <c r="CS29" i="4"/>
  <c r="DA69" i="4"/>
  <c r="DA46" i="4"/>
  <c r="DB34" i="4"/>
  <c r="CU14" i="4"/>
  <c r="DA21" i="4"/>
  <c r="AC29" i="18" s="1"/>
  <c r="DA62" i="4"/>
  <c r="DB70" i="4"/>
  <c r="DB14" i="4"/>
  <c r="CS38" i="4"/>
  <c r="CS66" i="4"/>
  <c r="CQ54" i="4"/>
  <c r="CT69" i="4"/>
  <c r="CQ30" i="4"/>
  <c r="DC45" i="4"/>
  <c r="CQ21" i="4"/>
  <c r="CY62" i="4"/>
  <c r="CW62" i="4"/>
  <c r="CS53" i="4"/>
  <c r="CU53" i="4"/>
  <c r="CW82" i="4"/>
  <c r="CQ26" i="4"/>
  <c r="CW70" i="4"/>
  <c r="CS74" i="4"/>
  <c r="CO9" i="4"/>
  <c r="DI30" i="4"/>
  <c r="DK30" i="4" s="1"/>
  <c r="DE30" i="4" s="1"/>
  <c r="DG30" i="4" s="1"/>
  <c r="BM47" i="4"/>
  <c r="CQ86" i="4"/>
  <c r="CT37" i="4"/>
  <c r="DB22" i="4"/>
  <c r="CY14" i="4"/>
  <c r="CU69" i="4"/>
  <c r="CO30" i="4"/>
  <c r="CQ45" i="4"/>
  <c r="CW53" i="4"/>
  <c r="CW26" i="4"/>
  <c r="DI63" i="4"/>
  <c r="DG63" i="4" s="1"/>
  <c r="CO77" i="4"/>
  <c r="CW61" i="4"/>
  <c r="CW38" i="4"/>
  <c r="CW7" i="4"/>
  <c r="CW86" i="4"/>
  <c r="DB37" i="4"/>
  <c r="CT29" i="4"/>
  <c r="CT42" i="4"/>
  <c r="CW22" i="4"/>
  <c r="CW46" i="4"/>
  <c r="CT14" i="4"/>
  <c r="CQ77" i="4"/>
  <c r="DA61" i="4"/>
  <c r="CU61" i="4"/>
  <c r="CU38" i="4"/>
  <c r="CT7" i="4"/>
  <c r="CU7" i="4"/>
  <c r="DB54" i="4"/>
  <c r="CQ37" i="4"/>
  <c r="CQ29" i="4"/>
  <c r="CU22" i="4"/>
  <c r="DB69" i="4"/>
  <c r="CY46" i="4"/>
  <c r="CU46" i="4"/>
  <c r="CO14" i="4"/>
  <c r="DC30" i="4"/>
  <c r="CT45" i="4"/>
  <c r="CY45" i="4"/>
  <c r="CS21" i="4"/>
  <c r="U29" i="18" s="1"/>
  <c r="CU62" i="4"/>
  <c r="CQ74" i="4"/>
  <c r="DB53" i="4"/>
  <c r="DC70" i="4"/>
  <c r="CU70" i="4"/>
  <c r="BU22" i="4"/>
  <c r="DA37" i="4"/>
  <c r="CS93" i="4"/>
  <c r="DA85" i="4"/>
  <c r="CS61" i="4"/>
  <c r="CQ7" i="4"/>
  <c r="CT77" i="4"/>
  <c r="CY37" i="4"/>
  <c r="DB9" i="4"/>
  <c r="CS46" i="4"/>
  <c r="CS14" i="4"/>
  <c r="DA30" i="4"/>
  <c r="CU45" i="4"/>
  <c r="DB62" i="4"/>
  <c r="CS70" i="4"/>
  <c r="CW93" i="4"/>
  <c r="CO93" i="4"/>
  <c r="CU77" i="4"/>
  <c r="CT61" i="4"/>
  <c r="CY50" i="4"/>
  <c r="DA38" i="4"/>
  <c r="CY7" i="4"/>
  <c r="CW18" i="4"/>
  <c r="CY90" i="4"/>
  <c r="CY54" i="4"/>
  <c r="CT54" i="4"/>
  <c r="CW37" i="4"/>
  <c r="CW29" i="4"/>
  <c r="CY9" i="4"/>
  <c r="CO22" i="4"/>
  <c r="DC69" i="4"/>
  <c r="CO46" i="4"/>
  <c r="CQ78" i="4"/>
  <c r="DC14" i="4"/>
  <c r="CW30" i="4"/>
  <c r="DA45" i="4"/>
  <c r="CO21" i="4"/>
  <c r="CW21" i="4"/>
  <c r="Y29" i="18" s="1"/>
  <c r="CO62" i="4"/>
  <c r="CQ53" i="4"/>
  <c r="DA70" i="4"/>
  <c r="DB46" i="4"/>
  <c r="CY77" i="4"/>
  <c r="CW90" i="4"/>
  <c r="CU54" i="4"/>
  <c r="CY29" i="4"/>
  <c r="DC22" i="4"/>
  <c r="CQ69" i="4"/>
  <c r="CO78" i="4"/>
  <c r="CO69" i="4"/>
  <c r="CY30" i="4"/>
  <c r="CY21" i="4"/>
  <c r="AA29" i="18" s="1"/>
  <c r="DA53" i="4"/>
  <c r="CU93" i="4"/>
  <c r="DC85" i="4"/>
  <c r="CQ61" i="4"/>
  <c r="CU18" i="4"/>
  <c r="DC54" i="4"/>
  <c r="CU37" i="4"/>
  <c r="CQ22" i="4"/>
  <c r="DA78" i="4"/>
  <c r="CT21" i="4"/>
  <c r="V29" i="18" s="1"/>
  <c r="DC53" i="4"/>
  <c r="BM68" i="4"/>
  <c r="BO68" i="4"/>
  <c r="BT68" i="4"/>
  <c r="BH25" i="4"/>
  <c r="BM25" i="4"/>
  <c r="BH27" i="4"/>
  <c r="BU27" i="4"/>
  <c r="BJ35" i="4"/>
  <c r="BM35" i="4"/>
  <c r="BR35" i="4"/>
  <c r="BR56" i="4"/>
  <c r="BT56" i="4"/>
  <c r="BJ56" i="4"/>
  <c r="BH57" i="4"/>
  <c r="BO76" i="4"/>
  <c r="BL47" i="4"/>
  <c r="BL73" i="4"/>
  <c r="BH33" i="4"/>
  <c r="BL86" i="4"/>
  <c r="BL80" i="4"/>
  <c r="BH91" i="4"/>
  <c r="BU91" i="4"/>
  <c r="BJ91" i="4"/>
  <c r="BH11" i="4"/>
  <c r="BJ11" i="4"/>
  <c r="BO37" i="4"/>
  <c r="BT71" i="4"/>
  <c r="BH54" i="4"/>
  <c r="BJ54" i="4"/>
  <c r="BQ88" i="4"/>
  <c r="BH88" i="4"/>
  <c r="BT31" i="4"/>
  <c r="BO38" i="4"/>
  <c r="BJ69" i="4"/>
  <c r="BU57" i="4"/>
  <c r="CQ90" i="4"/>
  <c r="CO82" i="4"/>
  <c r="DA74" i="4"/>
  <c r="CO66" i="4"/>
  <c r="DB58" i="4"/>
  <c r="DA50" i="4"/>
  <c r="CO42" i="4"/>
  <c r="DA34" i="4"/>
  <c r="DC26" i="4"/>
  <c r="CO18" i="4"/>
  <c r="CY92" i="4"/>
  <c r="CS84" i="4"/>
  <c r="CS76" i="4"/>
  <c r="DB33" i="4"/>
  <c r="CY25" i="4"/>
  <c r="BH8" i="4"/>
  <c r="BL66" i="4"/>
  <c r="BM87" i="4"/>
  <c r="BH87" i="4"/>
  <c r="BJ87" i="4"/>
  <c r="DI87" i="4"/>
  <c r="DK87" i="4" s="1"/>
  <c r="DE87" i="4" s="1"/>
  <c r="DG87" i="4"/>
  <c r="DC87" i="4"/>
  <c r="CT87" i="4"/>
  <c r="CU85" i="4"/>
  <c r="CW77" i="4"/>
  <c r="DA76" i="4"/>
  <c r="DB86" i="4"/>
  <c r="DC78" i="4"/>
  <c r="CQ92" i="4"/>
  <c r="CY84" i="4"/>
  <c r="DB85" i="4"/>
  <c r="BT87" i="4"/>
  <c r="BL11" i="4"/>
  <c r="DI54" i="4"/>
  <c r="DK54" i="4" s="1"/>
  <c r="DE54" i="4" s="1"/>
  <c r="DG54" i="4" s="1"/>
  <c r="BO27" i="4"/>
  <c r="CQ93" i="4"/>
  <c r="CO87" i="4"/>
  <c r="DB77" i="4"/>
  <c r="CO76" i="4"/>
  <c r="CY76" i="4"/>
  <c r="CU86" i="4"/>
  <c r="CW78" i="4"/>
  <c r="DA92" i="4"/>
  <c r="CU84" i="4"/>
  <c r="CS87" i="4"/>
  <c r="BT57" i="4"/>
  <c r="BL29" i="4"/>
  <c r="DC93" i="4"/>
  <c r="CW87" i="4"/>
  <c r="CS85" i="4"/>
  <c r="DA77" i="4"/>
  <c r="CT76" i="4"/>
  <c r="CW76" i="4"/>
  <c r="CT85" i="4"/>
  <c r="CY86" i="4"/>
  <c r="CT86" i="4"/>
  <c r="CU78" i="4"/>
  <c r="CO92" i="4"/>
  <c r="DB92" i="4"/>
  <c r="DC84" i="4"/>
  <c r="CO85" i="4"/>
  <c r="CQ87" i="4"/>
  <c r="CT84" i="4"/>
  <c r="BL37" i="4"/>
  <c r="CT93" i="4"/>
  <c r="CY93" i="4"/>
  <c r="CY87" i="4"/>
  <c r="CS86" i="4"/>
  <c r="DC86" i="4"/>
  <c r="CT78" i="4"/>
  <c r="BU87" i="4"/>
  <c r="BT73" i="4"/>
  <c r="BU71" i="4"/>
  <c r="DI82" i="4"/>
  <c r="DK82" i="4" s="1"/>
  <c r="DE82" i="4" s="1"/>
  <c r="BT43" i="4"/>
  <c r="BH43" i="4"/>
  <c r="BH46" i="4"/>
  <c r="BQ46" i="4"/>
  <c r="BH62" i="4"/>
  <c r="BM62" i="4"/>
  <c r="BJ9" i="4"/>
  <c r="BH9" i="4"/>
  <c r="BU9" i="4"/>
  <c r="BH26" i="4"/>
  <c r="BR26" i="4"/>
  <c r="BH13" i="4"/>
  <c r="BU13" i="4"/>
  <c r="BH56" i="4"/>
  <c r="BU56" i="4"/>
  <c r="BH68" i="4"/>
  <c r="BJ68" i="4"/>
  <c r="BH80" i="4"/>
  <c r="BQ72" i="4"/>
  <c r="BU72" i="4"/>
  <c r="BH72" i="4"/>
  <c r="BJ10" i="4"/>
  <c r="BH10" i="4"/>
  <c r="BH41" i="4"/>
  <c r="BH35" i="4"/>
  <c r="BQ67" i="4"/>
  <c r="BT67" i="4"/>
  <c r="DB10" i="4"/>
  <c r="CO89" i="4"/>
  <c r="DC81" i="4"/>
  <c r="CY73" i="4"/>
  <c r="CU65" i="4"/>
  <c r="DB57" i="4"/>
  <c r="CT49" i="4"/>
  <c r="CQ41" i="4"/>
  <c r="CQ17" i="4"/>
  <c r="BH61" i="4"/>
  <c r="BO61" i="4"/>
  <c r="BH64" i="4"/>
  <c r="BJ60" i="4"/>
  <c r="BQ84" i="4"/>
  <c r="BH78" i="4"/>
  <c r="BU78" i="4"/>
  <c r="BH24" i="4"/>
  <c r="DC91" i="4"/>
  <c r="CY83" i="4"/>
  <c r="CY75" i="4"/>
  <c r="CY67" i="4"/>
  <c r="DB59" i="4"/>
  <c r="CT51" i="4"/>
  <c r="CY43" i="4"/>
  <c r="CS35" i="4"/>
  <c r="CW27" i="4"/>
  <c r="DA19" i="4"/>
  <c r="BO33" i="4"/>
  <c r="CW9" i="4"/>
  <c r="CW88" i="4"/>
  <c r="DC80" i="4"/>
  <c r="DC72" i="4"/>
  <c r="DA64" i="4"/>
  <c r="DB56" i="4"/>
  <c r="DA48" i="4"/>
  <c r="CT40" i="4"/>
  <c r="CS32" i="4"/>
  <c r="DB16" i="4"/>
  <c r="DC27" i="4"/>
  <c r="CW43" i="4"/>
  <c r="CW59" i="4"/>
  <c r="CU66" i="4"/>
  <c r="CT90" i="4"/>
  <c r="CO59" i="4"/>
  <c r="CY51" i="4"/>
  <c r="DC42" i="4"/>
  <c r="CT34" i="4"/>
  <c r="CQ82" i="4"/>
  <c r="CS26" i="4"/>
  <c r="CU81" i="4"/>
  <c r="CS83" i="4"/>
  <c r="CY91" i="4"/>
  <c r="DC25" i="4"/>
  <c r="CW67" i="4"/>
  <c r="CU51" i="4"/>
  <c r="CO41" i="4"/>
  <c r="DC73" i="4"/>
  <c r="CY26" i="4"/>
  <c r="CU59" i="4"/>
  <c r="DB81" i="4"/>
  <c r="DA81" i="4"/>
  <c r="DA88" i="4"/>
  <c r="CT83" i="4"/>
  <c r="CW91" i="4"/>
  <c r="CQ89" i="4"/>
  <c r="DB17" i="4"/>
  <c r="CT75" i="4"/>
  <c r="DB65" i="4"/>
  <c r="DB35" i="4"/>
  <c r="DB27" i="4"/>
  <c r="CO17" i="4"/>
  <c r="DA66" i="4"/>
  <c r="CW50" i="4"/>
  <c r="CT43" i="4"/>
  <c r="CS25" i="4"/>
  <c r="DC49" i="4"/>
  <c r="DB18" i="4"/>
  <c r="DC90" i="4"/>
  <c r="CT67" i="4"/>
  <c r="DC59" i="4"/>
  <c r="DC51" i="4"/>
  <c r="CO19" i="4"/>
  <c r="CQ42" i="4"/>
  <c r="DB42" i="4"/>
  <c r="DB72" i="4"/>
  <c r="CW34" i="4"/>
  <c r="CW32" i="4"/>
  <c r="DC32" i="4"/>
  <c r="CW64" i="4"/>
  <c r="CS40" i="4"/>
  <c r="DC16" i="4"/>
  <c r="CW80" i="4"/>
  <c r="DA80" i="4"/>
  <c r="CT41" i="4"/>
  <c r="CT74" i="4"/>
  <c r="CU58" i="4"/>
  <c r="CQ56" i="4"/>
  <c r="CS82" i="4"/>
  <c r="DB82" i="4"/>
  <c r="CO33" i="4"/>
  <c r="CW57" i="4"/>
  <c r="CO26" i="4"/>
  <c r="DA25" i="4"/>
  <c r="CT81" i="4"/>
  <c r="CQ19" i="4"/>
  <c r="CO83" i="4"/>
  <c r="DA91" i="4"/>
  <c r="CO75" i="4"/>
  <c r="CO67" i="4"/>
  <c r="CQ51" i="4"/>
  <c r="CS50" i="4"/>
  <c r="CU19" i="4"/>
  <c r="CQ91" i="4"/>
  <c r="DA17" i="4"/>
  <c r="DA42" i="4"/>
  <c r="CO34" i="4"/>
  <c r="DA57" i="4"/>
  <c r="CS81" i="4"/>
  <c r="CO81" i="4"/>
  <c r="DB88" i="4"/>
  <c r="DA83" i="4"/>
  <c r="CO91" i="4"/>
  <c r="DB89" i="4"/>
  <c r="CQ75" i="4"/>
  <c r="DA75" i="4"/>
  <c r="CQ65" i="4"/>
  <c r="CY35" i="4"/>
  <c r="CQ27" i="4"/>
  <c r="CY27" i="4"/>
  <c r="CW17" i="4"/>
  <c r="DB66" i="4"/>
  <c r="CU50" i="4"/>
  <c r="DB48" i="4"/>
  <c r="DA43" i="4"/>
  <c r="CQ25" i="4"/>
  <c r="CQ49" i="4"/>
  <c r="CY18" i="4"/>
  <c r="DA90" i="4"/>
  <c r="DA67" i="4"/>
  <c r="CT59" i="4"/>
  <c r="CO51" i="4"/>
  <c r="CW19" i="4"/>
  <c r="CS42" i="4"/>
  <c r="CY72" i="4"/>
  <c r="CS34" i="4"/>
  <c r="CU34" i="4"/>
  <c r="DB64" i="4"/>
  <c r="DB40" i="4"/>
  <c r="CQ16" i="4"/>
  <c r="CO80" i="4"/>
  <c r="CY80" i="4"/>
  <c r="DA41" i="4"/>
  <c r="CW41" i="4"/>
  <c r="CU74" i="4"/>
  <c r="CQ73" i="4"/>
  <c r="DC58" i="4"/>
  <c r="CU56" i="4"/>
  <c r="CY82" i="4"/>
  <c r="CS33" i="4"/>
  <c r="CW33" i="4"/>
  <c r="CU57" i="4"/>
  <c r="DC57" i="4"/>
  <c r="CT26" i="4"/>
  <c r="CQ83" i="4"/>
  <c r="CY66" i="4"/>
  <c r="DB49" i="4"/>
  <c r="CU35" i="4"/>
  <c r="CU83" i="4"/>
  <c r="CS51" i="4"/>
  <c r="CS75" i="4"/>
  <c r="DC18" i="4"/>
  <c r="CY74" i="4"/>
  <c r="DC75" i="4"/>
  <c r="CT65" i="4"/>
  <c r="DA27" i="4"/>
  <c r="DC66" i="4"/>
  <c r="CO50" i="4"/>
  <c r="DC43" i="4"/>
  <c r="CW49" i="4"/>
  <c r="DA18" i="4"/>
  <c r="CU90" i="4"/>
  <c r="DC19" i="4"/>
  <c r="CU41" i="4"/>
  <c r="DA73" i="4"/>
  <c r="DA82" i="4"/>
  <c r="CT57" i="4"/>
  <c r="CW81" i="4"/>
  <c r="CY88" i="4"/>
  <c r="DB83" i="4"/>
  <c r="CS91" i="4"/>
  <c r="CY89" i="4"/>
  <c r="DB75" i="4"/>
  <c r="CY65" i="4"/>
  <c r="CS27" i="4"/>
  <c r="DC17" i="4"/>
  <c r="CT66" i="4"/>
  <c r="DC50" i="4"/>
  <c r="CU48" i="4"/>
  <c r="CQ43" i="4"/>
  <c r="DB43" i="4"/>
  <c r="DB25" i="4"/>
  <c r="CY49" i="4"/>
  <c r="CT18" i="4"/>
  <c r="DC67" i="4"/>
  <c r="DB90" i="4"/>
  <c r="DB67" i="4"/>
  <c r="DA59" i="4"/>
  <c r="CW51" i="4"/>
  <c r="CT19" i="4"/>
  <c r="CY42" i="4"/>
  <c r="CW72" i="4"/>
  <c r="CT72" i="4"/>
  <c r="DC34" i="4"/>
  <c r="DB32" i="4"/>
  <c r="CU64" i="4"/>
  <c r="CY40" i="4"/>
  <c r="CQ80" i="4"/>
  <c r="CT80" i="4"/>
  <c r="DC41" i="4"/>
  <c r="DC74" i="4"/>
  <c r="DB73" i="4"/>
  <c r="CW58" i="4"/>
  <c r="DA58" i="4"/>
  <c r="DA56" i="4"/>
  <c r="CT82" i="4"/>
  <c r="CT33" i="4"/>
  <c r="DC33" i="4"/>
  <c r="CQ57" i="4"/>
  <c r="CU26" i="4"/>
  <c r="CQ50" i="4"/>
  <c r="CU91" i="4"/>
  <c r="CQ35" i="4"/>
  <c r="CW48" i="4"/>
  <c r="CW35" i="4"/>
  <c r="DB51" i="4"/>
  <c r="CY19" i="4"/>
  <c r="CW83" i="4"/>
  <c r="DB91" i="4"/>
  <c r="CT35" i="4"/>
  <c r="CT27" i="4"/>
  <c r="CO43" i="4"/>
  <c r="CS67" i="4"/>
  <c r="CS58" i="4"/>
  <c r="DC82" i="4"/>
  <c r="CQ66" i="4"/>
  <c r="DC65" i="4"/>
  <c r="DA35" i="4"/>
  <c r="CS59" i="4"/>
  <c r="CW42" i="4"/>
  <c r="CO74" i="4"/>
  <c r="CT58" i="4"/>
  <c r="DA33" i="4"/>
  <c r="CU67" i="4"/>
  <c r="CQ88" i="4"/>
  <c r="CT88" i="4"/>
  <c r="CS19" i="4"/>
  <c r="CU75" i="4"/>
  <c r="CS43" i="4"/>
  <c r="CQ18" i="4"/>
  <c r="CU49" i="4"/>
  <c r="CO72" i="4"/>
  <c r="CY34" i="4"/>
  <c r="CW40" i="4"/>
  <c r="CS73" i="4"/>
  <c r="CQ58" i="4"/>
  <c r="CQ10" i="4"/>
  <c r="CY10" i="4"/>
  <c r="DA9" i="4"/>
  <c r="CT10" i="4"/>
  <c r="CQ9" i="4"/>
  <c r="CU9" i="4"/>
  <c r="DA10" i="4"/>
  <c r="CT9" i="4"/>
  <c r="DC10" i="4"/>
  <c r="CS10" i="4"/>
  <c r="DK83" i="4"/>
  <c r="DE83" i="4" s="1"/>
  <c r="DK84" i="4"/>
  <c r="DE84" i="4" s="1"/>
  <c r="DK91" i="4"/>
  <c r="DE91" i="4" s="1"/>
  <c r="DK60" i="4"/>
  <c r="DE60" i="4" s="1"/>
  <c r="DK92" i="4"/>
  <c r="DE92" i="4" s="1"/>
  <c r="DK34" i="4"/>
  <c r="DE34" i="4"/>
  <c r="DK56" i="4"/>
  <c r="DE56" i="4" s="1"/>
  <c r="DG56" i="4" s="1"/>
  <c r="DK8" i="4"/>
  <c r="DE8" i="4" s="1"/>
  <c r="DG8" i="4"/>
  <c r="DG71" i="4"/>
  <c r="DK85" i="4"/>
  <c r="DE85" i="4" s="1"/>
  <c r="DG11" i="4"/>
  <c r="DK11" i="4"/>
  <c r="DE11" i="4" s="1"/>
  <c r="DK63" i="4"/>
  <c r="DE63" i="4" s="1"/>
  <c r="DK86" i="4"/>
  <c r="DE86" i="4" s="1"/>
  <c r="DK29" i="4"/>
  <c r="DE29" i="4"/>
  <c r="DG29" i="4" s="1"/>
  <c r="DK50" i="4"/>
  <c r="DE50" i="4" s="1"/>
  <c r="DG50" i="4" s="1"/>
  <c r="DK43" i="4"/>
  <c r="DE43" i="4"/>
  <c r="DG43" i="4" s="1"/>
  <c r="DK75" i="4"/>
  <c r="DE75" i="4" s="1"/>
  <c r="DG75" i="4" s="1"/>
  <c r="DK73" i="4"/>
  <c r="DE73" i="4" s="1"/>
  <c r="DG73" i="4" s="1"/>
  <c r="DK10" i="4"/>
  <c r="DE10" i="4" s="1"/>
  <c r="DG10" i="4" s="1"/>
  <c r="DK61" i="4"/>
  <c r="DE61" i="4" s="1"/>
  <c r="DG61" i="4" s="1"/>
  <c r="BQ9" i="4"/>
  <c r="BT9" i="4"/>
  <c r="BR9" i="4"/>
  <c r="DC9" i="4"/>
  <c r="DI12" i="4"/>
  <c r="DG12" i="4" s="1"/>
  <c r="DE12" i="4"/>
  <c r="BQ14" i="4"/>
  <c r="BO14" i="4"/>
  <c r="BM14" i="4"/>
  <c r="BU14" i="4"/>
  <c r="DA14" i="4"/>
  <c r="CQ15" i="4"/>
  <c r="BJ15" i="4"/>
  <c r="BH15" i="4"/>
  <c r="BR15" i="4"/>
  <c r="DA15" i="4"/>
  <c r="DB15" i="4"/>
  <c r="BO15" i="4"/>
  <c r="DC15" i="4"/>
  <c r="BU15" i="4"/>
  <c r="DI15" i="4"/>
  <c r="BO16" i="4"/>
  <c r="BU16" i="4"/>
  <c r="DK16" i="4"/>
  <c r="DE16" i="4" s="1"/>
  <c r="DG16" i="4" s="1"/>
  <c r="BH16" i="4"/>
  <c r="BR16" i="4"/>
  <c r="DA16" i="4"/>
  <c r="BJ16" i="4"/>
  <c r="CW16" i="4"/>
  <c r="CT16" i="4"/>
  <c r="BM17" i="4"/>
  <c r="BJ17" i="4"/>
  <c r="BR17" i="4"/>
  <c r="BT17" i="4"/>
  <c r="DK17" i="4"/>
  <c r="DE17" i="4" s="1"/>
  <c r="DG17" i="4" s="1"/>
  <c r="CT17" i="4"/>
  <c r="BM18" i="4"/>
  <c r="DI18" i="4"/>
  <c r="DK18" i="4" s="1"/>
  <c r="DE18" i="4" s="1"/>
  <c r="DG18" i="4" s="1"/>
  <c r="BT18" i="4"/>
  <c r="BO18" i="4"/>
  <c r="BU18" i="4"/>
  <c r="CS18" i="4"/>
  <c r="BJ19" i="4"/>
  <c r="BT19" i="4"/>
  <c r="DK19" i="4"/>
  <c r="DE19" i="4" s="1"/>
  <c r="DG19" i="4" s="1"/>
  <c r="BM19" i="4"/>
  <c r="DI20" i="4"/>
  <c r="DI21" i="4"/>
  <c r="BM21" i="4"/>
  <c r="Q13" i="18" s="1"/>
  <c r="DI22" i="4"/>
  <c r="DK22" i="4" s="1"/>
  <c r="DE22" i="4" s="1"/>
  <c r="DG22" i="4" s="1"/>
  <c r="DI23" i="4"/>
  <c r="BJ30" i="4"/>
  <c r="BR30" i="4"/>
  <c r="BT30" i="4"/>
  <c r="CU30" i="4"/>
  <c r="CW31" i="4"/>
  <c r="BJ31" i="4"/>
  <c r="BQ31" i="4"/>
  <c r="DC31" i="4"/>
  <c r="DB31" i="4"/>
  <c r="CS31" i="4"/>
  <c r="BM31" i="4"/>
  <c r="DI32" i="4"/>
  <c r="DK32" i="4" s="1"/>
  <c r="DE32" i="4" s="1"/>
  <c r="DG32" i="4" s="1"/>
  <c r="BM32" i="4"/>
  <c r="BO35" i="4"/>
  <c r="BT35" i="4"/>
  <c r="DI35" i="4"/>
  <c r="DK35" i="4" s="1"/>
  <c r="DE35" i="4" s="1"/>
  <c r="DG35" i="4" s="1"/>
  <c r="BU36" i="4"/>
  <c r="BO36" i="4"/>
  <c r="DI36" i="4"/>
  <c r="DK36" i="4" s="1"/>
  <c r="DE36" i="4" s="1"/>
  <c r="BM36" i="4"/>
  <c r="CS36" i="4"/>
  <c r="BU44" i="4"/>
  <c r="BO44" i="4"/>
  <c r="BR44" i="4"/>
  <c r="BM44" i="4"/>
  <c r="DC44" i="4"/>
  <c r="DK25" i="4"/>
  <c r="DE25" i="4" s="1"/>
  <c r="DG25" i="4" s="1"/>
  <c r="DK46" i="4"/>
  <c r="DE46" i="4" s="1"/>
  <c r="DG46" i="4" s="1"/>
  <c r="DK51" i="4"/>
  <c r="DE51" i="4" s="1"/>
  <c r="DG51" i="4" s="1"/>
  <c r="DK80" i="4"/>
  <c r="DE80" i="4" s="1"/>
  <c r="DG80" i="4" s="1"/>
  <c r="DK45" i="4"/>
  <c r="DE45" i="4" s="1"/>
  <c r="DG45" i="4" s="1"/>
  <c r="DK28" i="4"/>
  <c r="DE28" i="4" s="1"/>
  <c r="DG28" i="4" s="1"/>
  <c r="DK47" i="4"/>
  <c r="DE47" i="4" s="1"/>
  <c r="DG47" i="4" s="1"/>
  <c r="BM12" i="4"/>
  <c r="DC12" i="4"/>
  <c r="CT12" i="4"/>
  <c r="CU12" i="4"/>
  <c r="DA12" i="4"/>
  <c r="BR12" i="4"/>
  <c r="BU12" i="4"/>
  <c r="CY12" i="4"/>
  <c r="BO12" i="4"/>
  <c r="DB12" i="4"/>
  <c r="BJ25" i="4"/>
  <c r="BU25" i="4"/>
  <c r="CU25" i="4"/>
  <c r="BT26" i="4"/>
  <c r="BO26" i="4"/>
  <c r="BU26" i="4"/>
  <c r="DK26" i="4"/>
  <c r="DE26" i="4" s="1"/>
  <c r="DG26" i="4" s="1"/>
  <c r="BQ27" i="4"/>
  <c r="BJ27" i="4"/>
  <c r="BM27" i="4"/>
  <c r="DI27" i="4"/>
  <c r="DK27" i="4" s="1"/>
  <c r="DE27" i="4" s="1"/>
  <c r="DG27" i="4" s="1"/>
  <c r="CU27" i="4"/>
  <c r="BU33" i="4"/>
  <c r="BM33" i="4"/>
  <c r="DI33" i="4"/>
  <c r="DK33" i="4" s="1"/>
  <c r="DE33" i="4" s="1"/>
  <c r="CY33" i="4"/>
  <c r="BJ38" i="4"/>
  <c r="BU38" i="4"/>
  <c r="BT38" i="4"/>
  <c r="CT38" i="4"/>
  <c r="CU39" i="4"/>
  <c r="BT39" i="4"/>
  <c r="CS39" i="4"/>
  <c r="DB39" i="4"/>
  <c r="CW39" i="4"/>
  <c r="BH39" i="4"/>
  <c r="BJ39" i="4"/>
  <c r="DK39" i="4"/>
  <c r="DE39" i="4" s="1"/>
  <c r="DG39" i="4" s="1"/>
  <c r="BR39" i="4"/>
  <c r="CQ40" i="4"/>
  <c r="DA40" i="4"/>
  <c r="BH40" i="4"/>
  <c r="BJ40" i="4"/>
  <c r="DI40" i="4"/>
  <c r="BQ40" i="4"/>
  <c r="BR40" i="4"/>
  <c r="BM41" i="4"/>
  <c r="BO41" i="4"/>
  <c r="BQ41" i="4"/>
  <c r="DK41" i="4"/>
  <c r="DE41" i="4" s="1"/>
  <c r="DG41" i="4" s="1"/>
  <c r="CY41" i="4"/>
  <c r="BT41" i="4"/>
  <c r="BJ42" i="4"/>
  <c r="DK42" i="4"/>
  <c r="DE42" i="4" s="1"/>
  <c r="DG42" i="4" s="1"/>
  <c r="BM42" i="4"/>
  <c r="BU46" i="4"/>
  <c r="BO46" i="4"/>
  <c r="BJ46" i="4"/>
  <c r="DC46" i="4"/>
  <c r="DK9" i="4"/>
  <c r="DE9" i="4" s="1"/>
  <c r="DG9" i="4" s="1"/>
  <c r="DK44" i="4"/>
  <c r="DE44" i="4" s="1"/>
  <c r="DG44" i="4" s="1"/>
  <c r="DI49" i="4"/>
  <c r="DK49" i="4" s="1"/>
  <c r="DE49" i="4" s="1"/>
  <c r="DG49" i="4" s="1"/>
  <c r="DC48" i="4"/>
  <c r="CT48" i="4"/>
  <c r="BQ49" i="4"/>
  <c r="CS48" i="4"/>
  <c r="BU48" i="4"/>
  <c r="BU49" i="4"/>
  <c r="CO48" i="4"/>
  <c r="CY48" i="4"/>
  <c r="BJ48" i="4"/>
  <c r="BT55" i="4"/>
  <c r="DK23" i="4"/>
  <c r="DE23" i="4" s="1"/>
  <c r="DG23" i="4" s="1"/>
  <c r="DK15" i="4"/>
  <c r="DE15" i="4" s="1"/>
  <c r="DG15" i="4" s="1"/>
  <c r="DK20" i="4"/>
  <c r="DE20" i="4" s="1"/>
  <c r="DG20" i="4" s="1"/>
  <c r="M29" i="18" l="1"/>
  <c r="AB52" i="18"/>
  <c r="U51" i="18"/>
  <c r="Q51" i="18"/>
  <c r="M51" i="18"/>
  <c r="I51" i="18"/>
  <c r="E51" i="18"/>
  <c r="A51" i="18"/>
  <c r="T29" i="18"/>
  <c r="T13" i="18"/>
  <c r="Z51" i="18"/>
  <c r="T51" i="18"/>
  <c r="P51" i="18"/>
  <c r="L51" i="18"/>
  <c r="H51" i="18"/>
  <c r="D51" i="18"/>
  <c r="AB29" i="18"/>
  <c r="R29" i="18"/>
  <c r="R13" i="18"/>
  <c r="M13" i="18"/>
  <c r="W51" i="18"/>
  <c r="S51" i="18"/>
  <c r="O51" i="18"/>
  <c r="K51" i="18"/>
  <c r="G51" i="18"/>
  <c r="C51" i="18"/>
  <c r="Z29" i="18"/>
  <c r="Z13" i="18"/>
  <c r="O13" i="18"/>
  <c r="AD52" i="18"/>
  <c r="V51" i="18"/>
  <c r="R51" i="18"/>
  <c r="N51" i="18"/>
  <c r="J51" i="18"/>
  <c r="F51" i="18"/>
  <c r="B51" i="18"/>
  <c r="X29" i="18"/>
  <c r="W13" i="18"/>
  <c r="BM11" i="4"/>
  <c r="BO23" i="4"/>
  <c r="DG33" i="4"/>
  <c r="DK88" i="4"/>
  <c r="DE88" i="4" s="1"/>
  <c r="Q29" i="18"/>
  <c r="AA52" i="18"/>
  <c r="S29" i="18"/>
  <c r="AC52" i="18"/>
  <c r="AD29" i="18"/>
  <c r="P29" i="18"/>
  <c r="AV116" i="17"/>
  <c r="BF121" i="17"/>
  <c r="BI117" i="17"/>
  <c r="BF111" i="17"/>
  <c r="BK106" i="17"/>
  <c r="BI105" i="17"/>
  <c r="BD104" i="17"/>
  <c r="BD83" i="17"/>
  <c r="BK76" i="17"/>
  <c r="AU76" i="17" s="1"/>
  <c r="BK58" i="17"/>
  <c r="AU58" i="17" s="1"/>
  <c r="BB124" i="17"/>
  <c r="AX124" i="17"/>
  <c r="AZ119" i="17"/>
  <c r="BJ113" i="17"/>
  <c r="BG111" i="17"/>
  <c r="AW105" i="17"/>
  <c r="BK104" i="17"/>
  <c r="BC103" i="17"/>
  <c r="AV77" i="17"/>
  <c r="AY71" i="17"/>
  <c r="AO71" i="17" s="1"/>
  <c r="BF63" i="17"/>
  <c r="BG25" i="17"/>
  <c r="AS25" i="17" s="1"/>
  <c r="BI23" i="17"/>
  <c r="AT23" i="17" s="1"/>
  <c r="BK21" i="17"/>
  <c r="AU21" i="17" s="1"/>
  <c r="BA21" i="17"/>
  <c r="AP21" i="17" s="1"/>
  <c r="BF20" i="17"/>
  <c r="AX12" i="17"/>
  <c r="AO12" i="17" s="1"/>
  <c r="BC38" i="17"/>
  <c r="AQ38" i="17" s="1"/>
  <c r="BG36" i="17"/>
  <c r="AS36" i="17" s="1"/>
  <c r="AV25" i="17"/>
  <c r="BC13" i="17"/>
  <c r="AQ13" i="17" s="1"/>
  <c r="BH96" i="17"/>
  <c r="BK100" i="17"/>
  <c r="BO10" i="4"/>
  <c r="BO22" i="4"/>
  <c r="AY98" i="17"/>
  <c r="AX36" i="17"/>
  <c r="BC95" i="17"/>
  <c r="BD100" i="17"/>
  <c r="DI24" i="4"/>
  <c r="DG24" i="4" s="1"/>
  <c r="DK21" i="4"/>
  <c r="DE21" i="4" s="1"/>
  <c r="DG21" i="4" s="1"/>
  <c r="DG36" i="4"/>
  <c r="DK40" i="4"/>
  <c r="DE40" i="4" s="1"/>
  <c r="DG40" i="4" s="1"/>
  <c r="DG82" i="4"/>
  <c r="DK93" i="4"/>
  <c r="DE93" i="4" s="1"/>
  <c r="DG93" i="4" s="1"/>
  <c r="DK52" i="4"/>
  <c r="DE52" i="4" s="1"/>
  <c r="DG52" i="4" s="1"/>
  <c r="DK53" i="4"/>
  <c r="DE53" i="4" s="1"/>
  <c r="DG53" i="4" s="1"/>
  <c r="DK64" i="4"/>
  <c r="DE64" i="4" s="1"/>
  <c r="DG64" i="4" s="1"/>
  <c r="DK62" i="4"/>
  <c r="DE62" i="4" s="1"/>
  <c r="DG62" i="4" s="1"/>
  <c r="BH112" i="17"/>
  <c r="BD125" i="17"/>
  <c r="BF125" i="17"/>
  <c r="BG125" i="17"/>
  <c r="BI113" i="17"/>
  <c r="BH113" i="17"/>
  <c r="AZ113" i="17"/>
  <c r="BA113" i="17"/>
  <c r="BJ108" i="17"/>
  <c r="BK108" i="17"/>
  <c r="AY125" i="17"/>
  <c r="AX125" i="17"/>
  <c r="BD109" i="17"/>
  <c r="BF109" i="17"/>
  <c r="AW106" i="17"/>
  <c r="AV106" i="17"/>
  <c r="BJ75" i="17"/>
  <c r="BK75" i="17"/>
  <c r="AU75" i="17" s="1"/>
  <c r="BK125" i="17"/>
  <c r="BJ125" i="17"/>
  <c r="BI123" i="17"/>
  <c r="BH123" i="17"/>
  <c r="AZ118" i="17"/>
  <c r="BA118" i="17"/>
  <c r="BC105" i="17"/>
  <c r="BB105" i="17"/>
  <c r="AY123" i="17"/>
  <c r="AX123" i="17"/>
  <c r="AX115" i="17"/>
  <c r="AY115" i="17"/>
  <c r="AV80" i="17"/>
  <c r="AW80" i="17"/>
  <c r="AN80" i="17" s="1"/>
  <c r="AX78" i="17"/>
  <c r="AY78" i="17"/>
  <c r="AO78" i="17" s="1"/>
  <c r="AY74" i="17"/>
  <c r="AO74" i="17" s="1"/>
  <c r="AX74" i="17"/>
  <c r="BC7" i="17"/>
  <c r="AQ7" i="17" s="1"/>
  <c r="BA122" i="17"/>
  <c r="BA79" i="17"/>
  <c r="AP79" i="17" s="1"/>
  <c r="AZ78" i="17"/>
  <c r="BC76" i="17"/>
  <c r="AQ76" i="17" s="1"/>
  <c r="AW72" i="17"/>
  <c r="AN72" i="17" s="1"/>
  <c r="AY63" i="17"/>
  <c r="AO63" i="17" s="1"/>
  <c r="AY62" i="17"/>
  <c r="AO62" i="17" s="1"/>
  <c r="AY68" i="17"/>
  <c r="AO68" i="17" s="1"/>
  <c r="AW56" i="17"/>
  <c r="AN56" i="17" s="1"/>
  <c r="AV56" i="17"/>
  <c r="AZ72" i="17"/>
  <c r="AX70" i="17"/>
  <c r="AZ52" i="17"/>
  <c r="AP52" i="17" s="1"/>
  <c r="BA52" i="17"/>
  <c r="BA27" i="17"/>
  <c r="AY22" i="17"/>
  <c r="AO22" i="17" s="1"/>
  <c r="BF18" i="17"/>
  <c r="BG18" i="17"/>
  <c r="AS18" i="17" s="1"/>
  <c r="BC22" i="17"/>
  <c r="AQ22" i="17" s="1"/>
  <c r="BB22" i="17"/>
  <c r="BC12" i="17"/>
  <c r="BB12" i="17"/>
  <c r="AQ12" i="17" s="1"/>
  <c r="BO11" i="4"/>
  <c r="DI48" i="4"/>
  <c r="DK48" i="4" l="1"/>
  <c r="DE48" i="4" s="1"/>
  <c r="DG48" i="4" s="1"/>
</calcChain>
</file>

<file path=xl/comments1.xml><?xml version="1.0" encoding="utf-8"?>
<comments xmlns="http://schemas.openxmlformats.org/spreadsheetml/2006/main">
  <authors>
    <author>ZIS</author>
  </authors>
  <commentList>
    <comment ref="BH6" authorId="0">
      <text>
        <r>
          <rPr>
            <b/>
            <sz val="20"/>
            <color indexed="81"/>
            <rFont val="Tahoma"/>
            <family val="2"/>
          </rPr>
          <t>CDR - 11 SEM</t>
        </r>
        <r>
          <rPr>
            <sz val="9"/>
            <color indexed="81"/>
            <rFont val="Tahoma"/>
            <family val="2"/>
          </rPr>
          <t xml:space="preserve">
</t>
        </r>
      </text>
    </comment>
    <comment ref="BJ6" authorId="0">
      <text>
        <r>
          <rPr>
            <b/>
            <sz val="20"/>
            <color indexed="81"/>
            <rFont val="Tahoma"/>
            <family val="2"/>
          </rPr>
          <t>CDR - 3 SEM</t>
        </r>
        <r>
          <rPr>
            <sz val="20"/>
            <color indexed="81"/>
            <rFont val="Tahoma"/>
            <family val="2"/>
          </rPr>
          <t xml:space="preserve">
</t>
        </r>
      </text>
    </comment>
    <comment ref="BL6" authorId="0">
      <text>
        <r>
          <rPr>
            <b/>
            <sz val="20"/>
            <color indexed="81"/>
            <rFont val="Tahoma"/>
            <family val="2"/>
          </rPr>
          <t>ITCM +15 J</t>
        </r>
        <r>
          <rPr>
            <sz val="9"/>
            <color indexed="81"/>
            <rFont val="Tahoma"/>
            <family val="2"/>
          </rPr>
          <t xml:space="preserve">
</t>
        </r>
      </text>
    </comment>
    <comment ref="BM6" authorId="0">
      <text>
        <r>
          <rPr>
            <b/>
            <sz val="20"/>
            <color indexed="81"/>
            <rFont val="Tahoma"/>
            <family val="2"/>
          </rPr>
          <t>CDR - 90J ou
PDR + 1 SEM</t>
        </r>
        <r>
          <rPr>
            <sz val="9"/>
            <color indexed="81"/>
            <rFont val="Tahoma"/>
            <family val="2"/>
          </rPr>
          <t xml:space="preserve">
</t>
        </r>
      </text>
    </comment>
    <comment ref="BO6" authorId="0">
      <text>
        <r>
          <rPr>
            <b/>
            <sz val="20"/>
            <color indexed="81"/>
            <rFont val="Tahoma"/>
            <family val="2"/>
          </rPr>
          <t>TOP IND - 4J ou
FAI - 45 J</t>
        </r>
        <r>
          <rPr>
            <sz val="9"/>
            <color indexed="81"/>
            <rFont val="Tahoma"/>
            <family val="2"/>
          </rPr>
          <t xml:space="preserve">
</t>
        </r>
      </text>
    </comment>
    <comment ref="BQ6" authorId="0">
      <text>
        <r>
          <rPr>
            <sz val="20"/>
            <color indexed="81"/>
            <rFont val="Tahoma"/>
            <family val="2"/>
          </rPr>
          <t xml:space="preserve">CDR - 11 SEM
</t>
        </r>
      </text>
    </comment>
    <comment ref="BR6" authorId="0">
      <text>
        <r>
          <rPr>
            <b/>
            <sz val="20"/>
            <color indexed="81"/>
            <rFont val="Tahoma"/>
            <family val="2"/>
          </rPr>
          <t>CDR + 1 SEM</t>
        </r>
      </text>
    </comment>
    <comment ref="BT6" authorId="0">
      <text>
        <r>
          <rPr>
            <sz val="20"/>
            <color indexed="81"/>
            <rFont val="Tahoma"/>
            <family val="2"/>
          </rPr>
          <t xml:space="preserve">CDR - 11 SEM
</t>
        </r>
      </text>
    </comment>
    <comment ref="BU6" authorId="0">
      <text>
        <r>
          <rPr>
            <sz val="20"/>
            <color indexed="81"/>
            <rFont val="Tahoma"/>
            <family val="2"/>
          </rPr>
          <t xml:space="preserve">CDR - 3 SEM
</t>
        </r>
      </text>
    </comment>
    <comment ref="CO6" authorId="0">
      <text>
        <r>
          <rPr>
            <b/>
            <sz val="20"/>
            <color indexed="81"/>
            <rFont val="Tahoma"/>
            <family val="2"/>
          </rPr>
          <t>CDR - 11 WK</t>
        </r>
        <r>
          <rPr>
            <sz val="9"/>
            <color indexed="81"/>
            <rFont val="Tahoma"/>
            <family val="2"/>
          </rPr>
          <t xml:space="preserve">
</t>
        </r>
      </text>
    </comment>
    <comment ref="CQ6" authorId="0">
      <text>
        <r>
          <rPr>
            <b/>
            <sz val="20"/>
            <color indexed="81"/>
            <rFont val="Tahoma"/>
            <family val="2"/>
          </rPr>
          <t>CDR - 11 WK</t>
        </r>
      </text>
    </comment>
    <comment ref="CS6" authorId="0">
      <text>
        <r>
          <rPr>
            <b/>
            <sz val="20"/>
            <color indexed="81"/>
            <rFont val="Tahoma"/>
            <family val="2"/>
          </rPr>
          <t>CDR - 5 WK</t>
        </r>
      </text>
    </comment>
    <comment ref="CT6" authorId="0">
      <text>
        <r>
          <rPr>
            <b/>
            <sz val="20"/>
            <color indexed="81"/>
            <rFont val="Tahoma"/>
            <family val="2"/>
          </rPr>
          <t>CDR - 3 WK</t>
        </r>
      </text>
    </comment>
    <comment ref="CU6" authorId="0">
      <text>
        <r>
          <rPr>
            <b/>
            <sz val="20"/>
            <color indexed="81"/>
            <rFont val="Tahoma"/>
            <family val="2"/>
          </rPr>
          <t>CDR - 7 WK</t>
        </r>
      </text>
    </comment>
    <comment ref="CW6" authorId="0">
      <text>
        <r>
          <rPr>
            <b/>
            <sz val="20"/>
            <color indexed="81"/>
            <rFont val="Tahoma"/>
            <family val="2"/>
          </rPr>
          <t>CDR - 5 WK</t>
        </r>
      </text>
    </comment>
    <comment ref="CY6" authorId="0">
      <text>
        <r>
          <rPr>
            <b/>
            <sz val="20"/>
            <color indexed="81"/>
            <rFont val="Tahoma"/>
            <family val="2"/>
          </rPr>
          <t>CDR - 4 WK</t>
        </r>
        <r>
          <rPr>
            <sz val="9"/>
            <color indexed="81"/>
            <rFont val="Tahoma"/>
            <family val="2"/>
          </rPr>
          <t xml:space="preserve">
</t>
        </r>
      </text>
    </comment>
    <comment ref="DA6" authorId="0">
      <text>
        <r>
          <rPr>
            <b/>
            <sz val="20"/>
            <color indexed="81"/>
            <rFont val="Tahoma"/>
            <family val="2"/>
          </rPr>
          <t>CDR - 3 WK</t>
        </r>
      </text>
    </comment>
    <comment ref="DB6" authorId="0">
      <text>
        <r>
          <rPr>
            <b/>
            <sz val="20"/>
            <color indexed="81"/>
            <rFont val="Tahoma"/>
            <family val="2"/>
          </rPr>
          <t>CDR + 4 WK</t>
        </r>
      </text>
    </comment>
    <comment ref="DC6" authorId="0">
      <text>
        <r>
          <rPr>
            <b/>
            <sz val="20"/>
            <color indexed="81"/>
            <rFont val="Tahoma"/>
            <family val="2"/>
          </rPr>
          <t>CDR + 4 WK</t>
        </r>
        <r>
          <rPr>
            <sz val="9"/>
            <color indexed="81"/>
            <rFont val="Tahoma"/>
            <family val="2"/>
          </rPr>
          <t xml:space="preserve">
</t>
        </r>
      </text>
    </comment>
    <comment ref="DE6" authorId="0">
      <text>
        <r>
          <rPr>
            <b/>
            <sz val="20"/>
            <color indexed="81"/>
            <rFont val="Tahoma"/>
            <family val="2"/>
          </rPr>
          <t>3D CAD DATAS - 45 DAYS</t>
        </r>
        <r>
          <rPr>
            <sz val="9"/>
            <color indexed="81"/>
            <rFont val="Tahoma"/>
            <family val="2"/>
          </rPr>
          <t xml:space="preserve">
</t>
        </r>
      </text>
    </comment>
    <comment ref="DG6" authorId="0">
      <text>
        <r>
          <rPr>
            <b/>
            <sz val="20"/>
            <color indexed="81"/>
            <rFont val="Tahoma"/>
            <family val="2"/>
          </rPr>
          <t>3D CAD DATAS - 45 DAYS</t>
        </r>
      </text>
    </comment>
    <comment ref="DI6" authorId="0">
      <text>
        <r>
          <rPr>
            <b/>
            <sz val="20"/>
            <color indexed="81"/>
            <rFont val="Tahoma"/>
            <family val="2"/>
          </rPr>
          <t>CDR - 90 DAYS or
PDR + 15 DAYS</t>
        </r>
        <r>
          <rPr>
            <sz val="20"/>
            <color indexed="81"/>
            <rFont val="Tahoma"/>
            <family val="2"/>
          </rPr>
          <t xml:space="preserve">
</t>
        </r>
      </text>
    </comment>
    <comment ref="DK6" authorId="0">
      <text>
        <r>
          <rPr>
            <b/>
            <sz val="20"/>
            <color indexed="81"/>
            <rFont val="Tahoma"/>
            <family val="2"/>
          </rPr>
          <t>FOAM% -15 DAYS</t>
        </r>
        <r>
          <rPr>
            <sz val="9"/>
            <color indexed="81"/>
            <rFont val="Tahoma"/>
            <family val="2"/>
          </rPr>
          <t xml:space="preserve">
</t>
        </r>
      </text>
    </comment>
    <comment ref="DM6" authorId="0">
      <text>
        <r>
          <rPr>
            <b/>
            <sz val="20"/>
            <color indexed="81"/>
            <rFont val="Tahoma"/>
            <family val="2"/>
          </rPr>
          <t>SCDL RELEASED - 20 DAYS</t>
        </r>
        <r>
          <rPr>
            <sz val="9"/>
            <color indexed="81"/>
            <rFont val="Tahoma"/>
            <family val="2"/>
          </rPr>
          <t xml:space="preserve">
</t>
        </r>
      </text>
    </comment>
  </commentList>
</comments>
</file>

<file path=xl/comments2.xml><?xml version="1.0" encoding="utf-8"?>
<comments xmlns="http://schemas.openxmlformats.org/spreadsheetml/2006/main">
  <authors>
    <author>ZIS</author>
  </authors>
  <commentList>
    <comment ref="L12" authorId="0">
      <text>
        <r>
          <rPr>
            <b/>
            <sz val="20"/>
            <color indexed="81"/>
            <rFont val="Tahoma"/>
            <family val="2"/>
          </rPr>
          <t>CDR - 11 SEM</t>
        </r>
        <r>
          <rPr>
            <sz val="9"/>
            <color indexed="81"/>
            <rFont val="Tahoma"/>
            <family val="2"/>
          </rPr>
          <t xml:space="preserve">
</t>
        </r>
      </text>
    </comment>
    <comment ref="N12" authorId="0">
      <text>
        <r>
          <rPr>
            <b/>
            <sz val="20"/>
            <color indexed="81"/>
            <rFont val="Tahoma"/>
            <family val="2"/>
          </rPr>
          <t>CDR - 3 SEM</t>
        </r>
        <r>
          <rPr>
            <sz val="20"/>
            <color indexed="81"/>
            <rFont val="Tahoma"/>
            <family val="2"/>
          </rPr>
          <t xml:space="preserve">
</t>
        </r>
      </text>
    </comment>
    <comment ref="P12" authorId="0">
      <text>
        <r>
          <rPr>
            <b/>
            <sz val="20"/>
            <color indexed="81"/>
            <rFont val="Tahoma"/>
            <family val="2"/>
          </rPr>
          <t>ITCM +15 J</t>
        </r>
        <r>
          <rPr>
            <sz val="9"/>
            <color indexed="81"/>
            <rFont val="Tahoma"/>
            <family val="2"/>
          </rPr>
          <t xml:space="preserve">
</t>
        </r>
      </text>
    </comment>
    <comment ref="Q12" authorId="0">
      <text>
        <r>
          <rPr>
            <b/>
            <sz val="20"/>
            <color indexed="81"/>
            <rFont val="Tahoma"/>
            <family val="2"/>
          </rPr>
          <t>CDR - 90J ou
PDR + 1 SEM</t>
        </r>
        <r>
          <rPr>
            <sz val="9"/>
            <color indexed="81"/>
            <rFont val="Tahoma"/>
            <family val="2"/>
          </rPr>
          <t xml:space="preserve">
</t>
        </r>
      </text>
    </comment>
    <comment ref="S12" authorId="0">
      <text>
        <r>
          <rPr>
            <b/>
            <sz val="20"/>
            <color indexed="81"/>
            <rFont val="Tahoma"/>
            <family val="2"/>
          </rPr>
          <t>TOP IND - 4J ou
FAI - 45 J</t>
        </r>
        <r>
          <rPr>
            <sz val="9"/>
            <color indexed="81"/>
            <rFont val="Tahoma"/>
            <family val="2"/>
          </rPr>
          <t xml:space="preserve">
</t>
        </r>
      </text>
    </comment>
    <comment ref="U12" authorId="0">
      <text>
        <r>
          <rPr>
            <sz val="20"/>
            <color indexed="81"/>
            <rFont val="Tahoma"/>
            <family val="2"/>
          </rPr>
          <t xml:space="preserve">CDR - 11 SEM
</t>
        </r>
      </text>
    </comment>
    <comment ref="V12" authorId="0">
      <text>
        <r>
          <rPr>
            <b/>
            <sz val="20"/>
            <color indexed="81"/>
            <rFont val="Tahoma"/>
            <family val="2"/>
          </rPr>
          <t>CDR + 1 SEM</t>
        </r>
      </text>
    </comment>
    <comment ref="X12" authorId="0">
      <text>
        <r>
          <rPr>
            <sz val="20"/>
            <color indexed="81"/>
            <rFont val="Tahoma"/>
            <family val="2"/>
          </rPr>
          <t xml:space="preserve">CDR - 11 SEM
</t>
        </r>
      </text>
    </comment>
    <comment ref="Y12" authorId="0">
      <text>
        <r>
          <rPr>
            <sz val="20"/>
            <color indexed="81"/>
            <rFont val="Tahoma"/>
            <family val="2"/>
          </rPr>
          <t xml:space="preserve">CDR - 3 SEM
</t>
        </r>
      </text>
    </comment>
    <comment ref="Q28" authorId="0">
      <text>
        <r>
          <rPr>
            <b/>
            <sz val="20"/>
            <color indexed="81"/>
            <rFont val="Tahoma"/>
            <family val="2"/>
          </rPr>
          <t>CDR - 11 WK</t>
        </r>
        <r>
          <rPr>
            <sz val="9"/>
            <color indexed="81"/>
            <rFont val="Tahoma"/>
            <family val="2"/>
          </rPr>
          <t xml:space="preserve">
</t>
        </r>
      </text>
    </comment>
    <comment ref="S28" authorId="0">
      <text>
        <r>
          <rPr>
            <b/>
            <sz val="20"/>
            <color indexed="81"/>
            <rFont val="Tahoma"/>
            <family val="2"/>
          </rPr>
          <t>CDR - 11 WK</t>
        </r>
      </text>
    </comment>
    <comment ref="U28" authorId="0">
      <text>
        <r>
          <rPr>
            <b/>
            <sz val="20"/>
            <color indexed="81"/>
            <rFont val="Tahoma"/>
            <family val="2"/>
          </rPr>
          <t>CDR - 5 WK</t>
        </r>
      </text>
    </comment>
    <comment ref="V28" authorId="0">
      <text>
        <r>
          <rPr>
            <b/>
            <sz val="20"/>
            <color indexed="81"/>
            <rFont val="Tahoma"/>
            <family val="2"/>
          </rPr>
          <t>CDR - 3 WK</t>
        </r>
      </text>
    </comment>
    <comment ref="W28" authorId="0">
      <text>
        <r>
          <rPr>
            <b/>
            <sz val="20"/>
            <color indexed="81"/>
            <rFont val="Tahoma"/>
            <family val="2"/>
          </rPr>
          <t>CDR - 7 WK</t>
        </r>
      </text>
    </comment>
    <comment ref="Y28" authorId="0">
      <text>
        <r>
          <rPr>
            <b/>
            <sz val="20"/>
            <color indexed="81"/>
            <rFont val="Tahoma"/>
            <family val="2"/>
          </rPr>
          <t>CDR - 5 WK</t>
        </r>
      </text>
    </comment>
    <comment ref="AA28" authorId="0">
      <text>
        <r>
          <rPr>
            <b/>
            <sz val="20"/>
            <color indexed="81"/>
            <rFont val="Tahoma"/>
            <family val="2"/>
          </rPr>
          <t>CDR - 4 WK</t>
        </r>
        <r>
          <rPr>
            <sz val="9"/>
            <color indexed="81"/>
            <rFont val="Tahoma"/>
            <family val="2"/>
          </rPr>
          <t xml:space="preserve">
</t>
        </r>
      </text>
    </comment>
    <comment ref="AC28" authorId="0">
      <text>
        <r>
          <rPr>
            <b/>
            <sz val="20"/>
            <color indexed="81"/>
            <rFont val="Tahoma"/>
            <family val="2"/>
          </rPr>
          <t>CDR - 3 WK</t>
        </r>
      </text>
    </comment>
    <comment ref="AD28" authorId="0">
      <text>
        <r>
          <rPr>
            <b/>
            <sz val="20"/>
            <color indexed="81"/>
            <rFont val="Tahoma"/>
            <family val="2"/>
          </rPr>
          <t>CDR + 4 WK</t>
        </r>
      </text>
    </comment>
    <comment ref="AE28" authorId="0">
      <text>
        <r>
          <rPr>
            <b/>
            <sz val="20"/>
            <color indexed="81"/>
            <rFont val="Tahoma"/>
            <family val="2"/>
          </rPr>
          <t>CDR + 4 WK</t>
        </r>
        <r>
          <rPr>
            <sz val="9"/>
            <color indexed="81"/>
            <rFont val="Tahoma"/>
            <family val="2"/>
          </rPr>
          <t xml:space="preserve">
</t>
        </r>
      </text>
    </comment>
    <comment ref="AA51" authorId="0">
      <text>
        <r>
          <rPr>
            <b/>
            <sz val="20"/>
            <color indexed="81"/>
            <rFont val="Tahoma"/>
            <family val="2"/>
          </rPr>
          <t>3D CAD DATAS - 45 DAYS</t>
        </r>
        <r>
          <rPr>
            <sz val="9"/>
            <color indexed="81"/>
            <rFont val="Tahoma"/>
            <family val="2"/>
          </rPr>
          <t xml:space="preserve">
</t>
        </r>
      </text>
    </comment>
    <comment ref="AC51" authorId="0">
      <text>
        <r>
          <rPr>
            <b/>
            <sz val="20"/>
            <color indexed="81"/>
            <rFont val="Tahoma"/>
            <family val="2"/>
          </rPr>
          <t>3D CAD DATAS - 45 DAYS</t>
        </r>
      </text>
    </comment>
    <comment ref="AE51" authorId="0">
      <text>
        <r>
          <rPr>
            <b/>
            <sz val="20"/>
            <color indexed="81"/>
            <rFont val="Tahoma"/>
            <family val="2"/>
          </rPr>
          <t>CDR - 90 DAYS or
PDR + 15 DAYS</t>
        </r>
        <r>
          <rPr>
            <sz val="20"/>
            <color indexed="81"/>
            <rFont val="Tahoma"/>
            <family val="2"/>
          </rPr>
          <t xml:space="preserve">
</t>
        </r>
      </text>
    </comment>
    <comment ref="AG51" authorId="0">
      <text>
        <r>
          <rPr>
            <b/>
            <sz val="20"/>
            <color indexed="81"/>
            <rFont val="Tahoma"/>
            <family val="2"/>
          </rPr>
          <t>FOAM% -15 DAYS</t>
        </r>
        <r>
          <rPr>
            <sz val="9"/>
            <color indexed="81"/>
            <rFont val="Tahoma"/>
            <family val="2"/>
          </rPr>
          <t xml:space="preserve">
</t>
        </r>
      </text>
    </comment>
    <comment ref="AI51" authorId="0">
      <text>
        <r>
          <rPr>
            <b/>
            <sz val="20"/>
            <color indexed="81"/>
            <rFont val="Tahoma"/>
            <family val="2"/>
          </rPr>
          <t>SCDL RELEASED - 20 DAYS</t>
        </r>
        <r>
          <rPr>
            <sz val="9"/>
            <color indexed="81"/>
            <rFont val="Tahoma"/>
            <family val="2"/>
          </rPr>
          <t xml:space="preserve">
</t>
        </r>
      </text>
    </comment>
  </commentList>
</comments>
</file>

<file path=xl/sharedStrings.xml><?xml version="1.0" encoding="utf-8"?>
<sst xmlns="http://schemas.openxmlformats.org/spreadsheetml/2006/main" count="1319" uniqueCount="306">
  <si>
    <t>Programme</t>
  </si>
  <si>
    <t>CDR</t>
  </si>
  <si>
    <t>PDR</t>
  </si>
  <si>
    <t>FAI Client</t>
  </si>
  <si>
    <t>FAI Interne</t>
  </si>
  <si>
    <t>Nom habillage</t>
  </si>
  <si>
    <t>Fiche Descriptive</t>
  </si>
  <si>
    <t>SCDL Mousse</t>
  </si>
  <si>
    <t>Status</t>
  </si>
  <si>
    <t>BE</t>
  </si>
  <si>
    <t>Habillage</t>
  </si>
  <si>
    <t>SUIVI LIVRABLES HABILLAGE PAR PROGRAMME</t>
  </si>
  <si>
    <t>Commentaires</t>
  </si>
  <si>
    <t>Status certif</t>
  </si>
  <si>
    <t>Failed</t>
  </si>
  <si>
    <t>Passed</t>
  </si>
  <si>
    <t>Unknown</t>
  </si>
  <si>
    <t>Date MàJ :</t>
  </si>
  <si>
    <t>Status plan</t>
  </si>
  <si>
    <t>Status plans fournisseur</t>
  </si>
  <si>
    <t>En cours</t>
  </si>
  <si>
    <t>Check-in</t>
  </si>
  <si>
    <t>En diffusion</t>
  </si>
  <si>
    <t>Released</t>
  </si>
  <si>
    <t>En retard</t>
  </si>
  <si>
    <t>A valider</t>
  </si>
  <si>
    <t>Validés</t>
  </si>
  <si>
    <t>DONNEES PROGRAMME</t>
  </si>
  <si>
    <t>DONNES D'ENTREE</t>
  </si>
  <si>
    <t>DONNEES DE SORTIE</t>
  </si>
  <si>
    <t>FICHE EXPRESSION BESOIN</t>
  </si>
  <si>
    <t>E3118</t>
  </si>
  <si>
    <t>E3121</t>
  </si>
  <si>
    <t>E3122</t>
  </si>
  <si>
    <t>EZ108</t>
  </si>
  <si>
    <t>E3108</t>
  </si>
  <si>
    <t>Non commencé</t>
  </si>
  <si>
    <t>Incomplet</t>
  </si>
  <si>
    <t>EZ201</t>
  </si>
  <si>
    <t>ITCM</t>
  </si>
  <si>
    <t>ODD</t>
  </si>
  <si>
    <t>N/A</t>
  </si>
  <si>
    <t>EZ111</t>
  </si>
  <si>
    <t>E3129</t>
  </si>
  <si>
    <t>E3123</t>
  </si>
  <si>
    <t>E3124</t>
  </si>
  <si>
    <t>L1S03</t>
  </si>
  <si>
    <t>E3128</t>
  </si>
  <si>
    <t>E3132</t>
  </si>
  <si>
    <t>L2C05</t>
  </si>
  <si>
    <t>L2C06</t>
  </si>
  <si>
    <t>L2C03</t>
  </si>
  <si>
    <t>Z0041</t>
  </si>
  <si>
    <t>L2C04</t>
  </si>
  <si>
    <t>L2C07</t>
  </si>
  <si>
    <t>OK</t>
  </si>
  <si>
    <t>EZ303</t>
  </si>
  <si>
    <t>E3131</t>
  </si>
  <si>
    <t>E3130</t>
  </si>
  <si>
    <t>EZ304</t>
  </si>
  <si>
    <t>EZ305</t>
  </si>
  <si>
    <t>EZ306</t>
  </si>
  <si>
    <t>L2C08</t>
  </si>
  <si>
    <t>L2C09</t>
  </si>
  <si>
    <t>L2C10</t>
  </si>
  <si>
    <t>L3C01</t>
  </si>
  <si>
    <t>L1412</t>
  </si>
  <si>
    <t>Franklin</t>
  </si>
  <si>
    <t>ZSFR</t>
  </si>
  <si>
    <t>FD9093258</t>
  </si>
  <si>
    <t>FD9093259</t>
  </si>
  <si>
    <t>Greiner</t>
  </si>
  <si>
    <t>Statut DEF</t>
  </si>
  <si>
    <t>Envoyé</t>
  </si>
  <si>
    <t>Attente info produit</t>
  </si>
  <si>
    <t>FD9093278</t>
  </si>
  <si>
    <t>Neotex</t>
  </si>
  <si>
    <t>FD9093625</t>
  </si>
  <si>
    <t>E3104</t>
  </si>
  <si>
    <t>FD9093634</t>
  </si>
  <si>
    <t>E3119</t>
  </si>
  <si>
    <t>E3125</t>
  </si>
  <si>
    <t>EZ109</t>
  </si>
  <si>
    <t>EZ110</t>
  </si>
  <si>
    <t>L1C21</t>
  </si>
  <si>
    <t>L1C23</t>
  </si>
  <si>
    <t>ECR en cours</t>
  </si>
  <si>
    <t>FD9093729</t>
  </si>
  <si>
    <t>FD9093730</t>
  </si>
  <si>
    <t>FD9093739</t>
  </si>
  <si>
    <t>SCDL Housse</t>
  </si>
  <si>
    <t>FD9093810</t>
  </si>
  <si>
    <t>Dossier</t>
  </si>
  <si>
    <t>AR Dossier</t>
  </si>
  <si>
    <t>MGR</t>
  </si>
  <si>
    <t>EZ307</t>
  </si>
  <si>
    <t>E3807</t>
  </si>
  <si>
    <t>E3808</t>
  </si>
  <si>
    <t>E3809</t>
  </si>
  <si>
    <t>Date mise à jour</t>
  </si>
  <si>
    <t>A diffuser</t>
  </si>
  <si>
    <t>Fichier top fin indus</t>
  </si>
  <si>
    <t>FD9069662</t>
  </si>
  <si>
    <t>FD9097114</t>
  </si>
  <si>
    <t>Besoin Diffusée</t>
  </si>
  <si>
    <t>Besoin Libérée</t>
  </si>
  <si>
    <t>SUIVI LIVRABLES ZSFR HABILLAGE PAR PROGRAMME</t>
  </si>
  <si>
    <t>INPUT DATAS</t>
  </si>
  <si>
    <t>Needed</t>
  </si>
  <si>
    <t>FOAM %</t>
  </si>
  <si>
    <t>ECM / TECHNICAL SPECIFICATION</t>
  </si>
  <si>
    <t>3D ZSFR</t>
  </si>
  <si>
    <t xml:space="preserve"> SUPPLIER 3D CAD DATAS</t>
  </si>
  <si>
    <t xml:space="preserve"> SUPPLIER 2D DRAWINGS</t>
  </si>
  <si>
    <t>COMMENTS</t>
  </si>
  <si>
    <t>Internal FAI</t>
  </si>
  <si>
    <t>E3133</t>
  </si>
  <si>
    <t>E3134</t>
  </si>
  <si>
    <t>E3135</t>
  </si>
  <si>
    <t>E3136</t>
  </si>
  <si>
    <t>E3137</t>
  </si>
  <si>
    <t>E3805</t>
  </si>
  <si>
    <t>L1C24</t>
  </si>
  <si>
    <t>L1C25</t>
  </si>
  <si>
    <t>New</t>
  </si>
  <si>
    <t>MOUSSES</t>
  </si>
  <si>
    <t>HOUSSES</t>
  </si>
  <si>
    <t>Released final</t>
  </si>
  <si>
    <t>Besoin
Diffusée avec gabarits</t>
  </si>
  <si>
    <t>Metzeler</t>
  </si>
  <si>
    <t>Not submitted</t>
  </si>
  <si>
    <t>To be updated</t>
  </si>
  <si>
    <t>Validated</t>
  </si>
  <si>
    <t>Assise</t>
  </si>
  <si>
    <t>Tétière</t>
  </si>
  <si>
    <t>RPJ</t>
  </si>
  <si>
    <t>GDS</t>
  </si>
  <si>
    <t>FNR</t>
  </si>
  <si>
    <t>Fournisseur</t>
  </si>
  <si>
    <t>Custom Product</t>
  </si>
  <si>
    <t>Romtex</t>
  </si>
  <si>
    <t>Type</t>
  </si>
  <si>
    <t>Bottom</t>
  </si>
  <si>
    <t>Backrest</t>
  </si>
  <si>
    <t>Headrest</t>
  </si>
  <si>
    <t>Legrest</t>
  </si>
  <si>
    <t>Rear Backrest</t>
  </si>
  <si>
    <t>Not complete</t>
  </si>
  <si>
    <t>Missing some items</t>
  </si>
  <si>
    <t>Status ECM</t>
  </si>
  <si>
    <t>To be sent</t>
  </si>
  <si>
    <t>E3138</t>
  </si>
  <si>
    <t>EZ112</t>
  </si>
  <si>
    <t>E3139</t>
  </si>
  <si>
    <t>E3140</t>
  </si>
  <si>
    <t>E3141</t>
  </si>
  <si>
    <t>E3142</t>
  </si>
  <si>
    <t>E3143</t>
  </si>
  <si>
    <t>EZ113</t>
  </si>
  <si>
    <t>L2C11</t>
  </si>
  <si>
    <t>L3C02</t>
  </si>
  <si>
    <t>L2S01</t>
  </si>
  <si>
    <t>L1S02 v2</t>
  </si>
  <si>
    <t>Moyenne jour FAI interne - Top OF</t>
  </si>
  <si>
    <t>E31XX</t>
  </si>
  <si>
    <t>35 j</t>
  </si>
  <si>
    <t>Luxe</t>
  </si>
  <si>
    <t>EZXXX &amp; E38</t>
  </si>
  <si>
    <t>66 j</t>
  </si>
  <si>
    <t>60 j</t>
  </si>
  <si>
    <t>Prélim.</t>
  </si>
  <si>
    <t>SCDL
Diffusée</t>
  </si>
  <si>
    <t>SCDL 
Prélim</t>
  </si>
  <si>
    <t>SUPPLIER 3D CAD DATAS</t>
  </si>
  <si>
    <t>OUTPUT DATAS</t>
  </si>
  <si>
    <t>3D ZSFR VALIDATION</t>
  </si>
  <si>
    <t>3D</t>
  </si>
  <si>
    <t>2D</t>
  </si>
  <si>
    <t>CUSHIONS</t>
  </si>
  <si>
    <t>CDR SAMPLES</t>
  </si>
  <si>
    <t>SERIAL CUSHION FOR CERTIFICATION</t>
  </si>
  <si>
    <t>SERIAL CUSHION FOR DRESS COVER</t>
  </si>
  <si>
    <t>Carpenter</t>
  </si>
  <si>
    <t>FOAMS</t>
  </si>
  <si>
    <t>Supplier</t>
  </si>
  <si>
    <t>Nbre New</t>
  </si>
  <si>
    <t>L3S01</t>
  </si>
  <si>
    <t>E2700</t>
  </si>
  <si>
    <t>EL300</t>
  </si>
  <si>
    <t>EZ114</t>
  </si>
  <si>
    <t>L1703</t>
  </si>
  <si>
    <t>L1F01</t>
  </si>
  <si>
    <t>L2103</t>
  </si>
  <si>
    <t>E3144</t>
  </si>
  <si>
    <t>Z0119</t>
  </si>
  <si>
    <t>Nb New</t>
  </si>
  <si>
    <t>CCH</t>
  </si>
  <si>
    <t>Besoin Siège CDR</t>
  </si>
  <si>
    <t>Besoin siège Série</t>
  </si>
  <si>
    <t>FD9098315</t>
  </si>
  <si>
    <t>FD9099831</t>
  </si>
  <si>
    <t>FD9099446</t>
  </si>
  <si>
    <t>FD9099832</t>
  </si>
  <si>
    <t>FD9107161</t>
  </si>
  <si>
    <t>FD9114788</t>
  </si>
  <si>
    <t>FD9123455</t>
  </si>
  <si>
    <t>FD9095639</t>
  </si>
  <si>
    <t>FD9126981</t>
  </si>
  <si>
    <t>FD9101859</t>
  </si>
  <si>
    <t>Rideaux</t>
  </si>
  <si>
    <t>Belgraver</t>
  </si>
  <si>
    <t>Bas volet</t>
  </si>
  <si>
    <t>Compagnie</t>
  </si>
  <si>
    <t>E3126-27</t>
  </si>
  <si>
    <t>Données Port Folio</t>
  </si>
  <si>
    <t>Avion</t>
  </si>
  <si>
    <t>Programme Jalons</t>
  </si>
  <si>
    <t>TOP OF</t>
  </si>
  <si>
    <t>Debut montage siège essai</t>
  </si>
  <si>
    <t>Données fiche expression besoin</t>
  </si>
  <si>
    <t>E3121 HIC</t>
  </si>
  <si>
    <t>E3123 V2</t>
  </si>
  <si>
    <t>E3132 V2</t>
  </si>
  <si>
    <t>E3135 V2</t>
  </si>
  <si>
    <t>EL3YY</t>
  </si>
  <si>
    <t>EZ301 V2</t>
  </si>
  <si>
    <t>Z0056</t>
  </si>
  <si>
    <t>Z0069</t>
  </si>
  <si>
    <t>Z0078</t>
  </si>
  <si>
    <t>Z0086</t>
  </si>
  <si>
    <t>Z0111</t>
  </si>
  <si>
    <t>Z0124</t>
  </si>
  <si>
    <t>L1408</t>
  </si>
  <si>
    <t>E3530</t>
  </si>
  <si>
    <t>SYNTHESE</t>
  </si>
  <si>
    <t>FAI</t>
  </si>
  <si>
    <t>Debut
 montage
 siège essai</t>
  </si>
  <si>
    <t>Début Montage Siège essai</t>
  </si>
  <si>
    <t xml:space="preserve">E3132 </t>
  </si>
  <si>
    <t>RESP
BE HABILLAGE</t>
  </si>
  <si>
    <t>Date MAJ</t>
  </si>
  <si>
    <t>DATES UTILISEES</t>
  </si>
  <si>
    <t>manque date</t>
  </si>
  <si>
    <t/>
  </si>
  <si>
    <t>Supracor</t>
  </si>
  <si>
    <t>Paustian</t>
  </si>
  <si>
    <t>Aertec</t>
  </si>
  <si>
    <t>ACM</t>
  </si>
  <si>
    <t>Vauth &amp; Sohn</t>
  </si>
  <si>
    <t>Celso</t>
  </si>
  <si>
    <t>Lat HIC</t>
  </si>
  <si>
    <t>Status
Certif
Feu</t>
  </si>
  <si>
    <t>SEJI</t>
  </si>
  <si>
    <t>MRQ</t>
  </si>
  <si>
    <t>Pegasus</t>
  </si>
  <si>
    <t>B737</t>
  </si>
  <si>
    <t>Donghai</t>
  </si>
  <si>
    <t>Hainan Airlines</t>
  </si>
  <si>
    <t>A321-200?</t>
  </si>
  <si>
    <t>Safair</t>
  </si>
  <si>
    <t>Jal</t>
  </si>
  <si>
    <t>B787-8</t>
  </si>
  <si>
    <t>SAS</t>
  </si>
  <si>
    <t>A330/A340</t>
  </si>
  <si>
    <t>Air Algérie</t>
  </si>
  <si>
    <t>A330-200</t>
  </si>
  <si>
    <t>Kuwait</t>
  </si>
  <si>
    <t>Sri Lanka</t>
  </si>
  <si>
    <t>4/0/13</t>
  </si>
  <si>
    <t>E3145</t>
  </si>
  <si>
    <t>EZ115</t>
  </si>
  <si>
    <t>FD9136301</t>
  </si>
  <si>
    <t>Program</t>
  </si>
  <si>
    <t>Customer FAI</t>
  </si>
  <si>
    <t>TOP OF Fin indus</t>
  </si>
  <si>
    <t>LIVRABLES FOURNISSEURS MOUSSES</t>
  </si>
  <si>
    <t>LIVRABLES FOURNISSEURS HOUSSES</t>
  </si>
  <si>
    <t>sent</t>
  </si>
  <si>
    <t>Autres types mousses</t>
  </si>
  <si>
    <t>Padding</t>
  </si>
  <si>
    <t>Déflecteur HIC</t>
  </si>
  <si>
    <t>Manchette accoudoir</t>
  </si>
  <si>
    <t>Joint</t>
  </si>
  <si>
    <t>Ottoman</t>
  </si>
  <si>
    <t>Autre (padding, joint etc).</t>
  </si>
  <si>
    <t>Other (padding, joint etc).</t>
  </si>
  <si>
    <t>Nbre</t>
  </si>
  <si>
    <t>Housses</t>
  </si>
  <si>
    <t>Dossier siège std</t>
  </si>
  <si>
    <t>Dossier siège dernier rang</t>
  </si>
  <si>
    <t>Têtière</t>
  </si>
  <si>
    <t>Bas volet arrière dossier</t>
  </si>
  <si>
    <t>Autres</t>
  </si>
  <si>
    <t>Autres typs mousses</t>
  </si>
  <si>
    <t>Manchon ceinturearrière coque</t>
  </si>
  <si>
    <t>pochette GDS</t>
  </si>
  <si>
    <t>Moquette</t>
  </si>
  <si>
    <t>Kit compagnie</t>
  </si>
  <si>
    <t>Anti dérapant repose pied</t>
  </si>
  <si>
    <t>sangle</t>
  </si>
  <si>
    <t>CHOISIR LE PROGRAMME</t>
  </si>
  <si>
    <t>LIVRABLES ZSFR</t>
  </si>
  <si>
    <t>LIVRABLES FNR MOUSSES</t>
  </si>
  <si>
    <t>LIVRABLES FNR HOUSSES</t>
  </si>
  <si>
    <t>D</t>
  </si>
  <si>
    <t>http://forum.excel-pratique.com/excel/exporter-donnees-d-une-feuille-a-une-autre-t72889.html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</si>
</sst>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
    <numFmt numFmtId="165" formatCode="d/m/yy;@"/>
  </numFmts>
  <fonts count="16">
    <font>
      <sz val="11"/>
      <color theme="1"/>
      <name val="Calibri"/>
      <family val="2"/>
      <scheme val="minor"/>
    </font>
    <font>
      <sz val="20"/>
      <color indexed="81"/>
      <name val="Tahoma"/>
      <family val="2"/>
    </font>
    <font>
      <b/>
      <sz val="20"/>
      <color indexed="81"/>
      <name val="Tahoma"/>
      <family val="2"/>
    </font>
    <font>
      <sz val="9"/>
      <color indexed="81"/>
      <name val="Tahoma"/>
      <family val="2"/>
    </font>
    <font>
      <sz val="11"/>
      <color rgb="FFFF0000"/>
      <name val="Calibri"/>
      <family val="2"/>
      <scheme val="minor"/>
    </font>
    <font>
      <b/>
      <i/>
      <sz val="20"/>
      <color theme="1"/>
      <name val="Calibri"/>
      <family val="2"/>
      <scheme val="minor"/>
    </font>
    <font>
      <b/>
      <sz val="12"/>
      <color theme="1"/>
      <name val="Calibri"/>
      <family val="2"/>
      <scheme val="minor"/>
    </font>
    <font>
      <b/>
      <sz val="16"/>
      <color theme="1"/>
      <name val="Calibri"/>
      <family val="2"/>
      <scheme val="minor"/>
    </font>
    <font>
      <b/>
      <i/>
      <sz val="48"/>
      <color theme="1"/>
      <name val="Calibri"/>
      <family val="2"/>
      <scheme val="minor"/>
    </font>
    <font>
      <sz val="12"/>
      <color theme="1"/>
      <name val="Calibri"/>
      <family val="2"/>
      <scheme val="minor"/>
    </font>
    <font>
      <sz val="11"/>
      <name val="Calibri"/>
      <family val="2"/>
      <scheme val="minor"/>
    </font>
    <font>
      <sz val="22"/>
      <color theme="1"/>
      <name val="Calibri"/>
      <family val="2"/>
      <scheme val="minor"/>
    </font>
    <font>
      <sz val="22"/>
      <color theme="1"/>
      <name val="BankGothic Md BT"/>
      <family val="2"/>
    </font>
    <font>
      <u/>
      <sz val="11"/>
      <color theme="10"/>
      <name val="Calibri"/>
      <family val="2"/>
      <scheme val="minor"/>
    </font>
    <font>
      <sz val="10"/>
      <color theme="1"/>
      <name val="Calibri"/>
      <family val="2"/>
      <scheme val="minor"/>
    </font>
    <font>
      <sz val="11"/>
      <color rgb="FF000000"/>
      <name val="Calibri"/>
      <family val="2"/>
    </font>
  </fonts>
  <fills count="15">
    <fill>
      <patternFill patternType="none"/>
    </fill>
    <fill>
      <patternFill patternType="gray125"/>
    </fill>
    <fill>
      <patternFill patternType="solid">
        <fgColor theme="9" tint="0.59999389629810485"/>
        <bgColor indexed="64"/>
      </patternFill>
    </fill>
    <fill>
      <patternFill patternType="solid">
        <fgColor theme="4" tint="0.79998168889431442"/>
        <bgColor indexed="64"/>
      </patternFill>
    </fill>
    <fill>
      <patternFill patternType="solid">
        <fgColor rgb="FFFFFF00"/>
        <bgColor indexed="64"/>
      </patternFill>
    </fill>
    <fill>
      <patternFill patternType="solid">
        <fgColor rgb="FF00B0F0"/>
        <bgColor indexed="64"/>
      </patternFill>
    </fill>
    <fill>
      <patternFill patternType="solid">
        <fgColor theme="7" tint="0.59999389629810485"/>
        <bgColor indexed="64"/>
      </patternFill>
    </fill>
    <fill>
      <patternFill patternType="solid">
        <fgColor theme="8"/>
        <bgColor indexed="64"/>
      </patternFill>
    </fill>
    <fill>
      <patternFill patternType="solid">
        <fgColor theme="9"/>
        <bgColor indexed="64"/>
      </patternFill>
    </fill>
    <fill>
      <patternFill patternType="solid">
        <fgColor rgb="FF92D050"/>
        <bgColor indexed="64"/>
      </patternFill>
    </fill>
    <fill>
      <patternFill patternType="solid">
        <fgColor theme="8" tint="0.79998168889431442"/>
        <bgColor indexed="64"/>
      </patternFill>
    </fill>
    <fill>
      <patternFill patternType="solid">
        <fgColor theme="3"/>
        <bgColor indexed="64"/>
      </patternFill>
    </fill>
    <fill>
      <patternFill patternType="solid">
        <fgColor theme="0" tint="-4.9989318521683403E-2"/>
        <bgColor indexed="64"/>
      </patternFill>
    </fill>
    <fill>
      <patternFill patternType="solid">
        <fgColor rgb="FF0070C0"/>
        <bgColor indexed="64"/>
      </patternFill>
    </fill>
    <fill>
      <patternFill patternType="solid">
        <fgColor rgb="FFFF0000"/>
        <bgColor indexed="64"/>
      </patternFill>
    </fill>
  </fills>
  <borders count="62">
    <border>
      <left/>
      <right/>
      <top/>
      <bottom/>
      <diagonal/>
    </border>
    <border>
      <left style="medium">
        <color indexed="64"/>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style="thin">
        <color indexed="64"/>
      </bottom>
      <diagonal/>
    </border>
    <border>
      <left/>
      <right/>
      <top style="thin">
        <color indexed="64"/>
      </top>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medium">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0" fontId="13" fillId="0" borderId="0" applyNumberFormat="0" applyFill="0" applyBorder="0" applyAlignment="0" applyProtection="0"/>
  </cellStyleXfs>
  <cellXfs count="344">
    <xf numFmtId="0" fontId="0" fillId="0" borderId="0" xfId="0"/>
    <xf numFmtId="0" fontId="5" fillId="0" borderId="0" xfId="0" applyFont="1" applyAlignment="1">
      <alignment horizontal="center" vertical="center"/>
    </xf>
    <xf numFmtId="0" fontId="0" fillId="0" borderId="0" xfId="0" applyAlignment="1">
      <alignment vertical="center"/>
    </xf>
    <xf numFmtId="0" fontId="6" fillId="0" borderId="0" xfId="0" applyFont="1" applyAlignment="1">
      <alignment horizontal="center" vertical="center"/>
    </xf>
    <xf numFmtId="165" fontId="6" fillId="0" borderId="0" xfId="0" applyNumberFormat="1" applyFont="1" applyAlignment="1">
      <alignment horizontal="center" vertical="center"/>
    </xf>
    <xf numFmtId="0" fontId="0" fillId="2" borderId="1" xfId="0" applyFill="1" applyBorder="1" applyAlignment="1">
      <alignment horizontal="center"/>
    </xf>
    <xf numFmtId="164" fontId="0" fillId="0" borderId="2" xfId="0" applyNumberFormat="1" applyBorder="1" applyAlignment="1">
      <alignment horizontal="center"/>
    </xf>
    <xf numFmtId="164" fontId="0" fillId="0" borderId="3" xfId="0" applyNumberFormat="1" applyBorder="1" applyAlignment="1">
      <alignment horizontal="center"/>
    </xf>
    <xf numFmtId="0" fontId="0" fillId="0" borderId="4" xfId="0" applyBorder="1" applyAlignment="1">
      <alignment horizontal="center"/>
    </xf>
    <xf numFmtId="164" fontId="0" fillId="0" borderId="5" xfId="0" applyNumberFormat="1" applyBorder="1" applyAlignment="1">
      <alignment horizontal="center"/>
    </xf>
    <xf numFmtId="164" fontId="0" fillId="0" borderId="6" xfId="0" applyNumberFormat="1" applyBorder="1" applyAlignment="1">
      <alignment horizontal="center"/>
    </xf>
    <xf numFmtId="164" fontId="0" fillId="0" borderId="6" xfId="0" applyNumberFormat="1" applyFill="1" applyBorder="1" applyAlignment="1">
      <alignment horizontal="center"/>
    </xf>
    <xf numFmtId="0" fontId="0" fillId="0" borderId="7" xfId="0" applyFill="1" applyBorder="1" applyAlignment="1">
      <alignment horizontal="center"/>
    </xf>
    <xf numFmtId="0" fontId="0" fillId="0" borderId="8" xfId="0" applyBorder="1" applyAlignment="1">
      <alignment horizontal="left"/>
    </xf>
    <xf numFmtId="0" fontId="0" fillId="0" borderId="7" xfId="0" applyBorder="1" applyAlignment="1">
      <alignment horizontal="center"/>
    </xf>
    <xf numFmtId="0" fontId="7" fillId="3" borderId="9" xfId="0" applyFont="1" applyFill="1" applyBorder="1" applyAlignment="1">
      <alignment horizontal="center"/>
    </xf>
    <xf numFmtId="0" fontId="7" fillId="3" borderId="10" xfId="0" applyFont="1" applyFill="1" applyBorder="1" applyAlignment="1">
      <alignment horizontal="center"/>
    </xf>
    <xf numFmtId="0" fontId="7" fillId="3" borderId="11" xfId="0" applyFont="1" applyFill="1" applyBorder="1" applyAlignment="1"/>
    <xf numFmtId="0" fontId="7" fillId="3" borderId="12" xfId="0" applyFont="1" applyFill="1" applyBorder="1" applyAlignment="1">
      <alignment horizontal="center"/>
    </xf>
    <xf numFmtId="0" fontId="8" fillId="0" borderId="0" xfId="0" applyFont="1" applyAlignment="1"/>
    <xf numFmtId="0" fontId="7" fillId="4" borderId="10" xfId="0" applyFont="1" applyFill="1" applyBorder="1" applyAlignment="1">
      <alignment horizontal="center"/>
    </xf>
    <xf numFmtId="0" fontId="0" fillId="2" borderId="9" xfId="0" applyFill="1" applyBorder="1" applyAlignment="1">
      <alignment horizontal="center" vertical="center" wrapText="1"/>
    </xf>
    <xf numFmtId="0" fontId="5" fillId="0" borderId="0" xfId="0" applyFont="1" applyAlignment="1"/>
    <xf numFmtId="0" fontId="0" fillId="5" borderId="13" xfId="0" applyFill="1" applyBorder="1" applyAlignment="1">
      <alignment horizontal="center" vertical="center" wrapText="1"/>
    </xf>
    <xf numFmtId="0" fontId="0" fillId="5" borderId="14" xfId="0" applyFill="1" applyBorder="1" applyAlignment="1">
      <alignment horizontal="center" vertical="center" wrapText="1"/>
    </xf>
    <xf numFmtId="0" fontId="0" fillId="0" borderId="8" xfId="0" applyFill="1" applyBorder="1" applyAlignment="1">
      <alignment horizontal="left"/>
    </xf>
    <xf numFmtId="0" fontId="7" fillId="4" borderId="9" xfId="0" applyFont="1" applyFill="1" applyBorder="1" applyAlignment="1">
      <alignment horizontal="center"/>
    </xf>
    <xf numFmtId="0" fontId="0" fillId="2" borderId="10" xfId="0" applyFill="1" applyBorder="1" applyAlignment="1">
      <alignment horizontal="center" vertical="center" wrapText="1"/>
    </xf>
    <xf numFmtId="0" fontId="7" fillId="4" borderId="9" xfId="0" applyFont="1" applyFill="1" applyBorder="1" applyAlignment="1">
      <alignment horizontal="center" wrapText="1"/>
    </xf>
    <xf numFmtId="0" fontId="7" fillId="4" borderId="10" xfId="0" applyFont="1" applyFill="1" applyBorder="1" applyAlignment="1">
      <alignment horizontal="center" wrapText="1"/>
    </xf>
    <xf numFmtId="0" fontId="7" fillId="6" borderId="9" xfId="0" applyFont="1" applyFill="1" applyBorder="1" applyAlignment="1">
      <alignment horizontal="center"/>
    </xf>
    <xf numFmtId="0" fontId="7" fillId="6" borderId="10" xfId="0" applyFont="1" applyFill="1" applyBorder="1" applyAlignment="1">
      <alignment horizontal="center"/>
    </xf>
    <xf numFmtId="0" fontId="7" fillId="6" borderId="14" xfId="0" applyFont="1" applyFill="1" applyBorder="1" applyAlignment="1">
      <alignment horizontal="center"/>
    </xf>
    <xf numFmtId="0" fontId="7" fillId="7" borderId="9" xfId="0" applyFont="1" applyFill="1" applyBorder="1" applyAlignment="1">
      <alignment horizontal="center"/>
    </xf>
    <xf numFmtId="0" fontId="7" fillId="7" borderId="10" xfId="0" applyFont="1" applyFill="1" applyBorder="1" applyAlignment="1">
      <alignment horizontal="center"/>
    </xf>
    <xf numFmtId="0" fontId="7" fillId="7" borderId="14" xfId="0" applyFont="1" applyFill="1" applyBorder="1" applyAlignment="1">
      <alignment horizontal="center"/>
    </xf>
    <xf numFmtId="0" fontId="7" fillId="8" borderId="10" xfId="0" applyFont="1" applyFill="1" applyBorder="1" applyAlignment="1">
      <alignment vertical="center" wrapText="1"/>
    </xf>
    <xf numFmtId="0" fontId="7" fillId="8" borderId="10" xfId="0" applyFont="1" applyFill="1" applyBorder="1" applyAlignment="1">
      <alignment horizontal="center" vertical="center" wrapText="1"/>
    </xf>
    <xf numFmtId="164" fontId="0" fillId="4" borderId="6" xfId="0" applyNumberFormat="1" applyFill="1" applyBorder="1" applyAlignment="1">
      <alignment horizontal="center"/>
    </xf>
    <xf numFmtId="164" fontId="0" fillId="0" borderId="13" xfId="0" applyNumberFormat="1" applyBorder="1" applyAlignment="1">
      <alignment horizontal="center"/>
    </xf>
    <xf numFmtId="164" fontId="0" fillId="0" borderId="10" xfId="0" applyNumberFormat="1" applyBorder="1" applyAlignment="1">
      <alignment horizontal="center"/>
    </xf>
    <xf numFmtId="0" fontId="9" fillId="0" borderId="0" xfId="0" applyFont="1"/>
    <xf numFmtId="0" fontId="0" fillId="0" borderId="15" xfId="0" applyBorder="1" applyAlignment="1">
      <alignment horizontal="left"/>
    </xf>
    <xf numFmtId="0" fontId="0" fillId="0" borderId="15" xfId="0" applyBorder="1" applyAlignment="1" applyProtection="1">
      <alignment horizontal="center"/>
      <protection locked="0"/>
    </xf>
    <xf numFmtId="0" fontId="0" fillId="0" borderId="1" xfId="0" applyBorder="1" applyAlignment="1" applyProtection="1">
      <alignment horizontal="center"/>
      <protection locked="0"/>
    </xf>
    <xf numFmtId="0" fontId="0" fillId="0" borderId="16" xfId="0" applyBorder="1" applyAlignment="1" applyProtection="1">
      <alignment horizontal="center"/>
      <protection locked="0"/>
    </xf>
    <xf numFmtId="0" fontId="0" fillId="0" borderId="17" xfId="0" applyBorder="1" applyAlignment="1" applyProtection="1">
      <alignment horizontal="center"/>
      <protection locked="0"/>
    </xf>
    <xf numFmtId="0" fontId="0" fillId="0" borderId="8" xfId="0" applyBorder="1" applyAlignment="1" applyProtection="1">
      <alignment horizontal="center"/>
      <protection locked="0"/>
    </xf>
    <xf numFmtId="0" fontId="0" fillId="0" borderId="6" xfId="0" applyBorder="1" applyAlignment="1" applyProtection="1">
      <alignment horizontal="center"/>
      <protection locked="0"/>
    </xf>
    <xf numFmtId="0" fontId="0" fillId="0" borderId="8" xfId="0" applyBorder="1" applyProtection="1">
      <protection locked="0"/>
    </xf>
    <xf numFmtId="0" fontId="0" fillId="0" borderId="6" xfId="0" applyBorder="1" applyProtection="1">
      <protection locked="0"/>
    </xf>
    <xf numFmtId="0" fontId="0" fillId="0" borderId="8" xfId="0" applyBorder="1" applyAlignment="1" applyProtection="1">
      <alignment horizontal="left"/>
      <protection locked="0"/>
    </xf>
    <xf numFmtId="0" fontId="0" fillId="0" borderId="6" xfId="0" applyBorder="1" applyAlignment="1" applyProtection="1">
      <alignment horizontal="left"/>
      <protection locked="0"/>
    </xf>
    <xf numFmtId="0" fontId="0" fillId="0" borderId="8" xfId="0" applyFill="1" applyBorder="1" applyAlignment="1" applyProtection="1">
      <alignment horizontal="center"/>
      <protection locked="0"/>
    </xf>
    <xf numFmtId="0" fontId="0" fillId="0" borderId="6" xfId="0" applyFill="1" applyBorder="1" applyAlignment="1" applyProtection="1">
      <alignment horizontal="center"/>
      <protection locked="0"/>
    </xf>
    <xf numFmtId="0" fontId="0" fillId="0" borderId="9" xfId="0" applyBorder="1" applyProtection="1">
      <protection locked="0"/>
    </xf>
    <xf numFmtId="0" fontId="0" fillId="0" borderId="10" xfId="0" applyBorder="1" applyProtection="1">
      <protection locked="0"/>
    </xf>
    <xf numFmtId="0" fontId="0" fillId="0" borderId="2" xfId="0" applyBorder="1" applyAlignment="1">
      <alignment horizontal="left"/>
    </xf>
    <xf numFmtId="0" fontId="0" fillId="0" borderId="18" xfId="0" applyFill="1" applyBorder="1" applyAlignment="1">
      <alignment horizontal="left"/>
    </xf>
    <xf numFmtId="165" fontId="0" fillId="0" borderId="3" xfId="0" applyNumberFormat="1" applyBorder="1" applyAlignment="1">
      <alignment horizontal="center"/>
    </xf>
    <xf numFmtId="165" fontId="0" fillId="0" borderId="4" xfId="0" applyNumberFormat="1" applyBorder="1" applyAlignment="1">
      <alignment horizontal="center"/>
    </xf>
    <xf numFmtId="164" fontId="0" fillId="0" borderId="0" xfId="0" applyNumberFormat="1"/>
    <xf numFmtId="0" fontId="5" fillId="0" borderId="0" xfId="0" applyFont="1" applyFill="1" applyAlignment="1"/>
    <xf numFmtId="0" fontId="5" fillId="0" borderId="0" xfId="0" applyFont="1" applyFill="1" applyAlignment="1">
      <alignment horizontal="center" vertical="center"/>
    </xf>
    <xf numFmtId="0" fontId="0" fillId="0" borderId="0" xfId="0" applyFill="1" applyBorder="1" applyAlignment="1">
      <alignment horizontal="center"/>
    </xf>
    <xf numFmtId="0" fontId="0" fillId="0" borderId="0" xfId="0" applyFill="1" applyBorder="1" applyAlignment="1">
      <alignment horizontal="center" vertical="center" wrapText="1"/>
    </xf>
    <xf numFmtId="0" fontId="0" fillId="0" borderId="0" xfId="0" applyFill="1"/>
    <xf numFmtId="0" fontId="0" fillId="9" borderId="6" xfId="0" applyFill="1" applyBorder="1" applyAlignment="1">
      <alignment horizontal="center"/>
    </xf>
    <xf numFmtId="164" fontId="0" fillId="0" borderId="3" xfId="0" applyNumberFormat="1" applyBorder="1" applyAlignment="1" applyProtection="1">
      <alignment horizontal="center"/>
      <protection locked="0"/>
    </xf>
    <xf numFmtId="165" fontId="0" fillId="0" borderId="3" xfId="0" applyNumberFormat="1" applyBorder="1" applyAlignment="1" applyProtection="1">
      <alignment horizontal="center"/>
      <protection locked="0"/>
    </xf>
    <xf numFmtId="165" fontId="0" fillId="0" borderId="4" xfId="0" applyNumberFormat="1" applyBorder="1" applyAlignment="1" applyProtection="1">
      <alignment horizontal="center"/>
      <protection locked="0"/>
    </xf>
    <xf numFmtId="0" fontId="0" fillId="0" borderId="6" xfId="0" applyBorder="1" applyAlignment="1">
      <alignment horizontal="left"/>
    </xf>
    <xf numFmtId="0" fontId="0" fillId="0" borderId="6" xfId="0" applyFill="1" applyBorder="1" applyAlignment="1">
      <alignment horizontal="left"/>
    </xf>
    <xf numFmtId="0" fontId="0" fillId="10" borderId="6" xfId="0" applyFill="1" applyBorder="1" applyAlignment="1"/>
    <xf numFmtId="0" fontId="0" fillId="0" borderId="3" xfId="0" applyNumberFormat="1" applyBorder="1" applyAlignment="1">
      <alignment horizontal="center"/>
    </xf>
    <xf numFmtId="0" fontId="0" fillId="0" borderId="0" xfId="0" applyAlignment="1">
      <alignment horizontal="center"/>
    </xf>
    <xf numFmtId="164" fontId="0" fillId="0" borderId="0" xfId="0" applyNumberFormat="1" applyFill="1" applyBorder="1" applyAlignment="1">
      <alignment horizontal="center"/>
    </xf>
    <xf numFmtId="164" fontId="9" fillId="0" borderId="0" xfId="0" applyNumberFormat="1" applyFont="1"/>
    <xf numFmtId="164" fontId="10" fillId="0" borderId="3" xfId="0" applyNumberFormat="1" applyFont="1" applyBorder="1" applyAlignment="1">
      <alignment horizontal="center"/>
    </xf>
    <xf numFmtId="165" fontId="10" fillId="0" borderId="3" xfId="0" applyNumberFormat="1" applyFont="1" applyBorder="1" applyAlignment="1">
      <alignment horizontal="center"/>
    </xf>
    <xf numFmtId="0" fontId="5" fillId="0" borderId="0" xfId="0" applyFont="1" applyAlignment="1">
      <alignment horizontal="center"/>
    </xf>
    <xf numFmtId="0" fontId="0" fillId="0" borderId="2" xfId="0" applyBorder="1" applyAlignment="1">
      <alignment horizontal="center"/>
    </xf>
    <xf numFmtId="0" fontId="0" fillId="0" borderId="5" xfId="0" applyFill="1" applyBorder="1" applyAlignment="1">
      <alignment horizontal="center"/>
    </xf>
    <xf numFmtId="0" fontId="0" fillId="0" borderId="5" xfId="0" applyBorder="1" applyAlignment="1">
      <alignment horizontal="center"/>
    </xf>
    <xf numFmtId="0" fontId="0" fillId="0" borderId="13" xfId="0" applyBorder="1" applyAlignment="1">
      <alignment horizontal="center"/>
    </xf>
    <xf numFmtId="164" fontId="4" fillId="0" borderId="3" xfId="0" applyNumberFormat="1" applyFont="1" applyBorder="1" applyAlignment="1" applyProtection="1">
      <alignment horizontal="center"/>
      <protection locked="0"/>
    </xf>
    <xf numFmtId="165" fontId="4" fillId="0" borderId="3" xfId="0" applyNumberFormat="1" applyFont="1" applyBorder="1" applyAlignment="1" applyProtection="1">
      <alignment horizontal="center"/>
      <protection locked="0"/>
    </xf>
    <xf numFmtId="0" fontId="0" fillId="0" borderId="0" xfId="0" applyAlignment="1">
      <alignment horizontal="center"/>
    </xf>
    <xf numFmtId="0" fontId="0" fillId="0" borderId="9" xfId="0" applyBorder="1" applyAlignment="1" applyProtection="1">
      <alignment horizontal="center"/>
      <protection locked="0"/>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19" xfId="0" applyFont="1" applyFill="1" applyBorder="1" applyAlignment="1">
      <alignment horizontal="center"/>
    </xf>
    <xf numFmtId="0" fontId="0" fillId="0" borderId="4" xfId="0" applyBorder="1" applyAlignment="1" applyProtection="1">
      <alignment horizontal="center"/>
      <protection locked="0"/>
    </xf>
    <xf numFmtId="0" fontId="0" fillId="0" borderId="7" xfId="0" applyBorder="1" applyAlignment="1" applyProtection="1">
      <alignment horizontal="center"/>
      <protection locked="0"/>
    </xf>
    <xf numFmtId="0" fontId="0" fillId="0" borderId="7" xfId="0" applyBorder="1" applyProtection="1">
      <protection locked="0"/>
    </xf>
    <xf numFmtId="0" fontId="0" fillId="0" borderId="7" xfId="0" applyFill="1" applyBorder="1" applyAlignment="1" applyProtection="1">
      <alignment horizontal="center"/>
      <protection locked="0"/>
    </xf>
    <xf numFmtId="14" fontId="0" fillId="0" borderId="1" xfId="0" applyNumberFormat="1" applyBorder="1"/>
    <xf numFmtId="0" fontId="0" fillId="0" borderId="8" xfId="0" applyBorder="1"/>
    <xf numFmtId="0" fontId="0" fillId="0" borderId="9" xfId="0" applyBorder="1"/>
    <xf numFmtId="0" fontId="7" fillId="3" borderId="14" xfId="0" applyFont="1" applyFill="1" applyBorder="1" applyAlignment="1">
      <alignment horizontal="center"/>
    </xf>
    <xf numFmtId="0" fontId="0" fillId="0" borderId="1" xfId="0" applyBorder="1"/>
    <xf numFmtId="0" fontId="0" fillId="0" borderId="20" xfId="0" applyBorder="1"/>
    <xf numFmtId="0" fontId="0" fillId="0" borderId="7" xfId="0" applyBorder="1"/>
    <xf numFmtId="0" fontId="0" fillId="0" borderId="12" xfId="0" applyBorder="1"/>
    <xf numFmtId="0" fontId="7" fillId="8" borderId="21" xfId="0" applyFont="1" applyFill="1" applyBorder="1" applyAlignment="1">
      <alignment horizontal="center" vertical="center" wrapText="1"/>
    </xf>
    <xf numFmtId="0" fontId="7" fillId="8" borderId="14" xfId="0" applyFont="1" applyFill="1" applyBorder="1" applyAlignment="1">
      <alignment vertical="center" wrapText="1"/>
    </xf>
    <xf numFmtId="0" fontId="11" fillId="11" borderId="0" xfId="0" applyFont="1" applyFill="1" applyAlignment="1"/>
    <xf numFmtId="0" fontId="11" fillId="11" borderId="0" xfId="0" applyFont="1" applyFill="1" applyBorder="1" applyAlignment="1"/>
    <xf numFmtId="0" fontId="0" fillId="11" borderId="0" xfId="0" applyFill="1" applyBorder="1" applyAlignment="1"/>
    <xf numFmtId="0" fontId="0" fillId="11" borderId="0" xfId="0" applyFill="1"/>
    <xf numFmtId="0" fontId="0" fillId="11" borderId="0" xfId="0" applyFill="1" applyAlignment="1">
      <alignment horizont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8" borderId="22" xfId="0" applyFont="1" applyFill="1" applyBorder="1" applyAlignment="1">
      <alignment horizontal="center" vertical="center" wrapText="1"/>
    </xf>
    <xf numFmtId="0" fontId="0" fillId="2" borderId="21" xfId="0" applyFill="1" applyBorder="1" applyAlignment="1">
      <alignment horizontal="center" vertical="center" wrapText="1"/>
    </xf>
    <xf numFmtId="0" fontId="0" fillId="5" borderId="23" xfId="0" applyFill="1" applyBorder="1" applyAlignment="1">
      <alignment horizontal="center" vertical="center" wrapText="1"/>
    </xf>
    <xf numFmtId="0" fontId="7" fillId="8" borderId="19" xfId="0" applyFont="1" applyFill="1" applyBorder="1" applyAlignment="1">
      <alignment horizontal="center" vertical="center" wrapText="1"/>
    </xf>
    <xf numFmtId="0" fontId="0" fillId="0" borderId="6" xfId="0" applyBorder="1" applyAlignment="1">
      <alignment horizontal="center"/>
    </xf>
    <xf numFmtId="14" fontId="0" fillId="0" borderId="24" xfId="0" applyNumberFormat="1" applyBorder="1" applyAlignment="1">
      <alignment horizontal="center"/>
    </xf>
    <xf numFmtId="14" fontId="0" fillId="0" borderId="5" xfId="0" applyNumberFormat="1" applyBorder="1" applyAlignment="1">
      <alignment horizontal="center"/>
    </xf>
    <xf numFmtId="14" fontId="0" fillId="0" borderId="16" xfId="0" applyNumberFormat="1" applyBorder="1" applyAlignment="1">
      <alignment horizontal="center"/>
    </xf>
    <xf numFmtId="14" fontId="0" fillId="0" borderId="6" xfId="0" applyNumberFormat="1" applyBorder="1" applyAlignment="1">
      <alignment horizontal="center"/>
    </xf>
    <xf numFmtId="165" fontId="0" fillId="0" borderId="6" xfId="0" applyNumberFormat="1" applyBorder="1" applyAlignment="1">
      <alignment horizontal="center"/>
    </xf>
    <xf numFmtId="0" fontId="0" fillId="0" borderId="10" xfId="0" applyBorder="1" applyAlignment="1">
      <alignment horizontal="center"/>
    </xf>
    <xf numFmtId="0" fontId="0" fillId="0" borderId="3" xfId="0" applyBorder="1" applyAlignment="1">
      <alignment horizontal="center"/>
    </xf>
    <xf numFmtId="14" fontId="0" fillId="0" borderId="3" xfId="0" applyNumberFormat="1" applyBorder="1" applyAlignment="1">
      <alignment horizontal="center"/>
    </xf>
    <xf numFmtId="0" fontId="0" fillId="0" borderId="12" xfId="0" applyBorder="1" applyProtection="1">
      <protection locked="0"/>
    </xf>
    <xf numFmtId="0" fontId="0" fillId="0" borderId="25" xfId="0" applyBorder="1" applyAlignment="1" applyProtection="1">
      <alignment horizontal="center"/>
      <protection locked="0"/>
    </xf>
    <xf numFmtId="0" fontId="0" fillId="0" borderId="25" xfId="0" applyBorder="1" applyProtection="1">
      <protection locked="0"/>
    </xf>
    <xf numFmtId="0" fontId="0" fillId="0" borderId="25" xfId="0" applyFill="1" applyBorder="1" applyAlignment="1" applyProtection="1">
      <alignment horizontal="center"/>
      <protection locked="0"/>
    </xf>
    <xf numFmtId="0" fontId="0" fillId="0" borderId="26" xfId="0" applyBorder="1" applyProtection="1">
      <protection locked="0"/>
    </xf>
    <xf numFmtId="0" fontId="0" fillId="0" borderId="27" xfId="0" applyBorder="1" applyAlignment="1" applyProtection="1">
      <alignment horizontal="center"/>
      <protection locked="0"/>
    </xf>
    <xf numFmtId="0" fontId="0" fillId="0" borderId="5" xfId="0" applyBorder="1" applyAlignment="1" applyProtection="1">
      <alignment horizontal="center"/>
      <protection locked="0"/>
    </xf>
    <xf numFmtId="0" fontId="0" fillId="0" borderId="3" xfId="0" applyBorder="1" applyAlignment="1" applyProtection="1">
      <alignment horizontal="center"/>
      <protection locked="0"/>
    </xf>
    <xf numFmtId="0" fontId="0" fillId="5" borderId="28" xfId="0" applyFill="1" applyBorder="1" applyAlignment="1">
      <alignment vertical="center" wrapText="1"/>
    </xf>
    <xf numFmtId="0" fontId="0" fillId="5" borderId="11" xfId="0" applyFill="1" applyBorder="1" applyAlignment="1">
      <alignment horizontal="center"/>
    </xf>
    <xf numFmtId="0" fontId="0" fillId="2" borderId="12" xfId="0" applyFill="1" applyBorder="1" applyAlignment="1">
      <alignment horizontal="center" vertical="center" wrapText="1"/>
    </xf>
    <xf numFmtId="0" fontId="0" fillId="0" borderId="5" xfId="0" applyBorder="1" applyAlignment="1" applyProtection="1">
      <alignment horizontal="center" vertical="center"/>
      <protection locked="0"/>
    </xf>
    <xf numFmtId="0" fontId="0" fillId="0" borderId="24" xfId="0" applyBorder="1" applyAlignment="1" applyProtection="1">
      <alignment horizontal="center" vertical="center"/>
      <protection locked="0"/>
    </xf>
    <xf numFmtId="0" fontId="0" fillId="0" borderId="2" xfId="0" applyBorder="1" applyAlignment="1" applyProtection="1">
      <alignment horizontal="center"/>
      <protection locked="0"/>
    </xf>
    <xf numFmtId="0" fontId="0" fillId="0" borderId="5" xfId="0" applyBorder="1" applyProtection="1">
      <protection locked="0"/>
    </xf>
    <xf numFmtId="0" fontId="0" fillId="0" borderId="5" xfId="0" applyFill="1" applyBorder="1" applyAlignment="1" applyProtection="1">
      <alignment horizontal="center"/>
      <protection locked="0"/>
    </xf>
    <xf numFmtId="0" fontId="0" fillId="0" borderId="29" xfId="0" applyBorder="1" applyProtection="1">
      <protection locked="0"/>
    </xf>
    <xf numFmtId="0" fontId="0" fillId="5" borderId="26" xfId="0" applyFill="1" applyBorder="1" applyAlignment="1">
      <alignment horizontal="center" vertical="center" wrapText="1"/>
    </xf>
    <xf numFmtId="0" fontId="0" fillId="2" borderId="14" xfId="0" applyFill="1" applyBorder="1" applyAlignment="1">
      <alignment horizontal="center" vertical="center" wrapText="1"/>
    </xf>
    <xf numFmtId="0" fontId="0" fillId="0" borderId="30" xfId="0" applyBorder="1" applyAlignment="1" applyProtection="1">
      <alignment horizontal="center"/>
      <protection locked="0"/>
    </xf>
    <xf numFmtId="0" fontId="0" fillId="0" borderId="31" xfId="0" applyBorder="1" applyAlignment="1" applyProtection="1">
      <alignment horizontal="center"/>
      <protection locked="0"/>
    </xf>
    <xf numFmtId="0" fontId="0" fillId="0" borderId="10" xfId="0" applyBorder="1" applyAlignment="1" applyProtection="1">
      <alignment horizontal="center"/>
      <protection locked="0"/>
    </xf>
    <xf numFmtId="0" fontId="0" fillId="2" borderId="26" xfId="0" applyFill="1" applyBorder="1" applyAlignment="1">
      <alignment horizontal="center" vertical="center" wrapText="1"/>
    </xf>
    <xf numFmtId="0" fontId="0" fillId="0" borderId="2" xfId="0" applyBorder="1" applyProtection="1">
      <protection locked="0"/>
    </xf>
    <xf numFmtId="0" fontId="0" fillId="0" borderId="2" xfId="0" applyFill="1" applyBorder="1" applyAlignment="1" applyProtection="1">
      <alignment horizontal="center"/>
      <protection locked="0"/>
    </xf>
    <xf numFmtId="0" fontId="0" fillId="0" borderId="31" xfId="0" applyBorder="1" applyProtection="1">
      <protection locked="0"/>
    </xf>
    <xf numFmtId="0" fontId="12" fillId="0" borderId="0" xfId="0" applyFont="1" applyAlignment="1">
      <alignment horizontal="center"/>
    </xf>
    <xf numFmtId="0" fontId="0" fillId="0" borderId="0" xfId="0" applyBorder="1"/>
    <xf numFmtId="0" fontId="0" fillId="0" borderId="32" xfId="0" applyBorder="1"/>
    <xf numFmtId="0" fontId="7" fillId="4" borderId="13" xfId="0" applyFont="1" applyFill="1" applyBorder="1" applyAlignment="1">
      <alignment horizontal="center" wrapText="1"/>
    </xf>
    <xf numFmtId="0" fontId="7" fillId="4" borderId="33" xfId="0" applyFont="1" applyFill="1" applyBorder="1" applyAlignment="1">
      <alignment horizontal="center" wrapText="1"/>
    </xf>
    <xf numFmtId="0" fontId="0" fillId="0" borderId="0" xfId="0" applyBorder="1" applyAlignment="1"/>
    <xf numFmtId="0" fontId="7" fillId="8" borderId="19" xfId="0" applyFont="1" applyFill="1" applyBorder="1" applyAlignment="1">
      <alignment vertical="center" wrapText="1"/>
    </xf>
    <xf numFmtId="0" fontId="7" fillId="8" borderId="34" xfId="0" applyFont="1" applyFill="1" applyBorder="1" applyAlignment="1">
      <alignment vertical="center" wrapText="1"/>
    </xf>
    <xf numFmtId="0" fontId="7" fillId="3" borderId="35" xfId="0" applyFont="1" applyFill="1" applyBorder="1" applyAlignment="1">
      <alignment horizontal="center"/>
    </xf>
    <xf numFmtId="0" fontId="7" fillId="3" borderId="36" xfId="0" applyFont="1" applyFill="1" applyBorder="1" applyAlignment="1">
      <alignment horizontal="center"/>
    </xf>
    <xf numFmtId="0" fontId="7" fillId="3" borderId="34" xfId="0" applyFont="1" applyFill="1" applyBorder="1" applyAlignment="1">
      <alignment horizontal="center"/>
    </xf>
    <xf numFmtId="0" fontId="7" fillId="6" borderId="35" xfId="0" applyFont="1" applyFill="1" applyBorder="1" applyAlignment="1">
      <alignment horizontal="center"/>
    </xf>
    <xf numFmtId="0" fontId="7" fillId="6" borderId="19" xfId="0" applyFont="1" applyFill="1" applyBorder="1" applyAlignment="1">
      <alignment horizontal="center"/>
    </xf>
    <xf numFmtId="0" fontId="7" fillId="6" borderId="34" xfId="0" applyFont="1" applyFill="1" applyBorder="1" applyAlignment="1">
      <alignment horizontal="center"/>
    </xf>
    <xf numFmtId="0" fontId="7" fillId="7" borderId="35" xfId="0" applyFont="1" applyFill="1" applyBorder="1" applyAlignment="1">
      <alignment horizontal="center"/>
    </xf>
    <xf numFmtId="0" fontId="7" fillId="7" borderId="19" xfId="0" applyFont="1" applyFill="1" applyBorder="1" applyAlignment="1">
      <alignment horizontal="center"/>
    </xf>
    <xf numFmtId="0" fontId="7" fillId="7" borderId="34" xfId="0" applyFont="1" applyFill="1" applyBorder="1" applyAlignment="1">
      <alignment horizontal="center"/>
    </xf>
    <xf numFmtId="0" fontId="0" fillId="0" borderId="0" xfId="0" quotePrefix="1" applyBorder="1" applyAlignment="1"/>
    <xf numFmtId="0" fontId="0" fillId="14" borderId="0" xfId="0" applyFill="1"/>
    <xf numFmtId="14" fontId="0" fillId="14" borderId="0" xfId="0" applyNumberFormat="1" applyFill="1"/>
    <xf numFmtId="0" fontId="13" fillId="0" borderId="0" xfId="1"/>
    <xf numFmtId="0" fontId="14" fillId="0" borderId="0" xfId="0" applyFont="1" applyAlignment="1">
      <alignment horizontal="center" vertical="center"/>
    </xf>
    <xf numFmtId="0" fontId="14" fillId="0" borderId="15" xfId="0" applyFont="1" applyBorder="1" applyAlignment="1">
      <alignment horizontal="center" vertical="center"/>
    </xf>
    <xf numFmtId="0" fontId="14" fillId="14" borderId="0" xfId="0" applyFont="1" applyFill="1" applyAlignment="1">
      <alignment horizontal="center" vertical="center"/>
    </xf>
    <xf numFmtId="14" fontId="14" fillId="0" borderId="0" xfId="0" applyNumberFormat="1" applyFont="1" applyAlignment="1">
      <alignment horizontal="center" vertical="center"/>
    </xf>
    <xf numFmtId="0" fontId="0" fillId="2" borderId="36" xfId="0" applyFill="1" applyBorder="1" applyAlignment="1">
      <alignment horizontal="center" vertical="center" wrapText="1"/>
    </xf>
    <xf numFmtId="0" fontId="0" fillId="2" borderId="29" xfId="0" applyFill="1" applyBorder="1" applyAlignment="1">
      <alignment horizontal="center" vertical="center" wrapText="1"/>
    </xf>
    <xf numFmtId="0" fontId="0" fillId="2" borderId="4" xfId="0" applyFill="1" applyBorder="1" applyAlignment="1">
      <alignment horizontal="center" vertical="center" wrapText="1"/>
    </xf>
    <xf numFmtId="0" fontId="0" fillId="2" borderId="2" xfId="0" applyFill="1" applyBorder="1" applyAlignment="1">
      <alignment horizontal="center" vertical="center" wrapText="1"/>
    </xf>
    <xf numFmtId="0" fontId="0" fillId="2" borderId="38" xfId="0" applyFill="1" applyBorder="1" applyAlignment="1">
      <alignment horizontal="center" vertical="center" wrapText="1"/>
    </xf>
    <xf numFmtId="0" fontId="0" fillId="2" borderId="23" xfId="0" applyFill="1" applyBorder="1" applyAlignment="1">
      <alignment horizontal="center" vertical="center" wrapText="1"/>
    </xf>
    <xf numFmtId="0" fontId="0" fillId="2" borderId="39" xfId="0" applyFill="1" applyBorder="1" applyAlignment="1">
      <alignment horizontal="center" vertical="center" wrapText="1"/>
    </xf>
    <xf numFmtId="0" fontId="0" fillId="2" borderId="40" xfId="0" applyFill="1" applyBorder="1" applyAlignment="1">
      <alignment horizontal="center" vertical="center" wrapText="1"/>
    </xf>
    <xf numFmtId="0" fontId="0" fillId="2" borderId="22" xfId="0" applyFill="1" applyBorder="1" applyAlignment="1">
      <alignment horizontal="center" vertical="center" wrapText="1"/>
    </xf>
    <xf numFmtId="0" fontId="0" fillId="2" borderId="41" xfId="0" applyFill="1" applyBorder="1" applyAlignment="1">
      <alignment horizontal="center" vertical="center" wrapText="1"/>
    </xf>
    <xf numFmtId="0" fontId="7" fillId="8" borderId="36" xfId="0" applyFont="1" applyFill="1" applyBorder="1" applyAlignment="1">
      <alignment horizontal="center" vertical="center" wrapText="1"/>
    </xf>
    <xf numFmtId="0" fontId="7" fillId="8" borderId="38" xfId="0" applyFont="1" applyFill="1" applyBorder="1" applyAlignment="1">
      <alignment horizontal="center" vertical="center" wrapText="1"/>
    </xf>
    <xf numFmtId="0" fontId="7" fillId="8" borderId="29" xfId="0" applyFont="1" applyFill="1" applyBorder="1" applyAlignment="1">
      <alignment horizontal="center" vertical="center" wrapText="1"/>
    </xf>
    <xf numFmtId="0" fontId="7" fillId="8" borderId="4" xfId="0" applyFont="1" applyFill="1" applyBorder="1" applyAlignment="1">
      <alignment horizontal="center" vertical="center" wrapText="1"/>
    </xf>
    <xf numFmtId="0" fontId="7" fillId="8" borderId="39" xfId="0" applyFont="1" applyFill="1" applyBorder="1" applyAlignment="1">
      <alignment horizontal="center" vertical="center" wrapText="1"/>
    </xf>
    <xf numFmtId="0" fontId="7" fillId="8" borderId="2" xfId="0" applyFont="1" applyFill="1" applyBorder="1" applyAlignment="1">
      <alignment horizontal="center" vertical="center" wrapText="1"/>
    </xf>
    <xf numFmtId="0" fontId="7" fillId="8" borderId="37" xfId="0" applyFont="1" applyFill="1" applyBorder="1" applyAlignment="1">
      <alignment horizontal="center"/>
    </xf>
    <xf numFmtId="0" fontId="7" fillId="8" borderId="11" xfId="0" applyFont="1" applyFill="1" applyBorder="1" applyAlignment="1">
      <alignment horizontal="center"/>
    </xf>
    <xf numFmtId="0" fontId="7" fillId="8" borderId="47" xfId="0" applyFont="1" applyFill="1" applyBorder="1" applyAlignment="1">
      <alignment horizontal="center"/>
    </xf>
    <xf numFmtId="0" fontId="7" fillId="3" borderId="20" xfId="0" applyFont="1" applyFill="1" applyBorder="1" applyAlignment="1">
      <alignment horizontal="center"/>
    </xf>
    <xf numFmtId="0" fontId="7" fillId="3" borderId="11" xfId="0" applyFont="1" applyFill="1" applyBorder="1" applyAlignment="1">
      <alignment horizontal="center"/>
    </xf>
    <xf numFmtId="0" fontId="7" fillId="3" borderId="47" xfId="0" applyFont="1" applyFill="1" applyBorder="1" applyAlignment="1">
      <alignment horizontal="center"/>
    </xf>
    <xf numFmtId="0" fontId="7" fillId="3" borderId="22" xfId="0" applyFont="1" applyFill="1" applyBorder="1" applyAlignment="1">
      <alignment horizontal="center" vertical="center"/>
    </xf>
    <xf numFmtId="0" fontId="7" fillId="3" borderId="38" xfId="0" applyFont="1" applyFill="1" applyBorder="1" applyAlignment="1">
      <alignment horizontal="center" vertical="center"/>
    </xf>
    <xf numFmtId="0" fontId="7" fillId="3" borderId="29" xfId="0" applyFont="1" applyFill="1" applyBorder="1" applyAlignment="1">
      <alignment horizontal="center" vertical="center"/>
    </xf>
    <xf numFmtId="0" fontId="7" fillId="3" borderId="32" xfId="0" applyFont="1" applyFill="1" applyBorder="1" applyAlignment="1">
      <alignment horizontal="center" vertical="center"/>
    </xf>
    <xf numFmtId="0" fontId="7" fillId="3" borderId="0" xfId="0" applyFont="1" applyFill="1" applyBorder="1" applyAlignment="1">
      <alignment horizontal="center" vertical="center"/>
    </xf>
    <xf numFmtId="0" fontId="7" fillId="3" borderId="31" xfId="0" applyFont="1" applyFill="1" applyBorder="1" applyAlignment="1">
      <alignment horizontal="center" vertical="center"/>
    </xf>
    <xf numFmtId="0" fontId="0" fillId="2" borderId="37" xfId="0" applyFill="1" applyBorder="1" applyAlignment="1">
      <alignment horizontal="center"/>
    </xf>
    <xf numFmtId="0" fontId="0" fillId="2" borderId="11" xfId="0" applyFill="1" applyBorder="1" applyAlignment="1">
      <alignment horizontal="center"/>
    </xf>
    <xf numFmtId="0" fontId="0" fillId="2" borderId="32" xfId="0" applyFill="1" applyBorder="1" applyAlignment="1">
      <alignment horizontal="center" vertical="center" wrapText="1"/>
    </xf>
    <xf numFmtId="0" fontId="0" fillId="2" borderId="31" xfId="0" applyFill="1" applyBorder="1" applyAlignment="1">
      <alignment horizontal="center" vertical="center" wrapText="1"/>
    </xf>
    <xf numFmtId="0" fontId="7" fillId="12" borderId="42" xfId="0" applyFont="1" applyFill="1" applyBorder="1" applyAlignment="1">
      <alignment horizontal="center" vertical="center"/>
    </xf>
    <xf numFmtId="0" fontId="7" fillId="12" borderId="43" xfId="0" applyFont="1" applyFill="1" applyBorder="1" applyAlignment="1">
      <alignment horizontal="center" vertical="center"/>
    </xf>
    <xf numFmtId="0" fontId="7" fillId="12" borderId="44" xfId="0" applyFont="1" applyFill="1" applyBorder="1" applyAlignment="1">
      <alignment horizontal="center" vertical="center"/>
    </xf>
    <xf numFmtId="0" fontId="7" fillId="3" borderId="41" xfId="0" applyFont="1" applyFill="1" applyBorder="1" applyAlignment="1">
      <alignment horizontal="center" vertical="center"/>
    </xf>
    <xf numFmtId="0" fontId="7" fillId="3" borderId="2" xfId="0" applyFont="1" applyFill="1" applyBorder="1" applyAlignment="1">
      <alignment horizontal="center" vertical="center"/>
    </xf>
    <xf numFmtId="0" fontId="7" fillId="3" borderId="36" xfId="0" applyFont="1" applyFill="1" applyBorder="1" applyAlignment="1">
      <alignment horizontal="center" vertical="center"/>
    </xf>
    <xf numFmtId="0" fontId="7" fillId="3" borderId="4" xfId="0" applyFont="1" applyFill="1" applyBorder="1" applyAlignment="1">
      <alignment horizontal="center" vertical="center"/>
    </xf>
    <xf numFmtId="0" fontId="7" fillId="3" borderId="23" xfId="0" applyFont="1" applyFill="1" applyBorder="1" applyAlignment="1">
      <alignment horizontal="center" vertical="center"/>
    </xf>
    <xf numFmtId="0" fontId="7" fillId="3" borderId="40" xfId="0" applyFont="1" applyFill="1" applyBorder="1" applyAlignment="1">
      <alignment horizontal="center" vertical="center"/>
    </xf>
    <xf numFmtId="0" fontId="7" fillId="6" borderId="36" xfId="0" applyFont="1" applyFill="1" applyBorder="1" applyAlignment="1">
      <alignment horizontal="center" vertical="center"/>
    </xf>
    <xf numFmtId="0" fontId="7" fillId="6" borderId="29" xfId="0" applyFont="1" applyFill="1" applyBorder="1" applyAlignment="1">
      <alignment horizontal="center" vertical="center"/>
    </xf>
    <xf numFmtId="0" fontId="7" fillId="6" borderId="4" xfId="0" applyFont="1" applyFill="1" applyBorder="1" applyAlignment="1">
      <alignment horizontal="center" vertical="center"/>
    </xf>
    <xf numFmtId="0" fontId="7" fillId="6" borderId="2" xfId="0" applyFont="1" applyFill="1" applyBorder="1" applyAlignment="1">
      <alignment horizontal="center" vertical="center"/>
    </xf>
    <xf numFmtId="0" fontId="7" fillId="6" borderId="23" xfId="0" applyFont="1" applyFill="1" applyBorder="1" applyAlignment="1">
      <alignment horizontal="center" vertical="center"/>
    </xf>
    <xf numFmtId="0" fontId="7" fillId="6" borderId="40" xfId="0" applyFont="1" applyFill="1" applyBorder="1" applyAlignment="1">
      <alignment horizontal="center" vertical="center"/>
    </xf>
    <xf numFmtId="0" fontId="7" fillId="7" borderId="22" xfId="0" applyFont="1" applyFill="1" applyBorder="1" applyAlignment="1">
      <alignment horizontal="center" vertical="center" wrapText="1"/>
    </xf>
    <xf numFmtId="0" fontId="7" fillId="7" borderId="41" xfId="0" applyFont="1" applyFill="1" applyBorder="1" applyAlignment="1">
      <alignment horizontal="center" vertical="center"/>
    </xf>
    <xf numFmtId="0" fontId="7" fillId="7" borderId="19" xfId="0" applyFont="1" applyFill="1" applyBorder="1" applyAlignment="1">
      <alignment horizontal="center" vertical="center" wrapText="1"/>
    </xf>
    <xf numFmtId="0" fontId="7" fillId="7" borderId="3" xfId="0" applyFont="1" applyFill="1" applyBorder="1" applyAlignment="1">
      <alignment horizontal="center" vertical="center" wrapText="1"/>
    </xf>
    <xf numFmtId="0" fontId="7" fillId="7" borderId="34" xfId="0" applyFont="1" applyFill="1" applyBorder="1" applyAlignment="1">
      <alignment horizontal="center" vertical="center" wrapText="1"/>
    </xf>
    <xf numFmtId="0" fontId="7" fillId="7" borderId="45" xfId="0" applyFont="1" applyFill="1" applyBorder="1" applyAlignment="1">
      <alignment horizontal="center" vertical="center" wrapText="1"/>
    </xf>
    <xf numFmtId="0" fontId="7" fillId="3" borderId="37" xfId="0" applyFont="1" applyFill="1" applyBorder="1" applyAlignment="1">
      <alignment horizontal="center"/>
    </xf>
    <xf numFmtId="0" fontId="7" fillId="3" borderId="24" xfId="0" applyFont="1" applyFill="1" applyBorder="1" applyAlignment="1">
      <alignment horizont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6" borderId="22" xfId="0" applyFont="1" applyFill="1" applyBorder="1" applyAlignment="1">
      <alignment horizontal="center" vertical="center" wrapText="1"/>
    </xf>
    <xf numFmtId="0" fontId="7" fillId="6" borderId="41" xfId="0" applyFont="1" applyFill="1" applyBorder="1" applyAlignment="1">
      <alignment horizontal="center" vertical="center"/>
    </xf>
    <xf numFmtId="0" fontId="0" fillId="10" borderId="19" xfId="0" applyFill="1" applyBorder="1" applyAlignment="1">
      <alignment horizontal="center" vertical="center"/>
    </xf>
    <xf numFmtId="0" fontId="0" fillId="10" borderId="30" xfId="0" applyFill="1" applyBorder="1" applyAlignment="1">
      <alignment horizontal="center" vertical="center"/>
    </xf>
    <xf numFmtId="0" fontId="0" fillId="10" borderId="46" xfId="0" applyFill="1" applyBorder="1" applyAlignment="1">
      <alignment horizontal="center" vertical="center"/>
    </xf>
    <xf numFmtId="0" fontId="0" fillId="10" borderId="19" xfId="0" applyFill="1" applyBorder="1" applyAlignment="1">
      <alignment horizontal="center" vertical="center" wrapText="1"/>
    </xf>
    <xf numFmtId="0" fontId="0" fillId="10" borderId="30" xfId="0" applyFill="1" applyBorder="1" applyAlignment="1">
      <alignment horizontal="center" vertical="center" wrapText="1"/>
    </xf>
    <xf numFmtId="0" fontId="0" fillId="10" borderId="46" xfId="0" applyFill="1" applyBorder="1" applyAlignment="1">
      <alignment horizontal="center" vertical="center" wrapText="1"/>
    </xf>
    <xf numFmtId="0" fontId="7" fillId="3" borderId="42" xfId="0" applyFont="1" applyFill="1" applyBorder="1" applyAlignment="1">
      <alignment horizontal="center" vertical="center" wrapText="1"/>
    </xf>
    <xf numFmtId="0" fontId="7" fillId="3" borderId="43" xfId="0" applyFont="1" applyFill="1" applyBorder="1" applyAlignment="1">
      <alignment horizontal="center" vertical="center" wrapText="1"/>
    </xf>
    <xf numFmtId="0" fontId="7" fillId="3" borderId="44" xfId="0" applyFont="1" applyFill="1" applyBorder="1" applyAlignment="1">
      <alignment horizontal="center" vertical="center" wrapText="1"/>
    </xf>
    <xf numFmtId="0" fontId="7" fillId="6" borderId="37" xfId="0" applyFont="1" applyFill="1" applyBorder="1" applyAlignment="1">
      <alignment horizontal="center"/>
    </xf>
    <xf numFmtId="0" fontId="7" fillId="6" borderId="11" xfId="0" applyFont="1" applyFill="1" applyBorder="1" applyAlignment="1">
      <alignment horizontal="center"/>
    </xf>
    <xf numFmtId="0" fontId="7" fillId="6" borderId="47" xfId="0" applyFont="1" applyFill="1" applyBorder="1" applyAlignment="1">
      <alignment horizontal="center"/>
    </xf>
    <xf numFmtId="0" fontId="7" fillId="7" borderId="37" xfId="0" applyFont="1" applyFill="1" applyBorder="1" applyAlignment="1">
      <alignment horizontal="center"/>
    </xf>
    <xf numFmtId="0" fontId="7" fillId="7" borderId="11" xfId="0" applyFont="1" applyFill="1" applyBorder="1" applyAlignment="1">
      <alignment horizontal="center"/>
    </xf>
    <xf numFmtId="0" fontId="7" fillId="7" borderId="47" xfId="0" applyFont="1" applyFill="1" applyBorder="1" applyAlignment="1">
      <alignment horizontal="center"/>
    </xf>
    <xf numFmtId="0" fontId="7" fillId="8" borderId="22" xfId="0" applyFont="1" applyFill="1" applyBorder="1" applyAlignment="1">
      <alignment horizontal="center" vertical="center" wrapText="1"/>
    </xf>
    <xf numFmtId="0" fontId="7" fillId="8" borderId="41" xfId="0" applyFont="1" applyFill="1" applyBorder="1" applyAlignment="1">
      <alignment horizontal="center" vertical="center" wrapText="1"/>
    </xf>
    <xf numFmtId="0" fontId="7" fillId="8" borderId="23" xfId="0" applyFont="1" applyFill="1" applyBorder="1" applyAlignment="1">
      <alignment horizontal="center" vertical="center" wrapText="1"/>
    </xf>
    <xf numFmtId="0" fontId="7" fillId="8" borderId="40" xfId="0" applyFont="1" applyFill="1" applyBorder="1" applyAlignment="1">
      <alignment horizontal="center" vertical="center" wrapText="1"/>
    </xf>
    <xf numFmtId="0" fontId="7" fillId="3" borderId="39" xfId="0" applyFont="1" applyFill="1" applyBorder="1" applyAlignment="1">
      <alignment horizontal="center" vertical="center"/>
    </xf>
    <xf numFmtId="0" fontId="0" fillId="10" borderId="34" xfId="0" applyFill="1" applyBorder="1" applyAlignment="1">
      <alignment horizontal="center" vertical="center" wrapText="1"/>
    </xf>
    <xf numFmtId="0" fontId="0" fillId="10" borderId="49" xfId="0" applyFill="1" applyBorder="1" applyAlignment="1">
      <alignment horizontal="center" vertical="center"/>
    </xf>
    <xf numFmtId="0" fontId="0" fillId="10" borderId="50" xfId="0" applyFill="1" applyBorder="1" applyAlignment="1">
      <alignment horizontal="center" vertical="center"/>
    </xf>
    <xf numFmtId="0" fontId="0" fillId="5" borderId="22" xfId="0" applyFill="1" applyBorder="1" applyAlignment="1">
      <alignment horizontal="center" vertical="center" wrapText="1"/>
    </xf>
    <xf numFmtId="0" fontId="0" fillId="5" borderId="23" xfId="0" applyFill="1" applyBorder="1" applyAlignment="1">
      <alignment horizontal="center" vertical="center" wrapText="1"/>
    </xf>
    <xf numFmtId="0" fontId="0" fillId="5" borderId="32" xfId="0" applyFill="1" applyBorder="1" applyAlignment="1">
      <alignment horizontal="center" vertical="center" wrapText="1"/>
    </xf>
    <xf numFmtId="0" fontId="0" fillId="5" borderId="28" xfId="0" applyFill="1" applyBorder="1" applyAlignment="1">
      <alignment horizontal="center" vertical="center" wrapText="1"/>
    </xf>
    <xf numFmtId="0" fontId="0" fillId="10" borderId="1" xfId="0" applyFill="1" applyBorder="1" applyAlignment="1">
      <alignment horizontal="center"/>
    </xf>
    <xf numFmtId="0" fontId="0" fillId="10" borderId="24" xfId="0" applyFill="1" applyBorder="1" applyAlignment="1">
      <alignment horizontal="center"/>
    </xf>
    <xf numFmtId="0" fontId="0" fillId="10" borderId="16" xfId="0" applyFill="1" applyBorder="1" applyAlignment="1">
      <alignment horizontal="center"/>
    </xf>
    <xf numFmtId="0" fontId="0" fillId="10" borderId="20" xfId="0" applyFill="1" applyBorder="1" applyAlignment="1">
      <alignment horizontal="center"/>
    </xf>
    <xf numFmtId="0" fontId="0" fillId="5" borderId="37" xfId="0" applyFill="1" applyBorder="1" applyAlignment="1">
      <alignment horizontal="center"/>
    </xf>
    <xf numFmtId="0" fontId="0" fillId="5" borderId="47" xfId="0" applyFill="1" applyBorder="1" applyAlignment="1">
      <alignment horizontal="center"/>
    </xf>
    <xf numFmtId="0" fontId="0" fillId="10" borderId="8" xfId="0" applyFill="1" applyBorder="1" applyAlignment="1">
      <alignment horizontal="center" vertical="center"/>
    </xf>
    <xf numFmtId="0" fontId="0" fillId="10" borderId="9" xfId="0" applyFill="1" applyBorder="1" applyAlignment="1">
      <alignment horizontal="center" vertical="center"/>
    </xf>
    <xf numFmtId="0" fontId="0" fillId="10" borderId="6" xfId="0" applyFill="1" applyBorder="1" applyAlignment="1">
      <alignment horizontal="center" vertical="center"/>
    </xf>
    <xf numFmtId="0" fontId="0" fillId="10" borderId="10" xfId="0" applyFill="1" applyBorder="1" applyAlignment="1">
      <alignment horizontal="center" vertical="center"/>
    </xf>
    <xf numFmtId="0" fontId="0" fillId="2" borderId="47" xfId="0" applyFill="1" applyBorder="1" applyAlignment="1">
      <alignment horizontal="center"/>
    </xf>
    <xf numFmtId="0" fontId="0" fillId="2" borderId="8" xfId="0" applyFill="1" applyBorder="1" applyAlignment="1">
      <alignment horizontal="center" vertical="center" wrapText="1"/>
    </xf>
    <xf numFmtId="0" fontId="0" fillId="2" borderId="6" xfId="0" applyFill="1" applyBorder="1" applyAlignment="1">
      <alignment horizontal="center" vertical="center" wrapText="1"/>
    </xf>
    <xf numFmtId="0" fontId="7" fillId="3" borderId="7" xfId="0" applyFont="1" applyFill="1" applyBorder="1" applyAlignment="1">
      <alignment horizontal="center"/>
    </xf>
    <xf numFmtId="0" fontId="7" fillId="3" borderId="51" xfId="0" applyFont="1" applyFill="1" applyBorder="1" applyAlignment="1">
      <alignment horizontal="center"/>
    </xf>
    <xf numFmtId="0" fontId="7" fillId="3" borderId="52" xfId="0" applyFont="1" applyFill="1" applyBorder="1" applyAlignment="1">
      <alignment horizontal="center" vertical="center"/>
    </xf>
    <xf numFmtId="0" fontId="7" fillId="3" borderId="52" xfId="0" applyFont="1" applyFill="1" applyBorder="1" applyAlignment="1">
      <alignment horizontal="center"/>
    </xf>
    <xf numFmtId="0" fontId="7" fillId="3" borderId="0" xfId="0" applyFont="1" applyFill="1" applyBorder="1" applyAlignment="1">
      <alignment horizontal="center"/>
    </xf>
    <xf numFmtId="0" fontId="7" fillId="3" borderId="31" xfId="0" applyFont="1" applyFill="1" applyBorder="1" applyAlignment="1">
      <alignment horizontal="center"/>
    </xf>
    <xf numFmtId="0" fontId="0" fillId="2" borderId="48" xfId="0" applyFill="1" applyBorder="1" applyAlignment="1">
      <alignment horizontal="center" vertical="center" wrapText="1"/>
    </xf>
    <xf numFmtId="0" fontId="0" fillId="2" borderId="21" xfId="0" applyFill="1" applyBorder="1" applyAlignment="1">
      <alignment horizontal="center" vertical="center" wrapText="1"/>
    </xf>
    <xf numFmtId="0" fontId="0" fillId="8" borderId="6" xfId="0" applyFill="1" applyBorder="1" applyAlignment="1">
      <alignment horizontal="center" vertical="center"/>
    </xf>
    <xf numFmtId="0" fontId="0" fillId="8" borderId="7" xfId="0" applyFill="1" applyBorder="1" applyAlignment="1">
      <alignment horizontal="center"/>
    </xf>
    <xf numFmtId="0" fontId="0" fillId="8" borderId="51" xfId="0" applyFill="1" applyBorder="1" applyAlignment="1">
      <alignment horizontal="center"/>
    </xf>
    <xf numFmtId="0" fontId="0" fillId="8" borderId="5" xfId="0" applyFill="1" applyBorder="1" applyAlignment="1">
      <alignment horizontal="center"/>
    </xf>
    <xf numFmtId="0" fontId="0" fillId="4" borderId="6" xfId="0" applyFill="1" applyBorder="1" applyAlignment="1">
      <alignment horizontal="center" vertical="center"/>
    </xf>
    <xf numFmtId="0" fontId="0" fillId="4" borderId="6" xfId="0" applyFill="1" applyBorder="1" applyAlignment="1">
      <alignment horizontal="center" vertical="center" wrapText="1"/>
    </xf>
    <xf numFmtId="0" fontId="0" fillId="9" borderId="6" xfId="0" applyFill="1" applyBorder="1" applyAlignment="1">
      <alignment horizontal="center" vertical="center"/>
    </xf>
    <xf numFmtId="14" fontId="5" fillId="0" borderId="0" xfId="0" applyNumberFormat="1" applyFont="1" applyAlignment="1" applyProtection="1">
      <alignment horizontal="center"/>
      <protection locked="0"/>
    </xf>
    <xf numFmtId="0" fontId="0" fillId="4" borderId="7" xfId="0" applyFill="1" applyBorder="1" applyAlignment="1">
      <alignment horizontal="center"/>
    </xf>
    <xf numFmtId="0" fontId="0" fillId="4" borderId="51" xfId="0" applyFill="1" applyBorder="1" applyAlignment="1">
      <alignment horizontal="center"/>
    </xf>
    <xf numFmtId="0" fontId="0" fillId="4" borderId="5" xfId="0" applyFill="1" applyBorder="1" applyAlignment="1">
      <alignment horizontal="center"/>
    </xf>
    <xf numFmtId="0" fontId="0" fillId="4" borderId="19" xfId="0" applyFill="1" applyBorder="1" applyAlignment="1">
      <alignment horizontal="center" vertical="center" wrapText="1"/>
    </xf>
    <xf numFmtId="0" fontId="0" fillId="4" borderId="30" xfId="0" applyFill="1" applyBorder="1" applyAlignment="1">
      <alignment horizontal="center" vertical="center" wrapText="1"/>
    </xf>
    <xf numFmtId="0" fontId="0" fillId="4" borderId="3" xfId="0" applyFill="1" applyBorder="1" applyAlignment="1">
      <alignment horizontal="center" vertical="center" wrapText="1"/>
    </xf>
    <xf numFmtId="0" fontId="0" fillId="13" borderId="6" xfId="0" applyFill="1" applyBorder="1" applyAlignment="1">
      <alignment horizontal="center"/>
    </xf>
    <xf numFmtId="0" fontId="0" fillId="13" borderId="6" xfId="0" applyFill="1" applyBorder="1" applyAlignment="1">
      <alignment horizontal="center" vertical="center"/>
    </xf>
    <xf numFmtId="0" fontId="0" fillId="13" borderId="6" xfId="0" applyFill="1" applyBorder="1" applyAlignment="1">
      <alignment horizontal="center" vertical="center" wrapText="1"/>
    </xf>
    <xf numFmtId="0" fontId="0" fillId="9" borderId="6" xfId="0" applyFill="1" applyBorder="1" applyAlignment="1">
      <alignment horizontal="center"/>
    </xf>
    <xf numFmtId="0" fontId="0" fillId="9" borderId="6" xfId="0" applyFill="1" applyBorder="1" applyAlignment="1">
      <alignment horizontal="center" vertical="center" wrapText="1"/>
    </xf>
    <xf numFmtId="0" fontId="0" fillId="8" borderId="6" xfId="0" applyFill="1" applyBorder="1" applyAlignment="1">
      <alignment horizontal="center" vertical="center" wrapText="1"/>
    </xf>
    <xf numFmtId="0" fontId="0" fillId="4" borderId="6" xfId="0" applyFill="1" applyBorder="1" applyAlignment="1">
      <alignment horizontal="center"/>
    </xf>
    <xf numFmtId="0" fontId="9" fillId="0" borderId="0" xfId="0" applyFont="1" applyAlignment="1">
      <alignment horizontal="center"/>
    </xf>
    <xf numFmtId="0" fontId="0" fillId="0" borderId="0" xfId="0" applyAlignment="1">
      <alignment horizontal="center"/>
    </xf>
    <xf numFmtId="0" fontId="0" fillId="0" borderId="0" xfId="0" applyFill="1" applyBorder="1" applyAlignment="1">
      <alignment horizontal="center" vertical="center" wrapText="1"/>
    </xf>
    <xf numFmtId="0" fontId="12" fillId="0" borderId="53" xfId="0" applyFont="1" applyBorder="1" applyAlignment="1">
      <alignment horizontal="center"/>
    </xf>
    <xf numFmtId="0" fontId="12" fillId="0" borderId="54" xfId="0" applyFont="1" applyBorder="1" applyAlignment="1">
      <alignment horizontal="center"/>
    </xf>
    <xf numFmtId="0" fontId="12" fillId="0" borderId="55" xfId="0" applyFont="1" applyBorder="1" applyAlignment="1">
      <alignment horizontal="center"/>
    </xf>
    <xf numFmtId="0" fontId="14" fillId="0" borderId="19" xfId="0" applyFont="1" applyBorder="1" applyAlignment="1">
      <alignment horizontal="center" vertical="center"/>
    </xf>
    <xf numFmtId="0" fontId="14" fillId="0" borderId="3" xfId="0" applyFont="1" applyBorder="1" applyAlignment="1">
      <alignment horizontal="center" vertical="center"/>
    </xf>
    <xf numFmtId="14" fontId="14" fillId="0" borderId="19" xfId="0" applyNumberFormat="1" applyFont="1" applyBorder="1" applyAlignment="1">
      <alignment horizontal="center" vertical="center"/>
    </xf>
    <xf numFmtId="14" fontId="14" fillId="0" borderId="3" xfId="0" applyNumberFormat="1" applyFont="1" applyBorder="1" applyAlignment="1">
      <alignment horizontal="center" vertical="center"/>
    </xf>
    <xf numFmtId="0" fontId="14" fillId="0" borderId="42" xfId="0" applyFont="1" applyBorder="1" applyAlignment="1">
      <alignment horizontal="center" vertical="center"/>
    </xf>
    <xf numFmtId="0" fontId="14" fillId="0" borderId="44" xfId="0" applyFont="1" applyBorder="1" applyAlignment="1">
      <alignment horizontal="center" vertical="center"/>
    </xf>
    <xf numFmtId="14" fontId="14" fillId="0" borderId="42" xfId="0" applyNumberFormat="1" applyFont="1" applyBorder="1" applyAlignment="1">
      <alignment horizontal="center" vertical="center"/>
    </xf>
    <xf numFmtId="14" fontId="14" fillId="0" borderId="44" xfId="0" applyNumberFormat="1" applyFont="1" applyBorder="1" applyAlignment="1">
      <alignment horizontal="center" vertical="center"/>
    </xf>
    <xf numFmtId="0" fontId="14" fillId="14" borderId="42" xfId="0" applyFont="1" applyFill="1" applyBorder="1" applyAlignment="1">
      <alignment horizontal="center" vertical="center"/>
    </xf>
    <xf numFmtId="0" fontId="14" fillId="14" borderId="44" xfId="0" applyFont="1" applyFill="1" applyBorder="1" applyAlignment="1">
      <alignment horizontal="center" vertical="center"/>
    </xf>
    <xf numFmtId="0" fontId="7" fillId="3" borderId="39" xfId="0" applyFont="1" applyFill="1" applyBorder="1" applyAlignment="1">
      <alignment horizontal="center"/>
    </xf>
    <xf numFmtId="0" fontId="7" fillId="3" borderId="2" xfId="0" applyFont="1" applyFill="1" applyBorder="1" applyAlignment="1">
      <alignment horizontal="center"/>
    </xf>
    <xf numFmtId="0" fontId="7" fillId="3" borderId="4" xfId="0" applyFont="1" applyFill="1" applyBorder="1" applyAlignment="1">
      <alignment horizontal="center"/>
    </xf>
    <xf numFmtId="0" fontId="7" fillId="10" borderId="34" xfId="0" applyFont="1" applyFill="1" applyBorder="1" applyAlignment="1">
      <alignment horizontal="center" vertical="center" wrapText="1"/>
    </xf>
    <xf numFmtId="0" fontId="7" fillId="10" borderId="49" xfId="0" applyFont="1" applyFill="1" applyBorder="1" applyAlignment="1">
      <alignment horizontal="center" vertical="center" wrapText="1"/>
    </xf>
    <xf numFmtId="0" fontId="7" fillId="10" borderId="50" xfId="0" applyFont="1" applyFill="1" applyBorder="1" applyAlignment="1">
      <alignment horizontal="center" vertical="center" wrapText="1"/>
    </xf>
    <xf numFmtId="0" fontId="7" fillId="10" borderId="1" xfId="0" applyFont="1" applyFill="1" applyBorder="1" applyAlignment="1">
      <alignment horizontal="center"/>
    </xf>
    <xf numFmtId="0" fontId="7" fillId="10" borderId="24" xfId="0" applyFont="1" applyFill="1" applyBorder="1" applyAlignment="1">
      <alignment horizontal="center"/>
    </xf>
    <xf numFmtId="0" fontId="7" fillId="10" borderId="16" xfId="0" applyFont="1" applyFill="1" applyBorder="1" applyAlignment="1">
      <alignment horizontal="center"/>
    </xf>
    <xf numFmtId="0" fontId="7" fillId="10" borderId="20" xfId="0" applyFont="1" applyFill="1" applyBorder="1" applyAlignment="1">
      <alignment horizontal="center"/>
    </xf>
    <xf numFmtId="0" fontId="7" fillId="10" borderId="8" xfId="0" applyFont="1" applyFill="1" applyBorder="1" applyAlignment="1">
      <alignment horizontal="center" vertical="center"/>
    </xf>
    <xf numFmtId="0" fontId="7" fillId="10" borderId="9" xfId="0" applyFont="1" applyFill="1" applyBorder="1" applyAlignment="1">
      <alignment horizontal="center" vertical="center"/>
    </xf>
    <xf numFmtId="0" fontId="7" fillId="10" borderId="6" xfId="0" applyFont="1" applyFill="1" applyBorder="1" applyAlignment="1">
      <alignment horizontal="center" vertical="center" wrapText="1"/>
    </xf>
    <xf numFmtId="0" fontId="7" fillId="10" borderId="10" xfId="0" applyFont="1" applyFill="1" applyBorder="1" applyAlignment="1">
      <alignment horizontal="center" vertical="center" wrapText="1"/>
    </xf>
    <xf numFmtId="0" fontId="0" fillId="0" borderId="56" xfId="0" applyBorder="1" applyAlignment="1">
      <alignment horizontal="center" vertical="center"/>
    </xf>
    <xf numFmtId="0" fontId="0" fillId="0" borderId="57" xfId="0" applyBorder="1" applyAlignment="1">
      <alignment horizontal="center" vertical="center"/>
    </xf>
    <xf numFmtId="0" fontId="0" fillId="0" borderId="58" xfId="0" applyBorder="1" applyAlignment="1">
      <alignment horizontal="center" vertical="center"/>
    </xf>
    <xf numFmtId="0" fontId="0" fillId="0" borderId="59" xfId="0" applyBorder="1" applyAlignment="1">
      <alignment horizontal="center" vertical="center"/>
    </xf>
    <xf numFmtId="0" fontId="0" fillId="0" borderId="60" xfId="0" applyBorder="1" applyAlignment="1">
      <alignment horizontal="center" vertical="center"/>
    </xf>
    <xf numFmtId="0" fontId="0" fillId="0" borderId="61" xfId="0" applyBorder="1" applyAlignment="1">
      <alignment horizontal="center" vertical="center"/>
    </xf>
    <xf numFmtId="0" fontId="7" fillId="10" borderId="19" xfId="0" applyFont="1" applyFill="1" applyBorder="1" applyAlignment="1">
      <alignment horizontal="center" vertical="center" wrapText="1"/>
    </xf>
    <xf numFmtId="0" fontId="7" fillId="10" borderId="30" xfId="0" applyFont="1" applyFill="1" applyBorder="1" applyAlignment="1">
      <alignment horizontal="center" vertical="center" wrapText="1"/>
    </xf>
    <xf numFmtId="0" fontId="7" fillId="10" borderId="46" xfId="0" applyFont="1" applyFill="1" applyBorder="1" applyAlignment="1">
      <alignment horizontal="center" vertical="center" wrapText="1"/>
    </xf>
  </cellXfs>
  <cellStyles count="2">
    <cellStyle name="Lien hypertexte" xfId="1" builtinId="8"/>
    <cellStyle name="Normal" xfId="0" builtinId="0"/>
  </cellStyles>
  <dxfs count="123">
    <dxf>
      <font>
        <color rgb="FFFF0000"/>
      </font>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00B050"/>
        </patternFill>
      </fill>
    </dxf>
    <dxf>
      <fill>
        <patternFill>
          <bgColor rgb="FFFF0000"/>
        </patternFill>
      </fill>
    </dxf>
    <dxf>
      <fill>
        <patternFill>
          <bgColor rgb="FF00B050"/>
        </patternFill>
      </fill>
    </dxf>
    <dxf>
      <fill>
        <patternFill>
          <bgColor rgb="FF00B050"/>
        </patternFill>
      </fill>
    </dxf>
    <dxf>
      <fill>
        <patternFill>
          <bgColor rgb="FF00B050"/>
        </patternFill>
      </fill>
    </dxf>
    <dxf>
      <fill>
        <patternFill>
          <bgColor theme="9" tint="0.59996337778862885"/>
        </patternFill>
      </fill>
    </dxf>
    <dxf>
      <fill>
        <patternFill>
          <bgColor rgb="FFFFC000"/>
        </patternFill>
      </fill>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tint="0.59996337778862885"/>
        </patternFill>
      </fill>
    </dxf>
    <dxf>
      <fill>
        <patternFill>
          <bgColor rgb="FFFFC000"/>
        </patternFill>
      </fill>
    </dxf>
    <dxf>
      <fill>
        <patternFill>
          <bgColor rgb="FFFF0000"/>
        </patternFill>
      </fill>
    </dxf>
    <dxf>
      <fill>
        <patternFill>
          <bgColor rgb="FFFFC000"/>
        </patternFill>
      </fill>
    </dxf>
    <dxf>
      <fill>
        <patternFill patternType="lightUp"/>
      </fill>
    </dxf>
    <dxf>
      <fill>
        <patternFill>
          <bgColor rgb="FFFF0000"/>
        </patternFill>
      </fill>
    </dxf>
    <dxf>
      <fill>
        <patternFill>
          <bgColor rgb="FF00B050"/>
        </patternFill>
      </fill>
    </dxf>
    <dxf>
      <fill>
        <patternFill>
          <bgColor theme="9" tint="0.59996337778862885"/>
        </patternFill>
      </fill>
    </dxf>
    <dxf>
      <fill>
        <patternFill>
          <bgColor rgb="FFFFC000"/>
        </patternFill>
      </fill>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tint="0.59996337778862885"/>
        </patternFill>
      </fill>
    </dxf>
    <dxf>
      <fill>
        <patternFill>
          <bgColor rgb="FFFFC000"/>
        </patternFill>
      </fill>
    </dxf>
    <dxf>
      <fill>
        <patternFill>
          <bgColor rgb="FFFF0000"/>
        </patternFill>
      </fill>
    </dxf>
    <dxf>
      <fill>
        <patternFill>
          <bgColor rgb="FFFFC000"/>
        </patternFill>
      </fill>
    </dxf>
    <dxf>
      <fill>
        <patternFill patternType="lightUp"/>
      </fill>
    </dxf>
    <dxf>
      <fill>
        <patternFill>
          <bgColor rgb="FFFF0000"/>
        </patternFill>
      </fill>
    </dxf>
    <dxf>
      <fill>
        <patternFill>
          <bgColor rgb="FF00B050"/>
        </patternFill>
      </fill>
    </dxf>
    <dxf>
      <fill>
        <patternFill>
          <bgColor theme="9" tint="0.59996337778862885"/>
        </patternFill>
      </fill>
    </dxf>
    <dxf>
      <fill>
        <patternFill>
          <bgColor rgb="FFFFC000"/>
        </patternFill>
      </fill>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tint="0.59996337778862885"/>
        </patternFill>
      </fill>
    </dxf>
    <dxf>
      <fill>
        <patternFill>
          <bgColor rgb="FFFFC000"/>
        </patternFill>
      </fill>
    </dxf>
    <dxf>
      <fill>
        <patternFill>
          <bgColor rgb="FFFF0000"/>
        </patternFill>
      </fill>
    </dxf>
    <dxf>
      <fill>
        <patternFill>
          <bgColor rgb="FFFFC000"/>
        </patternFill>
      </fill>
    </dxf>
    <dxf>
      <fill>
        <patternFill patternType="lightUp"/>
      </fill>
    </dxf>
    <dxf>
      <fill>
        <patternFill>
          <bgColor rgb="FFFF0000"/>
        </patternFill>
      </fill>
    </dxf>
    <dxf>
      <fill>
        <patternFill>
          <bgColor rgb="FF00B050"/>
        </patternFill>
      </fill>
    </dxf>
    <dxf>
      <fill>
        <patternFill>
          <bgColor theme="9" tint="0.59996337778862885"/>
        </patternFill>
      </fill>
    </dxf>
    <dxf>
      <fill>
        <patternFill>
          <bgColor rgb="FFFFC000"/>
        </patternFill>
      </fill>
    </dxf>
    <dxf>
      <fill>
        <patternFill>
          <bgColor rgb="FFFF0000"/>
        </patternFill>
      </fill>
    </dxf>
    <dxf>
      <fill>
        <patternFill>
          <bgColor rgb="FFFFC000"/>
        </patternFill>
      </fill>
    </dxf>
    <dxf>
      <fill>
        <patternFill patternType="lightUp"/>
      </fill>
    </dxf>
    <dxf>
      <fill>
        <patternFill>
          <bgColor theme="9" tint="0.59996337778862885"/>
        </patternFill>
      </fill>
    </dxf>
    <dxf>
      <fill>
        <patternFill>
          <bgColor rgb="FFFFC000"/>
        </patternFill>
      </fill>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tint="0.59996337778862885"/>
        </patternFill>
      </fill>
    </dxf>
    <dxf>
      <fill>
        <patternFill>
          <bgColor rgb="FFFFC000"/>
        </patternFill>
      </fill>
    </dxf>
    <dxf>
      <fill>
        <patternFill>
          <bgColor rgb="FFFF0000"/>
        </patternFill>
      </fill>
    </dxf>
    <dxf>
      <fill>
        <patternFill>
          <bgColor rgb="FFFFC000"/>
        </patternFill>
      </fill>
    </dxf>
    <dxf>
      <fill>
        <patternFill patternType="lightUp"/>
      </fill>
    </dxf>
    <dxf>
      <fill>
        <patternFill>
          <bgColor rgb="FFFF0000"/>
        </patternFill>
      </fill>
    </dxf>
    <dxf>
      <fill>
        <patternFill>
          <bgColor rgb="FF00B05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microsoft.com/office/2006/relationships/vbaProject" Target="vbaProject.bin"/><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161925</xdr:colOff>
          <xdr:row>17</xdr:row>
          <xdr:rowOff>85725</xdr:rowOff>
        </xdr:from>
        <xdr:to>
          <xdr:col>13</xdr:col>
          <xdr:colOff>133350</xdr:colOff>
          <xdr:row>22</xdr:row>
          <xdr:rowOff>28575</xdr:rowOff>
        </xdr:to>
        <xdr:sp macro="" textlink="">
          <xdr:nvSpPr>
            <xdr:cNvPr id="38915" name="Button 3" hidden="1">
              <a:extLst>
                <a:ext uri="{63B3BB69-23CF-44E3-9099-C40C66FF867C}">
                  <a14:compatExt spid="_x0000_s3891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ACCES AU PROGRAMME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408214</xdr:colOff>
      <xdr:row>32</xdr:row>
      <xdr:rowOff>27214</xdr:rowOff>
    </xdr:from>
    <xdr:to>
      <xdr:col>12</xdr:col>
      <xdr:colOff>1144600</xdr:colOff>
      <xdr:row>39</xdr:row>
      <xdr:rowOff>49626</xdr:rowOff>
    </xdr:to>
    <xdr:sp macro="" textlink="">
      <xdr:nvSpPr>
        <xdr:cNvPr id="2" name="ZoneTexte 1"/>
        <xdr:cNvSpPr txBox="1"/>
      </xdr:nvSpPr>
      <xdr:spPr>
        <a:xfrm>
          <a:off x="408214" y="7415893"/>
          <a:ext cx="12057529" cy="135591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Bonsoir, J'ai besoin d'aide.</a:t>
          </a:r>
          <a:br>
            <a:rPr lang="fr-FR"/>
          </a:br>
          <a:r>
            <a:rPr lang="fr-FR"/>
            <a:t>J'ai une base de données nommé "suivi livrables"contenant les informations suivantes: programme, compagnie, avion etc. Sur une autre feuille nommé" feuil2" se trouve plusieurs tableaux vides.</a:t>
          </a:r>
          <a:br>
            <a:rPr lang="fr-FR"/>
          </a:br>
          <a:r>
            <a:rPr lang="fr-FR"/>
            <a:t>Je voudrais, à partir de la feuille "feuil2"que lorsque je choisis le type de programme dans le menu déroulant ('en H2'), qu'il m'affiche toutes les informations correspondant au programme choisi. J'ai retourné le problème dans tous les sens mais je n'y arrive pas.</a:t>
          </a:r>
          <a:br>
            <a:rPr lang="fr-FR"/>
          </a:br>
          <a:r>
            <a:rPr lang="fr-FR"/>
            <a:t>Ci-joint le fichier.</a:t>
          </a:r>
          <a:br>
            <a:rPr lang="fr-FR"/>
          </a:br>
          <a:r>
            <a:rPr lang="fr-FR"/>
            <a:t>Merci d'avance</a:t>
          </a:r>
          <a:endParaRPr lang="fr-FR" sz="1100"/>
        </a:p>
      </xdr:txBody>
    </xdr:sp>
    <xdr:clientData/>
  </xdr:twoCellAnchor>
  <xdr:twoCellAnchor>
    <xdr:from>
      <xdr:col>2</xdr:col>
      <xdr:colOff>13607</xdr:colOff>
      <xdr:row>15</xdr:row>
      <xdr:rowOff>40822</xdr:rowOff>
    </xdr:from>
    <xdr:to>
      <xdr:col>16</xdr:col>
      <xdr:colOff>503464</xdr:colOff>
      <xdr:row>20</xdr:row>
      <xdr:rowOff>81643</xdr:rowOff>
    </xdr:to>
    <xdr:sp macro="" textlink="">
      <xdr:nvSpPr>
        <xdr:cNvPr id="3" name="ZoneTexte 2"/>
        <xdr:cNvSpPr txBox="1"/>
      </xdr:nvSpPr>
      <xdr:spPr>
        <a:xfrm>
          <a:off x="1905000" y="3360965"/>
          <a:ext cx="14042571" cy="993321"/>
        </a:xfrm>
        <a:prstGeom prst="rect">
          <a:avLst/>
        </a:prstGeom>
        <a:solidFill>
          <a:schemeClr val="accent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3200" b="1">
              <a:solidFill>
                <a:srgbClr val="FF0000"/>
              </a:solidFill>
            </a:rPr>
            <a:t>Dans les cellules rouges je ne sais pas ce qu'il faut marquer</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ssou-serv2\Public\Program_management\Indicateurs\ZSFR%20Program%20Portfoli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21%20Pole%20Integration\040_Gestion_service\040_20_Plannification\Programmesjalon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folio"/>
      <sheetName val="Forecast ZSFR JAN15"/>
      <sheetName val="TCD"/>
      <sheetName val="TCD Portfolio"/>
      <sheetName val="Milestones Agenda"/>
      <sheetName val="Nouveaux PGR"/>
      <sheetName val="TCD planification"/>
      <sheetName val="CR revue Toll Gates"/>
      <sheetName val="TCD_TG"/>
      <sheetName val="Feuil1"/>
    </sheetNames>
    <sheetDataSet>
      <sheetData sheetId="0">
        <row r="3">
          <cell r="A3" t="str">
            <v>ECO-HD</v>
          </cell>
          <cell r="B3" t="str">
            <v>E3124</v>
          </cell>
          <cell r="C3" t="str">
            <v>Japan TransOcean Air</v>
          </cell>
          <cell r="D3" t="str">
            <v>JTA</v>
          </cell>
          <cell r="E3" t="str">
            <v>B737</v>
          </cell>
          <cell r="F3" t="str">
            <v>B737</v>
          </cell>
          <cell r="G3" t="str">
            <v>L</v>
          </cell>
          <cell r="I3">
            <v>6</v>
          </cell>
          <cell r="J3">
            <v>146</v>
          </cell>
          <cell r="K3" t="str">
            <v>Level 4</v>
          </cell>
          <cell r="L3">
            <v>1376</v>
          </cell>
          <cell r="M3">
            <v>3</v>
          </cell>
          <cell r="N3" t="str">
            <v>Green</v>
          </cell>
          <cell r="O3" t="str">
            <v>NA</v>
          </cell>
          <cell r="P3" t="str">
            <v>Green</v>
          </cell>
          <cell r="Q3" t="str">
            <v>NA</v>
          </cell>
          <cell r="R3" t="str">
            <v>Dev.</v>
          </cell>
          <cell r="S3" t="str">
            <v>H. Rousselot</v>
          </cell>
          <cell r="T3" t="str">
            <v>P. Bertaud (ext)</v>
          </cell>
          <cell r="U3" t="str">
            <v>C. Accolas</v>
          </cell>
          <cell r="V3" t="str">
            <v>Y. El Harrak</v>
          </cell>
          <cell r="W3" t="str">
            <v>S. EL HADJ</v>
          </cell>
          <cell r="X3" t="str">
            <v>Romain Pillet</v>
          </cell>
          <cell r="Y3" t="str">
            <v>T. Fleury</v>
          </cell>
          <cell r="Z3" t="str">
            <v>L. Renou</v>
          </cell>
          <cell r="AA3">
            <v>41882</v>
          </cell>
          <cell r="AB3">
            <v>41882</v>
          </cell>
          <cell r="AC3">
            <v>41872</v>
          </cell>
          <cell r="AD3">
            <v>41943</v>
          </cell>
          <cell r="AE3">
            <v>41943</v>
          </cell>
          <cell r="AF3">
            <v>41934</v>
          </cell>
          <cell r="AG3">
            <v>42035</v>
          </cell>
          <cell r="AH3">
            <v>42063</v>
          </cell>
          <cell r="AI3">
            <v>42025</v>
          </cell>
          <cell r="AK3">
            <v>42135</v>
          </cell>
          <cell r="AL3">
            <v>42228</v>
          </cell>
          <cell r="AM3" t="str">
            <v>N/A</v>
          </cell>
          <cell r="AN3">
            <v>42223</v>
          </cell>
          <cell r="AO3">
            <v>42286</v>
          </cell>
          <cell r="AP3">
            <v>42235</v>
          </cell>
          <cell r="AQ3">
            <v>42331</v>
          </cell>
          <cell r="AR3">
            <v>42399</v>
          </cell>
          <cell r="AT3">
            <v>42426</v>
          </cell>
          <cell r="AU3">
            <v>42338</v>
          </cell>
        </row>
        <row r="4">
          <cell r="A4" t="str">
            <v>ECO-HD</v>
          </cell>
          <cell r="B4" t="str">
            <v>E3126-27</v>
          </cell>
          <cell r="C4" t="str">
            <v>NOK Air</v>
          </cell>
          <cell r="D4" t="str">
            <v>NOK</v>
          </cell>
          <cell r="E4" t="str">
            <v>B737</v>
          </cell>
          <cell r="F4" t="str">
            <v>B737</v>
          </cell>
          <cell r="G4" t="str">
            <v>L</v>
          </cell>
          <cell r="I4">
            <v>15</v>
          </cell>
          <cell r="J4">
            <v>189</v>
          </cell>
          <cell r="K4" t="str">
            <v>Level 3</v>
          </cell>
          <cell r="L4">
            <v>5562</v>
          </cell>
          <cell r="M4">
            <v>3</v>
          </cell>
          <cell r="N4" t="str">
            <v>Green</v>
          </cell>
          <cell r="O4" t="str">
            <v>NA</v>
          </cell>
          <cell r="P4" t="str">
            <v>Green</v>
          </cell>
          <cell r="Q4" t="str">
            <v>NA</v>
          </cell>
          <cell r="R4" t="str">
            <v>Dev.</v>
          </cell>
          <cell r="S4" t="str">
            <v>H. Rousselot</v>
          </cell>
          <cell r="T4" t="str">
            <v>P. Bertaud (ext)</v>
          </cell>
          <cell r="U4" t="str">
            <v>C. Accolas</v>
          </cell>
          <cell r="V4" t="str">
            <v>Y. El Harrak</v>
          </cell>
          <cell r="W4" t="str">
            <v>S. EL HADJ</v>
          </cell>
          <cell r="X4" t="str">
            <v>P. Gilbert</v>
          </cell>
          <cell r="Y4" t="str">
            <v>T. Fleury</v>
          </cell>
          <cell r="Z4" t="str">
            <v>T. Zahid</v>
          </cell>
          <cell r="AA4">
            <v>41882</v>
          </cell>
          <cell r="AB4">
            <v>41882</v>
          </cell>
          <cell r="AC4">
            <v>41872</v>
          </cell>
          <cell r="AD4">
            <v>41943</v>
          </cell>
          <cell r="AE4">
            <v>42004</v>
          </cell>
          <cell r="AF4">
            <v>41934</v>
          </cell>
          <cell r="AG4">
            <v>42035</v>
          </cell>
          <cell r="AH4">
            <v>42035</v>
          </cell>
          <cell r="AI4">
            <v>42031</v>
          </cell>
          <cell r="AK4">
            <v>42127</v>
          </cell>
          <cell r="AL4">
            <v>42228</v>
          </cell>
          <cell r="AM4" t="str">
            <v>N/A</v>
          </cell>
          <cell r="AN4">
            <v>42155</v>
          </cell>
          <cell r="AO4">
            <v>42185</v>
          </cell>
          <cell r="AP4">
            <v>42151</v>
          </cell>
          <cell r="AQ4">
            <v>42181</v>
          </cell>
          <cell r="AR4">
            <v>42399</v>
          </cell>
          <cell r="AT4">
            <v>42398</v>
          </cell>
          <cell r="AU4">
            <v>42194</v>
          </cell>
        </row>
        <row r="5">
          <cell r="A5" t="str">
            <v>ECO-HD</v>
          </cell>
          <cell r="B5" t="str">
            <v>E3128</v>
          </cell>
          <cell r="C5" t="str">
            <v>Korean Airlines</v>
          </cell>
          <cell r="D5" t="str">
            <v>KAL</v>
          </cell>
          <cell r="E5" t="str">
            <v>B777</v>
          </cell>
          <cell r="F5" t="str">
            <v>B777</v>
          </cell>
          <cell r="G5" t="str">
            <v>L</v>
          </cell>
          <cell r="H5" t="str">
            <v>R</v>
          </cell>
          <cell r="I5">
            <v>4</v>
          </cell>
          <cell r="J5">
            <v>393</v>
          </cell>
          <cell r="K5" t="str">
            <v>Level 3</v>
          </cell>
          <cell r="L5">
            <v>3845</v>
          </cell>
          <cell r="M5">
            <v>1</v>
          </cell>
          <cell r="N5" t="str">
            <v>Green</v>
          </cell>
          <cell r="O5" t="str">
            <v>NA</v>
          </cell>
          <cell r="P5" t="str">
            <v>Orange</v>
          </cell>
          <cell r="Q5" t="str">
            <v xml:space="preserve">Tests / lead time </v>
          </cell>
          <cell r="R5" t="str">
            <v>Dev.</v>
          </cell>
          <cell r="T5" t="str">
            <v>S.Tanguy</v>
          </cell>
          <cell r="U5" t="str">
            <v>E Helfer</v>
          </cell>
          <cell r="V5" t="str">
            <v>J. Darabu</v>
          </cell>
          <cell r="W5" t="str">
            <v>S. EL HADJ</v>
          </cell>
          <cell r="X5" t="str">
            <v>E. Pommerol</v>
          </cell>
          <cell r="Y5" t="str">
            <v>S Bataliier</v>
          </cell>
          <cell r="Z5" t="str">
            <v>M. Vitry</v>
          </cell>
          <cell r="AA5">
            <v>41912</v>
          </cell>
          <cell r="AB5">
            <v>41912</v>
          </cell>
          <cell r="AC5">
            <v>41884</v>
          </cell>
          <cell r="AD5">
            <v>41973</v>
          </cell>
          <cell r="AE5">
            <v>41973</v>
          </cell>
          <cell r="AF5">
            <v>41927</v>
          </cell>
          <cell r="AG5">
            <v>42004</v>
          </cell>
          <cell r="AH5">
            <v>42004</v>
          </cell>
          <cell r="AI5">
            <v>41988</v>
          </cell>
          <cell r="AK5">
            <v>42156</v>
          </cell>
          <cell r="AL5">
            <v>42193</v>
          </cell>
          <cell r="AM5" t="str">
            <v>N/A</v>
          </cell>
          <cell r="AN5">
            <v>42202</v>
          </cell>
          <cell r="AO5">
            <v>42307</v>
          </cell>
          <cell r="AP5">
            <v>42201</v>
          </cell>
          <cell r="AQ5">
            <v>42181</v>
          </cell>
          <cell r="AT5">
            <v>42335</v>
          </cell>
          <cell r="AU5">
            <v>42248</v>
          </cell>
        </row>
        <row r="6">
          <cell r="A6" t="str">
            <v>ECO-HD</v>
          </cell>
          <cell r="B6" t="str">
            <v>E3131</v>
          </cell>
          <cell r="C6" t="str">
            <v>JAL</v>
          </cell>
          <cell r="D6" t="str">
            <v>JAL</v>
          </cell>
          <cell r="E6" t="str">
            <v>B777-200</v>
          </cell>
          <cell r="F6" t="str">
            <v>B777</v>
          </cell>
          <cell r="H6" t="str">
            <v>R</v>
          </cell>
          <cell r="I6">
            <v>2</v>
          </cell>
          <cell r="J6">
            <v>279</v>
          </cell>
          <cell r="K6" t="str">
            <v>Level 2</v>
          </cell>
          <cell r="L6">
            <v>911</v>
          </cell>
          <cell r="M6">
            <v>3</v>
          </cell>
          <cell r="N6" t="str">
            <v>Green</v>
          </cell>
          <cell r="O6" t="str">
            <v>NA</v>
          </cell>
          <cell r="P6" t="str">
            <v>Green</v>
          </cell>
          <cell r="Q6" t="str">
            <v>NA</v>
          </cell>
          <cell r="R6" t="str">
            <v>Dev.</v>
          </cell>
          <cell r="S6" t="str">
            <v>H. Rousselot</v>
          </cell>
          <cell r="T6" t="str">
            <v>P. Bertaud (ext)</v>
          </cell>
          <cell r="U6" t="str">
            <v>C. Accolas</v>
          </cell>
          <cell r="V6" t="str">
            <v>Y. El Harrak</v>
          </cell>
          <cell r="W6" t="str">
            <v>S. EL HADJ</v>
          </cell>
          <cell r="X6" t="str">
            <v>Perrine Gilbert</v>
          </cell>
          <cell r="Y6" t="str">
            <v>E. Fily</v>
          </cell>
          <cell r="Z6" t="str">
            <v>L. Renou</v>
          </cell>
          <cell r="AA6">
            <v>41882</v>
          </cell>
          <cell r="AB6">
            <v>41882</v>
          </cell>
          <cell r="AC6">
            <v>41863</v>
          </cell>
          <cell r="AD6">
            <v>41912</v>
          </cell>
          <cell r="AE6">
            <v>41943</v>
          </cell>
          <cell r="AF6">
            <v>41913</v>
          </cell>
          <cell r="AG6">
            <v>41973</v>
          </cell>
          <cell r="AH6">
            <v>42004</v>
          </cell>
          <cell r="AI6">
            <v>41948</v>
          </cell>
          <cell r="AK6">
            <v>42139</v>
          </cell>
          <cell r="AL6">
            <v>42235</v>
          </cell>
          <cell r="AM6" t="str">
            <v>N/A</v>
          </cell>
          <cell r="AN6">
            <v>42244</v>
          </cell>
          <cell r="AO6">
            <v>42258</v>
          </cell>
          <cell r="AP6">
            <v>42249</v>
          </cell>
          <cell r="AQ6">
            <v>42300</v>
          </cell>
          <cell r="AR6">
            <v>42413</v>
          </cell>
          <cell r="AT6">
            <v>42440</v>
          </cell>
          <cell r="AU6">
            <v>42350</v>
          </cell>
        </row>
        <row r="7">
          <cell r="A7" t="str">
            <v>ECO-HD</v>
          </cell>
          <cell r="B7" t="str">
            <v>E3132</v>
          </cell>
          <cell r="C7" t="str">
            <v>Hainan Airlines</v>
          </cell>
          <cell r="D7" t="str">
            <v>CHH</v>
          </cell>
          <cell r="E7" t="str">
            <v>A320-200</v>
          </cell>
          <cell r="F7" t="str">
            <v>A320</v>
          </cell>
          <cell r="G7" t="str">
            <v>L</v>
          </cell>
          <cell r="H7" t="str">
            <v>R</v>
          </cell>
          <cell r="I7">
            <v>4</v>
          </cell>
          <cell r="J7">
            <v>180</v>
          </cell>
          <cell r="K7" t="str">
            <v>Level 3</v>
          </cell>
          <cell r="L7">
            <v>1027.44</v>
          </cell>
          <cell r="M7">
            <v>3</v>
          </cell>
          <cell r="N7" t="str">
            <v>Green</v>
          </cell>
          <cell r="O7" t="str">
            <v>NA</v>
          </cell>
          <cell r="P7" t="str">
            <v>Red</v>
          </cell>
          <cell r="Q7" t="str">
            <v>New seat track fittings</v>
          </cell>
          <cell r="R7" t="str">
            <v>Prod.</v>
          </cell>
          <cell r="S7" t="str">
            <v>H. Rousselot</v>
          </cell>
          <cell r="T7" t="str">
            <v>S.Tanguy</v>
          </cell>
          <cell r="U7" t="str">
            <v>C. Accolas</v>
          </cell>
          <cell r="V7" t="str">
            <v>Y. El Harrak</v>
          </cell>
          <cell r="W7" t="str">
            <v>S. EL HADJ</v>
          </cell>
          <cell r="X7" t="str">
            <v>E.Julien de Pommerol</v>
          </cell>
          <cell r="Y7" t="str">
            <v>J. Gaudin</v>
          </cell>
          <cell r="Z7" t="str">
            <v>T. Zahid</v>
          </cell>
          <cell r="AA7">
            <v>41912</v>
          </cell>
          <cell r="AB7">
            <v>41912</v>
          </cell>
          <cell r="AC7">
            <v>41898</v>
          </cell>
          <cell r="AD7" t="str">
            <v>NA</v>
          </cell>
          <cell r="AE7" t="str">
            <v>NA</v>
          </cell>
          <cell r="AF7">
            <v>41928</v>
          </cell>
          <cell r="AG7">
            <v>41973</v>
          </cell>
          <cell r="AH7">
            <v>42004</v>
          </cell>
          <cell r="AI7">
            <v>41983</v>
          </cell>
          <cell r="AK7">
            <v>42079</v>
          </cell>
          <cell r="AL7">
            <v>42235</v>
          </cell>
          <cell r="AM7" t="str">
            <v>N/A</v>
          </cell>
          <cell r="AN7">
            <v>42094</v>
          </cell>
          <cell r="AO7">
            <v>42124</v>
          </cell>
          <cell r="AP7">
            <v>42081</v>
          </cell>
          <cell r="AQ7">
            <v>42300</v>
          </cell>
          <cell r="AR7">
            <v>42413</v>
          </cell>
          <cell r="AT7">
            <v>42251</v>
          </cell>
          <cell r="AU7">
            <v>42164</v>
          </cell>
        </row>
        <row r="8">
          <cell r="A8" t="str">
            <v>ECO-HD</v>
          </cell>
          <cell r="B8" t="str">
            <v>E3133</v>
          </cell>
          <cell r="C8" t="str">
            <v>Indigo</v>
          </cell>
          <cell r="D8" t="str">
            <v>IGO</v>
          </cell>
          <cell r="E8" t="str">
            <v>A320-200</v>
          </cell>
          <cell r="F8" t="str">
            <v>A320</v>
          </cell>
          <cell r="G8" t="str">
            <v>L</v>
          </cell>
          <cell r="I8">
            <v>15</v>
          </cell>
          <cell r="J8">
            <v>180</v>
          </cell>
          <cell r="K8" t="str">
            <v>Level 3</v>
          </cell>
          <cell r="L8">
            <v>4436</v>
          </cell>
          <cell r="M8">
            <v>3</v>
          </cell>
          <cell r="N8" t="str">
            <v>Green</v>
          </cell>
          <cell r="O8" t="str">
            <v>NA</v>
          </cell>
          <cell r="P8" t="str">
            <v>Green</v>
          </cell>
          <cell r="Q8" t="str">
            <v>NA</v>
          </cell>
          <cell r="R8" t="str">
            <v>Prod.</v>
          </cell>
          <cell r="T8" t="str">
            <v>A.Guirimand</v>
          </cell>
          <cell r="V8" t="str">
            <v>J. Darabu</v>
          </cell>
          <cell r="W8" t="str">
            <v>S. EL HADJ</v>
          </cell>
          <cell r="X8" t="str">
            <v>Romain Pillet</v>
          </cell>
          <cell r="Y8" t="str">
            <v>C.Pauty</v>
          </cell>
          <cell r="Z8" t="str">
            <v>R. Toyama</v>
          </cell>
          <cell r="AA8">
            <v>42035</v>
          </cell>
          <cell r="AB8">
            <v>42035</v>
          </cell>
          <cell r="AC8">
            <v>42032</v>
          </cell>
          <cell r="AD8">
            <v>42063</v>
          </cell>
          <cell r="AE8">
            <v>42063</v>
          </cell>
          <cell r="AF8">
            <v>42041</v>
          </cell>
          <cell r="AG8">
            <v>42094</v>
          </cell>
          <cell r="AH8">
            <v>42124</v>
          </cell>
          <cell r="AI8">
            <v>42079</v>
          </cell>
          <cell r="AJ8">
            <v>42124</v>
          </cell>
          <cell r="AK8">
            <v>42175</v>
          </cell>
          <cell r="AL8">
            <v>42165</v>
          </cell>
          <cell r="AM8" t="str">
            <v>N/A</v>
          </cell>
          <cell r="AN8">
            <v>42185</v>
          </cell>
          <cell r="AO8">
            <v>42185</v>
          </cell>
          <cell r="AP8">
            <v>42173</v>
          </cell>
          <cell r="AQ8">
            <v>42231</v>
          </cell>
          <cell r="AT8">
            <v>42328</v>
          </cell>
          <cell r="AU8">
            <v>42241</v>
          </cell>
        </row>
        <row r="9">
          <cell r="A9" t="str">
            <v>ECO-HD</v>
          </cell>
          <cell r="B9" t="str">
            <v>E3135</v>
          </cell>
          <cell r="C9" t="str">
            <v>Safair</v>
          </cell>
          <cell r="D9" t="str">
            <v>SAF</v>
          </cell>
          <cell r="E9" t="str">
            <v>B737</v>
          </cell>
          <cell r="F9" t="str">
            <v>B737</v>
          </cell>
          <cell r="G9" t="str">
            <v>L</v>
          </cell>
          <cell r="H9" t="str">
            <v>R</v>
          </cell>
          <cell r="I9">
            <v>5</v>
          </cell>
          <cell r="J9">
            <v>165</v>
          </cell>
          <cell r="K9" t="str">
            <v>Level 1</v>
          </cell>
          <cell r="L9">
            <v>945</v>
          </cell>
          <cell r="M9">
            <v>1</v>
          </cell>
          <cell r="N9" t="str">
            <v>Green</v>
          </cell>
          <cell r="O9" t="str">
            <v>NA</v>
          </cell>
          <cell r="P9" t="str">
            <v>Green</v>
          </cell>
          <cell r="Q9" t="str">
            <v>NA</v>
          </cell>
          <cell r="R9" t="str">
            <v>Prod.</v>
          </cell>
          <cell r="T9" t="str">
            <v>Y.BENELHADJSAID</v>
          </cell>
          <cell r="U9" t="str">
            <v>P. Ghasarian</v>
          </cell>
          <cell r="V9" t="str">
            <v>J. Darabu</v>
          </cell>
          <cell r="W9" t="str">
            <v>S. EL HADJ</v>
          </cell>
          <cell r="X9" t="str">
            <v>Perrine Gilbert</v>
          </cell>
          <cell r="Y9" t="str">
            <v>S Bataliier</v>
          </cell>
          <cell r="Z9" t="str">
            <v>M. Vitry</v>
          </cell>
          <cell r="AA9">
            <v>42035</v>
          </cell>
          <cell r="AB9">
            <v>42035</v>
          </cell>
          <cell r="AC9">
            <v>41967</v>
          </cell>
          <cell r="AD9" t="str">
            <v>NA</v>
          </cell>
          <cell r="AE9" t="str">
            <v>NA</v>
          </cell>
          <cell r="AF9" t="str">
            <v>N/A</v>
          </cell>
          <cell r="AG9">
            <v>42035</v>
          </cell>
          <cell r="AH9">
            <v>42094</v>
          </cell>
          <cell r="AI9">
            <v>42019</v>
          </cell>
          <cell r="AJ9" t="str">
            <v>**</v>
          </cell>
          <cell r="AK9">
            <v>42115</v>
          </cell>
          <cell r="AL9">
            <v>42117</v>
          </cell>
          <cell r="AM9" t="str">
            <v>N/A</v>
          </cell>
          <cell r="AN9">
            <v>42124</v>
          </cell>
          <cell r="AO9">
            <v>42124</v>
          </cell>
          <cell r="AP9">
            <v>42117</v>
          </cell>
          <cell r="AR9">
            <v>42175</v>
          </cell>
          <cell r="AT9">
            <v>42230</v>
          </cell>
          <cell r="AU9">
            <v>42143</v>
          </cell>
        </row>
        <row r="10">
          <cell r="A10" t="str">
            <v>ECO-HD</v>
          </cell>
          <cell r="B10" t="str">
            <v>E3136</v>
          </cell>
          <cell r="C10" t="str">
            <v>Viet Nam</v>
          </cell>
          <cell r="D10" t="str">
            <v>HVN</v>
          </cell>
          <cell r="E10" t="str">
            <v>A321</v>
          </cell>
          <cell r="F10" t="str">
            <v>A321</v>
          </cell>
          <cell r="G10" t="str">
            <v>L</v>
          </cell>
          <cell r="I10">
            <v>6</v>
          </cell>
          <cell r="J10">
            <v>195</v>
          </cell>
          <cell r="K10" t="str">
            <v>Level 2 ou 3</v>
          </cell>
          <cell r="L10">
            <v>945</v>
          </cell>
          <cell r="M10">
            <v>1</v>
          </cell>
          <cell r="N10" t="str">
            <v>Green</v>
          </cell>
          <cell r="O10" t="str">
            <v>NA</v>
          </cell>
          <cell r="P10" t="str">
            <v>Green</v>
          </cell>
          <cell r="Q10" t="str">
            <v>NA</v>
          </cell>
          <cell r="R10" t="str">
            <v>Dev.</v>
          </cell>
          <cell r="S10" t="str">
            <v>H. Rousselot</v>
          </cell>
          <cell r="T10" t="str">
            <v>A. Guirimand</v>
          </cell>
          <cell r="U10" t="str">
            <v>E Helfer</v>
          </cell>
          <cell r="V10" t="str">
            <v>J. Darabu</v>
          </cell>
          <cell r="W10" t="str">
            <v>S. EL HADJ</v>
          </cell>
          <cell r="X10" t="str">
            <v>Romain Pillet</v>
          </cell>
          <cell r="Y10" t="str">
            <v>S Bataliier</v>
          </cell>
          <cell r="Z10" t="str">
            <v>M. Vitry</v>
          </cell>
          <cell r="AA10">
            <v>42035</v>
          </cell>
          <cell r="AB10">
            <v>42035</v>
          </cell>
          <cell r="AC10">
            <v>42013</v>
          </cell>
          <cell r="AD10" t="str">
            <v>NA</v>
          </cell>
          <cell r="AE10" t="str">
            <v>NA</v>
          </cell>
          <cell r="AF10" t="str">
            <v>N/A</v>
          </cell>
          <cell r="AG10">
            <v>42063</v>
          </cell>
          <cell r="AH10">
            <v>42185</v>
          </cell>
          <cell r="AI10">
            <v>42075</v>
          </cell>
          <cell r="AK10" t="str">
            <v/>
          </cell>
          <cell r="AL10">
            <v>42146</v>
          </cell>
          <cell r="AM10" t="str">
            <v>N/A</v>
          </cell>
          <cell r="AN10">
            <v>42124</v>
          </cell>
          <cell r="AO10">
            <v>42202</v>
          </cell>
          <cell r="AP10">
            <v>42163</v>
          </cell>
          <cell r="AQ10">
            <v>42415</v>
          </cell>
          <cell r="AR10">
            <v>42202</v>
          </cell>
          <cell r="AS10" t="str">
            <v>O</v>
          </cell>
          <cell r="AT10">
            <v>42293</v>
          </cell>
          <cell r="AU10">
            <v>42202</v>
          </cell>
        </row>
        <row r="11">
          <cell r="A11" t="str">
            <v>ECO-HD</v>
          </cell>
          <cell r="B11" t="str">
            <v>E3137</v>
          </cell>
          <cell r="C11" t="str">
            <v>GoAIr</v>
          </cell>
          <cell r="D11" t="str">
            <v>GOW</v>
          </cell>
          <cell r="E11" t="str">
            <v>A320-neo</v>
          </cell>
          <cell r="F11" t="str">
            <v>A320</v>
          </cell>
          <cell r="G11" t="str">
            <v>L</v>
          </cell>
          <cell r="I11">
            <v>6</v>
          </cell>
          <cell r="J11" t="str">
            <v>=2x186+57x186</v>
          </cell>
          <cell r="K11" t="str">
            <v>Level 3</v>
          </cell>
          <cell r="M11">
            <v>2</v>
          </cell>
          <cell r="N11" t="str">
            <v>Green</v>
          </cell>
          <cell r="O11" t="str">
            <v>NA</v>
          </cell>
          <cell r="P11" t="str">
            <v>Green</v>
          </cell>
          <cell r="Q11" t="str">
            <v>NA</v>
          </cell>
          <cell r="R11" t="str">
            <v>Dev.</v>
          </cell>
          <cell r="T11" t="str">
            <v>Y.BENELHADJSAID</v>
          </cell>
          <cell r="U11" t="str">
            <v>J. Fosset</v>
          </cell>
          <cell r="V11" t="str">
            <v>J. Darabu</v>
          </cell>
          <cell r="W11" t="str">
            <v>S. EL HADJ</v>
          </cell>
          <cell r="X11" t="str">
            <v>TBD</v>
          </cell>
          <cell r="Y11" t="str">
            <v>A.Capkan</v>
          </cell>
          <cell r="Z11" t="str">
            <v>T. Zahid</v>
          </cell>
          <cell r="AA11">
            <v>42124</v>
          </cell>
          <cell r="AB11">
            <v>42124</v>
          </cell>
          <cell r="AC11">
            <v>42088</v>
          </cell>
          <cell r="AD11" t="str">
            <v>NA</v>
          </cell>
          <cell r="AE11" t="str">
            <v>NA</v>
          </cell>
          <cell r="AF11">
            <v>42128</v>
          </cell>
          <cell r="AG11">
            <v>42185</v>
          </cell>
          <cell r="AH11">
            <v>42279</v>
          </cell>
          <cell r="AI11">
            <v>42186</v>
          </cell>
          <cell r="AK11">
            <v>42282</v>
          </cell>
          <cell r="AM11" t="str">
            <v>N/A</v>
          </cell>
          <cell r="AN11">
            <v>42349</v>
          </cell>
          <cell r="AP11">
            <v>42353</v>
          </cell>
          <cell r="AR11">
            <v>42543</v>
          </cell>
          <cell r="AT11">
            <v>42503</v>
          </cell>
          <cell r="AU11">
            <v>42415</v>
          </cell>
        </row>
        <row r="12">
          <cell r="A12" t="str">
            <v>ECO-HD</v>
          </cell>
          <cell r="B12" t="str">
            <v>E3141</v>
          </cell>
          <cell r="C12" t="str">
            <v xml:space="preserve">Juneyao </v>
          </cell>
          <cell r="D12" t="str">
            <v>DKH</v>
          </cell>
          <cell r="E12" t="str">
            <v>A320-A321</v>
          </cell>
          <cell r="F12" t="str">
            <v>A320</v>
          </cell>
          <cell r="G12" t="str">
            <v>L</v>
          </cell>
          <cell r="H12" t="str">
            <v>R</v>
          </cell>
          <cell r="I12">
            <v>12</v>
          </cell>
          <cell r="J12" t="str">
            <v>=2*150+10*190</v>
          </cell>
          <cell r="K12" t="str">
            <v>Level 3</v>
          </cell>
          <cell r="N12" t="str">
            <v>Green</v>
          </cell>
          <cell r="P12" t="str">
            <v>Green</v>
          </cell>
          <cell r="R12" t="str">
            <v>Dev.</v>
          </cell>
          <cell r="S12" t="str">
            <v>H. Rousselot</v>
          </cell>
          <cell r="T12" t="str">
            <v>A. Guirimand</v>
          </cell>
          <cell r="U12" t="str">
            <v>J.N Vacher</v>
          </cell>
          <cell r="V12" t="str">
            <v>Y. El Harrak</v>
          </cell>
          <cell r="W12" t="str">
            <v>S. EL HADJ</v>
          </cell>
          <cell r="X12" t="str">
            <v>Romain Pillet</v>
          </cell>
          <cell r="Y12" t="str">
            <v>S. Batailler</v>
          </cell>
          <cell r="Z12" t="str">
            <v>L. Renou</v>
          </cell>
          <cell r="AA12">
            <v>42223</v>
          </cell>
          <cell r="AB12">
            <v>42195</v>
          </cell>
          <cell r="AC12">
            <v>42193</v>
          </cell>
          <cell r="AD12">
            <v>42244</v>
          </cell>
          <cell r="AE12">
            <v>42244</v>
          </cell>
          <cell r="AF12">
            <v>42251</v>
          </cell>
          <cell r="AG12">
            <v>42272</v>
          </cell>
          <cell r="AH12">
            <v>42307</v>
          </cell>
          <cell r="AI12">
            <v>42277</v>
          </cell>
          <cell r="AK12" t="str">
            <v/>
          </cell>
          <cell r="AL12">
            <v>42339</v>
          </cell>
          <cell r="AM12" t="str">
            <v>N/A</v>
          </cell>
          <cell r="AN12">
            <v>42349</v>
          </cell>
          <cell r="AP12">
            <v>42353</v>
          </cell>
          <cell r="AQ12">
            <v>42415</v>
          </cell>
          <cell r="AT12">
            <v>42507</v>
          </cell>
          <cell r="AU12">
            <v>42417</v>
          </cell>
        </row>
        <row r="13">
          <cell r="A13" t="str">
            <v>ECO-HD</v>
          </cell>
          <cell r="B13" t="str">
            <v>E3142</v>
          </cell>
          <cell r="C13" t="str">
            <v>PEGASUS</v>
          </cell>
          <cell r="D13" t="str">
            <v>PGT</v>
          </cell>
          <cell r="E13" t="str">
            <v>A320 CEO/NEO</v>
          </cell>
          <cell r="F13" t="str">
            <v>A320</v>
          </cell>
          <cell r="G13" t="str">
            <v>L</v>
          </cell>
          <cell r="I13">
            <v>59</v>
          </cell>
          <cell r="J13" t="str">
            <v>=2x186+57x186</v>
          </cell>
          <cell r="K13" t="str">
            <v>Level 2</v>
          </cell>
          <cell r="R13" t="str">
            <v>Dev.</v>
          </cell>
          <cell r="T13" t="str">
            <v>A. Guirimand</v>
          </cell>
          <cell r="U13" t="str">
            <v>J. Fosset</v>
          </cell>
          <cell r="V13" t="str">
            <v>J. Darabu</v>
          </cell>
          <cell r="W13" t="str">
            <v>S. EL HADJ</v>
          </cell>
          <cell r="X13" t="str">
            <v>T. Bacon</v>
          </cell>
          <cell r="Y13" t="str">
            <v>R. Mafat</v>
          </cell>
          <cell r="Z13" t="str">
            <v>R. Toyama</v>
          </cell>
          <cell r="AA13">
            <v>42279</v>
          </cell>
          <cell r="AB13">
            <v>42279</v>
          </cell>
          <cell r="AC13">
            <v>42255</v>
          </cell>
          <cell r="AD13">
            <v>42286</v>
          </cell>
          <cell r="AE13">
            <v>42293</v>
          </cell>
          <cell r="AF13">
            <v>42290</v>
          </cell>
          <cell r="AG13">
            <v>42321</v>
          </cell>
          <cell r="AI13">
            <v>42325</v>
          </cell>
          <cell r="AN13">
            <v>42405</v>
          </cell>
          <cell r="AP13">
            <v>42410</v>
          </cell>
          <cell r="AQ13">
            <v>42541</v>
          </cell>
          <cell r="AT13">
            <v>42561</v>
          </cell>
          <cell r="AU13">
            <v>42471</v>
          </cell>
        </row>
        <row r="14">
          <cell r="A14" t="str">
            <v>ECO-HD</v>
          </cell>
          <cell r="B14" t="str">
            <v>E3143</v>
          </cell>
          <cell r="C14" t="str">
            <v>PEGASUS</v>
          </cell>
          <cell r="D14" t="str">
            <v>PGT</v>
          </cell>
          <cell r="E14" t="str">
            <v>B737</v>
          </cell>
          <cell r="F14" t="str">
            <v>B737</v>
          </cell>
          <cell r="H14" t="str">
            <v>R</v>
          </cell>
          <cell r="I14">
            <v>25</v>
          </cell>
          <cell r="J14">
            <v>189</v>
          </cell>
          <cell r="K14" t="str">
            <v>Level 3</v>
          </cell>
          <cell r="R14" t="str">
            <v>Dev.</v>
          </cell>
          <cell r="T14" t="str">
            <v>A. Guirimand</v>
          </cell>
          <cell r="U14" t="str">
            <v>J. Fosset</v>
          </cell>
          <cell r="V14" t="str">
            <v>J. Darabu</v>
          </cell>
          <cell r="W14" t="str">
            <v>S. EL HADJ</v>
          </cell>
          <cell r="X14" t="str">
            <v>T. Bacon</v>
          </cell>
          <cell r="Y14" t="str">
            <v>S. Batailler</v>
          </cell>
          <cell r="Z14" t="str">
            <v>R. Toyama</v>
          </cell>
          <cell r="AA14">
            <v>42307</v>
          </cell>
          <cell r="AB14">
            <v>42307</v>
          </cell>
          <cell r="AC14">
            <v>42283</v>
          </cell>
          <cell r="AD14">
            <v>42335</v>
          </cell>
          <cell r="AF14">
            <v>42342</v>
          </cell>
          <cell r="AG14">
            <v>42349</v>
          </cell>
          <cell r="AI14">
            <v>42354</v>
          </cell>
          <cell r="AL14">
            <v>42446</v>
          </cell>
          <cell r="AN14">
            <v>42440</v>
          </cell>
          <cell r="AP14">
            <v>42447</v>
          </cell>
          <cell r="AQ14">
            <v>42464</v>
          </cell>
          <cell r="AT14">
            <v>42598</v>
          </cell>
          <cell r="AU14">
            <v>42508</v>
          </cell>
        </row>
        <row r="15">
          <cell r="A15" t="str">
            <v>ECO-HD</v>
          </cell>
          <cell r="B15" t="str">
            <v>E3144</v>
          </cell>
          <cell r="C15" t="str">
            <v>Honk Kong Express</v>
          </cell>
          <cell r="D15" t="str">
            <v>HKG</v>
          </cell>
          <cell r="E15" t="str">
            <v>A320-A321</v>
          </cell>
          <cell r="F15" t="str">
            <v>A320</v>
          </cell>
          <cell r="G15" t="str">
            <v>L</v>
          </cell>
          <cell r="H15" t="str">
            <v>R</v>
          </cell>
          <cell r="I15">
            <v>8</v>
          </cell>
          <cell r="J15" t="str">
            <v>188 (A320) 230 (A321)</v>
          </cell>
          <cell r="K15" t="str">
            <v>Level 4</v>
          </cell>
          <cell r="N15" t="str">
            <v>Orange</v>
          </cell>
          <cell r="O15" t="str">
            <v>CR due to unexpected certif campaign (Amsafe equipment)</v>
          </cell>
          <cell r="P15" t="str">
            <v>Orange</v>
          </cell>
          <cell r="Q15" t="str">
            <v>Late certif campaign</v>
          </cell>
          <cell r="R15" t="str">
            <v>Dev.</v>
          </cell>
          <cell r="S15" t="str">
            <v>J. Berger</v>
          </cell>
          <cell r="T15" t="str">
            <v>S.Tanguy</v>
          </cell>
          <cell r="U15" t="str">
            <v>C. Accolas</v>
          </cell>
          <cell r="V15" t="str">
            <v>Y. El Harrak</v>
          </cell>
          <cell r="W15" t="str">
            <v>S. EL HADJ</v>
          </cell>
          <cell r="X15" t="str">
            <v>J. Layet</v>
          </cell>
          <cell r="Y15" t="str">
            <v>R. Mafat</v>
          </cell>
          <cell r="Z15" t="str">
            <v>T. Zahid</v>
          </cell>
          <cell r="AA15">
            <v>42286</v>
          </cell>
          <cell r="AB15">
            <v>42300</v>
          </cell>
          <cell r="AC15">
            <v>42270</v>
          </cell>
          <cell r="AD15">
            <v>41759</v>
          </cell>
          <cell r="AE15">
            <v>41820</v>
          </cell>
          <cell r="AF15">
            <v>42325</v>
          </cell>
          <cell r="AG15">
            <v>42377</v>
          </cell>
          <cell r="AH15">
            <v>41973</v>
          </cell>
          <cell r="AI15">
            <v>42381</v>
          </cell>
          <cell r="AK15">
            <v>42009</v>
          </cell>
          <cell r="AL15">
            <v>42234</v>
          </cell>
          <cell r="AM15" t="str">
            <v>N/A</v>
          </cell>
          <cell r="AN15">
            <v>42447</v>
          </cell>
          <cell r="AO15">
            <v>42356</v>
          </cell>
          <cell r="AP15">
            <v>42452</v>
          </cell>
          <cell r="AQ15">
            <v>42265</v>
          </cell>
          <cell r="AR15">
            <v>42384</v>
          </cell>
          <cell r="AT15">
            <v>42633</v>
          </cell>
          <cell r="AU15">
            <v>42543</v>
          </cell>
        </row>
        <row r="16">
          <cell r="A16" t="str">
            <v>ECO-HD</v>
          </cell>
          <cell r="B16" t="str">
            <v>E3145</v>
          </cell>
          <cell r="C16" t="str">
            <v>URAL AIRLINES</v>
          </cell>
          <cell r="D16" t="str">
            <v>SVR</v>
          </cell>
          <cell r="E16" t="str">
            <v>A320-A321</v>
          </cell>
          <cell r="F16" t="str">
            <v>A320</v>
          </cell>
          <cell r="G16" t="str">
            <v>L</v>
          </cell>
          <cell r="H16" t="str">
            <v>R</v>
          </cell>
          <cell r="I16" t="str">
            <v>5+1</v>
          </cell>
          <cell r="J16" t="str">
            <v>144/220</v>
          </cell>
          <cell r="K16" t="str">
            <v>Level 4</v>
          </cell>
          <cell r="N16" t="str">
            <v>Green</v>
          </cell>
          <cell r="O16" t="str">
            <v>??</v>
          </cell>
          <cell r="P16" t="str">
            <v>Orange</v>
          </cell>
          <cell r="Q16" t="str">
            <v>Many CR</v>
          </cell>
          <cell r="R16" t="str">
            <v>Dev.</v>
          </cell>
          <cell r="S16" t="str">
            <v>C. Hee</v>
          </cell>
          <cell r="T16" t="str">
            <v>M. Moustadraf</v>
          </cell>
          <cell r="U16" t="str">
            <v>P. Ghasarian</v>
          </cell>
          <cell r="V16" t="str">
            <v>Y. El Harrak</v>
          </cell>
          <cell r="W16" t="str">
            <v>S. EL HADJ</v>
          </cell>
          <cell r="X16" t="str">
            <v>J. Layet</v>
          </cell>
          <cell r="Y16" t="str">
            <v>A. Capkan</v>
          </cell>
          <cell r="Z16" t="str">
            <v>T. Zahid</v>
          </cell>
          <cell r="AA16">
            <v>41790</v>
          </cell>
          <cell r="AB16">
            <v>41790</v>
          </cell>
          <cell r="AC16">
            <v>41779</v>
          </cell>
          <cell r="AD16">
            <v>41882</v>
          </cell>
          <cell r="AE16">
            <v>42004</v>
          </cell>
          <cell r="AF16">
            <v>41877</v>
          </cell>
          <cell r="AG16">
            <v>42094</v>
          </cell>
          <cell r="AH16" t="str">
            <v>O</v>
          </cell>
          <cell r="AI16">
            <v>42093</v>
          </cell>
          <cell r="AK16">
            <v>42189</v>
          </cell>
          <cell r="AL16">
            <v>42277</v>
          </cell>
          <cell r="AM16" t="str">
            <v>N/A</v>
          </cell>
          <cell r="AN16">
            <v>42349</v>
          </cell>
          <cell r="AP16">
            <v>42338</v>
          </cell>
          <cell r="AQ16">
            <v>42411</v>
          </cell>
          <cell r="AR16">
            <v>42464</v>
          </cell>
          <cell r="AT16">
            <v>42517</v>
          </cell>
          <cell r="AU16">
            <v>42464</v>
          </cell>
        </row>
        <row r="17">
          <cell r="A17" t="str">
            <v>ECO-LR</v>
          </cell>
          <cell r="B17" t="str">
            <v>E3807</v>
          </cell>
          <cell r="C17" t="str">
            <v>Japan Airlines</v>
          </cell>
          <cell r="D17" t="str">
            <v>JAL</v>
          </cell>
          <cell r="E17" t="str">
            <v>B777-200E</v>
          </cell>
          <cell r="F17" t="str">
            <v>B777</v>
          </cell>
          <cell r="G17" t="str">
            <v>L</v>
          </cell>
          <cell r="H17" t="str">
            <v>R</v>
          </cell>
          <cell r="I17">
            <v>8</v>
          </cell>
          <cell r="J17">
            <v>40</v>
          </cell>
          <cell r="K17" t="str">
            <v>Level 3</v>
          </cell>
          <cell r="N17" t="str">
            <v>Orange</v>
          </cell>
          <cell r="O17" t="str">
            <v>CR due to unexpected certif campaign (Amsafe equipment)</v>
          </cell>
          <cell r="P17" t="str">
            <v>Orange</v>
          </cell>
          <cell r="Q17" t="str">
            <v>Late certif campaign</v>
          </cell>
          <cell r="R17" t="str">
            <v>Dev.</v>
          </cell>
          <cell r="S17" t="str">
            <v>J. Berger</v>
          </cell>
          <cell r="T17" t="str">
            <v>B. MERCIER</v>
          </cell>
          <cell r="U17" t="str">
            <v>C. Accolas</v>
          </cell>
          <cell r="V17" t="str">
            <v>L. Béaur</v>
          </cell>
          <cell r="W17" t="str">
            <v>M. Pansier</v>
          </cell>
          <cell r="X17" t="str">
            <v>J. Layet</v>
          </cell>
          <cell r="Y17" t="str">
            <v>R. Mafat</v>
          </cell>
          <cell r="Z17" t="str">
            <v>F. Rosaz</v>
          </cell>
          <cell r="AA17">
            <v>41698</v>
          </cell>
          <cell r="AB17">
            <v>41698</v>
          </cell>
          <cell r="AC17">
            <v>41659</v>
          </cell>
          <cell r="AD17">
            <v>41759</v>
          </cell>
          <cell r="AE17">
            <v>41820</v>
          </cell>
          <cell r="AF17">
            <v>41739</v>
          </cell>
          <cell r="AG17">
            <v>41912</v>
          </cell>
          <cell r="AH17">
            <v>41973</v>
          </cell>
          <cell r="AI17">
            <v>41913</v>
          </cell>
          <cell r="AK17">
            <v>42009</v>
          </cell>
          <cell r="AL17">
            <v>42234</v>
          </cell>
          <cell r="AM17" t="str">
            <v>N/A</v>
          </cell>
          <cell r="AN17">
            <v>42124</v>
          </cell>
          <cell r="AO17" t="str">
            <v>O</v>
          </cell>
          <cell r="AP17">
            <v>42283</v>
          </cell>
          <cell r="AQ17">
            <v>42265</v>
          </cell>
          <cell r="AR17">
            <v>42384</v>
          </cell>
          <cell r="AT17">
            <v>42440</v>
          </cell>
          <cell r="AU17">
            <v>42348</v>
          </cell>
        </row>
        <row r="18">
          <cell r="A18" t="str">
            <v>ECO-LR</v>
          </cell>
          <cell r="B18" t="str">
            <v>E3808</v>
          </cell>
          <cell r="C18" t="str">
            <v>China Airlines</v>
          </cell>
          <cell r="D18" t="str">
            <v>CAL</v>
          </cell>
          <cell r="E18" t="str">
            <v>A350</v>
          </cell>
          <cell r="F18" t="str">
            <v>A350</v>
          </cell>
          <cell r="G18" t="str">
            <v>L</v>
          </cell>
          <cell r="I18">
            <v>14</v>
          </cell>
          <cell r="J18">
            <v>31</v>
          </cell>
          <cell r="K18" t="str">
            <v>Level 4</v>
          </cell>
          <cell r="N18" t="str">
            <v>Green</v>
          </cell>
          <cell r="O18" t="str">
            <v>??</v>
          </cell>
          <cell r="P18" t="str">
            <v>Orange</v>
          </cell>
          <cell r="Q18" t="str">
            <v>Many CR</v>
          </cell>
          <cell r="R18" t="str">
            <v>Dev.</v>
          </cell>
          <cell r="S18" t="str">
            <v>C. Hee</v>
          </cell>
          <cell r="T18" t="str">
            <v>B. MERCIER</v>
          </cell>
          <cell r="U18" t="str">
            <v>E. Helfer</v>
          </cell>
          <cell r="V18" t="str">
            <v>J. Busson</v>
          </cell>
          <cell r="W18" t="str">
            <v>M. Pansier</v>
          </cell>
          <cell r="X18" t="str">
            <v>J. Layet</v>
          </cell>
          <cell r="Y18" t="str">
            <v>A. Capkan</v>
          </cell>
          <cell r="Z18" t="str">
            <v>F. Rosaz</v>
          </cell>
          <cell r="AA18">
            <v>41790</v>
          </cell>
          <cell r="AB18">
            <v>41790</v>
          </cell>
          <cell r="AC18">
            <v>41779</v>
          </cell>
          <cell r="AD18">
            <v>41882</v>
          </cell>
          <cell r="AE18">
            <v>42004</v>
          </cell>
          <cell r="AF18">
            <v>41877</v>
          </cell>
          <cell r="AG18">
            <v>42094</v>
          </cell>
          <cell r="AH18" t="str">
            <v>O</v>
          </cell>
          <cell r="AI18">
            <v>42093</v>
          </cell>
          <cell r="AJ18" t="str">
            <v>na</v>
          </cell>
          <cell r="AK18">
            <v>42189</v>
          </cell>
          <cell r="AL18">
            <v>42277</v>
          </cell>
          <cell r="AM18" t="str">
            <v>N/A</v>
          </cell>
          <cell r="AN18">
            <v>42335</v>
          </cell>
          <cell r="AO18">
            <v>42216</v>
          </cell>
          <cell r="AP18">
            <v>42338</v>
          </cell>
          <cell r="AQ18">
            <v>42411</v>
          </cell>
          <cell r="AR18">
            <v>42464</v>
          </cell>
          <cell r="AS18" t="str">
            <v>O</v>
          </cell>
          <cell r="AT18">
            <v>42517</v>
          </cell>
          <cell r="AU18">
            <v>42429</v>
          </cell>
        </row>
        <row r="19">
          <cell r="A19" t="str">
            <v>ECO-LR</v>
          </cell>
          <cell r="B19" t="str">
            <v>E3809</v>
          </cell>
          <cell r="C19" t="str">
            <v>Air France</v>
          </cell>
          <cell r="D19" t="str">
            <v>AFR</v>
          </cell>
          <cell r="E19" t="str">
            <v>B787</v>
          </cell>
          <cell r="F19" t="str">
            <v>B787</v>
          </cell>
          <cell r="G19" t="str">
            <v>L</v>
          </cell>
          <cell r="I19">
            <v>12</v>
          </cell>
          <cell r="J19">
            <v>21</v>
          </cell>
          <cell r="K19" t="str">
            <v>Level 4</v>
          </cell>
          <cell r="N19" t="str">
            <v>Green</v>
          </cell>
          <cell r="O19" t="str">
            <v>??</v>
          </cell>
          <cell r="P19" t="str">
            <v>Orange</v>
          </cell>
          <cell r="Q19" t="str">
            <v>CAD data transfert (P/E =&gt; Catia)</v>
          </cell>
          <cell r="R19" t="str">
            <v>Dev.</v>
          </cell>
          <cell r="S19" t="str">
            <v>C. Hee</v>
          </cell>
          <cell r="T19" t="str">
            <v>B. MERCIER</v>
          </cell>
          <cell r="U19" t="str">
            <v>Y. Amalric</v>
          </cell>
          <cell r="V19" t="str">
            <v>J. Busson</v>
          </cell>
          <cell r="W19" t="str">
            <v>M. Pansier</v>
          </cell>
          <cell r="X19" t="str">
            <v>J. Layet</v>
          </cell>
          <cell r="Y19" t="str">
            <v>M. Peres</v>
          </cell>
          <cell r="Z19" t="str">
            <v>F. Rosaz</v>
          </cell>
          <cell r="AA19">
            <v>41943</v>
          </cell>
          <cell r="AB19">
            <v>41943</v>
          </cell>
          <cell r="AC19">
            <v>41918</v>
          </cell>
          <cell r="AD19">
            <v>42063</v>
          </cell>
          <cell r="AE19">
            <v>42185</v>
          </cell>
          <cell r="AF19">
            <v>42067</v>
          </cell>
          <cell r="AG19">
            <v>42265</v>
          </cell>
          <cell r="AH19">
            <v>42335</v>
          </cell>
          <cell r="AI19">
            <v>42269</v>
          </cell>
          <cell r="AK19">
            <v>42365</v>
          </cell>
          <cell r="AL19">
            <v>42454</v>
          </cell>
          <cell r="AM19" t="str">
            <v>N/A</v>
          </cell>
          <cell r="AN19">
            <v>42496</v>
          </cell>
          <cell r="AP19">
            <v>42500</v>
          </cell>
          <cell r="AQ19">
            <v>42538</v>
          </cell>
          <cell r="AR19">
            <v>42644</v>
          </cell>
          <cell r="AT19">
            <v>42678</v>
          </cell>
          <cell r="AU19">
            <v>42585</v>
          </cell>
        </row>
        <row r="20">
          <cell r="A20" t="str">
            <v>ECO-LR</v>
          </cell>
          <cell r="B20" t="str">
            <v>EZ111</v>
          </cell>
          <cell r="C20" t="str">
            <v>Airbus Military</v>
          </cell>
          <cell r="D20" t="str">
            <v>A_m</v>
          </cell>
          <cell r="E20" t="str">
            <v>A330</v>
          </cell>
          <cell r="F20" t="str">
            <v>A330</v>
          </cell>
          <cell r="G20" t="str">
            <v>L</v>
          </cell>
          <cell r="I20">
            <v>6</v>
          </cell>
          <cell r="J20">
            <v>236</v>
          </cell>
          <cell r="K20" t="str">
            <v>Level 2</v>
          </cell>
          <cell r="M20">
            <v>2</v>
          </cell>
          <cell r="N20" t="str">
            <v>Orange</v>
          </cell>
          <cell r="O20" t="str">
            <v>3 major pick up</v>
          </cell>
          <cell r="P20" t="str">
            <v>Orange</v>
          </cell>
          <cell r="Q20" t="str">
            <v>fai postponed twice for shortage parts</v>
          </cell>
          <cell r="R20" t="str">
            <v>Dev.</v>
          </cell>
          <cell r="S20" t="str">
            <v>Mélanie Michaux</v>
          </cell>
          <cell r="T20" t="str">
            <v>R. Benjelloun</v>
          </cell>
          <cell r="U20" t="str">
            <v>R. Lang</v>
          </cell>
          <cell r="V20" t="str">
            <v>L. Béaur</v>
          </cell>
          <cell r="W20" t="str">
            <v>M. Pansier</v>
          </cell>
          <cell r="X20" t="str">
            <v>Diego Vergas</v>
          </cell>
          <cell r="Y20" t="str">
            <v>G. Boubault</v>
          </cell>
          <cell r="Z20" t="str">
            <v>I. Dohogne</v>
          </cell>
          <cell r="AA20">
            <v>41851</v>
          </cell>
          <cell r="AB20">
            <v>41851</v>
          </cell>
          <cell r="AC20">
            <v>41816</v>
          </cell>
          <cell r="AD20">
            <v>41912</v>
          </cell>
          <cell r="AE20">
            <v>41943</v>
          </cell>
          <cell r="AF20">
            <v>41906</v>
          </cell>
          <cell r="AG20">
            <v>41973</v>
          </cell>
          <cell r="AH20">
            <v>42035</v>
          </cell>
          <cell r="AI20">
            <v>41963</v>
          </cell>
          <cell r="AJ20" t="str">
            <v>na</v>
          </cell>
          <cell r="AK20">
            <v>42059</v>
          </cell>
          <cell r="AL20">
            <v>42077</v>
          </cell>
          <cell r="AM20" t="str">
            <v>N/A</v>
          </cell>
          <cell r="AN20">
            <v>42124</v>
          </cell>
          <cell r="AO20">
            <v>42216</v>
          </cell>
          <cell r="AP20">
            <v>42143</v>
          </cell>
          <cell r="AQ20">
            <v>42170</v>
          </cell>
          <cell r="AR20">
            <v>42737</v>
          </cell>
          <cell r="AS20" t="str">
            <v>O</v>
          </cell>
          <cell r="AT20">
            <v>42258</v>
          </cell>
          <cell r="AU20">
            <v>42174</v>
          </cell>
        </row>
        <row r="21">
          <cell r="A21" t="str">
            <v>ECO-LR</v>
          </cell>
          <cell r="B21" t="str">
            <v>EZ112</v>
          </cell>
          <cell r="C21" t="str">
            <v>Airbus Military</v>
          </cell>
          <cell r="D21" t="str">
            <v>A_m</v>
          </cell>
          <cell r="E21" t="str">
            <v>A330</v>
          </cell>
          <cell r="F21" t="str">
            <v>A330</v>
          </cell>
          <cell r="G21" t="str">
            <v>L</v>
          </cell>
          <cell r="I21">
            <v>12</v>
          </cell>
          <cell r="J21" t="str">
            <v>86/272</v>
          </cell>
          <cell r="K21" t="str">
            <v>Level 2</v>
          </cell>
          <cell r="N21" t="str">
            <v>Green</v>
          </cell>
          <cell r="O21" t="str">
            <v>NA</v>
          </cell>
          <cell r="P21" t="str">
            <v>Orange</v>
          </cell>
          <cell r="Q21" t="str">
            <v>PC/USB design freeze</v>
          </cell>
          <cell r="R21" t="str">
            <v>Dev.</v>
          </cell>
          <cell r="S21" t="str">
            <v>J. Berger</v>
          </cell>
          <cell r="T21" t="str">
            <v>J. Narcisse</v>
          </cell>
          <cell r="U21" t="str">
            <v>Y. Amalric</v>
          </cell>
          <cell r="V21" t="str">
            <v>L. Béaur</v>
          </cell>
          <cell r="W21" t="str">
            <v>M. Pansier</v>
          </cell>
          <cell r="X21" t="str">
            <v>Diego Vergas</v>
          </cell>
          <cell r="Y21" t="str">
            <v>C. Pauty</v>
          </cell>
          <cell r="Z21" t="str">
            <v>D. Bernard</v>
          </cell>
          <cell r="AA21">
            <v>42155</v>
          </cell>
          <cell r="AB21">
            <v>42155</v>
          </cell>
          <cell r="AC21">
            <v>42128</v>
          </cell>
          <cell r="AD21">
            <v>42185</v>
          </cell>
          <cell r="AE21" t="str">
            <v>O</v>
          </cell>
          <cell r="AF21">
            <v>42187</v>
          </cell>
          <cell r="AG21">
            <v>42265</v>
          </cell>
          <cell r="AI21">
            <v>42269</v>
          </cell>
          <cell r="AK21">
            <v>42365</v>
          </cell>
          <cell r="AL21">
            <v>42361</v>
          </cell>
          <cell r="AM21" t="str">
            <v>N/A</v>
          </cell>
          <cell r="AN21">
            <v>42419</v>
          </cell>
          <cell r="AP21">
            <v>42423</v>
          </cell>
          <cell r="AQ21">
            <v>42459</v>
          </cell>
          <cell r="AR21">
            <v>42887</v>
          </cell>
          <cell r="AT21">
            <v>42552</v>
          </cell>
          <cell r="AU21">
            <v>42461</v>
          </cell>
        </row>
        <row r="22">
          <cell r="A22" t="str">
            <v>ECO-LR</v>
          </cell>
          <cell r="B22" t="str">
            <v>EZ113</v>
          </cell>
          <cell r="C22" t="str">
            <v>Middle East Airlines</v>
          </cell>
          <cell r="D22" t="str">
            <v>MEA</v>
          </cell>
          <cell r="E22" t="str">
            <v>A330</v>
          </cell>
          <cell r="F22" t="str">
            <v>A330</v>
          </cell>
          <cell r="G22" t="str">
            <v>L</v>
          </cell>
          <cell r="I22">
            <v>1</v>
          </cell>
          <cell r="J22">
            <v>200</v>
          </cell>
          <cell r="K22" t="str">
            <v>Level 2</v>
          </cell>
          <cell r="M22">
            <v>2</v>
          </cell>
          <cell r="N22" t="str">
            <v>Orange</v>
          </cell>
          <cell r="O22" t="str">
            <v>CR and lead time is not acceptable for MEA</v>
          </cell>
          <cell r="P22" t="str">
            <v xml:space="preserve">Green </v>
          </cell>
          <cell r="Q22" t="str">
            <v xml:space="preserve">No Certification </v>
          </cell>
          <cell r="R22" t="str">
            <v>Dev.</v>
          </cell>
          <cell r="S22" t="str">
            <v>J. Berger</v>
          </cell>
          <cell r="T22" t="str">
            <v>C. Lasalle</v>
          </cell>
          <cell r="U22" t="str">
            <v>J. Fosset</v>
          </cell>
          <cell r="V22" t="str">
            <v>D. Cordeau</v>
          </cell>
          <cell r="W22" t="str">
            <v>M. Pansier</v>
          </cell>
          <cell r="X22" t="str">
            <v>Diego Vergas</v>
          </cell>
          <cell r="Y22" t="str">
            <v>R. Mafat</v>
          </cell>
          <cell r="Z22" t="str">
            <v>S. Amar KHAN</v>
          </cell>
          <cell r="AA22">
            <v>42185</v>
          </cell>
          <cell r="AB22">
            <v>42185</v>
          </cell>
          <cell r="AC22">
            <v>42159</v>
          </cell>
          <cell r="AD22">
            <v>42188</v>
          </cell>
          <cell r="AE22">
            <v>42216</v>
          </cell>
          <cell r="AF22">
            <v>42192</v>
          </cell>
          <cell r="AG22">
            <v>42216</v>
          </cell>
          <cell r="AH22" t="str">
            <v>O</v>
          </cell>
          <cell r="AI22">
            <v>42223</v>
          </cell>
          <cell r="AJ22" t="str">
            <v>N/A</v>
          </cell>
          <cell r="AK22" t="str">
            <v>N/A</v>
          </cell>
          <cell r="AL22">
            <v>42320</v>
          </cell>
          <cell r="AM22" t="str">
            <v>N/A</v>
          </cell>
          <cell r="AN22">
            <v>42335</v>
          </cell>
          <cell r="AP22">
            <v>42340</v>
          </cell>
          <cell r="AQ22">
            <v>42415</v>
          </cell>
          <cell r="AR22" t="str">
            <v>N/A</v>
          </cell>
          <cell r="AT22">
            <v>42503</v>
          </cell>
          <cell r="AU22">
            <v>42416</v>
          </cell>
        </row>
        <row r="23">
          <cell r="A23" t="str">
            <v>ECO-LR</v>
          </cell>
          <cell r="B23" t="str">
            <v>EZ114</v>
          </cell>
          <cell r="C23" t="str">
            <v xml:space="preserve">RwandAir </v>
          </cell>
          <cell r="D23" t="str">
            <v>RWD</v>
          </cell>
          <cell r="E23" t="str">
            <v>A330</v>
          </cell>
          <cell r="F23" t="str">
            <v>A330</v>
          </cell>
          <cell r="G23" t="str">
            <v>L</v>
          </cell>
          <cell r="I23">
            <v>2</v>
          </cell>
          <cell r="J23" t="str">
            <v>203 and 223</v>
          </cell>
          <cell r="K23" t="str">
            <v>Level 3</v>
          </cell>
          <cell r="N23" t="str">
            <v>Orange</v>
          </cell>
          <cell r="O23" t="str">
            <v>Boeing drawings approval not finished yet / Boeing SI AS9102</v>
          </cell>
          <cell r="P23" t="str">
            <v>Orange</v>
          </cell>
          <cell r="Q23" t="str">
            <v>Quality issues</v>
          </cell>
          <cell r="R23" t="str">
            <v>Dev.</v>
          </cell>
          <cell r="S23" t="str">
            <v>J. Berger</v>
          </cell>
          <cell r="T23" t="str">
            <v>J. Narcisse</v>
          </cell>
          <cell r="U23" t="str">
            <v>P. Ghasarian</v>
          </cell>
          <cell r="V23" t="str">
            <v>A. Grébert</v>
          </cell>
          <cell r="W23" t="str">
            <v>M. Pansier</v>
          </cell>
          <cell r="X23" t="str">
            <v>Diego Vargas</v>
          </cell>
          <cell r="Y23" t="str">
            <v>S. Batailler</v>
          </cell>
          <cell r="Z23" t="str">
            <v>Syed Amar KHAN</v>
          </cell>
          <cell r="AA23">
            <v>42265</v>
          </cell>
          <cell r="AB23">
            <v>42279</v>
          </cell>
          <cell r="AC23">
            <v>42242</v>
          </cell>
          <cell r="AD23">
            <v>41394</v>
          </cell>
          <cell r="AE23">
            <v>41547</v>
          </cell>
          <cell r="AF23">
            <v>42285</v>
          </cell>
          <cell r="AG23">
            <v>41790</v>
          </cell>
          <cell r="AH23">
            <v>41912</v>
          </cell>
          <cell r="AI23">
            <v>42382</v>
          </cell>
          <cell r="AJ23" t="str">
            <v>**</v>
          </cell>
          <cell r="AK23">
            <v>41897</v>
          </cell>
          <cell r="AL23">
            <v>42475</v>
          </cell>
          <cell r="AM23" t="str">
            <v>N/A</v>
          </cell>
          <cell r="AN23">
            <v>42489</v>
          </cell>
          <cell r="AO23">
            <v>41973</v>
          </cell>
          <cell r="AP23">
            <v>42495</v>
          </cell>
          <cell r="AT23">
            <v>42673</v>
          </cell>
          <cell r="AU23">
            <v>42583</v>
          </cell>
        </row>
        <row r="24">
          <cell r="A24" t="str">
            <v>ECO-LR</v>
          </cell>
          <cell r="B24" t="str">
            <v>EZ115</v>
          </cell>
          <cell r="C24" t="str">
            <v>Airbus Defence &amp; Space MRTT (Korea Army)</v>
          </cell>
          <cell r="D24" t="str">
            <v>A_m</v>
          </cell>
          <cell r="E24" t="str">
            <v>B787</v>
          </cell>
          <cell r="F24" t="str">
            <v>A330</v>
          </cell>
          <cell r="G24" t="str">
            <v>L</v>
          </cell>
          <cell r="I24">
            <v>16</v>
          </cell>
          <cell r="J24">
            <v>264</v>
          </cell>
          <cell r="K24" t="str">
            <v>Level 4</v>
          </cell>
          <cell r="N24" t="str">
            <v>Orange</v>
          </cell>
          <cell r="O24" t="str">
            <v>Still design topics to be frozen</v>
          </cell>
          <cell r="P24" t="str">
            <v>Orange</v>
          </cell>
          <cell r="Q24" t="str">
            <v>ph2 closed 6 months late (dec'14 instead of june'14)</v>
          </cell>
          <cell r="R24" t="str">
            <v>Dev.</v>
          </cell>
          <cell r="T24" t="str">
            <v>E. Charlotte</v>
          </cell>
          <cell r="U24" t="str">
            <v>S. Moulin</v>
          </cell>
          <cell r="V24" t="str">
            <v>D. Cordeau</v>
          </cell>
          <cell r="X24" t="str">
            <v>A. Cottet</v>
          </cell>
          <cell r="Z24" t="str">
            <v>Syed Amar KHAN</v>
          </cell>
          <cell r="AA24">
            <v>41608</v>
          </cell>
          <cell r="AB24">
            <v>41639</v>
          </cell>
          <cell r="AC24">
            <v>42338</v>
          </cell>
          <cell r="AD24">
            <v>41759</v>
          </cell>
          <cell r="AE24">
            <v>41759</v>
          </cell>
          <cell r="AF24">
            <v>42401</v>
          </cell>
          <cell r="AG24">
            <v>42489</v>
          </cell>
          <cell r="AH24">
            <v>42004</v>
          </cell>
          <cell r="AI24">
            <v>42491</v>
          </cell>
          <cell r="AK24">
            <v>41898</v>
          </cell>
          <cell r="AL24">
            <v>42114</v>
          </cell>
          <cell r="AM24" t="str">
            <v>N/A</v>
          </cell>
          <cell r="AN24">
            <v>42636</v>
          </cell>
          <cell r="AO24">
            <v>42277</v>
          </cell>
          <cell r="AP24">
            <v>42644</v>
          </cell>
          <cell r="AQ24">
            <v>42180</v>
          </cell>
          <cell r="AR24">
            <v>42622</v>
          </cell>
          <cell r="AT24">
            <v>42391</v>
          </cell>
          <cell r="AU24">
            <v>42768</v>
          </cell>
        </row>
        <row r="25">
          <cell r="A25" t="str">
            <v>ECO-LR</v>
          </cell>
          <cell r="B25" t="str">
            <v>EZ302</v>
          </cell>
          <cell r="C25" t="str">
            <v>AF</v>
          </cell>
          <cell r="D25" t="str">
            <v>AFR</v>
          </cell>
          <cell r="E25" t="str">
            <v>B777-300</v>
          </cell>
          <cell r="F25" t="str">
            <v>B777</v>
          </cell>
          <cell r="G25" t="str">
            <v>L</v>
          </cell>
          <cell r="I25">
            <v>4</v>
          </cell>
          <cell r="J25">
            <v>315</v>
          </cell>
          <cell r="K25" t="str">
            <v>Level 4</v>
          </cell>
          <cell r="N25" t="str">
            <v>Orange</v>
          </cell>
          <cell r="O25" t="str">
            <v>Boeing drawings approval not finished yet / Boeing SI AS9102</v>
          </cell>
          <cell r="P25" t="str">
            <v>Orange</v>
          </cell>
          <cell r="Q25" t="str">
            <v>Quality issues</v>
          </cell>
          <cell r="R25" t="str">
            <v>Prod.</v>
          </cell>
          <cell r="T25" t="str">
            <v>E. Charlotte</v>
          </cell>
          <cell r="U25" t="str">
            <v>S. Moulin</v>
          </cell>
          <cell r="V25" t="str">
            <v>S. Jan</v>
          </cell>
          <cell r="W25" t="str">
            <v>M. Pansier</v>
          </cell>
          <cell r="Z25" t="str">
            <v>T. Auger</v>
          </cell>
          <cell r="AA25">
            <v>41364</v>
          </cell>
          <cell r="AB25">
            <v>41425</v>
          </cell>
          <cell r="AC25">
            <v>41325</v>
          </cell>
          <cell r="AD25">
            <v>41394</v>
          </cell>
          <cell r="AE25">
            <v>41547</v>
          </cell>
          <cell r="AF25">
            <v>41381</v>
          </cell>
          <cell r="AG25">
            <v>41790</v>
          </cell>
          <cell r="AH25">
            <v>41912</v>
          </cell>
          <cell r="AI25">
            <v>41801</v>
          </cell>
          <cell r="AJ25" t="str">
            <v>**</v>
          </cell>
          <cell r="AK25">
            <v>41897</v>
          </cell>
          <cell r="AL25" t="str">
            <v>NA</v>
          </cell>
          <cell r="AM25" t="str">
            <v>N/A</v>
          </cell>
          <cell r="AN25">
            <v>41912</v>
          </cell>
          <cell r="AO25">
            <v>41973</v>
          </cell>
          <cell r="AP25">
            <v>41912</v>
          </cell>
          <cell r="AQ25">
            <v>42524</v>
          </cell>
          <cell r="AR25">
            <v>42644</v>
          </cell>
          <cell r="AS25" t="str">
            <v>O</v>
          </cell>
          <cell r="AT25">
            <v>42216</v>
          </cell>
          <cell r="AU25">
            <v>42064</v>
          </cell>
        </row>
        <row r="26">
          <cell r="A26" t="str">
            <v>ECO-LR</v>
          </cell>
          <cell r="B26" t="str">
            <v>EZ303</v>
          </cell>
          <cell r="C26" t="str">
            <v>KLM</v>
          </cell>
          <cell r="D26" t="str">
            <v>KLM</v>
          </cell>
          <cell r="E26" t="str">
            <v>B787</v>
          </cell>
          <cell r="F26" t="str">
            <v>B787</v>
          </cell>
          <cell r="G26" t="str">
            <v>L</v>
          </cell>
          <cell r="I26">
            <v>16</v>
          </cell>
          <cell r="J26">
            <v>264</v>
          </cell>
          <cell r="K26" t="str">
            <v>Level 4</v>
          </cell>
          <cell r="N26" t="str">
            <v>Orange</v>
          </cell>
          <cell r="O26" t="str">
            <v>Still design topics to be frozen</v>
          </cell>
          <cell r="P26" t="str">
            <v>Orange</v>
          </cell>
          <cell r="Q26" t="str">
            <v>ph2 closed 6 months late (dec'14 instead of june'14)</v>
          </cell>
          <cell r="R26" t="str">
            <v>Dev.</v>
          </cell>
          <cell r="S26" t="str">
            <v>C. Hee</v>
          </cell>
          <cell r="T26" t="str">
            <v>E. Charlotte</v>
          </cell>
          <cell r="U26" t="str">
            <v>S. Moulin</v>
          </cell>
          <cell r="V26" t="str">
            <v>L. Béaur</v>
          </cell>
          <cell r="W26" t="str">
            <v>M. Pansier</v>
          </cell>
          <cell r="X26" t="str">
            <v>A. Cottet</v>
          </cell>
          <cell r="Y26" t="str">
            <v>T.Fleury</v>
          </cell>
          <cell r="Z26" t="str">
            <v>T. Auger</v>
          </cell>
          <cell r="AA26">
            <v>41608</v>
          </cell>
          <cell r="AB26">
            <v>41639</v>
          </cell>
          <cell r="AC26">
            <v>41585</v>
          </cell>
          <cell r="AD26">
            <v>41759</v>
          </cell>
          <cell r="AE26">
            <v>41759</v>
          </cell>
          <cell r="AF26">
            <v>41704</v>
          </cell>
          <cell r="AG26">
            <v>41820</v>
          </cell>
          <cell r="AH26">
            <v>42004</v>
          </cell>
          <cell r="AI26">
            <v>41802</v>
          </cell>
          <cell r="AK26">
            <v>41898</v>
          </cell>
          <cell r="AL26">
            <v>42114</v>
          </cell>
          <cell r="AM26" t="str">
            <v>N/A</v>
          </cell>
          <cell r="AN26">
            <v>42124</v>
          </cell>
          <cell r="AO26">
            <v>42277</v>
          </cell>
          <cell r="AP26">
            <v>42165</v>
          </cell>
          <cell r="AQ26">
            <v>42180</v>
          </cell>
          <cell r="AR26">
            <v>42622</v>
          </cell>
          <cell r="AT26">
            <v>42314</v>
          </cell>
          <cell r="AU26">
            <v>42221</v>
          </cell>
        </row>
        <row r="27">
          <cell r="A27" t="str">
            <v>ECO-LR</v>
          </cell>
          <cell r="B27" t="str">
            <v>EZ304</v>
          </cell>
          <cell r="C27" t="str">
            <v>Air France</v>
          </cell>
          <cell r="D27" t="str">
            <v>AFR</v>
          </cell>
          <cell r="E27" t="str">
            <v>B787</v>
          </cell>
          <cell r="F27" t="str">
            <v>B787</v>
          </cell>
          <cell r="G27" t="str">
            <v>L</v>
          </cell>
          <cell r="I27">
            <v>7</v>
          </cell>
          <cell r="J27">
            <v>225</v>
          </cell>
          <cell r="K27" t="str">
            <v>Level 1</v>
          </cell>
          <cell r="N27" t="str">
            <v>Green</v>
          </cell>
          <cell r="O27" t="str">
            <v>NA</v>
          </cell>
          <cell r="P27" t="str">
            <v>Green</v>
          </cell>
          <cell r="Q27" t="str">
            <v>NA</v>
          </cell>
          <cell r="R27" t="str">
            <v>Dev.</v>
          </cell>
          <cell r="S27" t="str">
            <v>Mélanie Michaux</v>
          </cell>
          <cell r="T27" t="str">
            <v>E. Charlotte</v>
          </cell>
          <cell r="U27" t="str">
            <v>S. Moulin</v>
          </cell>
          <cell r="V27" t="str">
            <v>L. Béaur</v>
          </cell>
          <cell r="W27" t="str">
            <v>M. Pansier</v>
          </cell>
          <cell r="X27" t="str">
            <v>L.Makhloufi</v>
          </cell>
          <cell r="Y27" t="str">
            <v>g boubault</v>
          </cell>
          <cell r="Z27" t="str">
            <v>T. Auger</v>
          </cell>
          <cell r="AA27">
            <v>42063</v>
          </cell>
          <cell r="AB27">
            <v>42063</v>
          </cell>
          <cell r="AC27">
            <v>41990</v>
          </cell>
          <cell r="AD27">
            <v>42094</v>
          </cell>
          <cell r="AE27">
            <v>42247</v>
          </cell>
          <cell r="AF27">
            <v>42079</v>
          </cell>
          <cell r="AG27">
            <v>42185</v>
          </cell>
          <cell r="AH27" t="str">
            <v>O</v>
          </cell>
          <cell r="AI27">
            <v>42279</v>
          </cell>
          <cell r="AK27">
            <v>42273</v>
          </cell>
          <cell r="AL27">
            <v>42419</v>
          </cell>
          <cell r="AM27" t="str">
            <v>N/A</v>
          </cell>
          <cell r="AN27">
            <v>42475</v>
          </cell>
          <cell r="AP27">
            <v>42478</v>
          </cell>
          <cell r="AQ27">
            <v>42524</v>
          </cell>
          <cell r="AR27">
            <v>42644</v>
          </cell>
          <cell r="AT27">
            <v>42678</v>
          </cell>
          <cell r="AU27">
            <v>42585</v>
          </cell>
        </row>
        <row r="28">
          <cell r="A28" t="str">
            <v>ECO-LR</v>
          </cell>
          <cell r="B28" t="str">
            <v>EZ305</v>
          </cell>
          <cell r="C28" t="str">
            <v>Swiss Air</v>
          </cell>
          <cell r="D28" t="str">
            <v>SWR</v>
          </cell>
          <cell r="E28" t="str">
            <v>B777</v>
          </cell>
          <cell r="F28" t="str">
            <v>B777</v>
          </cell>
          <cell r="G28" t="str">
            <v>L</v>
          </cell>
          <cell r="I28">
            <v>6</v>
          </cell>
          <cell r="J28">
            <v>270</v>
          </cell>
          <cell r="K28" t="str">
            <v>Level 4</v>
          </cell>
          <cell r="N28" t="str">
            <v>Green</v>
          </cell>
          <cell r="O28" t="str">
            <v>T&amp;F validated</v>
          </cell>
          <cell r="P28" t="str">
            <v>Orange</v>
          </cell>
          <cell r="Q28" t="str">
            <v>Cushion new supplier / Tight Eng schedule / Injected part late definition</v>
          </cell>
          <cell r="R28" t="str">
            <v>Dev.</v>
          </cell>
          <cell r="S28" t="str">
            <v>C. Hee</v>
          </cell>
          <cell r="T28" t="str">
            <v>R. Benjelloun</v>
          </cell>
          <cell r="U28" t="str">
            <v>JN. Vacher</v>
          </cell>
          <cell r="V28" t="str">
            <v>L. Béaur</v>
          </cell>
          <cell r="W28" t="str">
            <v>M. Pansier</v>
          </cell>
          <cell r="X28" t="str">
            <v>L.Makhloufi</v>
          </cell>
          <cell r="Y28" t="str">
            <v>T.Fleury</v>
          </cell>
          <cell r="Z28" t="str">
            <v>D. Bernard</v>
          </cell>
          <cell r="AA28">
            <v>41912</v>
          </cell>
          <cell r="AB28">
            <v>41943</v>
          </cell>
          <cell r="AC28">
            <v>41891</v>
          </cell>
          <cell r="AD28">
            <v>41973</v>
          </cell>
          <cell r="AE28">
            <v>42004</v>
          </cell>
          <cell r="AF28">
            <v>41948</v>
          </cell>
          <cell r="AG28">
            <v>42035</v>
          </cell>
          <cell r="AH28">
            <v>42202</v>
          </cell>
          <cell r="AI28">
            <v>42041</v>
          </cell>
          <cell r="AK28">
            <v>42137</v>
          </cell>
          <cell r="AL28">
            <v>42167</v>
          </cell>
          <cell r="AM28" t="str">
            <v>N/A</v>
          </cell>
          <cell r="AN28">
            <v>42251</v>
          </cell>
          <cell r="AO28" t="str">
            <v>O</v>
          </cell>
          <cell r="AP28">
            <v>42268</v>
          </cell>
          <cell r="AQ28">
            <v>42304</v>
          </cell>
          <cell r="AR28">
            <v>42394</v>
          </cell>
          <cell r="AT28">
            <v>42398</v>
          </cell>
          <cell r="AU28">
            <v>42311</v>
          </cell>
        </row>
        <row r="29">
          <cell r="A29" t="str">
            <v>ECO-LR</v>
          </cell>
          <cell r="B29" t="str">
            <v>EZ306</v>
          </cell>
          <cell r="C29" t="str">
            <v>Air Caraïbes</v>
          </cell>
          <cell r="D29" t="str">
            <v>FWI</v>
          </cell>
          <cell r="E29" t="str">
            <v>A350</v>
          </cell>
          <cell r="F29" t="str">
            <v>A350</v>
          </cell>
          <cell r="G29" t="str">
            <v>L</v>
          </cell>
          <cell r="I29">
            <v>5</v>
          </cell>
          <cell r="J29">
            <v>226</v>
          </cell>
          <cell r="K29" t="str">
            <v>Level 4</v>
          </cell>
          <cell r="N29" t="str">
            <v>Green</v>
          </cell>
          <cell r="O29" t="str">
            <v>NA</v>
          </cell>
          <cell r="P29" t="str">
            <v>Green</v>
          </cell>
          <cell r="Q29" t="str">
            <v>New Thales IFE / spec. A350</v>
          </cell>
          <cell r="R29" t="str">
            <v>Dev.</v>
          </cell>
          <cell r="S29" t="str">
            <v>Mélanie Michaux</v>
          </cell>
          <cell r="T29" t="str">
            <v>P. Guignard</v>
          </cell>
          <cell r="U29" t="str">
            <v>y almeric</v>
          </cell>
          <cell r="V29" t="str">
            <v>J. Désille</v>
          </cell>
          <cell r="W29" t="str">
            <v>M. Pansier</v>
          </cell>
          <cell r="X29" t="str">
            <v>L.Makhloufi</v>
          </cell>
          <cell r="Y29" t="str">
            <v>g boubault</v>
          </cell>
          <cell r="Z29" t="str">
            <v>I. Dohogne</v>
          </cell>
          <cell r="AA29">
            <v>41943</v>
          </cell>
          <cell r="AB29">
            <v>41943</v>
          </cell>
          <cell r="AC29">
            <v>41934</v>
          </cell>
          <cell r="AD29">
            <v>42035</v>
          </cell>
          <cell r="AE29">
            <v>42185</v>
          </cell>
          <cell r="AF29">
            <v>42047</v>
          </cell>
          <cell r="AG29">
            <v>42209</v>
          </cell>
          <cell r="AH29">
            <v>42216</v>
          </cell>
          <cell r="AI29">
            <v>42215</v>
          </cell>
          <cell r="AK29">
            <v>42311</v>
          </cell>
          <cell r="AL29">
            <v>42487</v>
          </cell>
          <cell r="AM29" t="str">
            <v>N/A</v>
          </cell>
          <cell r="AN29">
            <v>42482</v>
          </cell>
          <cell r="AP29">
            <v>42486</v>
          </cell>
          <cell r="AQ29">
            <v>42601</v>
          </cell>
          <cell r="AT29">
            <v>42706</v>
          </cell>
          <cell r="AU29">
            <v>42615</v>
          </cell>
        </row>
        <row r="30">
          <cell r="A30" t="str">
            <v>ECO-LR</v>
          </cell>
          <cell r="B30" t="str">
            <v>EZ307</v>
          </cell>
          <cell r="C30" t="str">
            <v>ACS et Lufthansa</v>
          </cell>
          <cell r="D30" t="str">
            <v>DLH</v>
          </cell>
          <cell r="E30" t="str">
            <v>A350</v>
          </cell>
          <cell r="F30" t="str">
            <v>A350</v>
          </cell>
          <cell r="G30" t="str">
            <v>L</v>
          </cell>
          <cell r="I30">
            <v>15</v>
          </cell>
          <cell r="J30">
            <v>264</v>
          </cell>
          <cell r="K30" t="str">
            <v>Level 4</v>
          </cell>
          <cell r="N30" t="str">
            <v>Green</v>
          </cell>
          <cell r="O30" t="str">
            <v>NA</v>
          </cell>
          <cell r="P30" t="str">
            <v>Orange</v>
          </cell>
          <cell r="Q30" t="str">
            <v xml:space="preserve"> Late LOPA / TV shroud design not frozen yet</v>
          </cell>
          <cell r="R30" t="str">
            <v>Dev.</v>
          </cell>
          <cell r="S30" t="str">
            <v>Melanie Michaux</v>
          </cell>
          <cell r="T30" t="str">
            <v>L. FRADET</v>
          </cell>
          <cell r="U30" t="str">
            <v>JN. Vacher</v>
          </cell>
          <cell r="V30" t="str">
            <v>S. Jan</v>
          </cell>
          <cell r="W30" t="str">
            <v>M. Pansier</v>
          </cell>
          <cell r="X30" t="str">
            <v>m gerbault</v>
          </cell>
          <cell r="Y30" t="str">
            <v>G. Boubault</v>
          </cell>
          <cell r="Z30" t="str">
            <v>I. Dohogne</v>
          </cell>
          <cell r="AA30">
            <v>41943</v>
          </cell>
          <cell r="AB30">
            <v>41943</v>
          </cell>
          <cell r="AC30">
            <v>41925</v>
          </cell>
          <cell r="AD30">
            <v>42035</v>
          </cell>
          <cell r="AE30">
            <v>42185</v>
          </cell>
          <cell r="AF30">
            <v>42017</v>
          </cell>
          <cell r="AG30">
            <v>42216</v>
          </cell>
          <cell r="AH30">
            <v>41912</v>
          </cell>
          <cell r="AI30">
            <v>42241</v>
          </cell>
          <cell r="AJ30" t="str">
            <v>**</v>
          </cell>
          <cell r="AK30">
            <v>42337</v>
          </cell>
          <cell r="AL30">
            <v>42438</v>
          </cell>
          <cell r="AM30" t="str">
            <v>N/A</v>
          </cell>
          <cell r="AN30">
            <v>42482</v>
          </cell>
          <cell r="AO30">
            <v>41973</v>
          </cell>
          <cell r="AP30">
            <v>42488</v>
          </cell>
          <cell r="AQ30">
            <v>42535</v>
          </cell>
          <cell r="AR30">
            <v>42565</v>
          </cell>
          <cell r="AS30" t="str">
            <v>O</v>
          </cell>
          <cell r="AT30">
            <v>42636</v>
          </cell>
          <cell r="AU30">
            <v>42549</v>
          </cell>
        </row>
        <row r="31">
          <cell r="A31" t="str">
            <v>ECO-LR</v>
          </cell>
          <cell r="B31" t="str">
            <v>E3516</v>
          </cell>
          <cell r="C31" t="str">
            <v>Middle East Airlines</v>
          </cell>
          <cell r="D31" t="str">
            <v>MEA</v>
          </cell>
          <cell r="E31" t="str">
            <v>A320</v>
          </cell>
          <cell r="F31" t="str">
            <v>A320</v>
          </cell>
          <cell r="G31" t="str">
            <v>L</v>
          </cell>
          <cell r="I31">
            <v>2</v>
          </cell>
          <cell r="J31">
            <v>102</v>
          </cell>
          <cell r="K31" t="str">
            <v>Level 1</v>
          </cell>
          <cell r="N31" t="str">
            <v>Green</v>
          </cell>
          <cell r="O31" t="str">
            <v>NA</v>
          </cell>
          <cell r="P31" t="str">
            <v>Green</v>
          </cell>
          <cell r="Q31" t="str">
            <v>NA</v>
          </cell>
          <cell r="R31" t="str">
            <v>Dev.</v>
          </cell>
          <cell r="S31" t="str">
            <v>J. Berger</v>
          </cell>
          <cell r="T31" t="str">
            <v>R. Benjelloun</v>
          </cell>
          <cell r="U31" t="str">
            <v>J. Fosset</v>
          </cell>
          <cell r="V31" t="str">
            <v>A. Grébert</v>
          </cell>
          <cell r="W31" t="str">
            <v>M. Pansier</v>
          </cell>
          <cell r="X31" t="str">
            <v>Alexandre Cottet</v>
          </cell>
          <cell r="Y31" t="str">
            <v>M, Peres</v>
          </cell>
          <cell r="Z31" t="str">
            <v>K. Polzer</v>
          </cell>
          <cell r="AA31" t="str">
            <v>NA</v>
          </cell>
          <cell r="AB31" t="str">
            <v>NA</v>
          </cell>
          <cell r="AC31" t="str">
            <v>N/A</v>
          </cell>
          <cell r="AD31" t="str">
            <v>NA</v>
          </cell>
          <cell r="AE31" t="str">
            <v>NA</v>
          </cell>
          <cell r="AF31" t="str">
            <v>N/A</v>
          </cell>
          <cell r="AG31" t="str">
            <v>NA</v>
          </cell>
          <cell r="AH31" t="str">
            <v>NA</v>
          </cell>
          <cell r="AI31" t="str">
            <v>N/A</v>
          </cell>
          <cell r="AK31">
            <v>42316</v>
          </cell>
          <cell r="AL31">
            <v>42353</v>
          </cell>
          <cell r="AM31" t="str">
            <v>N/A</v>
          </cell>
          <cell r="AN31" t="e">
            <v>#VALUE!</v>
          </cell>
          <cell r="AP31" t="str">
            <v>N/A</v>
          </cell>
          <cell r="AT31">
            <v>42489</v>
          </cell>
          <cell r="AU31">
            <v>42397</v>
          </cell>
        </row>
        <row r="32">
          <cell r="A32" t="str">
            <v>B/C Cirrus</v>
          </cell>
          <cell r="B32" t="str">
            <v>L1C21</v>
          </cell>
          <cell r="C32" t="str">
            <v>Air Algérie</v>
          </cell>
          <cell r="D32" t="str">
            <v>DAH</v>
          </cell>
          <cell r="E32" t="str">
            <v>A330-200</v>
          </cell>
          <cell r="F32" t="str">
            <v>A330</v>
          </cell>
          <cell r="G32" t="str">
            <v>L</v>
          </cell>
          <cell r="H32" t="str">
            <v>R</v>
          </cell>
          <cell r="I32">
            <v>3</v>
          </cell>
          <cell r="J32">
            <v>18</v>
          </cell>
          <cell r="K32" t="str">
            <v>Level 1</v>
          </cell>
          <cell r="N32" t="str">
            <v>Green</v>
          </cell>
          <cell r="O32" t="str">
            <v>Short pgm 1 year, FAI passed last minute, A/C install.  26/01 still at risk</v>
          </cell>
          <cell r="P32" t="str">
            <v>Green</v>
          </cell>
          <cell r="Q32" t="str">
            <v>NA</v>
          </cell>
          <cell r="R32" t="str">
            <v>Prod.</v>
          </cell>
          <cell r="T32" t="str">
            <v>JF De Barros</v>
          </cell>
          <cell r="U32" t="str">
            <v>P. Ghasarian</v>
          </cell>
          <cell r="V32" t="str">
            <v>S. Jan</v>
          </cell>
          <cell r="W32" t="str">
            <v>F. Bachelier</v>
          </cell>
          <cell r="Z32" t="str">
            <v>O. Wallet</v>
          </cell>
          <cell r="AA32">
            <v>41698</v>
          </cell>
          <cell r="AB32">
            <v>41729</v>
          </cell>
          <cell r="AC32">
            <v>41660</v>
          </cell>
          <cell r="AD32">
            <v>41729</v>
          </cell>
          <cell r="AE32">
            <v>41820</v>
          </cell>
          <cell r="AF32">
            <v>41730</v>
          </cell>
          <cell r="AG32">
            <v>41851</v>
          </cell>
          <cell r="AH32">
            <v>41912</v>
          </cell>
          <cell r="AI32">
            <v>41814</v>
          </cell>
          <cell r="AJ32" t="str">
            <v>**</v>
          </cell>
          <cell r="AK32">
            <v>41910</v>
          </cell>
          <cell r="AL32">
            <v>42462</v>
          </cell>
          <cell r="AN32">
            <v>41973</v>
          </cell>
          <cell r="AO32">
            <v>41973</v>
          </cell>
          <cell r="AP32">
            <v>42018</v>
          </cell>
          <cell r="AS32" t="str">
            <v>O</v>
          </cell>
          <cell r="AT32">
            <v>42216</v>
          </cell>
          <cell r="AU32">
            <v>42349</v>
          </cell>
        </row>
        <row r="33">
          <cell r="A33" t="str">
            <v>B/C Cirrus</v>
          </cell>
          <cell r="B33" t="str">
            <v>L1C24</v>
          </cell>
          <cell r="C33" t="str">
            <v>Eva Airways</v>
          </cell>
          <cell r="D33" t="str">
            <v>EVA</v>
          </cell>
          <cell r="E33" t="str">
            <v>B777-300</v>
          </cell>
          <cell r="F33" t="str">
            <v>B777</v>
          </cell>
          <cell r="G33" t="str">
            <v>L</v>
          </cell>
          <cell r="H33" t="str">
            <v>R</v>
          </cell>
          <cell r="I33">
            <v>8</v>
          </cell>
          <cell r="J33">
            <v>39</v>
          </cell>
          <cell r="K33" t="str">
            <v>Level 1</v>
          </cell>
          <cell r="N33" t="str">
            <v>Green</v>
          </cell>
          <cell r="O33" t="str">
            <v>NA</v>
          </cell>
          <cell r="P33" t="str">
            <v>Green</v>
          </cell>
          <cell r="Q33" t="str">
            <v>NA</v>
          </cell>
          <cell r="R33" t="str">
            <v>Dev.</v>
          </cell>
          <cell r="S33" t="str">
            <v>H. Rousselot</v>
          </cell>
          <cell r="T33" t="str">
            <v>G. Cuiengnet</v>
          </cell>
          <cell r="U33" t="str">
            <v>S. Moulin</v>
          </cell>
          <cell r="V33" t="str">
            <v>A. Grébert</v>
          </cell>
          <cell r="W33" t="str">
            <v>F. Bachelier</v>
          </cell>
          <cell r="X33" t="str">
            <v>N. Matheron</v>
          </cell>
          <cell r="Y33" t="str">
            <v>M, Peres</v>
          </cell>
          <cell r="Z33" t="str">
            <v>G. Cuiengnet</v>
          </cell>
          <cell r="AA33">
            <v>42035</v>
          </cell>
          <cell r="AB33">
            <v>42035</v>
          </cell>
          <cell r="AC33">
            <v>42017</v>
          </cell>
          <cell r="AD33">
            <v>42124</v>
          </cell>
          <cell r="AE33">
            <v>42185</v>
          </cell>
          <cell r="AF33">
            <v>42122</v>
          </cell>
          <cell r="AG33">
            <v>42216</v>
          </cell>
          <cell r="AH33">
            <v>42216</v>
          </cell>
          <cell r="AI33">
            <v>42220</v>
          </cell>
          <cell r="AJ33" t="str">
            <v>**</v>
          </cell>
          <cell r="AK33">
            <v>42316</v>
          </cell>
          <cell r="AL33">
            <v>42388</v>
          </cell>
          <cell r="AN33">
            <v>42433</v>
          </cell>
          <cell r="AO33">
            <v>41729</v>
          </cell>
          <cell r="AP33">
            <v>42437</v>
          </cell>
          <cell r="AT33">
            <v>42636</v>
          </cell>
          <cell r="AU33">
            <v>42543</v>
          </cell>
        </row>
        <row r="34">
          <cell r="A34" t="str">
            <v>B/C Cirrus</v>
          </cell>
          <cell r="B34" t="str">
            <v>L1C25</v>
          </cell>
          <cell r="C34" t="str">
            <v>Cathay Pacific</v>
          </cell>
          <cell r="D34" t="str">
            <v>CPA</v>
          </cell>
          <cell r="E34" t="str">
            <v>B777-300</v>
          </cell>
          <cell r="F34" t="str">
            <v>B777</v>
          </cell>
          <cell r="G34" t="str">
            <v>L</v>
          </cell>
          <cell r="H34" t="str">
            <v>R</v>
          </cell>
          <cell r="I34">
            <v>48</v>
          </cell>
          <cell r="J34">
            <v>53</v>
          </cell>
          <cell r="K34" t="str">
            <v>Level 2</v>
          </cell>
          <cell r="N34" t="str">
            <v>Green</v>
          </cell>
          <cell r="O34" t="str">
            <v>NA</v>
          </cell>
          <cell r="P34" t="str">
            <v>Green</v>
          </cell>
          <cell r="Q34" t="str">
            <v>NA</v>
          </cell>
          <cell r="R34" t="str">
            <v>on hold</v>
          </cell>
          <cell r="T34" t="str">
            <v>K. Lesage</v>
          </cell>
          <cell r="U34" t="str">
            <v>P. Ghasarian</v>
          </cell>
          <cell r="V34" t="str">
            <v>D. Cordeau</v>
          </cell>
          <cell r="W34" t="str">
            <v>F. Bachelier</v>
          </cell>
          <cell r="X34" t="str">
            <v>N. Matheron</v>
          </cell>
          <cell r="Y34" t="str">
            <v>V.Martinez</v>
          </cell>
          <cell r="Z34" t="str">
            <v>C. Ducrot</v>
          </cell>
          <cell r="AA34">
            <v>42063</v>
          </cell>
          <cell r="AB34">
            <v>42063</v>
          </cell>
          <cell r="AC34">
            <v>42040</v>
          </cell>
          <cell r="AD34">
            <v>42185</v>
          </cell>
          <cell r="AE34" t="str">
            <v>O</v>
          </cell>
          <cell r="AF34">
            <v>42179</v>
          </cell>
          <cell r="AG34">
            <v>42286</v>
          </cell>
          <cell r="AH34">
            <v>41882</v>
          </cell>
          <cell r="AI34">
            <v>42291</v>
          </cell>
          <cell r="AK34">
            <v>42387</v>
          </cell>
          <cell r="AL34">
            <v>42462</v>
          </cell>
          <cell r="AN34">
            <v>42482</v>
          </cell>
          <cell r="AO34">
            <v>42247</v>
          </cell>
          <cell r="AP34">
            <v>42490</v>
          </cell>
          <cell r="AT34">
            <v>42629</v>
          </cell>
          <cell r="AU34">
            <v>42541</v>
          </cell>
        </row>
        <row r="35">
          <cell r="A35" t="str">
            <v>B/C Cirrus</v>
          </cell>
          <cell r="B35" t="str">
            <v>L2C01</v>
          </cell>
          <cell r="C35" t="str">
            <v>Air France</v>
          </cell>
          <cell r="D35" t="str">
            <v>AFR</v>
          </cell>
          <cell r="E35" t="str">
            <v>B772-B773</v>
          </cell>
          <cell r="F35" t="str">
            <v>B772</v>
          </cell>
          <cell r="G35" t="str">
            <v>L</v>
          </cell>
          <cell r="H35" t="str">
            <v>R</v>
          </cell>
          <cell r="I35" t="str">
            <v>25+19</v>
          </cell>
          <cell r="J35" t="str">
            <v>58/40</v>
          </cell>
          <cell r="K35" t="str">
            <v>Level 4</v>
          </cell>
          <cell r="N35" t="str">
            <v>Red</v>
          </cell>
          <cell r="O35" t="str">
            <v>Overall a/c schedule delayed (shells), true + robust recovery plan still to draw</v>
          </cell>
          <cell r="P35" t="str">
            <v>Red</v>
          </cell>
          <cell r="Q35" t="str">
            <v>RETEX to be completed</v>
          </cell>
          <cell r="R35" t="str">
            <v>Prod.</v>
          </cell>
          <cell r="S35" t="str">
            <v>H. Rousselot</v>
          </cell>
          <cell r="T35" t="str">
            <v>M. DOKLADNY</v>
          </cell>
          <cell r="U35" t="str">
            <v>S. Moulin</v>
          </cell>
          <cell r="V35" t="str">
            <v>A. Grébert</v>
          </cell>
          <cell r="W35" t="str">
            <v>F. Bachelier</v>
          </cell>
          <cell r="X35" t="str">
            <v>N. Matheron</v>
          </cell>
          <cell r="Y35" t="str">
            <v>V.Martinez</v>
          </cell>
          <cell r="Z35" t="str">
            <v>R Vetu</v>
          </cell>
          <cell r="AA35">
            <v>41121</v>
          </cell>
          <cell r="AB35">
            <v>41121</v>
          </cell>
          <cell r="AC35">
            <v>41115</v>
          </cell>
          <cell r="AD35">
            <v>41333</v>
          </cell>
          <cell r="AE35">
            <v>41486</v>
          </cell>
          <cell r="AF35">
            <v>41164</v>
          </cell>
          <cell r="AG35">
            <v>41486</v>
          </cell>
          <cell r="AH35">
            <v>41547</v>
          </cell>
          <cell r="AI35">
            <v>41283</v>
          </cell>
          <cell r="AJ35" t="str">
            <v>**</v>
          </cell>
          <cell r="AK35">
            <v>41379</v>
          </cell>
          <cell r="AL35">
            <v>41626</v>
          </cell>
          <cell r="AN35">
            <v>41639</v>
          </cell>
          <cell r="AO35">
            <v>41729</v>
          </cell>
          <cell r="AP35">
            <v>41654</v>
          </cell>
          <cell r="AR35">
            <v>42256</v>
          </cell>
          <cell r="AT35">
            <v>42216</v>
          </cell>
          <cell r="AU35">
            <v>41728</v>
          </cell>
        </row>
        <row r="36">
          <cell r="A36" t="str">
            <v>B/C Cirrus</v>
          </cell>
          <cell r="B36" t="str">
            <v>L2C03</v>
          </cell>
          <cell r="C36" t="str">
            <v>Finnair / ACS</v>
          </cell>
          <cell r="D36" t="str">
            <v>FIN</v>
          </cell>
          <cell r="E36" t="str">
            <v>A350-900</v>
          </cell>
          <cell r="F36" t="str">
            <v>A350</v>
          </cell>
          <cell r="G36" t="str">
            <v>L</v>
          </cell>
          <cell r="I36">
            <v>11</v>
          </cell>
          <cell r="J36">
            <v>46</v>
          </cell>
          <cell r="K36" t="str">
            <v>Level 4</v>
          </cell>
          <cell r="N36" t="str">
            <v>Red</v>
          </cell>
          <cell r="O36" t="str">
            <v>1st A350 ACS program. FAI to be shifted twice -&gt; Feb    ODD at high risk (March)</v>
          </cell>
          <cell r="P36" t="str">
            <v>Red</v>
          </cell>
          <cell r="R36" t="str">
            <v>Dev.</v>
          </cell>
          <cell r="T36" t="str">
            <v>J.Hoguet</v>
          </cell>
          <cell r="U36" t="str">
            <v>P. Ghasarian</v>
          </cell>
          <cell r="V36" t="str">
            <v>S. Jan</v>
          </cell>
          <cell r="W36" t="str">
            <v>F. Bachelier</v>
          </cell>
          <cell r="X36" t="str">
            <v>N. Matheron</v>
          </cell>
          <cell r="Y36" t="str">
            <v>V.Martinez</v>
          </cell>
          <cell r="Z36" t="str">
            <v>O. Wallet</v>
          </cell>
          <cell r="AA36">
            <v>41305</v>
          </cell>
          <cell r="AB36">
            <v>41333</v>
          </cell>
          <cell r="AC36">
            <v>41249</v>
          </cell>
          <cell r="AD36">
            <v>41425</v>
          </cell>
          <cell r="AE36">
            <v>41639</v>
          </cell>
          <cell r="AF36">
            <v>41418</v>
          </cell>
          <cell r="AG36">
            <v>41820</v>
          </cell>
          <cell r="AH36">
            <v>41882</v>
          </cell>
          <cell r="AI36">
            <v>41817</v>
          </cell>
          <cell r="AK36">
            <v>41913</v>
          </cell>
          <cell r="AL36">
            <v>42037</v>
          </cell>
          <cell r="AN36">
            <v>42063</v>
          </cell>
          <cell r="AO36">
            <v>42247</v>
          </cell>
          <cell r="AP36">
            <v>42065</v>
          </cell>
          <cell r="AT36">
            <v>42216</v>
          </cell>
          <cell r="AU36">
            <v>42124</v>
          </cell>
        </row>
        <row r="37">
          <cell r="A37" t="str">
            <v>B/C Cirrus</v>
          </cell>
          <cell r="B37" t="str">
            <v>L2C05</v>
          </cell>
          <cell r="C37" t="str">
            <v>KLM</v>
          </cell>
          <cell r="D37" t="str">
            <v>KLM</v>
          </cell>
          <cell r="E37" t="str">
            <v>B787-9</v>
          </cell>
          <cell r="F37" t="str">
            <v>B787</v>
          </cell>
          <cell r="G37" t="str">
            <v>L</v>
          </cell>
          <cell r="I37">
            <v>14</v>
          </cell>
          <cell r="J37">
            <v>30</v>
          </cell>
          <cell r="K37" t="str">
            <v>Level 4</v>
          </cell>
          <cell r="N37" t="str">
            <v>Orange</v>
          </cell>
          <cell r="O37" t="str">
            <v>Good CDR; KLM and Boeing happy; turned deep orange at SMX
keep the attention to make it an obvious success to Boeing</v>
          </cell>
          <cell r="P37" t="str">
            <v>Orange</v>
          </cell>
          <cell r="Q37" t="str">
            <v>Still many ph2 tasks not performed yet (WBS matrix: 44%)</v>
          </cell>
          <cell r="R37" t="str">
            <v>Dev.</v>
          </cell>
          <cell r="S37" t="str">
            <v>C. Hee</v>
          </cell>
          <cell r="T37" t="str">
            <v>B. Le Digarcher</v>
          </cell>
          <cell r="U37" t="str">
            <v>C. Accolas</v>
          </cell>
          <cell r="V37" t="str">
            <v>A. Grébert</v>
          </cell>
          <cell r="W37" t="str">
            <v>F. Bachelier</v>
          </cell>
          <cell r="X37" t="str">
            <v>P. Da Cruz</v>
          </cell>
          <cell r="Y37" t="str">
            <v>C. Viaud</v>
          </cell>
          <cell r="Z37" t="str">
            <v>A. Aubert</v>
          </cell>
          <cell r="AA37">
            <v>41608</v>
          </cell>
          <cell r="AB37">
            <v>41729</v>
          </cell>
          <cell r="AC37">
            <v>41568</v>
          </cell>
          <cell r="AD37">
            <v>41698</v>
          </cell>
          <cell r="AE37">
            <v>41790</v>
          </cell>
          <cell r="AF37">
            <v>41701</v>
          </cell>
          <cell r="AG37">
            <v>41882</v>
          </cell>
          <cell r="AH37">
            <v>42247</v>
          </cell>
          <cell r="AI37">
            <v>41892</v>
          </cell>
          <cell r="AJ37" t="str">
            <v>**</v>
          </cell>
          <cell r="AK37">
            <v>41988</v>
          </cell>
          <cell r="AL37">
            <v>42145</v>
          </cell>
          <cell r="AM37">
            <v>42331</v>
          </cell>
          <cell r="AN37">
            <v>42185</v>
          </cell>
          <cell r="AO37">
            <v>42277</v>
          </cell>
          <cell r="AP37">
            <v>42173</v>
          </cell>
          <cell r="AQ37">
            <v>42430</v>
          </cell>
          <cell r="AR37">
            <v>42256</v>
          </cell>
          <cell r="AT37">
            <v>42314</v>
          </cell>
          <cell r="AU37">
            <v>42221</v>
          </cell>
        </row>
        <row r="38">
          <cell r="A38" t="str">
            <v>B/C Cirrus</v>
          </cell>
          <cell r="B38" t="str">
            <v>L2C06</v>
          </cell>
          <cell r="C38" t="str">
            <v>Vietnam / catalog</v>
          </cell>
          <cell r="D38" t="str">
            <v>HVN</v>
          </cell>
          <cell r="E38" t="str">
            <v>B787-9</v>
          </cell>
          <cell r="F38" t="str">
            <v>B787</v>
          </cell>
          <cell r="G38" t="str">
            <v>L</v>
          </cell>
          <cell r="I38">
            <v>11</v>
          </cell>
          <cell r="J38">
            <v>28</v>
          </cell>
          <cell r="K38" t="str">
            <v>Level 4</v>
          </cell>
          <cell r="N38" t="str">
            <v>Orange</v>
          </cell>
          <cell r="O38" t="str">
            <v>FAI shifted twice -&gt; 2/2 -  + ODD to shift for oblique seats Certification</v>
          </cell>
          <cell r="P38" t="str">
            <v>Orange</v>
          </cell>
          <cell r="R38" t="str">
            <v>Dev.</v>
          </cell>
          <cell r="T38" t="str">
            <v>B. Le Digarcher</v>
          </cell>
          <cell r="U38" t="str">
            <v>EEHR</v>
          </cell>
          <cell r="V38" t="str">
            <v>A. Grébert</v>
          </cell>
          <cell r="W38" t="str">
            <v>F. Bachelier</v>
          </cell>
          <cell r="X38" t="str">
            <v>Ahmed</v>
          </cell>
          <cell r="Y38" t="str">
            <v>C. Viaud</v>
          </cell>
          <cell r="Z38" t="str">
            <v>J. Saladin</v>
          </cell>
          <cell r="AA38">
            <v>41547</v>
          </cell>
          <cell r="AB38">
            <v>41547</v>
          </cell>
          <cell r="AC38">
            <v>41470</v>
          </cell>
          <cell r="AD38">
            <v>41578</v>
          </cell>
          <cell r="AE38">
            <v>41698</v>
          </cell>
          <cell r="AF38">
            <v>41562</v>
          </cell>
          <cell r="AG38">
            <v>41729</v>
          </cell>
          <cell r="AH38">
            <v>41882</v>
          </cell>
          <cell r="AI38">
            <v>41723</v>
          </cell>
          <cell r="AJ38" t="str">
            <v>**</v>
          </cell>
          <cell r="AK38">
            <v>41819</v>
          </cell>
          <cell r="AL38">
            <v>42009</v>
          </cell>
          <cell r="AM38">
            <v>42332</v>
          </cell>
          <cell r="AN38">
            <v>42004</v>
          </cell>
          <cell r="AO38">
            <v>42247</v>
          </cell>
          <cell r="AP38">
            <v>42037</v>
          </cell>
          <cell r="AQ38">
            <v>42453</v>
          </cell>
          <cell r="AR38">
            <v>42516</v>
          </cell>
          <cell r="AT38">
            <v>42194</v>
          </cell>
          <cell r="AU38">
            <v>42104</v>
          </cell>
        </row>
        <row r="39">
          <cell r="A39" t="str">
            <v>B/C Cirrus</v>
          </cell>
          <cell r="B39" t="str">
            <v>L2C08</v>
          </cell>
          <cell r="C39" t="str">
            <v>Air France</v>
          </cell>
          <cell r="D39" t="str">
            <v>AFR</v>
          </cell>
          <cell r="E39" t="str">
            <v>B787-9</v>
          </cell>
          <cell r="F39" t="str">
            <v>B787</v>
          </cell>
          <cell r="G39" t="str">
            <v>L</v>
          </cell>
          <cell r="I39">
            <v>11</v>
          </cell>
          <cell r="J39">
            <v>30</v>
          </cell>
          <cell r="K39" t="str">
            <v>Level 3</v>
          </cell>
          <cell r="L39" t="str">
            <v>16163,2k€</v>
          </cell>
          <cell r="N39" t="str">
            <v>Green</v>
          </cell>
          <cell r="O39" t="str">
            <v>Just started; similar to KLM 789; control the AF-driven design changes</v>
          </cell>
          <cell r="P39" t="str">
            <v>Green</v>
          </cell>
          <cell r="Q39" t="str">
            <v>no Certification, T&amp;F</v>
          </cell>
          <cell r="R39" t="str">
            <v>Dev.</v>
          </cell>
          <cell r="S39" t="str">
            <v>J. Berger</v>
          </cell>
          <cell r="T39" t="str">
            <v>M. DOKLADNY</v>
          </cell>
          <cell r="U39" t="str">
            <v>JN Vacher</v>
          </cell>
          <cell r="V39" t="str">
            <v>S. Jan</v>
          </cell>
          <cell r="W39" t="str">
            <v>F. Bachelier</v>
          </cell>
          <cell r="X39" t="str">
            <v>P. Da Cruz</v>
          </cell>
          <cell r="Y39" t="str">
            <v>E. Fily</v>
          </cell>
          <cell r="Z39" t="str">
            <v>G. de Lassus</v>
          </cell>
          <cell r="AA39">
            <v>41943</v>
          </cell>
          <cell r="AB39">
            <v>41943</v>
          </cell>
          <cell r="AC39">
            <v>41920</v>
          </cell>
          <cell r="AD39">
            <v>42094</v>
          </cell>
          <cell r="AE39">
            <v>42185</v>
          </cell>
          <cell r="AF39">
            <v>42072</v>
          </cell>
          <cell r="AG39">
            <v>42258</v>
          </cell>
          <cell r="AI39">
            <v>42261</v>
          </cell>
          <cell r="AK39">
            <v>42357</v>
          </cell>
          <cell r="AL39">
            <v>42464</v>
          </cell>
          <cell r="AM39">
            <v>42681</v>
          </cell>
          <cell r="AN39">
            <v>42489</v>
          </cell>
          <cell r="AP39">
            <v>42492</v>
          </cell>
          <cell r="AQ39">
            <v>42353</v>
          </cell>
          <cell r="AR39" t="str">
            <v>TBD</v>
          </cell>
          <cell r="AT39">
            <v>42678</v>
          </cell>
          <cell r="AU39">
            <v>42585</v>
          </cell>
        </row>
        <row r="40">
          <cell r="A40" t="str">
            <v>B/C Cirrus</v>
          </cell>
          <cell r="B40" t="str">
            <v>L2C09</v>
          </cell>
          <cell r="C40" t="str">
            <v>Sri Lankan / ACS</v>
          </cell>
          <cell r="D40" t="str">
            <v>ALK</v>
          </cell>
          <cell r="E40" t="str">
            <v>A350-9</v>
          </cell>
          <cell r="F40" t="str">
            <v>A350</v>
          </cell>
          <cell r="G40" t="str">
            <v>L</v>
          </cell>
          <cell r="I40">
            <v>7</v>
          </cell>
          <cell r="J40">
            <v>28</v>
          </cell>
          <cell r="K40" t="str">
            <v>Level 1</v>
          </cell>
          <cell r="L40" t="str">
            <v>5246k€</v>
          </cell>
          <cell r="N40" t="str">
            <v>Green</v>
          </cell>
          <cell r="O40" t="str">
            <v>A350 ACS (catalog); ODD Jan 2016</v>
          </cell>
          <cell r="P40" t="str">
            <v>Green</v>
          </cell>
          <cell r="Q40" t="str">
            <v>id. Hainan; 2 lat. en plus; cuir sur têtière</v>
          </cell>
          <cell r="R40" t="str">
            <v>Dev.</v>
          </cell>
          <cell r="T40" t="str">
            <v>J. Breuzin/JF DeBarros</v>
          </cell>
          <cell r="U40" t="str">
            <v>J,Fosset</v>
          </cell>
          <cell r="V40" t="str">
            <v>J. Désille</v>
          </cell>
          <cell r="W40" t="str">
            <v>F. Bachelier</v>
          </cell>
          <cell r="X40" t="str">
            <v>N. Matheron</v>
          </cell>
          <cell r="Y40" t="str">
            <v>E. Fily</v>
          </cell>
          <cell r="Z40" t="str">
            <v>M,Lefebvre</v>
          </cell>
          <cell r="AA40">
            <v>41882</v>
          </cell>
          <cell r="AB40">
            <v>41882</v>
          </cell>
          <cell r="AC40">
            <v>41813</v>
          </cell>
          <cell r="AD40">
            <v>42004</v>
          </cell>
          <cell r="AE40">
            <v>42063</v>
          </cell>
          <cell r="AF40" t="str">
            <v>N/A</v>
          </cell>
          <cell r="AG40">
            <v>42155</v>
          </cell>
          <cell r="AH40">
            <v>42155</v>
          </cell>
          <cell r="AI40">
            <v>42142</v>
          </cell>
          <cell r="AJ40" t="str">
            <v>**</v>
          </cell>
          <cell r="AK40">
            <v>42238</v>
          </cell>
          <cell r="AL40">
            <v>42352</v>
          </cell>
          <cell r="AM40">
            <v>42331</v>
          </cell>
          <cell r="AN40">
            <v>42384</v>
          </cell>
          <cell r="AP40">
            <v>42389</v>
          </cell>
          <cell r="AQ40">
            <v>42430</v>
          </cell>
          <cell r="AR40">
            <v>42472</v>
          </cell>
          <cell r="AT40">
            <v>42545</v>
          </cell>
          <cell r="AU40">
            <v>42452</v>
          </cell>
        </row>
        <row r="41">
          <cell r="A41" t="str">
            <v>B/C Cirrus</v>
          </cell>
          <cell r="B41" t="str">
            <v>L2C10</v>
          </cell>
          <cell r="C41" t="str">
            <v>Vietnam / ACS</v>
          </cell>
          <cell r="D41" t="str">
            <v>HVN</v>
          </cell>
          <cell r="E41" t="str">
            <v>A350-9</v>
          </cell>
          <cell r="F41" t="str">
            <v>A350</v>
          </cell>
          <cell r="G41" t="str">
            <v>L</v>
          </cell>
          <cell r="I41">
            <v>10</v>
          </cell>
          <cell r="J41">
            <v>29</v>
          </cell>
          <cell r="K41" t="str">
            <v>Level 1</v>
          </cell>
          <cell r="L41">
            <v>109728</v>
          </cell>
          <cell r="M41">
            <v>3</v>
          </cell>
          <cell r="N41" t="str">
            <v>Green</v>
          </cell>
          <cell r="O41" t="str">
            <v>A350 ACS (catalog); ODD Jan 2016</v>
          </cell>
          <cell r="P41" t="str">
            <v>Green</v>
          </cell>
          <cell r="Q41" t="str">
            <v>Heavy challenges: definition, certification, weight
Airbag: certif + financials at risk vs bid
Delay on milestone</v>
          </cell>
          <cell r="R41" t="str">
            <v>Dev.</v>
          </cell>
          <cell r="S41" t="str">
            <v>M. Michaux</v>
          </cell>
          <cell r="T41" t="str">
            <v>J. Breuzin/JF DeBarros</v>
          </cell>
          <cell r="U41" t="str">
            <v>E.Helfer</v>
          </cell>
          <cell r="V41" t="str">
            <v>J. Désille</v>
          </cell>
          <cell r="W41" t="str">
            <v>F. Bachelier</v>
          </cell>
          <cell r="X41" t="str">
            <v>N. Matheron</v>
          </cell>
          <cell r="Y41" t="str">
            <v>E. Fily</v>
          </cell>
          <cell r="Z41" t="str">
            <v>M,Lefebvre</v>
          </cell>
          <cell r="AA41">
            <v>41912</v>
          </cell>
          <cell r="AB41">
            <v>41912</v>
          </cell>
          <cell r="AC41">
            <v>41829</v>
          </cell>
          <cell r="AD41">
            <v>42004</v>
          </cell>
          <cell r="AE41">
            <v>42063</v>
          </cell>
          <cell r="AF41" t="str">
            <v>N/A</v>
          </cell>
          <cell r="AG41">
            <v>42155</v>
          </cell>
          <cell r="AH41">
            <v>42155</v>
          </cell>
          <cell r="AI41">
            <v>42144</v>
          </cell>
          <cell r="AJ41" t="str">
            <v>**</v>
          </cell>
          <cell r="AK41">
            <v>42240</v>
          </cell>
          <cell r="AL41">
            <v>42320</v>
          </cell>
          <cell r="AM41">
            <v>42332</v>
          </cell>
          <cell r="AN41">
            <v>42398</v>
          </cell>
          <cell r="AO41" t="str">
            <v>O</v>
          </cell>
          <cell r="AP41">
            <v>42401</v>
          </cell>
          <cell r="AQ41">
            <v>42453</v>
          </cell>
          <cell r="AR41">
            <v>42516</v>
          </cell>
          <cell r="AT41">
            <v>42552</v>
          </cell>
          <cell r="AU41">
            <v>42459</v>
          </cell>
        </row>
        <row r="42">
          <cell r="A42" t="str">
            <v>B/C Cirrus</v>
          </cell>
          <cell r="B42" t="str">
            <v>L2C11</v>
          </cell>
          <cell r="C42" t="str">
            <v>Hainan Airlines / catalog</v>
          </cell>
          <cell r="D42" t="str">
            <v>CHH</v>
          </cell>
          <cell r="E42" t="str">
            <v>B787-9</v>
          </cell>
          <cell r="F42" t="str">
            <v>B787</v>
          </cell>
          <cell r="G42" t="str">
            <v>L</v>
          </cell>
          <cell r="I42">
            <v>9</v>
          </cell>
          <cell r="J42">
            <v>30</v>
          </cell>
          <cell r="K42" t="str">
            <v>Level 1</v>
          </cell>
          <cell r="L42" t="str">
            <v>16163,2k€</v>
          </cell>
          <cell r="M42">
            <v>3</v>
          </cell>
          <cell r="N42" t="str">
            <v>Red</v>
          </cell>
          <cell r="O42" t="str">
            <v>jst kicked off</v>
          </cell>
          <cell r="P42" t="str">
            <v>Green</v>
          </cell>
          <cell r="Q42" t="str">
            <v>no Certification, T&amp;F</v>
          </cell>
          <cell r="R42" t="str">
            <v>Catalogue</v>
          </cell>
          <cell r="S42" t="str">
            <v>J. Berger</v>
          </cell>
          <cell r="T42" t="str">
            <v>M. Doklany</v>
          </cell>
          <cell r="U42" t="str">
            <v>JN Vacher</v>
          </cell>
          <cell r="V42" t="str">
            <v>A. Grébert</v>
          </cell>
          <cell r="W42" t="str">
            <v>F. Bachelier</v>
          </cell>
          <cell r="X42" t="str">
            <v>TBD ( attente réponse de D.Cointeau)</v>
          </cell>
          <cell r="Y42" t="str">
            <v>C. Viaud</v>
          </cell>
          <cell r="Z42" t="str">
            <v>J. Saladin</v>
          </cell>
          <cell r="AA42">
            <v>41547</v>
          </cell>
          <cell r="AB42">
            <v>41547</v>
          </cell>
          <cell r="AC42">
            <v>42223</v>
          </cell>
          <cell r="AD42">
            <v>42314</v>
          </cell>
          <cell r="AE42">
            <v>42313</v>
          </cell>
          <cell r="AF42">
            <v>42320</v>
          </cell>
          <cell r="AG42">
            <v>41973</v>
          </cell>
          <cell r="AH42">
            <v>42124</v>
          </cell>
          <cell r="AI42">
            <v>42452</v>
          </cell>
          <cell r="AK42">
            <v>42548</v>
          </cell>
          <cell r="AL42">
            <v>42646</v>
          </cell>
          <cell r="AM42">
            <v>42681</v>
          </cell>
          <cell r="AN42">
            <v>42678</v>
          </cell>
          <cell r="AP42">
            <v>42681</v>
          </cell>
          <cell r="AQ42">
            <v>42353</v>
          </cell>
          <cell r="AR42" t="str">
            <v>TBD</v>
          </cell>
          <cell r="AT42">
            <v>42881</v>
          </cell>
          <cell r="AU42">
            <v>42794</v>
          </cell>
        </row>
        <row r="43">
          <cell r="A43" t="str">
            <v>B/C Cirrus</v>
          </cell>
          <cell r="B43" t="str">
            <v>L3C01</v>
          </cell>
          <cell r="C43" t="str">
            <v>Cathay Pacific</v>
          </cell>
          <cell r="D43" t="str">
            <v>CPA</v>
          </cell>
          <cell r="E43" t="str">
            <v>A350-900 /-1000</v>
          </cell>
          <cell r="F43" t="str">
            <v>A350</v>
          </cell>
          <cell r="G43" t="str">
            <v>L</v>
          </cell>
          <cell r="I43">
            <v>28</v>
          </cell>
          <cell r="J43">
            <v>38</v>
          </cell>
          <cell r="K43" t="str">
            <v>Level 4</v>
          </cell>
          <cell r="L43">
            <v>109728</v>
          </cell>
          <cell r="M43">
            <v>3</v>
          </cell>
          <cell r="N43" t="str">
            <v>Red</v>
          </cell>
          <cell r="O43" t="str">
            <v>FAI delayed, CX concerned of progress</v>
          </cell>
          <cell r="P43" t="str">
            <v>Red</v>
          </cell>
          <cell r="Q43" t="str">
            <v>Heavy challenges: definition, certification, weight
Airbag: certif + financials at risk vs bid
Delay on milestone</v>
          </cell>
          <cell r="R43" t="str">
            <v>Dev.</v>
          </cell>
          <cell r="S43" t="str">
            <v>M. Michaux</v>
          </cell>
          <cell r="T43" t="str">
            <v>N. Aury / CFE</v>
          </cell>
          <cell r="U43" t="str">
            <v>JN. Vacher</v>
          </cell>
          <cell r="V43" t="str">
            <v>J. Busson</v>
          </cell>
          <cell r="W43" t="str">
            <v>F. Bachelier</v>
          </cell>
          <cell r="X43" t="str">
            <v>N. Matheron</v>
          </cell>
          <cell r="Y43" t="str">
            <v>V.Martinez</v>
          </cell>
          <cell r="Z43" t="str">
            <v>S. Rasolofo</v>
          </cell>
          <cell r="AA43">
            <v>41547</v>
          </cell>
          <cell r="AB43">
            <v>41547</v>
          </cell>
          <cell r="AC43">
            <v>41526</v>
          </cell>
          <cell r="AD43">
            <v>41729</v>
          </cell>
          <cell r="AE43">
            <v>41790</v>
          </cell>
          <cell r="AF43">
            <v>41723</v>
          </cell>
          <cell r="AG43">
            <v>41973</v>
          </cell>
          <cell r="AH43">
            <v>42124</v>
          </cell>
          <cell r="AI43">
            <v>41975</v>
          </cell>
          <cell r="AJ43">
            <v>42128</v>
          </cell>
          <cell r="AK43">
            <v>42071</v>
          </cell>
          <cell r="AL43">
            <v>42268</v>
          </cell>
          <cell r="AM43">
            <v>42191</v>
          </cell>
          <cell r="AN43">
            <v>42251</v>
          </cell>
          <cell r="AO43" t="str">
            <v>O</v>
          </cell>
          <cell r="AP43">
            <v>42296</v>
          </cell>
          <cell r="AQ43">
            <v>42285</v>
          </cell>
          <cell r="AR43">
            <v>42650</v>
          </cell>
          <cell r="AT43">
            <v>42391</v>
          </cell>
          <cell r="AU43">
            <v>42300</v>
          </cell>
        </row>
        <row r="44">
          <cell r="A44" t="str">
            <v>B/C Cirrus</v>
          </cell>
          <cell r="B44" t="str">
            <v>L3C02</v>
          </cell>
          <cell r="C44" t="str">
            <v>Cathay Pacific</v>
          </cell>
          <cell r="D44" t="str">
            <v>CPA</v>
          </cell>
          <cell r="E44" t="str">
            <v>A350-1000</v>
          </cell>
          <cell r="F44" t="str">
            <v>A350</v>
          </cell>
          <cell r="G44" t="str">
            <v>L</v>
          </cell>
          <cell r="I44">
            <v>27</v>
          </cell>
          <cell r="J44">
            <v>43</v>
          </cell>
          <cell r="K44" t="str">
            <v>Level 4</v>
          </cell>
          <cell r="M44">
            <v>3</v>
          </cell>
          <cell r="N44" t="str">
            <v>Red</v>
          </cell>
          <cell r="P44" t="str">
            <v>Red</v>
          </cell>
          <cell r="R44" t="str">
            <v>Dev.</v>
          </cell>
          <cell r="S44" t="str">
            <v>C.Hee</v>
          </cell>
          <cell r="T44" t="str">
            <v>N.Aury/G.Sieurin</v>
          </cell>
          <cell r="U44" t="str">
            <v>JN. Vacher</v>
          </cell>
          <cell r="V44" t="str">
            <v>J. Busson</v>
          </cell>
          <cell r="W44" t="str">
            <v>F. Bachelier</v>
          </cell>
          <cell r="Y44" t="str">
            <v>A.Buffard</v>
          </cell>
          <cell r="Z44" t="str">
            <v>R.Vetu</v>
          </cell>
          <cell r="AA44">
            <v>41547</v>
          </cell>
          <cell r="AB44">
            <v>41547</v>
          </cell>
          <cell r="AC44">
            <v>42338</v>
          </cell>
          <cell r="AD44">
            <v>41729</v>
          </cell>
          <cell r="AE44">
            <v>41790</v>
          </cell>
          <cell r="AF44">
            <v>42458</v>
          </cell>
          <cell r="AG44">
            <v>41973</v>
          </cell>
          <cell r="AH44">
            <v>42124</v>
          </cell>
          <cell r="AI44">
            <v>42633</v>
          </cell>
          <cell r="AK44">
            <v>42729</v>
          </cell>
          <cell r="AL44">
            <v>42548</v>
          </cell>
          <cell r="AN44">
            <v>42573</v>
          </cell>
          <cell r="AP44">
            <v>42576</v>
          </cell>
          <cell r="AQ44">
            <v>42948</v>
          </cell>
          <cell r="AR44">
            <v>42979</v>
          </cell>
          <cell r="AS44">
            <v>42286</v>
          </cell>
          <cell r="AT44" t="str">
            <v/>
          </cell>
          <cell r="AU44">
            <v>42529</v>
          </cell>
        </row>
        <row r="45">
          <cell r="A45" t="str">
            <v>B/C forw.</v>
          </cell>
          <cell r="B45" t="str">
            <v>L1703</v>
          </cell>
          <cell r="C45" t="str">
            <v>ANA Gouv Jap</v>
          </cell>
          <cell r="D45" t="str">
            <v>ANA</v>
          </cell>
          <cell r="E45" t="str">
            <v>B777</v>
          </cell>
          <cell r="F45" t="str">
            <v>B777</v>
          </cell>
          <cell r="G45" t="str">
            <v>L</v>
          </cell>
          <cell r="I45">
            <v>2</v>
          </cell>
          <cell r="J45">
            <v>2</v>
          </cell>
          <cell r="K45" t="str">
            <v>Level 2</v>
          </cell>
          <cell r="M45">
            <v>3</v>
          </cell>
          <cell r="N45" t="str">
            <v>Green</v>
          </cell>
          <cell r="P45" t="str">
            <v>Green</v>
          </cell>
          <cell r="R45" t="str">
            <v>Dev.</v>
          </cell>
          <cell r="S45" t="str">
            <v>C.Hee</v>
          </cell>
          <cell r="T45" t="str">
            <v>B.FOURGEOT</v>
          </cell>
          <cell r="U45" t="str">
            <v>C. Accolas</v>
          </cell>
          <cell r="V45" t="str">
            <v>J. Désille</v>
          </cell>
          <cell r="W45" t="str">
            <v>F. Bachelier</v>
          </cell>
          <cell r="X45" t="str">
            <v>Ahmed Mandar</v>
          </cell>
          <cell r="Y45" t="str">
            <v>A.Buffard</v>
          </cell>
          <cell r="Z45" t="str">
            <v>M. Coutant</v>
          </cell>
          <cell r="AA45">
            <v>42063</v>
          </cell>
          <cell r="AB45">
            <v>42063</v>
          </cell>
          <cell r="AC45">
            <v>42012</v>
          </cell>
          <cell r="AD45">
            <v>42124</v>
          </cell>
          <cell r="AE45">
            <v>42155</v>
          </cell>
          <cell r="AF45">
            <v>42108</v>
          </cell>
          <cell r="AG45">
            <v>42272</v>
          </cell>
          <cell r="AH45">
            <v>42216</v>
          </cell>
          <cell r="AI45">
            <v>42220</v>
          </cell>
          <cell r="AK45">
            <v>42316</v>
          </cell>
          <cell r="AL45">
            <v>42409</v>
          </cell>
          <cell r="AN45">
            <v>42433</v>
          </cell>
          <cell r="AP45">
            <v>42437</v>
          </cell>
          <cell r="AQ45">
            <v>42522</v>
          </cell>
          <cell r="AT45">
            <v>42622</v>
          </cell>
          <cell r="AU45">
            <v>42529</v>
          </cell>
        </row>
        <row r="46">
          <cell r="A46" t="str">
            <v>B/C forw.</v>
          </cell>
          <cell r="B46" t="str">
            <v>L2103</v>
          </cell>
          <cell r="C46" t="str">
            <v>ANA Gouv Jap</v>
          </cell>
          <cell r="D46" t="str">
            <v>ANA</v>
          </cell>
          <cell r="E46" t="str">
            <v>B777</v>
          </cell>
          <cell r="F46" t="str">
            <v>B777</v>
          </cell>
          <cell r="G46" t="str">
            <v>L</v>
          </cell>
          <cell r="I46">
            <v>2</v>
          </cell>
          <cell r="J46">
            <v>33</v>
          </cell>
          <cell r="K46" t="str">
            <v>Level 2</v>
          </cell>
          <cell r="M46">
            <v>3</v>
          </cell>
          <cell r="N46" t="str">
            <v>Green</v>
          </cell>
          <cell r="P46" t="str">
            <v>Green</v>
          </cell>
          <cell r="R46" t="str">
            <v>Dev.</v>
          </cell>
          <cell r="S46" t="str">
            <v>C.Hee</v>
          </cell>
          <cell r="T46" t="str">
            <v>B.FOURGEOT</v>
          </cell>
          <cell r="U46" t="str">
            <v>C. Accolas</v>
          </cell>
          <cell r="V46" t="str">
            <v>J. Désille</v>
          </cell>
          <cell r="W46" t="str">
            <v>F. Bachelier</v>
          </cell>
          <cell r="Y46" t="str">
            <v>A.Buffard</v>
          </cell>
          <cell r="Z46" t="str">
            <v>M. Coutant</v>
          </cell>
          <cell r="AA46">
            <v>42063</v>
          </cell>
          <cell r="AB46">
            <v>42063</v>
          </cell>
          <cell r="AC46">
            <v>42012</v>
          </cell>
          <cell r="AD46">
            <v>42124</v>
          </cell>
          <cell r="AE46">
            <v>42155</v>
          </cell>
          <cell r="AF46">
            <v>42117</v>
          </cell>
          <cell r="AG46">
            <v>42272</v>
          </cell>
          <cell r="AH46">
            <v>42286</v>
          </cell>
          <cell r="AI46">
            <v>42277</v>
          </cell>
          <cell r="AK46">
            <v>42373</v>
          </cell>
          <cell r="AL46">
            <v>42422</v>
          </cell>
          <cell r="AN46">
            <v>42447</v>
          </cell>
          <cell r="AP46">
            <v>42450</v>
          </cell>
          <cell r="AQ46">
            <v>42522</v>
          </cell>
          <cell r="AS46">
            <v>42286</v>
          </cell>
          <cell r="AT46">
            <v>42622</v>
          </cell>
          <cell r="AU46">
            <v>42529</v>
          </cell>
        </row>
        <row r="47">
          <cell r="A47" t="str">
            <v>B/C forw.</v>
          </cell>
          <cell r="B47" t="str">
            <v>L1S02 V2</v>
          </cell>
          <cell r="C47" t="str">
            <v>ANA</v>
          </cell>
          <cell r="D47" t="str">
            <v>ANA</v>
          </cell>
          <cell r="E47" t="str">
            <v>B787</v>
          </cell>
          <cell r="F47" t="str">
            <v>B787</v>
          </cell>
          <cell r="G47" t="str">
            <v>L</v>
          </cell>
          <cell r="I47">
            <v>9</v>
          </cell>
          <cell r="J47">
            <v>40</v>
          </cell>
          <cell r="K47" t="str">
            <v>Level 1</v>
          </cell>
          <cell r="M47">
            <v>3</v>
          </cell>
          <cell r="N47" t="str">
            <v>Green</v>
          </cell>
          <cell r="P47" t="str">
            <v>Green</v>
          </cell>
          <cell r="R47" t="str">
            <v>Dev.</v>
          </cell>
          <cell r="T47" t="str">
            <v>B.FOURGEOT</v>
          </cell>
          <cell r="U47" t="str">
            <v>C. Accolas</v>
          </cell>
          <cell r="V47" t="str">
            <v>J. Désille</v>
          </cell>
          <cell r="W47" t="str">
            <v>F. Bachelier</v>
          </cell>
          <cell r="X47" t="str">
            <v>Ahmed Mandar</v>
          </cell>
          <cell r="Y47" t="str">
            <v>A.Buffard</v>
          </cell>
          <cell r="Z47" t="str">
            <v>M. Coutant</v>
          </cell>
          <cell r="AA47">
            <v>41973</v>
          </cell>
          <cell r="AB47">
            <v>41973</v>
          </cell>
          <cell r="AC47">
            <v>41968</v>
          </cell>
          <cell r="AD47">
            <v>42124</v>
          </cell>
          <cell r="AE47">
            <v>42185</v>
          </cell>
          <cell r="AF47">
            <v>42124</v>
          </cell>
          <cell r="AG47">
            <v>42185</v>
          </cell>
          <cell r="AH47">
            <v>42216</v>
          </cell>
          <cell r="AI47">
            <v>42186</v>
          </cell>
          <cell r="AK47">
            <v>42282</v>
          </cell>
          <cell r="AL47">
            <v>42361</v>
          </cell>
          <cell r="AN47">
            <v>42384</v>
          </cell>
          <cell r="AP47">
            <v>42389</v>
          </cell>
          <cell r="AQ47">
            <v>42450</v>
          </cell>
          <cell r="AT47">
            <v>42552</v>
          </cell>
          <cell r="AU47">
            <v>42464</v>
          </cell>
        </row>
        <row r="48">
          <cell r="A48" t="str">
            <v>B/C forw.</v>
          </cell>
          <cell r="B48" t="str">
            <v>L2S01</v>
          </cell>
          <cell r="C48" t="str">
            <v>Tianjin / Hainan</v>
          </cell>
          <cell r="E48" t="str">
            <v>A320 Neo</v>
          </cell>
          <cell r="G48" t="str">
            <v>L</v>
          </cell>
          <cell r="I48">
            <v>5</v>
          </cell>
          <cell r="J48">
            <v>174</v>
          </cell>
          <cell r="K48" t="str">
            <v xml:space="preserve">Level 1 </v>
          </cell>
          <cell r="L48" t="str">
            <v>2000k€</v>
          </cell>
          <cell r="O48" t="str">
            <v>type 3132 classique (latch tablette adapté windmilling), même tissu quE Hainan)</v>
          </cell>
          <cell r="R48" t="str">
            <v>Dev.</v>
          </cell>
          <cell r="V48" t="str">
            <v>Y. El Harrak</v>
          </cell>
          <cell r="Z48" t="str">
            <v>E. Babou</v>
          </cell>
          <cell r="AA48">
            <v>0</v>
          </cell>
          <cell r="AC48">
            <v>42389</v>
          </cell>
          <cell r="AD48">
            <v>0</v>
          </cell>
          <cell r="AG48">
            <v>0</v>
          </cell>
          <cell r="AN48">
            <v>0</v>
          </cell>
          <cell r="AT48" t="str">
            <v/>
          </cell>
          <cell r="AU48">
            <v>42614</v>
          </cell>
        </row>
        <row r="49">
          <cell r="B49" t="str">
            <v>CLOSED</v>
          </cell>
          <cell r="C49" t="str">
            <v>(WBS)</v>
          </cell>
        </row>
        <row r="50">
          <cell r="A50" t="str">
            <v>ECO-HD</v>
          </cell>
          <cell r="B50" t="str">
            <v>CLOSED</v>
          </cell>
          <cell r="C50" t="str">
            <v>(WBS)</v>
          </cell>
          <cell r="D50" t="str">
            <v>JAL</v>
          </cell>
          <cell r="E50" t="str">
            <v>B767</v>
          </cell>
          <cell r="F50" t="str">
            <v>B767</v>
          </cell>
          <cell r="H50" t="str">
            <v>R</v>
          </cell>
          <cell r="I50">
            <v>77</v>
          </cell>
          <cell r="K50" t="str">
            <v>Level 3</v>
          </cell>
          <cell r="R50" t="str">
            <v>closed</v>
          </cell>
          <cell r="S50" t="str">
            <v>J. Berger</v>
          </cell>
          <cell r="T50" t="str">
            <v>P. Bertaud (ext)</v>
          </cell>
          <cell r="U50" t="str">
            <v>C. Accolas</v>
          </cell>
          <cell r="V50" t="str">
            <v>Y. El Harrak</v>
          </cell>
          <cell r="W50" t="str">
            <v>S. EL HADJ</v>
          </cell>
          <cell r="X50" t="str">
            <v>G. Boulon</v>
          </cell>
          <cell r="Y50" t="str">
            <v>M. PERES (ext)</v>
          </cell>
          <cell r="Z50" t="str">
            <v>Syed Amar KHAN</v>
          </cell>
          <cell r="AC50">
            <v>41165</v>
          </cell>
          <cell r="AF50">
            <v>41255</v>
          </cell>
          <cell r="AI50">
            <v>41345</v>
          </cell>
          <cell r="AJ50" t="str">
            <v>**</v>
          </cell>
          <cell r="AP50">
            <v>41675</v>
          </cell>
          <cell r="AU50">
            <v>41738</v>
          </cell>
        </row>
        <row r="51">
          <cell r="A51" t="str">
            <v>ECO-HD</v>
          </cell>
          <cell r="B51" t="str">
            <v>E3105</v>
          </cell>
          <cell r="C51" t="str">
            <v>JAL</v>
          </cell>
          <cell r="D51" t="str">
            <v>JAL</v>
          </cell>
          <cell r="E51" t="str">
            <v>B767</v>
          </cell>
          <cell r="F51" t="str">
            <v>B767</v>
          </cell>
          <cell r="H51" t="str">
            <v>R</v>
          </cell>
          <cell r="I51">
            <v>77</v>
          </cell>
          <cell r="K51" t="str">
            <v>Level 3</v>
          </cell>
          <cell r="R51" t="str">
            <v>closed</v>
          </cell>
          <cell r="S51" t="str">
            <v>J. Berger</v>
          </cell>
          <cell r="T51" t="str">
            <v>P. Bertaud (ext)</v>
          </cell>
          <cell r="U51" t="str">
            <v>C. Accolas</v>
          </cell>
          <cell r="V51" t="str">
            <v>Y. El Harrak</v>
          </cell>
          <cell r="W51" t="str">
            <v>S. EL HADJ</v>
          </cell>
          <cell r="X51" t="str">
            <v>G. Boulon</v>
          </cell>
          <cell r="Y51" t="str">
            <v>M. PERES (ext)</v>
          </cell>
          <cell r="Z51" t="str">
            <v>Syed Amar KHAN</v>
          </cell>
          <cell r="AC51">
            <v>41165</v>
          </cell>
          <cell r="AF51">
            <v>41255</v>
          </cell>
          <cell r="AI51">
            <v>41345</v>
          </cell>
          <cell r="AJ51" t="str">
            <v>**</v>
          </cell>
          <cell r="AP51">
            <v>41675</v>
          </cell>
          <cell r="AU51">
            <v>41738</v>
          </cell>
        </row>
        <row r="52">
          <cell r="A52" t="str">
            <v>ECO-HD</v>
          </cell>
          <cell r="B52" t="str">
            <v>E3106</v>
          </cell>
          <cell r="C52" t="str">
            <v>JAL</v>
          </cell>
          <cell r="D52" t="str">
            <v>JAL</v>
          </cell>
          <cell r="E52" t="str">
            <v>B767</v>
          </cell>
          <cell r="F52" t="str">
            <v>B767</v>
          </cell>
          <cell r="H52" t="str">
            <v>R</v>
          </cell>
          <cell r="I52" t="str">
            <v>cf. ci-dessus</v>
          </cell>
          <cell r="K52" t="str">
            <v>Level 3</v>
          </cell>
          <cell r="R52" t="str">
            <v>closed</v>
          </cell>
          <cell r="S52" t="str">
            <v>J. Berger</v>
          </cell>
          <cell r="T52" t="str">
            <v>P. Bertaud (ext)</v>
          </cell>
          <cell r="U52" t="str">
            <v>C. Accolas</v>
          </cell>
          <cell r="V52" t="str">
            <v>Y. El Harrak</v>
          </cell>
          <cell r="W52" t="str">
            <v>S. EL HADJ</v>
          </cell>
          <cell r="X52" t="str">
            <v>G. Boulon</v>
          </cell>
          <cell r="Y52" t="str">
            <v>M. PERES (ext)</v>
          </cell>
          <cell r="Z52" t="str">
            <v>Syed Amar KHAN</v>
          </cell>
          <cell r="AC52">
            <v>41250</v>
          </cell>
          <cell r="AF52">
            <v>41347</v>
          </cell>
          <cell r="AI52">
            <v>41431</v>
          </cell>
          <cell r="AJ52" t="str">
            <v>**</v>
          </cell>
          <cell r="AP52">
            <v>41687</v>
          </cell>
          <cell r="AU52">
            <v>41698</v>
          </cell>
        </row>
        <row r="53">
          <cell r="A53" t="str">
            <v>ECO-HD</v>
          </cell>
          <cell r="B53" t="str">
            <v>E3107</v>
          </cell>
          <cell r="C53" t="str">
            <v>JAL</v>
          </cell>
          <cell r="D53" t="str">
            <v>JAL</v>
          </cell>
          <cell r="E53" t="str">
            <v>B777</v>
          </cell>
          <cell r="F53" t="str">
            <v>B777</v>
          </cell>
          <cell r="H53" t="str">
            <v>R</v>
          </cell>
          <cell r="I53" t="str">
            <v>cf. ci-dessus</v>
          </cell>
          <cell r="K53" t="str">
            <v>Level 3</v>
          </cell>
          <cell r="R53" t="str">
            <v>closed</v>
          </cell>
          <cell r="S53" t="str">
            <v>J. Berger</v>
          </cell>
          <cell r="T53" t="str">
            <v>P. Bertaud (ext)</v>
          </cell>
          <cell r="U53" t="str">
            <v>C. Accolas</v>
          </cell>
          <cell r="V53" t="str">
            <v>Y. El Harrak</v>
          </cell>
          <cell r="W53" t="str">
            <v>S. EL HADJ</v>
          </cell>
          <cell r="X53" t="str">
            <v>G. Boulon</v>
          </cell>
          <cell r="Y53" t="str">
            <v>M. PERES (ext)</v>
          </cell>
          <cell r="Z53" t="str">
            <v>Syed Amar KHAN</v>
          </cell>
          <cell r="AC53">
            <v>41250</v>
          </cell>
          <cell r="AF53">
            <v>41347</v>
          </cell>
          <cell r="AI53">
            <v>41431</v>
          </cell>
          <cell r="AJ53" t="str">
            <v>**</v>
          </cell>
          <cell r="AP53">
            <v>41835</v>
          </cell>
          <cell r="AU53">
            <v>41861</v>
          </cell>
        </row>
        <row r="54">
          <cell r="A54" t="str">
            <v>ECO-HD</v>
          </cell>
          <cell r="B54" t="str">
            <v>E3108</v>
          </cell>
          <cell r="C54" t="str">
            <v>JAL</v>
          </cell>
          <cell r="D54" t="str">
            <v>JAL</v>
          </cell>
          <cell r="E54" t="str">
            <v>B737</v>
          </cell>
          <cell r="F54" t="str">
            <v>B737</v>
          </cell>
          <cell r="H54" t="str">
            <v>R</v>
          </cell>
          <cell r="I54" t="str">
            <v>cf. ci-dessus</v>
          </cell>
          <cell r="K54" t="str">
            <v>Level 3</v>
          </cell>
          <cell r="R54" t="str">
            <v>closed</v>
          </cell>
          <cell r="S54" t="str">
            <v>J. Berger</v>
          </cell>
          <cell r="T54" t="str">
            <v>P. Bertaud (ext)</v>
          </cell>
          <cell r="U54" t="str">
            <v>C. Accolas</v>
          </cell>
          <cell r="V54" t="str">
            <v>Y. El Harrak</v>
          </cell>
          <cell r="W54" t="str">
            <v>S. EL HADJ</v>
          </cell>
          <cell r="X54" t="str">
            <v>G. Boulon</v>
          </cell>
          <cell r="Y54" t="str">
            <v>M. PERES (ext)</v>
          </cell>
          <cell r="Z54" t="str">
            <v>Syed Amar KHAN</v>
          </cell>
          <cell r="AC54">
            <v>41250</v>
          </cell>
          <cell r="AF54">
            <v>41347</v>
          </cell>
          <cell r="AI54">
            <v>41431</v>
          </cell>
          <cell r="AJ54" t="str">
            <v>**</v>
          </cell>
          <cell r="AP54">
            <v>41724</v>
          </cell>
          <cell r="AU54">
            <v>41823</v>
          </cell>
        </row>
        <row r="55">
          <cell r="A55" t="str">
            <v>ECO-HD</v>
          </cell>
          <cell r="B55" t="str">
            <v>E3111</v>
          </cell>
          <cell r="C55" t="str">
            <v>Sky Airline</v>
          </cell>
          <cell r="D55" t="str">
            <v>SKU</v>
          </cell>
          <cell r="E55" t="str">
            <v>A320</v>
          </cell>
          <cell r="F55" t="str">
            <v>A320</v>
          </cell>
          <cell r="G55" t="str">
            <v>L</v>
          </cell>
          <cell r="H55" t="str">
            <v>R</v>
          </cell>
          <cell r="I55">
            <v>2</v>
          </cell>
          <cell r="K55" t="str">
            <v>Level 1</v>
          </cell>
          <cell r="R55" t="str">
            <v>closed</v>
          </cell>
          <cell r="S55" t="str">
            <v>M. Michaux</v>
          </cell>
          <cell r="T55" t="str">
            <v>A. Bischoff</v>
          </cell>
          <cell r="U55" t="str">
            <v>E. Helfer</v>
          </cell>
          <cell r="V55" t="str">
            <v>Y. El Harrak</v>
          </cell>
          <cell r="W55" t="str">
            <v>S. EL HADJ</v>
          </cell>
          <cell r="X55" t="str">
            <v>Y. Drouin</v>
          </cell>
          <cell r="Y55" t="str">
            <v>S. Batailler</v>
          </cell>
          <cell r="Z55" t="str">
            <v>Syed Amar KHAN</v>
          </cell>
          <cell r="AC55">
            <v>41375</v>
          </cell>
          <cell r="AF55">
            <v>41487</v>
          </cell>
          <cell r="AI55">
            <v>41558</v>
          </cell>
          <cell r="AJ55" t="str">
            <v>**</v>
          </cell>
          <cell r="AP55">
            <v>41725</v>
          </cell>
          <cell r="AU55">
            <v>41817</v>
          </cell>
        </row>
        <row r="56">
          <cell r="A56" t="str">
            <v>ECO-HD</v>
          </cell>
          <cell r="B56" t="str">
            <v>E3112</v>
          </cell>
          <cell r="C56" t="str">
            <v>ALC / MIAT Mongolian</v>
          </cell>
          <cell r="D56" t="str">
            <v>MGL</v>
          </cell>
          <cell r="E56" t="str">
            <v>B737</v>
          </cell>
          <cell r="F56" t="str">
            <v>B737</v>
          </cell>
          <cell r="G56" t="str">
            <v>L</v>
          </cell>
          <cell r="H56" t="str">
            <v>R</v>
          </cell>
          <cell r="I56">
            <v>1</v>
          </cell>
          <cell r="J56">
            <v>156</v>
          </cell>
          <cell r="K56" t="str">
            <v>Level 1</v>
          </cell>
          <cell r="L56">
            <v>4794.66</v>
          </cell>
          <cell r="M56">
            <v>3</v>
          </cell>
          <cell r="N56" t="str">
            <v>Orange</v>
          </cell>
          <cell r="O56" t="str">
            <v>Covers (seams)</v>
          </cell>
          <cell r="P56" t="str">
            <v>Orange</v>
          </cell>
          <cell r="Q56" t="str">
            <v>NRC drift</v>
          </cell>
          <cell r="R56" t="str">
            <v>closed</v>
          </cell>
          <cell r="S56" t="str">
            <v>M. Michaux</v>
          </cell>
          <cell r="T56" t="str">
            <v>P. Bertaud (ext)</v>
          </cell>
          <cell r="U56" t="str">
            <v>F. Bouvier</v>
          </cell>
          <cell r="V56" t="str">
            <v>Y. El Harrak</v>
          </cell>
          <cell r="W56" t="str">
            <v>S. EL HADJ</v>
          </cell>
          <cell r="X56" t="str">
            <v>G. Boulon</v>
          </cell>
          <cell r="Y56" t="str">
            <v>G. Boubault</v>
          </cell>
          <cell r="Z56" t="str">
            <v>Syed Amar KHAN</v>
          </cell>
          <cell r="AA56">
            <v>41517</v>
          </cell>
          <cell r="AB56">
            <v>41578</v>
          </cell>
          <cell r="AC56">
            <v>41403</v>
          </cell>
          <cell r="AD56">
            <v>41578</v>
          </cell>
          <cell r="AE56">
            <v>41608</v>
          </cell>
          <cell r="AF56">
            <v>41487</v>
          </cell>
          <cell r="AG56">
            <v>41670</v>
          </cell>
          <cell r="AH56">
            <v>41698</v>
          </cell>
          <cell r="AI56">
            <v>41558</v>
          </cell>
          <cell r="AJ56" t="str">
            <v>**</v>
          </cell>
          <cell r="AK56">
            <v>41801</v>
          </cell>
          <cell r="AM56" t="str">
            <v>N/A</v>
          </cell>
          <cell r="AN56">
            <v>41882</v>
          </cell>
          <cell r="AO56">
            <v>41912</v>
          </cell>
          <cell r="AP56">
            <v>41655</v>
          </cell>
          <cell r="AS56">
            <v>42185</v>
          </cell>
          <cell r="AT56">
            <v>42185</v>
          </cell>
          <cell r="AU56">
            <v>41708</v>
          </cell>
        </row>
        <row r="57">
          <cell r="A57" t="str">
            <v>ECO-HD</v>
          </cell>
          <cell r="B57" t="str">
            <v>E3113</v>
          </cell>
          <cell r="C57" t="str">
            <v>Dragonair</v>
          </cell>
          <cell r="D57" t="str">
            <v>HDA</v>
          </cell>
          <cell r="E57" t="str">
            <v>A320</v>
          </cell>
          <cell r="F57" t="str">
            <v>A320</v>
          </cell>
          <cell r="H57" t="str">
            <v>R</v>
          </cell>
          <cell r="I57">
            <v>15</v>
          </cell>
          <cell r="J57">
            <v>156</v>
          </cell>
          <cell r="K57" t="str">
            <v>Level 3</v>
          </cell>
          <cell r="L57">
            <v>4794.66</v>
          </cell>
          <cell r="M57">
            <v>3</v>
          </cell>
          <cell r="N57" t="str">
            <v>Orange</v>
          </cell>
          <cell r="O57" t="str">
            <v>Covers (seams)</v>
          </cell>
          <cell r="P57" t="str">
            <v>Orange</v>
          </cell>
          <cell r="Q57" t="str">
            <v>NRC drift</v>
          </cell>
          <cell r="R57" t="str">
            <v>closed</v>
          </cell>
          <cell r="S57" t="str">
            <v>M. Michaux</v>
          </cell>
          <cell r="T57" t="str">
            <v>S.Tanguy</v>
          </cell>
          <cell r="U57" t="str">
            <v>J.N Vacher</v>
          </cell>
          <cell r="V57" t="str">
            <v>Y. El Harrak</v>
          </cell>
          <cell r="W57" t="str">
            <v>S. EL HADJ</v>
          </cell>
          <cell r="X57" t="str">
            <v>Y. Drouin</v>
          </cell>
          <cell r="Y57" t="str">
            <v>C. Viaud</v>
          </cell>
          <cell r="Z57" t="str">
            <v>M. Vitry</v>
          </cell>
          <cell r="AA57">
            <v>41517</v>
          </cell>
          <cell r="AB57">
            <v>41578</v>
          </cell>
          <cell r="AC57">
            <v>41433</v>
          </cell>
          <cell r="AD57">
            <v>41578</v>
          </cell>
          <cell r="AE57">
            <v>41608</v>
          </cell>
          <cell r="AF57">
            <v>41564</v>
          </cell>
          <cell r="AG57">
            <v>41670</v>
          </cell>
          <cell r="AH57">
            <v>41698</v>
          </cell>
          <cell r="AI57">
            <v>41705</v>
          </cell>
          <cell r="AJ57" t="str">
            <v>**</v>
          </cell>
          <cell r="AK57">
            <v>41801</v>
          </cell>
          <cell r="AM57" t="str">
            <v>N/A</v>
          </cell>
          <cell r="AN57">
            <v>41882</v>
          </cell>
          <cell r="AO57">
            <v>41912</v>
          </cell>
          <cell r="AP57">
            <v>41827</v>
          </cell>
          <cell r="AS57">
            <v>42185</v>
          </cell>
          <cell r="AT57">
            <v>42185</v>
          </cell>
          <cell r="AU57">
            <v>41894</v>
          </cell>
        </row>
        <row r="58">
          <cell r="A58" t="str">
            <v>ECO-HD</v>
          </cell>
          <cell r="B58" t="str">
            <v>E3115</v>
          </cell>
          <cell r="C58" t="str">
            <v>GOL</v>
          </cell>
          <cell r="D58" t="str">
            <v>GLO</v>
          </cell>
          <cell r="E58" t="str">
            <v>B737-800</v>
          </cell>
          <cell r="F58" t="str">
            <v>B737</v>
          </cell>
          <cell r="H58" t="str">
            <v>R</v>
          </cell>
          <cell r="I58">
            <v>2</v>
          </cell>
          <cell r="K58" t="str">
            <v>Level 3</v>
          </cell>
          <cell r="R58" t="str">
            <v>closed</v>
          </cell>
          <cell r="S58" t="str">
            <v>H. Rousselot</v>
          </cell>
          <cell r="T58" t="str">
            <v>J.P. MONTEIRO</v>
          </cell>
          <cell r="U58" t="str">
            <v>E. Helfer</v>
          </cell>
          <cell r="V58" t="str">
            <v>Y. El Harrak</v>
          </cell>
          <cell r="W58" t="str">
            <v>S. EL HADJ</v>
          </cell>
          <cell r="X58" t="str">
            <v>TBD</v>
          </cell>
          <cell r="Y58" t="str">
            <v>V.Martinez</v>
          </cell>
          <cell r="Z58" t="str">
            <v>Syed Amar KHAN</v>
          </cell>
          <cell r="AC58">
            <v>41577</v>
          </cell>
          <cell r="AF58">
            <v>41614</v>
          </cell>
          <cell r="AJ58" t="str">
            <v>**</v>
          </cell>
          <cell r="AP58">
            <v>41837</v>
          </cell>
          <cell r="AU58">
            <v>41853</v>
          </cell>
        </row>
        <row r="59">
          <cell r="A59" t="str">
            <v>ECO-HD</v>
          </cell>
          <cell r="B59" t="str">
            <v>E3116</v>
          </cell>
          <cell r="C59" t="str">
            <v>URAL</v>
          </cell>
          <cell r="D59" t="str">
            <v>SVR</v>
          </cell>
          <cell r="E59" t="str">
            <v>A321</v>
          </cell>
          <cell r="F59" t="str">
            <v>A321</v>
          </cell>
          <cell r="G59" t="str">
            <v>L</v>
          </cell>
          <cell r="H59" t="str">
            <v>R</v>
          </cell>
          <cell r="I59">
            <v>1</v>
          </cell>
          <cell r="J59">
            <v>180</v>
          </cell>
          <cell r="K59" t="str">
            <v>Level 1</v>
          </cell>
          <cell r="L59">
            <v>3206</v>
          </cell>
          <cell r="M59">
            <v>3</v>
          </cell>
          <cell r="N59" t="str">
            <v>Green</v>
          </cell>
          <cell r="O59" t="str">
            <v>NA</v>
          </cell>
          <cell r="P59" t="str">
            <v>Green</v>
          </cell>
          <cell r="R59" t="str">
            <v>closed</v>
          </cell>
          <cell r="S59" t="str">
            <v>-</v>
          </cell>
          <cell r="T59" t="str">
            <v>J.P. MONTEIRO</v>
          </cell>
          <cell r="U59" t="str">
            <v>PGH</v>
          </cell>
          <cell r="V59" t="str">
            <v>Y. El Harrak</v>
          </cell>
          <cell r="W59" t="str">
            <v>S. EL HADJ</v>
          </cell>
          <cell r="X59" t="str">
            <v>TBD</v>
          </cell>
          <cell r="Y59" t="str">
            <v>TBD</v>
          </cell>
          <cell r="Z59" t="str">
            <v>Syed Amar KHAN</v>
          </cell>
          <cell r="AA59">
            <v>41759</v>
          </cell>
          <cell r="AB59">
            <v>41759</v>
          </cell>
          <cell r="AC59">
            <v>41610</v>
          </cell>
          <cell r="AD59">
            <v>41790</v>
          </cell>
          <cell r="AE59">
            <v>41820</v>
          </cell>
          <cell r="AF59">
            <v>41787</v>
          </cell>
          <cell r="AG59">
            <v>41820</v>
          </cell>
          <cell r="AH59">
            <v>41851</v>
          </cell>
          <cell r="AI59">
            <v>41823</v>
          </cell>
          <cell r="AJ59" t="str">
            <v>**</v>
          </cell>
          <cell r="AK59">
            <v>42061</v>
          </cell>
          <cell r="AL59">
            <v>42081</v>
          </cell>
          <cell r="AM59" t="str">
            <v>N/A</v>
          </cell>
          <cell r="AN59">
            <v>42094</v>
          </cell>
          <cell r="AO59">
            <v>42124</v>
          </cell>
          <cell r="AP59">
            <v>41669</v>
          </cell>
          <cell r="AQ59">
            <v>42142</v>
          </cell>
          <cell r="AS59">
            <v>42279</v>
          </cell>
          <cell r="AT59">
            <v>42237</v>
          </cell>
          <cell r="AU59">
            <v>41831</v>
          </cell>
        </row>
        <row r="60">
          <cell r="A60" t="str">
            <v>ECO-HD</v>
          </cell>
          <cell r="B60" t="str">
            <v>E3118</v>
          </cell>
          <cell r="C60" t="str">
            <v>SMBC / PEACH</v>
          </cell>
          <cell r="D60" t="str">
            <v>APJ</v>
          </cell>
          <cell r="E60" t="str">
            <v>A320</v>
          </cell>
          <cell r="F60" t="str">
            <v>A320</v>
          </cell>
          <cell r="G60" t="str">
            <v>L</v>
          </cell>
          <cell r="H60" t="str">
            <v>R</v>
          </cell>
          <cell r="I60">
            <v>7</v>
          </cell>
          <cell r="J60">
            <v>180</v>
          </cell>
          <cell r="K60" t="str">
            <v>Level 2</v>
          </cell>
          <cell r="L60">
            <v>3206</v>
          </cell>
          <cell r="M60">
            <v>3</v>
          </cell>
          <cell r="N60" t="str">
            <v>Green</v>
          </cell>
          <cell r="O60" t="str">
            <v>NA</v>
          </cell>
          <cell r="P60" t="str">
            <v>Green</v>
          </cell>
          <cell r="Q60" t="str">
            <v>Late sliding tables design</v>
          </cell>
          <cell r="R60" t="str">
            <v>closed</v>
          </cell>
          <cell r="S60" t="str">
            <v>-</v>
          </cell>
          <cell r="T60" t="str">
            <v>M. Moustadraf</v>
          </cell>
          <cell r="U60" t="str">
            <v>C. Accolas</v>
          </cell>
          <cell r="V60" t="str">
            <v>Y. El Harrak</v>
          </cell>
          <cell r="W60" t="str">
            <v>S. EL HADJ</v>
          </cell>
          <cell r="X60" t="str">
            <v>Romain Pillet</v>
          </cell>
          <cell r="Y60" t="str">
            <v>E. Fily</v>
          </cell>
          <cell r="Z60" t="str">
            <v>L. Renou</v>
          </cell>
          <cell r="AA60">
            <v>41759</v>
          </cell>
          <cell r="AB60">
            <v>41759</v>
          </cell>
          <cell r="AC60">
            <v>41733</v>
          </cell>
          <cell r="AD60">
            <v>41790</v>
          </cell>
          <cell r="AE60">
            <v>41820</v>
          </cell>
          <cell r="AF60">
            <v>41787</v>
          </cell>
          <cell r="AG60">
            <v>41820</v>
          </cell>
          <cell r="AH60">
            <v>41851</v>
          </cell>
          <cell r="AI60">
            <v>41823</v>
          </cell>
          <cell r="AJ60" t="str">
            <v>**</v>
          </cell>
          <cell r="AK60">
            <v>42061</v>
          </cell>
          <cell r="AL60">
            <v>42081</v>
          </cell>
          <cell r="AM60" t="str">
            <v>N/A</v>
          </cell>
          <cell r="AN60">
            <v>42094</v>
          </cell>
          <cell r="AO60">
            <v>42124</v>
          </cell>
          <cell r="AP60">
            <v>42088</v>
          </cell>
          <cell r="AQ60">
            <v>42142</v>
          </cell>
          <cell r="AS60">
            <v>42279</v>
          </cell>
          <cell r="AT60">
            <v>42237</v>
          </cell>
          <cell r="AU60">
            <v>42144</v>
          </cell>
        </row>
        <row r="61">
          <cell r="A61" t="str">
            <v>ECO-HD</v>
          </cell>
          <cell r="B61" t="str">
            <v>E3119</v>
          </cell>
          <cell r="C61" t="str">
            <v>PEGASUS</v>
          </cell>
          <cell r="D61" t="str">
            <v>PGT</v>
          </cell>
          <cell r="E61" t="str">
            <v>B737</v>
          </cell>
          <cell r="F61" t="str">
            <v>B737</v>
          </cell>
          <cell r="G61" t="str">
            <v>L</v>
          </cell>
          <cell r="H61" t="str">
            <v>R</v>
          </cell>
          <cell r="I61">
            <v>2</v>
          </cell>
          <cell r="J61">
            <v>189</v>
          </cell>
          <cell r="K61" t="str">
            <v>Level 3</v>
          </cell>
          <cell r="L61">
            <v>541.67399999999998</v>
          </cell>
          <cell r="M61">
            <v>2</v>
          </cell>
          <cell r="N61" t="str">
            <v>Red</v>
          </cell>
          <cell r="O61" t="str">
            <v>SS1 2-month delay</v>
          </cell>
          <cell r="P61" t="str">
            <v>Red</v>
          </cell>
          <cell r="Q61" t="str">
            <v>Late sliding tables design</v>
          </cell>
          <cell r="R61" t="str">
            <v>closed</v>
          </cell>
          <cell r="S61" t="str">
            <v>-</v>
          </cell>
          <cell r="T61" t="str">
            <v>S.Tanguy</v>
          </cell>
          <cell r="U61" t="str">
            <v>J. Fosset</v>
          </cell>
          <cell r="V61" t="str">
            <v>Y. El Harrak</v>
          </cell>
          <cell r="W61" t="str">
            <v>S. EL HADJ</v>
          </cell>
          <cell r="X61" t="str">
            <v>F. Letellier</v>
          </cell>
          <cell r="Y61" t="str">
            <v>V.Martinez</v>
          </cell>
          <cell r="Z61" t="str">
            <v>M. Vitry</v>
          </cell>
          <cell r="AA61">
            <v>41759</v>
          </cell>
          <cell r="AB61">
            <v>41759</v>
          </cell>
          <cell r="AC61">
            <v>41737</v>
          </cell>
          <cell r="AD61" t="str">
            <v>NA</v>
          </cell>
          <cell r="AE61" t="str">
            <v>NA</v>
          </cell>
          <cell r="AF61" t="str">
            <v>NA</v>
          </cell>
          <cell r="AG61">
            <v>41759</v>
          </cell>
          <cell r="AH61">
            <v>41759</v>
          </cell>
          <cell r="AI61">
            <v>41766</v>
          </cell>
          <cell r="AJ61" t="str">
            <v>**</v>
          </cell>
          <cell r="AK61">
            <v>41862</v>
          </cell>
          <cell r="AL61">
            <v>41926</v>
          </cell>
          <cell r="AM61" t="str">
            <v>N/A</v>
          </cell>
          <cell r="AN61">
            <v>41882</v>
          </cell>
          <cell r="AO61">
            <v>41912</v>
          </cell>
          <cell r="AP61">
            <v>41878</v>
          </cell>
          <cell r="AQ61">
            <v>41971</v>
          </cell>
          <cell r="AS61">
            <v>42185</v>
          </cell>
          <cell r="AT61">
            <v>42185</v>
          </cell>
          <cell r="AU61">
            <v>41924</v>
          </cell>
        </row>
        <row r="62">
          <cell r="A62" t="str">
            <v>ECO-HD</v>
          </cell>
          <cell r="B62" t="str">
            <v>E3121</v>
          </cell>
          <cell r="C62" t="str">
            <v>AerCap / Donghai</v>
          </cell>
          <cell r="D62" t="str">
            <v>DGH</v>
          </cell>
          <cell r="E62" t="str">
            <v>B737-800</v>
          </cell>
          <cell r="F62" t="str">
            <v>B737</v>
          </cell>
          <cell r="G62" t="str">
            <v>L</v>
          </cell>
          <cell r="I62">
            <v>2</v>
          </cell>
          <cell r="J62">
            <v>162</v>
          </cell>
          <cell r="K62" t="str">
            <v>Level 2</v>
          </cell>
          <cell r="L62">
            <v>509.32800000000003</v>
          </cell>
          <cell r="M62">
            <v>3</v>
          </cell>
          <cell r="N62" t="str">
            <v>Green</v>
          </cell>
          <cell r="O62" t="str">
            <v>NA</v>
          </cell>
          <cell r="P62" t="str">
            <v>Green</v>
          </cell>
          <cell r="Q62" t="str">
            <v>Head rest SB cost
HiC SB cost</v>
          </cell>
          <cell r="R62" t="str">
            <v>closed</v>
          </cell>
          <cell r="S62" t="str">
            <v>-</v>
          </cell>
          <cell r="T62" t="str">
            <v>P. Bertaud (ext)</v>
          </cell>
          <cell r="U62" t="str">
            <v>J.N Vacher</v>
          </cell>
          <cell r="V62" t="str">
            <v>Y. El Harrak</v>
          </cell>
          <cell r="W62" t="str">
            <v>S. EL HADJ</v>
          </cell>
          <cell r="X62" t="str">
            <v>E.J De Pommerol</v>
          </cell>
          <cell r="Y62" t="str">
            <v>T. Fleury</v>
          </cell>
          <cell r="Z62" t="str">
            <v>L. Renou</v>
          </cell>
          <cell r="AA62">
            <v>41759</v>
          </cell>
          <cell r="AB62">
            <v>41759</v>
          </cell>
          <cell r="AC62">
            <v>41731</v>
          </cell>
          <cell r="AD62" t="str">
            <v>NA</v>
          </cell>
          <cell r="AE62" t="str">
            <v>NA</v>
          </cell>
          <cell r="AF62" t="str">
            <v>N/A</v>
          </cell>
          <cell r="AG62">
            <v>41851</v>
          </cell>
          <cell r="AH62">
            <v>41912</v>
          </cell>
          <cell r="AI62">
            <v>41843</v>
          </cell>
          <cell r="AJ62" t="str">
            <v>**</v>
          </cell>
          <cell r="AK62">
            <v>41939</v>
          </cell>
          <cell r="AL62">
            <v>41926</v>
          </cell>
          <cell r="AM62" t="str">
            <v>N/A</v>
          </cell>
          <cell r="AN62">
            <v>41943</v>
          </cell>
          <cell r="AO62">
            <v>41943</v>
          </cell>
          <cell r="AP62">
            <v>41928</v>
          </cell>
          <cell r="AQ62">
            <v>41971</v>
          </cell>
          <cell r="AS62">
            <v>42185</v>
          </cell>
          <cell r="AT62">
            <v>42185</v>
          </cell>
          <cell r="AU62">
            <v>41976</v>
          </cell>
        </row>
        <row r="63">
          <cell r="A63" t="str">
            <v>ECO-HD</v>
          </cell>
          <cell r="B63" t="str">
            <v>E3122</v>
          </cell>
          <cell r="C63" t="str">
            <v>Air India (CALC) AIC</v>
          </cell>
          <cell r="D63" t="str">
            <v>CALC</v>
          </cell>
          <cell r="E63" t="str">
            <v>A320</v>
          </cell>
          <cell r="F63" t="str">
            <v>A320</v>
          </cell>
          <cell r="G63" t="str">
            <v>L</v>
          </cell>
          <cell r="I63">
            <v>5</v>
          </cell>
          <cell r="J63">
            <v>180</v>
          </cell>
          <cell r="K63" t="str">
            <v>Level 1</v>
          </cell>
          <cell r="L63">
            <v>1777.5</v>
          </cell>
          <cell r="M63">
            <v>2</v>
          </cell>
          <cell r="N63" t="str">
            <v>Green</v>
          </cell>
          <cell r="O63" t="str">
            <v>NA</v>
          </cell>
          <cell r="P63" t="str">
            <v>Green</v>
          </cell>
          <cell r="Q63" t="str">
            <v>Commercial ligation ('special conditions')
Certification test campaign</v>
          </cell>
          <cell r="R63" t="str">
            <v>closed</v>
          </cell>
          <cell r="S63" t="str">
            <v>J.Berger</v>
          </cell>
          <cell r="T63" t="str">
            <v>M. Moustadraf</v>
          </cell>
          <cell r="V63" t="str">
            <v>Y. El Harrak</v>
          </cell>
          <cell r="W63" t="str">
            <v>S. EL HADJ</v>
          </cell>
          <cell r="X63" t="str">
            <v>E.J De Pommerol</v>
          </cell>
          <cell r="Y63" t="str">
            <v>Y. Khalki</v>
          </cell>
          <cell r="Z63" t="str">
            <v>R. Toyama</v>
          </cell>
          <cell r="AA63">
            <v>41820</v>
          </cell>
          <cell r="AB63">
            <v>41820</v>
          </cell>
          <cell r="AC63">
            <v>41793</v>
          </cell>
          <cell r="AD63" t="str">
            <v>NA</v>
          </cell>
          <cell r="AE63" t="str">
            <v>NA</v>
          </cell>
          <cell r="AF63">
            <v>41821</v>
          </cell>
          <cell r="AG63">
            <v>41851</v>
          </cell>
          <cell r="AH63">
            <v>41882</v>
          </cell>
          <cell r="AI63">
            <v>41849</v>
          </cell>
          <cell r="AJ63" t="str">
            <v>**</v>
          </cell>
          <cell r="AK63">
            <v>41945</v>
          </cell>
          <cell r="AL63">
            <v>41927</v>
          </cell>
          <cell r="AM63" t="str">
            <v>N/A</v>
          </cell>
          <cell r="AN63">
            <v>41943</v>
          </cell>
          <cell r="AO63">
            <v>41943</v>
          </cell>
          <cell r="AP63">
            <v>41941</v>
          </cell>
          <cell r="AQ63">
            <v>41971</v>
          </cell>
          <cell r="AS63">
            <v>42191</v>
          </cell>
          <cell r="AT63">
            <v>42216</v>
          </cell>
          <cell r="AU63">
            <v>41974</v>
          </cell>
        </row>
      </sheetData>
      <sheetData sheetId="1"/>
      <sheetData sheetId="2"/>
      <sheetData sheetId="3"/>
      <sheetData sheetId="4"/>
      <sheetData sheetId="5"/>
      <sheetData sheetId="6"/>
      <sheetData sheetId="7"/>
      <sheetData sheetId="8"/>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èles"/>
      <sheetName val="Programmesjalons"/>
      <sheetName val="Dialogue1"/>
      <sheetName val="Indicateurs jalons"/>
    </sheetNames>
    <sheetDataSet>
      <sheetData sheetId="0"/>
      <sheetData sheetId="1">
        <row r="4">
          <cell r="A4" t="str">
            <v>Base de données catalogue</v>
          </cell>
          <cell r="B4" t="e">
            <v>#N/A</v>
          </cell>
          <cell r="C4" t="str">
            <v>N</v>
          </cell>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row>
        <row r="5">
          <cell r="A5" t="str">
            <v>Divers</v>
          </cell>
          <cell r="B5" t="e">
            <v>#N/A</v>
          </cell>
          <cell r="C5" t="str">
            <v>N</v>
          </cell>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row>
        <row r="6">
          <cell r="A6" t="str">
            <v>E2700</v>
          </cell>
          <cell r="B6" t="str">
            <v>Catalog Z60TSO</v>
          </cell>
          <cell r="C6" t="str">
            <v>N</v>
          </cell>
          <cell r="D6">
            <v>800</v>
          </cell>
          <cell r="E6">
            <v>3000</v>
          </cell>
          <cell r="F6">
            <v>800</v>
          </cell>
          <cell r="G6">
            <v>400</v>
          </cell>
          <cell r="H6">
            <v>41989</v>
          </cell>
          <cell r="I6" t="str">
            <v>s51 2014</v>
          </cell>
          <cell r="J6">
            <v>42130</v>
          </cell>
          <cell r="K6" t="str">
            <v>s19 2015</v>
          </cell>
          <cell r="L6">
            <v>42160</v>
          </cell>
          <cell r="M6" t="str">
            <v>s23 2015</v>
          </cell>
          <cell r="N6">
            <v>42260</v>
          </cell>
          <cell r="O6" t="str">
            <v>s38 2015</v>
          </cell>
          <cell r="P6">
            <v>42290</v>
          </cell>
          <cell r="Q6" t="str">
            <v>s42 2015</v>
          </cell>
          <cell r="R6">
            <v>42324</v>
          </cell>
          <cell r="S6" t="str">
            <v>s47 2015</v>
          </cell>
          <cell r="T6">
            <v>42334</v>
          </cell>
          <cell r="U6" t="str">
            <v>s48 2015</v>
          </cell>
          <cell r="V6">
            <v>42339</v>
          </cell>
          <cell r="W6" t="str">
            <v>s49 2015</v>
          </cell>
          <cell r="X6">
            <v>42359</v>
          </cell>
          <cell r="Y6" t="str">
            <v>s52 2015</v>
          </cell>
          <cell r="Z6">
            <v>42399</v>
          </cell>
          <cell r="AA6" t="str">
            <v>s5 2016</v>
          </cell>
          <cell r="AB6">
            <v>0</v>
          </cell>
          <cell r="AC6" t="str">
            <v>s0 1900</v>
          </cell>
          <cell r="AD6">
            <v>42414</v>
          </cell>
          <cell r="AE6" t="str">
            <v>s8 2016</v>
          </cell>
          <cell r="AF6">
            <v>42444</v>
          </cell>
          <cell r="AG6" t="str">
            <v>s12 2016</v>
          </cell>
          <cell r="AH6">
            <v>0</v>
          </cell>
        </row>
        <row r="7">
          <cell r="A7" t="str">
            <v>E3100</v>
          </cell>
          <cell r="B7" t="e">
            <v>#N/A</v>
          </cell>
          <cell r="C7" t="str">
            <v>N</v>
          </cell>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row>
        <row r="8">
          <cell r="A8" t="str">
            <v>E3118</v>
          </cell>
          <cell r="B8" t="str">
            <v>SMBC / PEACH</v>
          </cell>
          <cell r="C8" t="str">
            <v>Y</v>
          </cell>
          <cell r="D8">
            <v>100</v>
          </cell>
          <cell r="E8">
            <v>150</v>
          </cell>
          <cell r="F8">
            <v>100</v>
          </cell>
          <cell r="G8">
            <v>50</v>
          </cell>
          <cell r="H8">
            <v>41733</v>
          </cell>
          <cell r="I8" t="str">
            <v>s14 2014</v>
          </cell>
          <cell r="J8">
            <v>41757</v>
          </cell>
          <cell r="K8" t="str">
            <v>s18 2014</v>
          </cell>
          <cell r="L8">
            <v>41787</v>
          </cell>
          <cell r="M8" t="str">
            <v>s22 2014</v>
          </cell>
          <cell r="N8">
            <v>41793</v>
          </cell>
          <cell r="O8" t="str">
            <v>s23 2014</v>
          </cell>
          <cell r="P8">
            <v>41823</v>
          </cell>
          <cell r="Q8" t="str">
            <v>s27 2014</v>
          </cell>
          <cell r="R8">
            <v>41968</v>
          </cell>
          <cell r="S8" t="str">
            <v>s48 2014</v>
          </cell>
          <cell r="T8">
            <v>41978</v>
          </cell>
          <cell r="U8" t="str">
            <v>s49 2014</v>
          </cell>
          <cell r="V8">
            <v>41983</v>
          </cell>
          <cell r="W8" t="str">
            <v>s50 2014</v>
          </cell>
          <cell r="X8">
            <v>42003</v>
          </cell>
          <cell r="Y8" t="str">
            <v>s53 2014</v>
          </cell>
          <cell r="Z8">
            <v>42043</v>
          </cell>
          <cell r="AA8" t="str">
            <v>s7 2015</v>
          </cell>
          <cell r="AB8">
            <v>0</v>
          </cell>
          <cell r="AC8" t="str">
            <v>s0 1900</v>
          </cell>
          <cell r="AD8">
            <v>42058</v>
          </cell>
          <cell r="AE8" t="str">
            <v>s9 2015</v>
          </cell>
          <cell r="AF8">
            <v>42088</v>
          </cell>
          <cell r="AG8" t="str">
            <v>s13 2015</v>
          </cell>
          <cell r="AH8">
            <v>42142</v>
          </cell>
        </row>
        <row r="9">
          <cell r="A9" t="str">
            <v>E3120</v>
          </cell>
          <cell r="B9" t="e">
            <v>#N/A</v>
          </cell>
          <cell r="C9" t="str">
            <v>N</v>
          </cell>
          <cell r="D9">
            <v>100</v>
          </cell>
          <cell r="E9">
            <v>150</v>
          </cell>
          <cell r="F9">
            <v>100</v>
          </cell>
          <cell r="G9">
            <v>50</v>
          </cell>
          <cell r="H9">
            <v>0</v>
          </cell>
          <cell r="I9" t="str">
            <v>s0 1900</v>
          </cell>
          <cell r="J9">
            <v>0</v>
          </cell>
          <cell r="K9" t="str">
            <v>s0 1900</v>
          </cell>
          <cell r="L9">
            <v>0</v>
          </cell>
          <cell r="M9" t="str">
            <v>s0 1900</v>
          </cell>
          <cell r="N9">
            <v>0</v>
          </cell>
          <cell r="O9" t="str">
            <v>s0 1900</v>
          </cell>
          <cell r="P9">
            <v>0</v>
          </cell>
          <cell r="Q9" t="str">
            <v>s0 1900</v>
          </cell>
          <cell r="R9">
            <v>0</v>
          </cell>
          <cell r="S9" t="str">
            <v>s0 1900</v>
          </cell>
          <cell r="T9">
            <v>0</v>
          </cell>
          <cell r="U9" t="str">
            <v>s0 1900</v>
          </cell>
          <cell r="V9">
            <v>0</v>
          </cell>
          <cell r="W9" t="str">
            <v>s0 1900</v>
          </cell>
          <cell r="X9">
            <v>0</v>
          </cell>
          <cell r="Y9" t="str">
            <v>s0 1900</v>
          </cell>
          <cell r="Z9">
            <v>0</v>
          </cell>
          <cell r="AA9" t="str">
            <v>s0 1900</v>
          </cell>
          <cell r="AB9">
            <v>0</v>
          </cell>
          <cell r="AC9" t="str">
            <v>s0 1900</v>
          </cell>
          <cell r="AD9">
            <v>0</v>
          </cell>
          <cell r="AE9" t="str">
            <v>s0 1900</v>
          </cell>
          <cell r="AF9">
            <v>0</v>
          </cell>
          <cell r="AG9" t="str">
            <v>s0 1900</v>
          </cell>
          <cell r="AH9">
            <v>0</v>
          </cell>
        </row>
        <row r="10">
          <cell r="A10" t="str">
            <v>E3121 HIC</v>
          </cell>
          <cell r="B10" t="e">
            <v>#N/A</v>
          </cell>
          <cell r="C10" t="str">
            <v>N</v>
          </cell>
          <cell r="D10">
            <v>50</v>
          </cell>
          <cell r="E10">
            <v>100</v>
          </cell>
          <cell r="F10">
            <v>50</v>
          </cell>
          <cell r="G10">
            <v>25</v>
          </cell>
          <cell r="H10">
            <v>42156</v>
          </cell>
          <cell r="I10" t="str">
            <v>s23 2015</v>
          </cell>
          <cell r="J10">
            <v>42156</v>
          </cell>
          <cell r="K10" t="str">
            <v>s23 2015</v>
          </cell>
          <cell r="L10">
            <v>42186</v>
          </cell>
          <cell r="M10" t="str">
            <v>s27 2015</v>
          </cell>
          <cell r="N10">
            <v>42187</v>
          </cell>
          <cell r="O10" t="str">
            <v>s27 2015</v>
          </cell>
          <cell r="P10">
            <v>42217</v>
          </cell>
          <cell r="Q10" t="str">
            <v>s31 2015</v>
          </cell>
          <cell r="R10">
            <v>42223</v>
          </cell>
          <cell r="S10" t="str">
            <v>s32 2015</v>
          </cell>
          <cell r="T10">
            <v>42228</v>
          </cell>
          <cell r="U10" t="str">
            <v>s33 2015</v>
          </cell>
          <cell r="V10">
            <v>42230</v>
          </cell>
          <cell r="W10" t="str">
            <v>s33 2015</v>
          </cell>
          <cell r="X10">
            <v>42237</v>
          </cell>
          <cell r="Y10" t="str">
            <v>s34 2015</v>
          </cell>
          <cell r="Z10">
            <v>42239</v>
          </cell>
          <cell r="AA10" t="str">
            <v>s35 2015</v>
          </cell>
          <cell r="AB10">
            <v>0</v>
          </cell>
          <cell r="AC10" t="str">
            <v>s0 1900</v>
          </cell>
          <cell r="AD10">
            <v>42241</v>
          </cell>
          <cell r="AE10" t="str">
            <v>s35 2015</v>
          </cell>
          <cell r="AF10">
            <v>42248</v>
          </cell>
          <cell r="AG10" t="str">
            <v>s36 2015</v>
          </cell>
          <cell r="AH10">
            <v>42278</v>
          </cell>
        </row>
        <row r="11">
          <cell r="A11" t="str">
            <v>E3123</v>
          </cell>
          <cell r="B11" t="str">
            <v>Sun Express</v>
          </cell>
          <cell r="C11" t="str">
            <v>N</v>
          </cell>
          <cell r="D11">
            <v>150</v>
          </cell>
          <cell r="E11">
            <v>250</v>
          </cell>
          <cell r="F11">
            <v>150</v>
          </cell>
          <cell r="G11">
            <v>75</v>
          </cell>
          <cell r="H11">
            <v>41828</v>
          </cell>
          <cell r="I11" t="str">
            <v>s28 2014</v>
          </cell>
          <cell r="J11">
            <v>41883</v>
          </cell>
          <cell r="K11" t="str">
            <v>s36 2014</v>
          </cell>
          <cell r="L11">
            <v>41913</v>
          </cell>
          <cell r="M11" t="str">
            <v>s40 2014</v>
          </cell>
          <cell r="N11">
            <v>41953</v>
          </cell>
          <cell r="O11" t="str">
            <v>s46 2014</v>
          </cell>
          <cell r="P11">
            <v>41983</v>
          </cell>
          <cell r="Q11" t="str">
            <v>s50 2014</v>
          </cell>
          <cell r="R11">
            <v>41985</v>
          </cell>
          <cell r="S11" t="str">
            <v>s50 2014</v>
          </cell>
          <cell r="T11">
            <v>41995</v>
          </cell>
          <cell r="U11" t="str">
            <v>s52 2014</v>
          </cell>
          <cell r="V11">
            <v>42000</v>
          </cell>
          <cell r="W11" t="str">
            <v>s52 2014</v>
          </cell>
          <cell r="X11">
            <v>42020</v>
          </cell>
          <cell r="Y11" t="str">
            <v>s3 2015</v>
          </cell>
          <cell r="Z11">
            <v>42050</v>
          </cell>
          <cell r="AA11" t="str">
            <v>s8 2015</v>
          </cell>
          <cell r="AB11">
            <v>0</v>
          </cell>
          <cell r="AC11" t="str">
            <v>s0 1900</v>
          </cell>
          <cell r="AD11">
            <v>42065</v>
          </cell>
          <cell r="AE11" t="str">
            <v>s10 2015</v>
          </cell>
          <cell r="AF11">
            <v>42095</v>
          </cell>
          <cell r="AG11" t="str">
            <v>s14 2015</v>
          </cell>
          <cell r="AH11">
            <v>42132</v>
          </cell>
        </row>
        <row r="12">
          <cell r="A12" t="str">
            <v>E3123 V2</v>
          </cell>
          <cell r="B12" t="e">
            <v>#N/A</v>
          </cell>
          <cell r="C12" t="str">
            <v>N</v>
          </cell>
          <cell r="D12">
            <v>50</v>
          </cell>
          <cell r="E12">
            <v>100</v>
          </cell>
          <cell r="F12">
            <v>50</v>
          </cell>
          <cell r="G12">
            <v>0</v>
          </cell>
          <cell r="H12">
            <v>42292</v>
          </cell>
          <cell r="I12">
            <v>0</v>
          </cell>
          <cell r="J12">
            <v>0</v>
          </cell>
          <cell r="K12">
            <v>0</v>
          </cell>
          <cell r="L12">
            <v>42322</v>
          </cell>
          <cell r="M12">
            <v>0</v>
          </cell>
          <cell r="N12">
            <v>0</v>
          </cell>
          <cell r="O12">
            <v>0</v>
          </cell>
          <cell r="P12">
            <v>42322</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42384</v>
          </cell>
          <cell r="AG12">
            <v>0</v>
          </cell>
          <cell r="AH12">
            <v>42460</v>
          </cell>
        </row>
        <row r="13">
          <cell r="A13" t="str">
            <v>E3124</v>
          </cell>
          <cell r="B13" t="str">
            <v>Japan TransOcean Air</v>
          </cell>
          <cell r="C13" t="str">
            <v>N</v>
          </cell>
          <cell r="D13">
            <v>150</v>
          </cell>
          <cell r="E13">
            <v>250</v>
          </cell>
          <cell r="F13">
            <v>150</v>
          </cell>
          <cell r="G13">
            <v>75</v>
          </cell>
          <cell r="H13">
            <v>41872</v>
          </cell>
          <cell r="I13" t="str">
            <v>s34 2014</v>
          </cell>
          <cell r="J13">
            <v>41904</v>
          </cell>
          <cell r="K13" t="str">
            <v>s39 2014</v>
          </cell>
          <cell r="L13">
            <v>41934</v>
          </cell>
          <cell r="M13" t="str">
            <v>s43 2014</v>
          </cell>
          <cell r="N13">
            <v>41995</v>
          </cell>
          <cell r="O13" t="str">
            <v>s52 2014</v>
          </cell>
          <cell r="P13">
            <v>42025</v>
          </cell>
          <cell r="Q13" t="str">
            <v>s4 2015</v>
          </cell>
          <cell r="R13">
            <v>42115</v>
          </cell>
          <cell r="S13" t="str">
            <v>s17 2015</v>
          </cell>
          <cell r="T13">
            <v>42125</v>
          </cell>
          <cell r="U13" t="str">
            <v>s18 2015</v>
          </cell>
          <cell r="V13">
            <v>42130</v>
          </cell>
          <cell r="W13" t="str">
            <v>s19 2015</v>
          </cell>
          <cell r="X13">
            <v>42150</v>
          </cell>
          <cell r="Y13" t="str">
            <v>s22 2015</v>
          </cell>
          <cell r="Z13">
            <v>42165</v>
          </cell>
          <cell r="AA13" t="str">
            <v>s24 2015</v>
          </cell>
          <cell r="AB13">
            <v>0</v>
          </cell>
          <cell r="AC13" t="str">
            <v>s0 1900</v>
          </cell>
          <cell r="AD13">
            <v>42205</v>
          </cell>
          <cell r="AE13" t="str">
            <v>s30 2015</v>
          </cell>
          <cell r="AF13">
            <v>42235</v>
          </cell>
          <cell r="AG13" t="str">
            <v>s34 2015</v>
          </cell>
          <cell r="AH13">
            <v>42331</v>
          </cell>
        </row>
        <row r="14">
          <cell r="A14" t="str">
            <v>E3125</v>
          </cell>
          <cell r="B14" t="str">
            <v>Lion Air</v>
          </cell>
          <cell r="C14" t="str">
            <v>N</v>
          </cell>
          <cell r="D14">
            <v>200</v>
          </cell>
          <cell r="E14">
            <v>300</v>
          </cell>
          <cell r="F14">
            <v>200</v>
          </cell>
          <cell r="G14">
            <v>100</v>
          </cell>
          <cell r="H14">
            <v>41843</v>
          </cell>
          <cell r="I14" t="str">
            <v>s30 2014</v>
          </cell>
          <cell r="J14">
            <v>41888</v>
          </cell>
          <cell r="K14" t="str">
            <v>s36 2014</v>
          </cell>
          <cell r="L14">
            <v>41918</v>
          </cell>
          <cell r="M14" t="str">
            <v>s41 2014</v>
          </cell>
          <cell r="N14">
            <v>41980</v>
          </cell>
          <cell r="O14" t="str">
            <v>s50 2014</v>
          </cell>
          <cell r="P14">
            <v>42010</v>
          </cell>
          <cell r="Q14" t="str">
            <v>s2 2015</v>
          </cell>
          <cell r="R14">
            <v>42038</v>
          </cell>
          <cell r="S14" t="str">
            <v>s6 2015</v>
          </cell>
          <cell r="T14">
            <v>42048</v>
          </cell>
          <cell r="U14" t="str">
            <v>s7 2015</v>
          </cell>
          <cell r="V14">
            <v>42053</v>
          </cell>
          <cell r="W14" t="str">
            <v>s8 2015</v>
          </cell>
          <cell r="X14">
            <v>42073</v>
          </cell>
          <cell r="Y14" t="str">
            <v>s11 2015</v>
          </cell>
          <cell r="Z14">
            <v>42113</v>
          </cell>
          <cell r="AA14" t="str">
            <v>s17 2015</v>
          </cell>
          <cell r="AB14">
            <v>0</v>
          </cell>
          <cell r="AC14" t="str">
            <v>s0 1900</v>
          </cell>
          <cell r="AD14">
            <v>42128</v>
          </cell>
          <cell r="AE14" t="str">
            <v>s19 2015</v>
          </cell>
          <cell r="AF14">
            <v>42158</v>
          </cell>
          <cell r="AG14" t="str">
            <v>s23 2015</v>
          </cell>
          <cell r="AH14">
            <v>42173</v>
          </cell>
        </row>
        <row r="15">
          <cell r="A15" t="str">
            <v>E3126-27</v>
          </cell>
          <cell r="B15" t="str">
            <v>NOK Air</v>
          </cell>
          <cell r="C15" t="str">
            <v>N</v>
          </cell>
          <cell r="D15">
            <v>75</v>
          </cell>
          <cell r="E15">
            <v>100</v>
          </cell>
          <cell r="F15">
            <v>75</v>
          </cell>
          <cell r="G15">
            <v>35</v>
          </cell>
          <cell r="H15">
            <v>41872</v>
          </cell>
          <cell r="I15" t="str">
            <v>s34 2014</v>
          </cell>
          <cell r="J15">
            <v>41905</v>
          </cell>
          <cell r="K15" t="str">
            <v>s39 2014</v>
          </cell>
          <cell r="L15">
            <v>41935</v>
          </cell>
          <cell r="M15" t="str">
            <v>s43 2014</v>
          </cell>
          <cell r="N15">
            <v>42001</v>
          </cell>
          <cell r="O15" t="str">
            <v>s53 2014</v>
          </cell>
          <cell r="P15">
            <v>42031</v>
          </cell>
          <cell r="Q15" t="str">
            <v>s5 2015</v>
          </cell>
          <cell r="R15">
            <v>42052</v>
          </cell>
          <cell r="S15" t="str">
            <v>s8 2015</v>
          </cell>
          <cell r="T15">
            <v>42062</v>
          </cell>
          <cell r="U15" t="str">
            <v>s9 2015</v>
          </cell>
          <cell r="V15">
            <v>42067</v>
          </cell>
          <cell r="W15" t="str">
            <v>s10 2015</v>
          </cell>
          <cell r="X15">
            <v>42087</v>
          </cell>
          <cell r="Y15" t="str">
            <v>s13 2015</v>
          </cell>
          <cell r="Z15">
            <v>42107</v>
          </cell>
          <cell r="AA15" t="str">
            <v>s16 2015</v>
          </cell>
          <cell r="AB15">
            <v>0</v>
          </cell>
          <cell r="AC15" t="str">
            <v>s0 1900</v>
          </cell>
          <cell r="AD15">
            <v>42122</v>
          </cell>
          <cell r="AE15" t="str">
            <v>s18 2015</v>
          </cell>
          <cell r="AF15">
            <v>42152</v>
          </cell>
          <cell r="AG15" t="str">
            <v>s22 2015</v>
          </cell>
          <cell r="AH15">
            <v>42181</v>
          </cell>
        </row>
        <row r="16">
          <cell r="A16" t="str">
            <v>E3127</v>
          </cell>
          <cell r="B16" t="e">
            <v>#N/A</v>
          </cell>
          <cell r="C16" t="str">
            <v>N</v>
          </cell>
          <cell r="D16">
            <v>75</v>
          </cell>
          <cell r="E16">
            <v>150</v>
          </cell>
          <cell r="F16">
            <v>75</v>
          </cell>
          <cell r="G16">
            <v>40</v>
          </cell>
          <cell r="H16">
            <v>41872</v>
          </cell>
          <cell r="I16" t="str">
            <v>s34 2014</v>
          </cell>
          <cell r="J16">
            <v>41905</v>
          </cell>
          <cell r="K16" t="str">
            <v>s39 2014</v>
          </cell>
          <cell r="L16">
            <v>41935</v>
          </cell>
          <cell r="M16" t="str">
            <v>s43 2014</v>
          </cell>
          <cell r="N16">
            <v>42001</v>
          </cell>
          <cell r="O16" t="str">
            <v>s53 2014</v>
          </cell>
          <cell r="P16">
            <v>42031</v>
          </cell>
          <cell r="Q16" t="str">
            <v>s5 2015</v>
          </cell>
          <cell r="R16">
            <v>42052</v>
          </cell>
          <cell r="S16" t="str">
            <v>s8 2015</v>
          </cell>
          <cell r="T16">
            <v>42062</v>
          </cell>
          <cell r="U16" t="str">
            <v>s9 2015</v>
          </cell>
          <cell r="V16">
            <v>42067</v>
          </cell>
          <cell r="W16" t="str">
            <v>s10 2015</v>
          </cell>
          <cell r="X16">
            <v>42087</v>
          </cell>
          <cell r="Y16" t="str">
            <v>s13 2015</v>
          </cell>
          <cell r="Z16">
            <v>42107</v>
          </cell>
          <cell r="AA16" t="str">
            <v>s16 2015</v>
          </cell>
          <cell r="AB16">
            <v>0</v>
          </cell>
          <cell r="AC16" t="str">
            <v>s0 1900</v>
          </cell>
          <cell r="AD16">
            <v>42122</v>
          </cell>
          <cell r="AE16" t="str">
            <v>s18 2015</v>
          </cell>
          <cell r="AF16">
            <v>42152</v>
          </cell>
          <cell r="AG16" t="str">
            <v>s22 2015</v>
          </cell>
          <cell r="AH16">
            <v>42181</v>
          </cell>
        </row>
        <row r="17">
          <cell r="A17" t="str">
            <v>E3128</v>
          </cell>
          <cell r="B17" t="str">
            <v>Korean Airlines</v>
          </cell>
          <cell r="C17" t="str">
            <v>N</v>
          </cell>
          <cell r="D17">
            <v>200</v>
          </cell>
          <cell r="E17">
            <v>300</v>
          </cell>
          <cell r="F17">
            <v>200</v>
          </cell>
          <cell r="G17">
            <v>100</v>
          </cell>
          <cell r="H17">
            <v>41885</v>
          </cell>
          <cell r="I17" t="str">
            <v>s36 2014</v>
          </cell>
          <cell r="J17">
            <v>41897</v>
          </cell>
          <cell r="K17" t="str">
            <v>s38 2014</v>
          </cell>
          <cell r="L17">
            <v>41927</v>
          </cell>
          <cell r="M17" t="str">
            <v>s42 2014</v>
          </cell>
          <cell r="N17">
            <v>41958</v>
          </cell>
          <cell r="O17" t="str">
            <v>s46 2014</v>
          </cell>
          <cell r="P17">
            <v>41988</v>
          </cell>
          <cell r="Q17" t="str">
            <v>s51 2014</v>
          </cell>
          <cell r="R17">
            <v>42129</v>
          </cell>
          <cell r="S17" t="str">
            <v>s19 2015</v>
          </cell>
          <cell r="T17">
            <v>42139</v>
          </cell>
          <cell r="U17" t="str">
            <v>s20 2015</v>
          </cell>
          <cell r="V17">
            <v>42163</v>
          </cell>
          <cell r="W17" t="str">
            <v>s24 2015</v>
          </cell>
          <cell r="X17">
            <v>42183</v>
          </cell>
          <cell r="Y17" t="str">
            <v>s27 2015</v>
          </cell>
          <cell r="Z17">
            <v>42188</v>
          </cell>
          <cell r="AA17" t="str">
            <v>s27 2015</v>
          </cell>
          <cell r="AB17">
            <v>0</v>
          </cell>
          <cell r="AC17" t="str">
            <v>s0 1900</v>
          </cell>
          <cell r="AD17">
            <v>42219</v>
          </cell>
          <cell r="AE17" t="str">
            <v>s32 2015</v>
          </cell>
          <cell r="AF17">
            <v>42229</v>
          </cell>
          <cell r="AG17" t="str">
            <v>s33 2015</v>
          </cell>
          <cell r="AH17">
            <v>42272</v>
          </cell>
        </row>
        <row r="18">
          <cell r="A18" t="str">
            <v>E3128 V2</v>
          </cell>
          <cell r="B18" t="e">
            <v>#N/A</v>
          </cell>
          <cell r="C18" t="str">
            <v>N</v>
          </cell>
          <cell r="D18">
            <v>50</v>
          </cell>
          <cell r="E18">
            <v>100</v>
          </cell>
          <cell r="F18">
            <v>50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row>
        <row r="19">
          <cell r="A19" t="str">
            <v>E3129</v>
          </cell>
          <cell r="B19" t="str">
            <v>Free Bird</v>
          </cell>
          <cell r="C19" t="str">
            <v>N</v>
          </cell>
          <cell r="D19">
            <v>100</v>
          </cell>
          <cell r="E19">
            <v>150</v>
          </cell>
          <cell r="F19">
            <v>100</v>
          </cell>
          <cell r="G19">
            <v>50</v>
          </cell>
          <cell r="H19">
            <v>41892</v>
          </cell>
          <cell r="I19" t="str">
            <v>s37 2014</v>
          </cell>
          <cell r="J19">
            <v>41891</v>
          </cell>
          <cell r="K19" t="str">
            <v>s37 2014</v>
          </cell>
          <cell r="L19">
            <v>41921</v>
          </cell>
          <cell r="M19" t="str">
            <v>s41 2014</v>
          </cell>
          <cell r="N19">
            <v>41904</v>
          </cell>
          <cell r="O19" t="str">
            <v>s39 2014</v>
          </cell>
          <cell r="P19">
            <v>41934</v>
          </cell>
          <cell r="Q19" t="str">
            <v>s43 2014</v>
          </cell>
          <cell r="R19">
            <v>42230</v>
          </cell>
          <cell r="S19" t="str">
            <v>s33 2015</v>
          </cell>
          <cell r="T19">
            <v>42240</v>
          </cell>
          <cell r="U19" t="str">
            <v>s35 2015</v>
          </cell>
          <cell r="V19">
            <v>42245</v>
          </cell>
          <cell r="W19" t="str">
            <v>s35 2015</v>
          </cell>
          <cell r="X19">
            <v>42265</v>
          </cell>
          <cell r="Y19" t="str">
            <v>s38 2015</v>
          </cell>
          <cell r="Z19">
            <v>42305</v>
          </cell>
          <cell r="AA19" t="str">
            <v>s44 2015</v>
          </cell>
          <cell r="AB19">
            <v>0</v>
          </cell>
          <cell r="AC19" t="str">
            <v>s0 1900</v>
          </cell>
          <cell r="AD19">
            <v>42320</v>
          </cell>
          <cell r="AE19" t="str">
            <v>s46 2015</v>
          </cell>
          <cell r="AF19">
            <v>42350</v>
          </cell>
          <cell r="AG19" t="str">
            <v>s50 2015</v>
          </cell>
          <cell r="AH19">
            <v>42074</v>
          </cell>
        </row>
        <row r="20">
          <cell r="A20" t="str">
            <v>E3130</v>
          </cell>
          <cell r="B20" t="str">
            <v>Donghai</v>
          </cell>
          <cell r="C20" t="str">
            <v>Y</v>
          </cell>
          <cell r="D20">
            <v>150</v>
          </cell>
          <cell r="E20">
            <v>250</v>
          </cell>
          <cell r="F20">
            <v>150</v>
          </cell>
          <cell r="G20">
            <v>75</v>
          </cell>
          <cell r="H20">
            <v>41919</v>
          </cell>
          <cell r="I20" t="str">
            <v>s41 2014</v>
          </cell>
          <cell r="J20">
            <v>41933</v>
          </cell>
          <cell r="K20" t="str">
            <v>s43 2014</v>
          </cell>
          <cell r="L20">
            <v>41963</v>
          </cell>
          <cell r="M20" t="str">
            <v>s47 2014</v>
          </cell>
          <cell r="N20">
            <v>42007</v>
          </cell>
          <cell r="O20" t="str">
            <v>s1 2015</v>
          </cell>
          <cell r="P20">
            <v>42037</v>
          </cell>
          <cell r="Q20" t="str">
            <v>s6 2015</v>
          </cell>
          <cell r="R20">
            <v>42040</v>
          </cell>
          <cell r="S20" t="str">
            <v>s6 2015</v>
          </cell>
          <cell r="T20">
            <v>42050</v>
          </cell>
          <cell r="U20" t="str">
            <v>s8 2015</v>
          </cell>
          <cell r="V20">
            <v>42055</v>
          </cell>
          <cell r="W20" t="str">
            <v>s8 2015</v>
          </cell>
          <cell r="X20">
            <v>42075</v>
          </cell>
          <cell r="Y20" t="str">
            <v>s11 2015</v>
          </cell>
          <cell r="Z20">
            <v>42085</v>
          </cell>
          <cell r="AA20" t="str">
            <v>s13 2015</v>
          </cell>
          <cell r="AB20">
            <v>0</v>
          </cell>
          <cell r="AC20" t="str">
            <v>s0 1900</v>
          </cell>
          <cell r="AD20">
            <v>42100</v>
          </cell>
          <cell r="AE20" t="str">
            <v>s15 2015</v>
          </cell>
          <cell r="AF20">
            <v>42130</v>
          </cell>
          <cell r="AG20" t="str">
            <v>s19 2015</v>
          </cell>
          <cell r="AH20">
            <v>42195</v>
          </cell>
        </row>
        <row r="21">
          <cell r="A21" t="str">
            <v>E3131</v>
          </cell>
          <cell r="B21" t="str">
            <v>JAL</v>
          </cell>
          <cell r="C21" t="str">
            <v>N</v>
          </cell>
          <cell r="D21">
            <v>100</v>
          </cell>
          <cell r="E21">
            <v>150</v>
          </cell>
          <cell r="F21">
            <v>100</v>
          </cell>
          <cell r="G21">
            <v>50</v>
          </cell>
          <cell r="H21">
            <v>41863</v>
          </cell>
          <cell r="I21" t="str">
            <v>s33 2014</v>
          </cell>
          <cell r="J21">
            <v>41883</v>
          </cell>
          <cell r="K21" t="str">
            <v>s36 2014</v>
          </cell>
          <cell r="L21">
            <v>41913</v>
          </cell>
          <cell r="M21" t="str">
            <v>s40 2014</v>
          </cell>
          <cell r="N21">
            <v>41918</v>
          </cell>
          <cell r="O21" t="str">
            <v>s41 2014</v>
          </cell>
          <cell r="P21">
            <v>41948</v>
          </cell>
          <cell r="Q21" t="str">
            <v>s45 2014</v>
          </cell>
          <cell r="R21">
            <v>42129</v>
          </cell>
          <cell r="S21" t="str">
            <v>s19 2015</v>
          </cell>
          <cell r="T21">
            <v>42139</v>
          </cell>
          <cell r="U21" t="str">
            <v>s20 2015</v>
          </cell>
          <cell r="V21">
            <v>42144</v>
          </cell>
          <cell r="W21" t="str">
            <v>s21 2015</v>
          </cell>
          <cell r="X21">
            <v>42164</v>
          </cell>
          <cell r="Y21" t="str">
            <v>s24 2015</v>
          </cell>
          <cell r="Z21">
            <v>42194</v>
          </cell>
          <cell r="AA21" t="str">
            <v>s28 2015</v>
          </cell>
          <cell r="AB21">
            <v>0</v>
          </cell>
          <cell r="AC21" t="str">
            <v>s0 1900</v>
          </cell>
          <cell r="AD21">
            <v>42209</v>
          </cell>
          <cell r="AE21" t="str">
            <v>s30 2015</v>
          </cell>
          <cell r="AF21">
            <v>42249</v>
          </cell>
          <cell r="AG21" t="str">
            <v>s36 2015</v>
          </cell>
          <cell r="AH21">
            <v>42348</v>
          </cell>
        </row>
        <row r="22">
          <cell r="A22" t="str">
            <v>E3132</v>
          </cell>
          <cell r="B22" t="str">
            <v>Hainan Airlines</v>
          </cell>
          <cell r="C22" t="str">
            <v>N</v>
          </cell>
          <cell r="D22">
            <v>50</v>
          </cell>
          <cell r="E22">
            <v>150</v>
          </cell>
          <cell r="F22">
            <v>100</v>
          </cell>
          <cell r="G22">
            <v>50</v>
          </cell>
          <cell r="H22">
            <v>41898</v>
          </cell>
          <cell r="I22" t="str">
            <v>s38 2014</v>
          </cell>
          <cell r="J22">
            <v>42273</v>
          </cell>
          <cell r="K22" t="str">
            <v>s39 2015</v>
          </cell>
          <cell r="L22">
            <v>42293</v>
          </cell>
          <cell r="M22" t="str">
            <v>s42 2015</v>
          </cell>
          <cell r="N22">
            <v>41953</v>
          </cell>
          <cell r="O22" t="str">
            <v>s46 2014</v>
          </cell>
          <cell r="P22">
            <v>41983</v>
          </cell>
          <cell r="Q22" t="str">
            <v>s50 2014</v>
          </cell>
          <cell r="R22">
            <v>41991</v>
          </cell>
          <cell r="S22" t="str">
            <v>s51 2014</v>
          </cell>
          <cell r="T22">
            <v>42001</v>
          </cell>
          <cell r="U22" t="str">
            <v>s53 2014</v>
          </cell>
          <cell r="V22">
            <v>42006</v>
          </cell>
          <cell r="W22" t="str">
            <v>s1 2015</v>
          </cell>
          <cell r="X22">
            <v>42026</v>
          </cell>
          <cell r="Y22" t="str">
            <v>s4 2015</v>
          </cell>
          <cell r="Z22">
            <v>42036</v>
          </cell>
          <cell r="AA22" t="str">
            <v>s6 2015</v>
          </cell>
          <cell r="AB22">
            <v>0</v>
          </cell>
          <cell r="AC22" t="str">
            <v>s0 1900</v>
          </cell>
          <cell r="AD22">
            <v>42051</v>
          </cell>
          <cell r="AE22" t="str">
            <v>s8 2015</v>
          </cell>
          <cell r="AF22">
            <v>42081</v>
          </cell>
          <cell r="AG22" t="str">
            <v>s12 2015</v>
          </cell>
          <cell r="AH22">
            <v>42164</v>
          </cell>
        </row>
        <row r="23">
          <cell r="A23" t="str">
            <v>E3132 V2</v>
          </cell>
          <cell r="B23" t="e">
            <v>#N/A</v>
          </cell>
          <cell r="C23" t="str">
            <v>N</v>
          </cell>
          <cell r="D23">
            <v>50</v>
          </cell>
          <cell r="E23">
            <v>0</v>
          </cell>
          <cell r="F23">
            <v>0</v>
          </cell>
          <cell r="G23">
            <v>0</v>
          </cell>
          <cell r="H23">
            <v>41976</v>
          </cell>
          <cell r="I23" t="str">
            <v>s49 2014</v>
          </cell>
          <cell r="J23">
            <v>42019</v>
          </cell>
          <cell r="K23" t="str">
            <v>s3 2015</v>
          </cell>
          <cell r="L23">
            <v>42039</v>
          </cell>
          <cell r="M23" t="str">
            <v>s6 2015</v>
          </cell>
          <cell r="N23">
            <v>42048</v>
          </cell>
          <cell r="O23" t="str">
            <v>s7 2015</v>
          </cell>
          <cell r="P23">
            <v>42068</v>
          </cell>
          <cell r="Q23" t="str">
            <v>s10 2015</v>
          </cell>
          <cell r="R23">
            <v>42082</v>
          </cell>
          <cell r="S23" t="str">
            <v>s12 2015</v>
          </cell>
          <cell r="T23">
            <v>42092</v>
          </cell>
          <cell r="U23" t="str">
            <v>s14 2015</v>
          </cell>
          <cell r="V23">
            <v>42097</v>
          </cell>
          <cell r="W23" t="str">
            <v>s14 2015</v>
          </cell>
          <cell r="X23">
            <v>42117</v>
          </cell>
          <cell r="Y23" t="str">
            <v>s17 2015</v>
          </cell>
          <cell r="Z23">
            <v>42127</v>
          </cell>
          <cell r="AA23" t="str">
            <v>s19 2015</v>
          </cell>
          <cell r="AB23">
            <v>0</v>
          </cell>
          <cell r="AC23" t="str">
            <v>s0 1900</v>
          </cell>
          <cell r="AD23">
            <v>42142</v>
          </cell>
          <cell r="AE23" t="str">
            <v>s21 2015</v>
          </cell>
          <cell r="AF23">
            <v>42172</v>
          </cell>
          <cell r="AG23" t="str">
            <v>s25 2015</v>
          </cell>
          <cell r="AH23">
            <v>42194</v>
          </cell>
        </row>
        <row r="24">
          <cell r="A24" t="str">
            <v>E3133</v>
          </cell>
          <cell r="B24" t="str">
            <v>Indigo</v>
          </cell>
          <cell r="C24" t="str">
            <v>N</v>
          </cell>
          <cell r="D24">
            <v>150</v>
          </cell>
          <cell r="E24">
            <v>250</v>
          </cell>
          <cell r="F24">
            <v>150</v>
          </cell>
          <cell r="G24">
            <v>75</v>
          </cell>
          <cell r="H24">
            <v>42034</v>
          </cell>
          <cell r="I24" t="str">
            <v>s5 2015</v>
          </cell>
          <cell r="J24">
            <v>42038</v>
          </cell>
          <cell r="K24" t="str">
            <v>s6 2015</v>
          </cell>
          <cell r="L24">
            <v>42043</v>
          </cell>
          <cell r="M24" t="str">
            <v>s7 2015</v>
          </cell>
          <cell r="N24">
            <v>42049</v>
          </cell>
          <cell r="O24" t="str">
            <v>s7 2015</v>
          </cell>
          <cell r="P24">
            <v>42079</v>
          </cell>
          <cell r="Q24" t="str">
            <v>s12 2015</v>
          </cell>
          <cell r="R24">
            <v>42110</v>
          </cell>
          <cell r="S24" t="str">
            <v>s16 2015</v>
          </cell>
          <cell r="T24">
            <v>42120</v>
          </cell>
          <cell r="U24" t="str">
            <v>s18 2015</v>
          </cell>
          <cell r="V24">
            <v>42125</v>
          </cell>
          <cell r="W24" t="str">
            <v>s18 2015</v>
          </cell>
          <cell r="X24">
            <v>42145</v>
          </cell>
          <cell r="Y24" t="str">
            <v>s21 2015</v>
          </cell>
          <cell r="Z24">
            <v>42155</v>
          </cell>
          <cell r="AA24" t="str">
            <v>s23 2015</v>
          </cell>
          <cell r="AB24">
            <v>0</v>
          </cell>
          <cell r="AC24" t="str">
            <v>s0 1900</v>
          </cell>
          <cell r="AD24">
            <v>42170</v>
          </cell>
          <cell r="AE24" t="str">
            <v>s25 2015</v>
          </cell>
          <cell r="AF24">
            <v>42185</v>
          </cell>
          <cell r="AG24" t="str">
            <v>s27 2015</v>
          </cell>
          <cell r="AH24">
            <v>42241</v>
          </cell>
        </row>
        <row r="25">
          <cell r="A25" t="str">
            <v>E3135 V2</v>
          </cell>
          <cell r="B25" t="e">
            <v>#N/A</v>
          </cell>
          <cell r="C25" t="str">
            <v>N</v>
          </cell>
          <cell r="D25">
            <v>100</v>
          </cell>
          <cell r="E25">
            <v>150</v>
          </cell>
          <cell r="F25">
            <v>100</v>
          </cell>
          <cell r="G25">
            <v>50</v>
          </cell>
          <cell r="H25">
            <v>42125</v>
          </cell>
          <cell r="I25" t="str">
            <v>s18 2015</v>
          </cell>
          <cell r="J25">
            <v>42126</v>
          </cell>
          <cell r="K25" t="str">
            <v>s18 2015</v>
          </cell>
          <cell r="L25">
            <v>42156</v>
          </cell>
          <cell r="M25" t="str">
            <v>s23 2015</v>
          </cell>
          <cell r="N25">
            <v>42166</v>
          </cell>
          <cell r="O25" t="str">
            <v>s24 2015</v>
          </cell>
          <cell r="P25">
            <v>42200</v>
          </cell>
          <cell r="Q25" t="str">
            <v>s29 2015</v>
          </cell>
          <cell r="R25">
            <v>42202</v>
          </cell>
          <cell r="S25" t="str">
            <v>s29 2015</v>
          </cell>
          <cell r="T25">
            <v>42212</v>
          </cell>
          <cell r="U25" t="str">
            <v>s31 2015</v>
          </cell>
          <cell r="V25">
            <v>42217</v>
          </cell>
          <cell r="W25" t="str">
            <v>s31 2015</v>
          </cell>
          <cell r="X25">
            <v>42227</v>
          </cell>
          <cell r="Y25" t="str">
            <v>s33 2015</v>
          </cell>
          <cell r="Z25">
            <v>42229</v>
          </cell>
          <cell r="AA25" t="str">
            <v>s33 2015</v>
          </cell>
          <cell r="AB25">
            <v>0</v>
          </cell>
          <cell r="AC25" t="str">
            <v>s0 1900</v>
          </cell>
          <cell r="AD25">
            <v>42232</v>
          </cell>
          <cell r="AE25" t="str">
            <v>s34 2015</v>
          </cell>
          <cell r="AF25">
            <v>42262</v>
          </cell>
          <cell r="AG25" t="str">
            <v>s38 2015</v>
          </cell>
          <cell r="AH25">
            <v>42333</v>
          </cell>
        </row>
        <row r="26">
          <cell r="A26" t="str">
            <v>E3136</v>
          </cell>
          <cell r="B26" t="str">
            <v>Viet Nam</v>
          </cell>
          <cell r="C26" t="str">
            <v>N</v>
          </cell>
          <cell r="D26">
            <v>100</v>
          </cell>
          <cell r="E26">
            <v>150</v>
          </cell>
          <cell r="F26">
            <v>100</v>
          </cell>
          <cell r="G26">
            <v>50</v>
          </cell>
          <cell r="H26">
            <v>42013</v>
          </cell>
          <cell r="I26" t="str">
            <v>s2 2015</v>
          </cell>
          <cell r="J26">
            <v>42022</v>
          </cell>
          <cell r="K26" t="str">
            <v>s4 2015</v>
          </cell>
          <cell r="L26">
            <v>42037</v>
          </cell>
          <cell r="M26" t="str">
            <v>s6 2015</v>
          </cell>
          <cell r="N26">
            <v>42045</v>
          </cell>
          <cell r="O26" t="str">
            <v>s7 2015</v>
          </cell>
          <cell r="P26">
            <v>42075</v>
          </cell>
          <cell r="Q26" t="str">
            <v>s11 2015</v>
          </cell>
          <cell r="R26">
            <v>42083</v>
          </cell>
          <cell r="S26" t="str">
            <v>s12 2015</v>
          </cell>
          <cell r="T26">
            <v>42093</v>
          </cell>
          <cell r="U26" t="str">
            <v>s14 2015</v>
          </cell>
          <cell r="V26">
            <v>42098</v>
          </cell>
          <cell r="W26" t="str">
            <v>s14 2015</v>
          </cell>
          <cell r="X26">
            <v>42118</v>
          </cell>
          <cell r="Y26" t="str">
            <v>s17 2015</v>
          </cell>
          <cell r="Z26">
            <v>42123</v>
          </cell>
          <cell r="AA26" t="str">
            <v>s18 2015</v>
          </cell>
          <cell r="AB26">
            <v>0</v>
          </cell>
          <cell r="AC26" t="str">
            <v>s0 1900</v>
          </cell>
          <cell r="AD26">
            <v>42133</v>
          </cell>
          <cell r="AE26" t="str">
            <v>s19 2015</v>
          </cell>
          <cell r="AF26">
            <v>42163</v>
          </cell>
          <cell r="AG26" t="str">
            <v>s24 2015</v>
          </cell>
          <cell r="AH26">
            <v>42202</v>
          </cell>
        </row>
        <row r="27">
          <cell r="A27" t="str">
            <v>E3137</v>
          </cell>
          <cell r="B27" t="str">
            <v>GoAIr</v>
          </cell>
          <cell r="C27" t="str">
            <v>N</v>
          </cell>
          <cell r="D27">
            <v>100</v>
          </cell>
          <cell r="E27">
            <v>150</v>
          </cell>
          <cell r="F27">
            <v>100</v>
          </cell>
          <cell r="G27">
            <v>50</v>
          </cell>
          <cell r="H27">
            <v>42088</v>
          </cell>
          <cell r="I27" t="str">
            <v>s13 2015</v>
          </cell>
          <cell r="J27">
            <v>42098</v>
          </cell>
          <cell r="K27" t="str">
            <v>s14 2015</v>
          </cell>
          <cell r="L27">
            <v>42128</v>
          </cell>
          <cell r="M27" t="str">
            <v>s19 2015</v>
          </cell>
          <cell r="N27">
            <v>42156</v>
          </cell>
          <cell r="O27" t="str">
            <v>s23 2015</v>
          </cell>
          <cell r="P27">
            <v>42186</v>
          </cell>
          <cell r="Q27" t="str">
            <v>s27 2015</v>
          </cell>
          <cell r="R27">
            <v>42219</v>
          </cell>
          <cell r="S27" t="str">
            <v>s32 2015</v>
          </cell>
          <cell r="T27">
            <v>42229</v>
          </cell>
          <cell r="U27" t="str">
            <v>s33 2015</v>
          </cell>
          <cell r="V27">
            <v>42234</v>
          </cell>
          <cell r="W27" t="str">
            <v>s34 2015</v>
          </cell>
          <cell r="X27">
            <v>42254</v>
          </cell>
          <cell r="Y27" t="str">
            <v>s37 2015</v>
          </cell>
          <cell r="Z27">
            <v>42294</v>
          </cell>
          <cell r="AA27" t="str">
            <v>s42 2015</v>
          </cell>
          <cell r="AB27">
            <v>0</v>
          </cell>
          <cell r="AC27" t="str">
            <v>s0 1900</v>
          </cell>
          <cell r="AD27">
            <v>42309</v>
          </cell>
          <cell r="AE27" t="str">
            <v>s45 2015</v>
          </cell>
          <cell r="AF27">
            <v>42339</v>
          </cell>
          <cell r="AG27" t="str">
            <v>s49 2015</v>
          </cell>
          <cell r="AH27">
            <v>42415</v>
          </cell>
        </row>
        <row r="28">
          <cell r="A28" t="str">
            <v>E3138</v>
          </cell>
          <cell r="B28" t="str">
            <v>Air Côte d'Ivoire</v>
          </cell>
          <cell r="C28" t="str">
            <v>N</v>
          </cell>
          <cell r="D28">
            <v>100</v>
          </cell>
          <cell r="E28">
            <v>150</v>
          </cell>
          <cell r="F28">
            <v>100</v>
          </cell>
          <cell r="G28">
            <v>50</v>
          </cell>
          <cell r="H28">
            <v>42307</v>
          </cell>
          <cell r="I28" t="str">
            <v>s44 2015</v>
          </cell>
          <cell r="J28">
            <v>42323</v>
          </cell>
          <cell r="K28" t="str">
            <v>s47 2015</v>
          </cell>
          <cell r="L28">
            <v>42353</v>
          </cell>
          <cell r="M28" t="str">
            <v>s51 2015</v>
          </cell>
          <cell r="N28">
            <v>42400</v>
          </cell>
          <cell r="O28" t="str">
            <v>s6 2016</v>
          </cell>
          <cell r="P28">
            <v>42430</v>
          </cell>
          <cell r="Q28" t="str">
            <v>s10 2016</v>
          </cell>
          <cell r="R28">
            <v>42466</v>
          </cell>
          <cell r="S28" t="str">
            <v>s15 2016</v>
          </cell>
          <cell r="T28">
            <v>42476</v>
          </cell>
          <cell r="U28" t="str">
            <v>s16 2016</v>
          </cell>
          <cell r="V28">
            <v>42481</v>
          </cell>
          <cell r="W28" t="str">
            <v>s17 2016</v>
          </cell>
          <cell r="X28">
            <v>42501</v>
          </cell>
          <cell r="Y28" t="str">
            <v>s20 2016</v>
          </cell>
          <cell r="Z28">
            <v>42506</v>
          </cell>
          <cell r="AA28" t="str">
            <v>s21 2016</v>
          </cell>
          <cell r="AB28">
            <v>0</v>
          </cell>
          <cell r="AC28" t="str">
            <v>s0 1900</v>
          </cell>
          <cell r="AD28">
            <v>42511</v>
          </cell>
          <cell r="AE28" t="str">
            <v>s21 2016</v>
          </cell>
          <cell r="AF28">
            <v>42541</v>
          </cell>
          <cell r="AG28" t="str">
            <v>s26 2016</v>
          </cell>
          <cell r="AH28">
            <v>42688</v>
          </cell>
        </row>
        <row r="29">
          <cell r="A29" t="str">
            <v>E3139</v>
          </cell>
          <cell r="B29" t="str">
            <v>A320 sur étagère</v>
          </cell>
          <cell r="C29" t="str">
            <v>N</v>
          </cell>
          <cell r="D29">
            <v>0</v>
          </cell>
          <cell r="E29">
            <v>0</v>
          </cell>
          <cell r="F29">
            <v>0</v>
          </cell>
          <cell r="G29">
            <v>0</v>
          </cell>
          <cell r="H29">
            <v>42233</v>
          </cell>
          <cell r="I29">
            <v>0</v>
          </cell>
          <cell r="J29">
            <v>0</v>
          </cell>
          <cell r="K29">
            <v>0</v>
          </cell>
          <cell r="L29">
            <v>0</v>
          </cell>
          <cell r="M29">
            <v>0</v>
          </cell>
          <cell r="N29">
            <v>0</v>
          </cell>
          <cell r="O29">
            <v>0</v>
          </cell>
          <cell r="P29">
            <v>42282</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42331</v>
          </cell>
          <cell r="AG29">
            <v>0</v>
          </cell>
          <cell r="AH29">
            <v>42352</v>
          </cell>
        </row>
        <row r="30">
          <cell r="A30" t="str">
            <v>E3140</v>
          </cell>
          <cell r="B30" t="str">
            <v>B737 sur étagère</v>
          </cell>
          <cell r="C30" t="str">
            <v>N</v>
          </cell>
          <cell r="D30">
            <v>0</v>
          </cell>
          <cell r="E30">
            <v>0</v>
          </cell>
          <cell r="F30">
            <v>0</v>
          </cell>
          <cell r="G30">
            <v>0</v>
          </cell>
          <cell r="H30">
            <v>42233</v>
          </cell>
          <cell r="I30">
            <v>0</v>
          </cell>
          <cell r="J30">
            <v>0</v>
          </cell>
          <cell r="K30">
            <v>0</v>
          </cell>
          <cell r="L30">
            <v>0</v>
          </cell>
          <cell r="M30">
            <v>0</v>
          </cell>
          <cell r="N30">
            <v>0</v>
          </cell>
          <cell r="O30">
            <v>0</v>
          </cell>
          <cell r="P30">
            <v>42282</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42331</v>
          </cell>
          <cell r="AG30">
            <v>0</v>
          </cell>
          <cell r="AH30">
            <v>42352</v>
          </cell>
        </row>
        <row r="31">
          <cell r="A31" t="str">
            <v>E3141</v>
          </cell>
          <cell r="B31" t="str">
            <v xml:space="preserve">Juneyao </v>
          </cell>
          <cell r="C31" t="str">
            <v>N</v>
          </cell>
          <cell r="D31">
            <v>100</v>
          </cell>
          <cell r="E31">
            <v>190</v>
          </cell>
          <cell r="F31">
            <v>100</v>
          </cell>
          <cell r="G31">
            <v>50</v>
          </cell>
          <cell r="H31">
            <v>42193</v>
          </cell>
          <cell r="I31" t="str">
            <v>s28 2015</v>
          </cell>
          <cell r="J31">
            <v>0</v>
          </cell>
          <cell r="K31">
            <v>0</v>
          </cell>
          <cell r="L31">
            <v>42244</v>
          </cell>
          <cell r="M31">
            <v>0</v>
          </cell>
          <cell r="N31">
            <v>42247</v>
          </cell>
          <cell r="O31" t="str">
            <v>s36 2015</v>
          </cell>
          <cell r="P31">
            <v>42277</v>
          </cell>
          <cell r="Q31" t="str">
            <v>s40 2015</v>
          </cell>
          <cell r="R31">
            <v>0</v>
          </cell>
          <cell r="S31">
            <v>0</v>
          </cell>
          <cell r="T31">
            <v>0</v>
          </cell>
          <cell r="U31">
            <v>0</v>
          </cell>
          <cell r="V31">
            <v>0</v>
          </cell>
          <cell r="W31">
            <v>0</v>
          </cell>
          <cell r="X31">
            <v>0</v>
          </cell>
          <cell r="Y31">
            <v>0</v>
          </cell>
          <cell r="Z31">
            <v>0</v>
          </cell>
          <cell r="AA31">
            <v>0</v>
          </cell>
          <cell r="AB31">
            <v>0</v>
          </cell>
          <cell r="AC31">
            <v>0</v>
          </cell>
          <cell r="AD31">
            <v>42323</v>
          </cell>
          <cell r="AE31" t="str">
            <v>s47 2015</v>
          </cell>
          <cell r="AF31">
            <v>42353</v>
          </cell>
          <cell r="AG31" t="str">
            <v>s51 2015</v>
          </cell>
          <cell r="AH31">
            <v>42415</v>
          </cell>
        </row>
        <row r="32">
          <cell r="A32" t="str">
            <v>E3142</v>
          </cell>
          <cell r="B32" t="str">
            <v>PEGASUS</v>
          </cell>
          <cell r="C32" t="str">
            <v>N</v>
          </cell>
          <cell r="D32">
            <v>100</v>
          </cell>
          <cell r="E32">
            <v>150</v>
          </cell>
          <cell r="F32">
            <v>100</v>
          </cell>
          <cell r="G32">
            <v>50</v>
          </cell>
          <cell r="H32">
            <v>42255</v>
          </cell>
          <cell r="I32" t="str">
            <v>s37 2015</v>
          </cell>
          <cell r="J32">
            <v>0</v>
          </cell>
          <cell r="K32">
            <v>0</v>
          </cell>
          <cell r="L32">
            <v>42322</v>
          </cell>
          <cell r="M32">
            <v>0</v>
          </cell>
          <cell r="N32">
            <v>42352</v>
          </cell>
          <cell r="O32" t="str">
            <v>s51 2015</v>
          </cell>
          <cell r="P32">
            <v>42382</v>
          </cell>
          <cell r="Q32" t="str">
            <v>s3 2016</v>
          </cell>
          <cell r="R32">
            <v>0</v>
          </cell>
          <cell r="S32">
            <v>0</v>
          </cell>
          <cell r="T32">
            <v>0</v>
          </cell>
          <cell r="U32">
            <v>0</v>
          </cell>
          <cell r="V32">
            <v>0</v>
          </cell>
          <cell r="W32">
            <v>0</v>
          </cell>
          <cell r="X32">
            <v>0</v>
          </cell>
          <cell r="Y32">
            <v>0</v>
          </cell>
          <cell r="Z32">
            <v>0</v>
          </cell>
          <cell r="AA32">
            <v>0</v>
          </cell>
          <cell r="AB32">
            <v>0</v>
          </cell>
          <cell r="AC32">
            <v>0</v>
          </cell>
          <cell r="AD32">
            <v>42427</v>
          </cell>
          <cell r="AE32" t="str">
            <v>s9 2016</v>
          </cell>
          <cell r="AF32">
            <v>42457</v>
          </cell>
          <cell r="AG32" t="str">
            <v>s14 2016</v>
          </cell>
          <cell r="AH32">
            <v>42487</v>
          </cell>
        </row>
        <row r="33">
          <cell r="A33" t="str">
            <v>E3143</v>
          </cell>
          <cell r="B33" t="str">
            <v>PEGASUS</v>
          </cell>
          <cell r="C33" t="str">
            <v>N</v>
          </cell>
          <cell r="D33">
            <v>100</v>
          </cell>
          <cell r="E33">
            <v>150</v>
          </cell>
          <cell r="F33">
            <v>100</v>
          </cell>
          <cell r="G33">
            <v>50</v>
          </cell>
          <cell r="H33">
            <v>42278</v>
          </cell>
          <cell r="I33" t="str">
            <v>s40 2015</v>
          </cell>
          <cell r="J33">
            <v>0</v>
          </cell>
          <cell r="K33">
            <v>0</v>
          </cell>
          <cell r="L33">
            <v>42322</v>
          </cell>
          <cell r="M33">
            <v>0</v>
          </cell>
          <cell r="N33">
            <v>42352</v>
          </cell>
          <cell r="O33" t="str">
            <v>s51 2015</v>
          </cell>
          <cell r="P33">
            <v>42382</v>
          </cell>
          <cell r="Q33" t="str">
            <v>s3 2016</v>
          </cell>
          <cell r="R33">
            <v>0</v>
          </cell>
          <cell r="S33">
            <v>0</v>
          </cell>
          <cell r="T33">
            <v>0</v>
          </cell>
          <cell r="U33">
            <v>0</v>
          </cell>
          <cell r="V33">
            <v>0</v>
          </cell>
          <cell r="W33">
            <v>0</v>
          </cell>
          <cell r="X33">
            <v>0</v>
          </cell>
          <cell r="Y33">
            <v>0</v>
          </cell>
          <cell r="Z33">
            <v>0</v>
          </cell>
          <cell r="AA33">
            <v>0</v>
          </cell>
          <cell r="AB33">
            <v>0</v>
          </cell>
          <cell r="AC33">
            <v>0</v>
          </cell>
          <cell r="AD33">
            <v>42427</v>
          </cell>
          <cell r="AE33" t="str">
            <v>s9 2016</v>
          </cell>
          <cell r="AF33">
            <v>42457</v>
          </cell>
          <cell r="AG33" t="str">
            <v>s14 2016</v>
          </cell>
          <cell r="AH33">
            <v>42487</v>
          </cell>
        </row>
        <row r="34">
          <cell r="A34" t="str">
            <v>E3144</v>
          </cell>
          <cell r="B34" t="str">
            <v>Honk Kong Express</v>
          </cell>
          <cell r="C34" t="str">
            <v>N</v>
          </cell>
          <cell r="D34">
            <v>140</v>
          </cell>
          <cell r="E34">
            <v>150</v>
          </cell>
          <cell r="F34">
            <v>100</v>
          </cell>
          <cell r="G34">
            <v>50</v>
          </cell>
          <cell r="H34">
            <v>42269</v>
          </cell>
          <cell r="I34" t="str">
            <v>s39 2015</v>
          </cell>
          <cell r="J34">
            <v>0</v>
          </cell>
          <cell r="K34">
            <v>0</v>
          </cell>
          <cell r="L34">
            <v>42328</v>
          </cell>
          <cell r="M34">
            <v>0</v>
          </cell>
          <cell r="N34">
            <v>42371</v>
          </cell>
          <cell r="O34" t="str">
            <v>s1 2016</v>
          </cell>
          <cell r="P34">
            <v>42401</v>
          </cell>
          <cell r="Q34" t="str">
            <v>s6 2016</v>
          </cell>
          <cell r="R34">
            <v>0</v>
          </cell>
          <cell r="S34">
            <v>0</v>
          </cell>
          <cell r="T34">
            <v>0</v>
          </cell>
          <cell r="U34">
            <v>0</v>
          </cell>
          <cell r="V34">
            <v>0</v>
          </cell>
          <cell r="W34">
            <v>0</v>
          </cell>
          <cell r="X34">
            <v>0</v>
          </cell>
          <cell r="Y34">
            <v>0</v>
          </cell>
          <cell r="Z34">
            <v>0</v>
          </cell>
          <cell r="AA34">
            <v>0</v>
          </cell>
          <cell r="AB34">
            <v>0</v>
          </cell>
          <cell r="AC34">
            <v>0</v>
          </cell>
          <cell r="AD34">
            <v>42480</v>
          </cell>
          <cell r="AE34" t="str">
            <v>s17 2016</v>
          </cell>
          <cell r="AF34">
            <v>42510</v>
          </cell>
          <cell r="AG34" t="str">
            <v>s21 2016</v>
          </cell>
          <cell r="AH34">
            <v>42566</v>
          </cell>
        </row>
        <row r="35">
          <cell r="A35" t="str">
            <v>E31YY</v>
          </cell>
          <cell r="B35" t="e">
            <v>#N/A</v>
          </cell>
          <cell r="C35" t="str">
            <v>N</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row>
        <row r="36">
          <cell r="A36" t="str">
            <v>E3800</v>
          </cell>
          <cell r="B36" t="e">
            <v>#N/A</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row>
        <row r="37">
          <cell r="A37" t="str">
            <v>E3805</v>
          </cell>
          <cell r="B37" t="str">
            <v>Japan Airlines</v>
          </cell>
          <cell r="C37" t="str">
            <v>N</v>
          </cell>
          <cell r="D37">
            <v>0</v>
          </cell>
          <cell r="E37">
            <v>0</v>
          </cell>
          <cell r="F37">
            <v>0</v>
          </cell>
          <cell r="G37">
            <v>0</v>
          </cell>
          <cell r="H37">
            <v>42200</v>
          </cell>
          <cell r="I37" t="str">
            <v>s29 2015</v>
          </cell>
          <cell r="J37">
            <v>42221</v>
          </cell>
          <cell r="K37" t="str">
            <v>s32 2015</v>
          </cell>
          <cell r="L37">
            <v>42231</v>
          </cell>
          <cell r="M37" t="str">
            <v>s33 2015</v>
          </cell>
          <cell r="N37">
            <v>42293</v>
          </cell>
          <cell r="O37" t="str">
            <v>s42 2015</v>
          </cell>
          <cell r="P37">
            <v>42323</v>
          </cell>
          <cell r="Q37" t="str">
            <v>s47 2015</v>
          </cell>
          <cell r="R37">
            <v>42420</v>
          </cell>
          <cell r="S37" t="str">
            <v>s8 2016</v>
          </cell>
          <cell r="T37">
            <v>42430</v>
          </cell>
          <cell r="U37" t="str">
            <v>s10 2016</v>
          </cell>
          <cell r="V37">
            <v>42435</v>
          </cell>
          <cell r="W37" t="str">
            <v>s11 2016</v>
          </cell>
          <cell r="X37">
            <v>42445</v>
          </cell>
          <cell r="Y37" t="str">
            <v>s12 2016</v>
          </cell>
          <cell r="Z37">
            <v>42450</v>
          </cell>
          <cell r="AA37" t="str">
            <v>s13 2016</v>
          </cell>
          <cell r="AB37">
            <v>0</v>
          </cell>
          <cell r="AC37" t="str">
            <v>s0 1900</v>
          </cell>
          <cell r="AD37">
            <v>42455</v>
          </cell>
          <cell r="AE37" t="str">
            <v>s13 2016</v>
          </cell>
          <cell r="AF37">
            <v>42475</v>
          </cell>
          <cell r="AG37" t="str">
            <v>s16 2016</v>
          </cell>
          <cell r="AH37">
            <v>42689</v>
          </cell>
        </row>
        <row r="38">
          <cell r="A38" t="str">
            <v>E3807</v>
          </cell>
          <cell r="B38" t="str">
            <v>Japan Airlines</v>
          </cell>
          <cell r="C38" t="str">
            <v>N</v>
          </cell>
          <cell r="D38">
            <v>80</v>
          </cell>
          <cell r="E38">
            <v>450</v>
          </cell>
          <cell r="F38">
            <v>100</v>
          </cell>
          <cell r="G38">
            <v>70</v>
          </cell>
          <cell r="H38">
            <v>41659</v>
          </cell>
          <cell r="I38" t="str">
            <v>s4 2014</v>
          </cell>
          <cell r="J38">
            <v>41709</v>
          </cell>
          <cell r="K38" t="str">
            <v>s11 2014</v>
          </cell>
          <cell r="L38">
            <v>41739</v>
          </cell>
          <cell r="M38" t="str">
            <v>s15 2014</v>
          </cell>
          <cell r="N38">
            <v>41883</v>
          </cell>
          <cell r="O38" t="str">
            <v>s36 2014</v>
          </cell>
          <cell r="P38">
            <v>41913</v>
          </cell>
          <cell r="Q38" t="str">
            <v>s40 2014</v>
          </cell>
          <cell r="R38">
            <v>42110</v>
          </cell>
          <cell r="S38" t="str">
            <v>s16 2015</v>
          </cell>
          <cell r="T38">
            <v>42120</v>
          </cell>
          <cell r="U38" t="str">
            <v>s18 2015</v>
          </cell>
          <cell r="V38">
            <v>42125</v>
          </cell>
          <cell r="W38" t="str">
            <v>s18 2015</v>
          </cell>
          <cell r="X38">
            <v>42145</v>
          </cell>
          <cell r="Y38" t="str">
            <v>s21 2015</v>
          </cell>
          <cell r="Z38">
            <v>42185</v>
          </cell>
          <cell r="AA38" t="str">
            <v>s27 2015</v>
          </cell>
          <cell r="AB38">
            <v>0</v>
          </cell>
          <cell r="AC38" t="str">
            <v>s0 1900</v>
          </cell>
          <cell r="AD38">
            <v>42200</v>
          </cell>
          <cell r="AE38" t="str">
            <v>s29 2015</v>
          </cell>
          <cell r="AF38">
            <v>42283</v>
          </cell>
          <cell r="AG38" t="str">
            <v>s41 2015</v>
          </cell>
          <cell r="AH38">
            <v>42310</v>
          </cell>
        </row>
        <row r="39">
          <cell r="A39" t="str">
            <v>E3808</v>
          </cell>
          <cell r="B39" t="str">
            <v>China Airlines</v>
          </cell>
          <cell r="C39" t="str">
            <v>N</v>
          </cell>
          <cell r="D39">
            <v>150</v>
          </cell>
          <cell r="E39">
            <v>750</v>
          </cell>
          <cell r="F39">
            <v>300</v>
          </cell>
          <cell r="G39">
            <v>120</v>
          </cell>
          <cell r="H39">
            <v>41779</v>
          </cell>
          <cell r="I39" t="str">
            <v>s21 2014</v>
          </cell>
          <cell r="J39">
            <v>41847</v>
          </cell>
          <cell r="K39" t="str">
            <v>s31 2014</v>
          </cell>
          <cell r="L39">
            <v>41877</v>
          </cell>
          <cell r="M39" t="str">
            <v>s35 2014</v>
          </cell>
          <cell r="N39">
            <v>42063</v>
          </cell>
          <cell r="O39" t="str">
            <v>s9 2015</v>
          </cell>
          <cell r="P39">
            <v>42093</v>
          </cell>
          <cell r="Q39" t="str">
            <v>s14 2015</v>
          </cell>
          <cell r="R39">
            <v>42197</v>
          </cell>
          <cell r="S39" t="str">
            <v>s29 2015</v>
          </cell>
          <cell r="T39">
            <v>42227</v>
          </cell>
          <cell r="U39" t="str">
            <v>s33 2015</v>
          </cell>
          <cell r="V39">
            <v>42252</v>
          </cell>
          <cell r="W39" t="str">
            <v>s36 2015</v>
          </cell>
          <cell r="X39">
            <v>42267</v>
          </cell>
          <cell r="Y39" t="str">
            <v>s39 2015</v>
          </cell>
          <cell r="Z39">
            <v>42282</v>
          </cell>
          <cell r="AA39" t="str">
            <v>s41 2015</v>
          </cell>
          <cell r="AB39">
            <v>0</v>
          </cell>
          <cell r="AC39" t="str">
            <v>s0 1900</v>
          </cell>
          <cell r="AD39">
            <v>42287</v>
          </cell>
          <cell r="AE39" t="str">
            <v>s41 2015</v>
          </cell>
          <cell r="AF39">
            <v>42317</v>
          </cell>
          <cell r="AG39" t="str">
            <v>s46 2015</v>
          </cell>
          <cell r="AH39">
            <v>42396</v>
          </cell>
        </row>
        <row r="40">
          <cell r="A40" t="str">
            <v>E3809</v>
          </cell>
          <cell r="B40" t="str">
            <v>Air France</v>
          </cell>
          <cell r="C40" t="str">
            <v>N</v>
          </cell>
          <cell r="D40">
            <v>150</v>
          </cell>
          <cell r="E40">
            <v>750</v>
          </cell>
          <cell r="F40">
            <v>300</v>
          </cell>
          <cell r="G40">
            <v>120</v>
          </cell>
          <cell r="H40">
            <v>41918</v>
          </cell>
          <cell r="I40" t="str">
            <v>s41 2014</v>
          </cell>
          <cell r="J40">
            <v>42037</v>
          </cell>
          <cell r="K40" t="str">
            <v>s6 2015</v>
          </cell>
          <cell r="L40">
            <v>42067</v>
          </cell>
          <cell r="M40" t="str">
            <v>s10 2015</v>
          </cell>
          <cell r="N40">
            <v>42239</v>
          </cell>
          <cell r="O40" t="str">
            <v>s35 2015</v>
          </cell>
          <cell r="P40">
            <v>42269</v>
          </cell>
          <cell r="Q40" t="str">
            <v>s39 2015</v>
          </cell>
          <cell r="R40">
            <v>42341</v>
          </cell>
          <cell r="S40" t="str">
            <v>s49 2015</v>
          </cell>
          <cell r="T40">
            <v>42379</v>
          </cell>
          <cell r="U40" t="str">
            <v>s3 2016</v>
          </cell>
          <cell r="V40">
            <v>42384</v>
          </cell>
          <cell r="W40" t="str">
            <v>s3 2016</v>
          </cell>
          <cell r="X40">
            <v>42404</v>
          </cell>
          <cell r="Y40" t="str">
            <v>s6 2016</v>
          </cell>
          <cell r="Z40">
            <v>42455</v>
          </cell>
          <cell r="AA40" t="str">
            <v>s13 2016</v>
          </cell>
          <cell r="AB40">
            <v>0</v>
          </cell>
          <cell r="AC40" t="str">
            <v>s0 1900</v>
          </cell>
          <cell r="AD40">
            <v>42470</v>
          </cell>
          <cell r="AE40" t="str">
            <v>s16 2016</v>
          </cell>
          <cell r="AF40">
            <v>42500</v>
          </cell>
          <cell r="AG40" t="str">
            <v>s20 2016</v>
          </cell>
          <cell r="AH40">
            <v>42538</v>
          </cell>
        </row>
        <row r="41">
          <cell r="A41" t="str">
            <v>E38YY</v>
          </cell>
          <cell r="B41" t="e">
            <v>#N/A</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row>
        <row r="42">
          <cell r="A42" t="str">
            <v>EL300</v>
          </cell>
          <cell r="B42" t="str">
            <v>Catalog L3TSO</v>
          </cell>
          <cell r="C42" t="str">
            <v>N</v>
          </cell>
          <cell r="D42">
            <v>300</v>
          </cell>
          <cell r="E42">
            <v>800</v>
          </cell>
          <cell r="F42">
            <v>300</v>
          </cell>
          <cell r="G42">
            <v>100</v>
          </cell>
          <cell r="H42">
            <v>42171</v>
          </cell>
          <cell r="I42" t="str">
            <v>s25 2015</v>
          </cell>
          <cell r="J42">
            <v>42247</v>
          </cell>
          <cell r="K42" t="str">
            <v>s36 2015</v>
          </cell>
          <cell r="L42">
            <v>42277</v>
          </cell>
          <cell r="M42" t="str">
            <v>s40 2015</v>
          </cell>
          <cell r="N42">
            <v>42322</v>
          </cell>
          <cell r="O42" t="str">
            <v>s46 2015</v>
          </cell>
          <cell r="P42">
            <v>42352</v>
          </cell>
          <cell r="Q42" t="str">
            <v>s51 2015</v>
          </cell>
          <cell r="R42">
            <v>42371</v>
          </cell>
          <cell r="S42" t="str">
            <v>s1 2016</v>
          </cell>
          <cell r="T42">
            <v>42381</v>
          </cell>
          <cell r="U42" t="str">
            <v>s3 2016</v>
          </cell>
          <cell r="V42">
            <v>42386</v>
          </cell>
          <cell r="W42" t="str">
            <v>s4 2016</v>
          </cell>
          <cell r="X42">
            <v>42406</v>
          </cell>
          <cell r="Y42" t="str">
            <v>s6 2016</v>
          </cell>
          <cell r="Z42">
            <v>42416</v>
          </cell>
          <cell r="AA42" t="str">
            <v>s8 2016</v>
          </cell>
          <cell r="AB42">
            <v>0</v>
          </cell>
          <cell r="AC42" t="str">
            <v>s0 1900</v>
          </cell>
          <cell r="AD42">
            <v>42431</v>
          </cell>
          <cell r="AE42" t="str">
            <v>s10 2016</v>
          </cell>
          <cell r="AF42">
            <v>42461</v>
          </cell>
          <cell r="AG42" t="str">
            <v>s14 2016</v>
          </cell>
          <cell r="AH42">
            <v>42551</v>
          </cell>
        </row>
        <row r="43">
          <cell r="A43" t="str">
            <v>EL3YY</v>
          </cell>
          <cell r="B43" t="e">
            <v>#N/A</v>
          </cell>
          <cell r="C43" t="str">
            <v>N</v>
          </cell>
          <cell r="D43">
            <v>0</v>
          </cell>
          <cell r="E43">
            <v>0</v>
          </cell>
          <cell r="F43">
            <v>0</v>
          </cell>
          <cell r="G43">
            <v>0</v>
          </cell>
          <cell r="H43">
            <v>41806</v>
          </cell>
          <cell r="I43" t="str">
            <v>s25 2014</v>
          </cell>
          <cell r="J43">
            <v>41975</v>
          </cell>
          <cell r="K43" t="str">
            <v>s49 2014</v>
          </cell>
          <cell r="L43">
            <v>42005</v>
          </cell>
          <cell r="M43" t="str">
            <v>s1 2015</v>
          </cell>
          <cell r="N43">
            <v>42034</v>
          </cell>
          <cell r="O43" t="str">
            <v>s5 2015</v>
          </cell>
          <cell r="P43">
            <v>42064</v>
          </cell>
          <cell r="Q43" t="str">
            <v>s10 2015</v>
          </cell>
          <cell r="R43">
            <v>42066</v>
          </cell>
          <cell r="S43" t="str">
            <v>s10 2015</v>
          </cell>
          <cell r="T43">
            <v>42076</v>
          </cell>
          <cell r="U43" t="str">
            <v>s11 2015</v>
          </cell>
          <cell r="V43">
            <v>42081</v>
          </cell>
          <cell r="W43" t="str">
            <v>s12 2015</v>
          </cell>
          <cell r="X43">
            <v>42101</v>
          </cell>
          <cell r="Y43" t="str">
            <v>s15 2015</v>
          </cell>
          <cell r="Z43">
            <v>42111</v>
          </cell>
          <cell r="AA43" t="str">
            <v>s16 2015</v>
          </cell>
          <cell r="AB43">
            <v>0</v>
          </cell>
          <cell r="AC43" t="str">
            <v>s0 1900</v>
          </cell>
          <cell r="AD43">
            <v>42126</v>
          </cell>
          <cell r="AE43" t="str">
            <v>s18 2015</v>
          </cell>
          <cell r="AF43">
            <v>42156</v>
          </cell>
          <cell r="AG43" t="str">
            <v>s23 2015</v>
          </cell>
          <cell r="AH43">
            <v>42527</v>
          </cell>
        </row>
        <row r="44">
          <cell r="A44" t="str">
            <v>EZ100</v>
          </cell>
          <cell r="B44" t="e">
            <v>#N/A</v>
          </cell>
          <cell r="C44" t="str">
            <v>N</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row>
        <row r="45">
          <cell r="A45" t="str">
            <v>EZ108</v>
          </cell>
          <cell r="B45" t="str">
            <v>SAS -A330R</v>
          </cell>
          <cell r="C45" t="str">
            <v>N</v>
          </cell>
          <cell r="D45">
            <v>150</v>
          </cell>
          <cell r="E45">
            <v>750</v>
          </cell>
          <cell r="F45">
            <v>300</v>
          </cell>
          <cell r="G45">
            <v>120</v>
          </cell>
          <cell r="H45">
            <v>41591</v>
          </cell>
          <cell r="I45" t="str">
            <v>s46 2013</v>
          </cell>
          <cell r="J45">
            <v>41693</v>
          </cell>
          <cell r="K45" t="str">
            <v>s9 2014</v>
          </cell>
          <cell r="L45">
            <v>41723</v>
          </cell>
          <cell r="M45" t="str">
            <v>s13 2014</v>
          </cell>
          <cell r="N45">
            <v>41779</v>
          </cell>
          <cell r="O45" t="str">
            <v>s21 2014</v>
          </cell>
          <cell r="P45">
            <v>41809</v>
          </cell>
          <cell r="Q45" t="str">
            <v>s25 2014</v>
          </cell>
          <cell r="R45">
            <v>42044</v>
          </cell>
          <cell r="S45" t="str">
            <v>s7 2015</v>
          </cell>
          <cell r="T45">
            <v>42054</v>
          </cell>
          <cell r="U45" t="str">
            <v>s8 2015</v>
          </cell>
          <cell r="V45">
            <v>42059</v>
          </cell>
          <cell r="W45" t="str">
            <v>s9 2015</v>
          </cell>
          <cell r="X45">
            <v>42079</v>
          </cell>
          <cell r="Y45" t="str">
            <v>s12 2015</v>
          </cell>
          <cell r="Z45">
            <v>42119</v>
          </cell>
          <cell r="AA45" t="str">
            <v>s17 2015</v>
          </cell>
          <cell r="AB45">
            <v>0</v>
          </cell>
          <cell r="AC45" t="str">
            <v>s0 1900</v>
          </cell>
          <cell r="AD45">
            <v>42134</v>
          </cell>
          <cell r="AE45" t="str">
            <v>s20 2015</v>
          </cell>
          <cell r="AF45">
            <v>42164</v>
          </cell>
          <cell r="AG45" t="str">
            <v>s24 2015</v>
          </cell>
          <cell r="AH45">
            <v>42258</v>
          </cell>
        </row>
        <row r="46">
          <cell r="A46" t="str">
            <v>EZ109</v>
          </cell>
          <cell r="B46" t="str">
            <v>Air Algérie</v>
          </cell>
          <cell r="C46" t="str">
            <v>Y</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row>
        <row r="47">
          <cell r="A47" t="str">
            <v>EZ111</v>
          </cell>
          <cell r="B47" t="str">
            <v>Airbus Military</v>
          </cell>
          <cell r="C47" t="str">
            <v>N</v>
          </cell>
          <cell r="D47">
            <v>80</v>
          </cell>
          <cell r="E47">
            <v>450</v>
          </cell>
          <cell r="F47">
            <v>100</v>
          </cell>
          <cell r="G47">
            <v>70</v>
          </cell>
          <cell r="H47">
            <v>42181</v>
          </cell>
          <cell r="I47" t="str">
            <v>s26 2015</v>
          </cell>
          <cell r="J47">
            <v>41876</v>
          </cell>
          <cell r="K47" t="str">
            <v>s35 2014</v>
          </cell>
          <cell r="L47">
            <v>41906</v>
          </cell>
          <cell r="M47" t="str">
            <v>s39 2014</v>
          </cell>
          <cell r="N47">
            <v>41933</v>
          </cell>
          <cell r="O47" t="str">
            <v>s43 2014</v>
          </cell>
          <cell r="P47">
            <v>41963</v>
          </cell>
          <cell r="Q47" t="str">
            <v>s47 2014</v>
          </cell>
          <cell r="R47">
            <v>42034</v>
          </cell>
          <cell r="S47" t="str">
            <v>s5 2015</v>
          </cell>
          <cell r="T47">
            <v>42044</v>
          </cell>
          <cell r="U47" t="str">
            <v>s7 2015</v>
          </cell>
          <cell r="V47">
            <v>42049</v>
          </cell>
          <cell r="W47" t="str">
            <v>s7 2015</v>
          </cell>
          <cell r="X47">
            <v>42069</v>
          </cell>
          <cell r="Y47" t="str">
            <v>s10 2015</v>
          </cell>
          <cell r="Z47">
            <v>42109</v>
          </cell>
          <cell r="AA47" t="str">
            <v>s16 2015</v>
          </cell>
          <cell r="AB47">
            <v>0</v>
          </cell>
          <cell r="AC47" t="str">
            <v>s0 1900</v>
          </cell>
          <cell r="AD47">
            <v>42124</v>
          </cell>
          <cell r="AE47" t="str">
            <v>s18 2015</v>
          </cell>
          <cell r="AF47">
            <v>42143</v>
          </cell>
          <cell r="AG47" t="str">
            <v>s21 2015</v>
          </cell>
          <cell r="AH47">
            <v>42181</v>
          </cell>
        </row>
        <row r="48">
          <cell r="A48" t="str">
            <v>EZ112</v>
          </cell>
          <cell r="B48" t="str">
            <v>Airbus Military</v>
          </cell>
          <cell r="C48" t="str">
            <v>N</v>
          </cell>
          <cell r="D48">
            <v>80</v>
          </cell>
          <cell r="E48">
            <v>450</v>
          </cell>
          <cell r="F48">
            <v>100</v>
          </cell>
          <cell r="G48">
            <v>70</v>
          </cell>
          <cell r="H48">
            <v>42129</v>
          </cell>
          <cell r="I48" t="str">
            <v>s19 2015</v>
          </cell>
          <cell r="J48">
            <v>42157</v>
          </cell>
          <cell r="K48" t="str">
            <v>s23 2015</v>
          </cell>
          <cell r="L48">
            <v>42187</v>
          </cell>
          <cell r="M48" t="str">
            <v>s27 2015</v>
          </cell>
          <cell r="N48">
            <v>42239</v>
          </cell>
          <cell r="O48" t="str">
            <v>s35 2015</v>
          </cell>
          <cell r="P48">
            <v>42269</v>
          </cell>
          <cell r="Q48" t="str">
            <v>s39 2015</v>
          </cell>
          <cell r="R48">
            <v>42346</v>
          </cell>
          <cell r="S48" t="str">
            <v>s50 2015</v>
          </cell>
          <cell r="T48">
            <v>42351</v>
          </cell>
          <cell r="U48" t="str">
            <v>s51 2015</v>
          </cell>
          <cell r="V48">
            <v>42356</v>
          </cell>
          <cell r="W48" t="str">
            <v>s51 2015</v>
          </cell>
          <cell r="X48">
            <v>42361</v>
          </cell>
          <cell r="Y48" t="str">
            <v>s52 2015</v>
          </cell>
          <cell r="Z48">
            <v>42366</v>
          </cell>
          <cell r="AA48" t="str">
            <v>s53 2015</v>
          </cell>
          <cell r="AB48">
            <v>0</v>
          </cell>
          <cell r="AC48" t="str">
            <v>s0 1900</v>
          </cell>
          <cell r="AD48">
            <v>42416</v>
          </cell>
          <cell r="AE48" t="str">
            <v>s8 2016</v>
          </cell>
          <cell r="AF48">
            <v>42423</v>
          </cell>
          <cell r="AG48" t="str">
            <v>s9 2016</v>
          </cell>
          <cell r="AH48">
            <v>42459</v>
          </cell>
        </row>
        <row r="49">
          <cell r="A49" t="str">
            <v>EZ113</v>
          </cell>
          <cell r="B49" t="str">
            <v>Middle East Airlines</v>
          </cell>
          <cell r="C49" t="str">
            <v>N</v>
          </cell>
          <cell r="D49">
            <v>80</v>
          </cell>
          <cell r="E49">
            <v>450</v>
          </cell>
          <cell r="F49">
            <v>100</v>
          </cell>
          <cell r="G49">
            <v>70</v>
          </cell>
          <cell r="H49">
            <v>42159</v>
          </cell>
          <cell r="I49" t="str">
            <v>s23 2015</v>
          </cell>
          <cell r="J49">
            <v>42177</v>
          </cell>
          <cell r="K49" t="str">
            <v>s26 2015</v>
          </cell>
          <cell r="L49">
            <v>42192</v>
          </cell>
          <cell r="M49" t="str">
            <v>s28 2015</v>
          </cell>
          <cell r="N49">
            <v>42208</v>
          </cell>
          <cell r="O49" t="str">
            <v>s30 2015</v>
          </cell>
          <cell r="P49">
            <v>42223</v>
          </cell>
          <cell r="Q49" t="str">
            <v>s32 2015</v>
          </cell>
          <cell r="R49">
            <v>42240</v>
          </cell>
          <cell r="S49" t="str">
            <v>s35 2015</v>
          </cell>
          <cell r="T49">
            <v>42250</v>
          </cell>
          <cell r="U49" t="str">
            <v>s36 2015</v>
          </cell>
          <cell r="V49">
            <v>42255</v>
          </cell>
          <cell r="W49" t="str">
            <v>s37 2015</v>
          </cell>
          <cell r="X49">
            <v>42275</v>
          </cell>
          <cell r="Y49" t="str">
            <v>s40 2015</v>
          </cell>
          <cell r="Z49">
            <v>42295</v>
          </cell>
          <cell r="AA49" t="str">
            <v>s43 2015</v>
          </cell>
          <cell r="AB49">
            <v>0</v>
          </cell>
          <cell r="AC49" t="str">
            <v>s0 1900</v>
          </cell>
          <cell r="AD49">
            <v>42310</v>
          </cell>
          <cell r="AE49" t="str">
            <v>s45 2015</v>
          </cell>
          <cell r="AF49">
            <v>42340</v>
          </cell>
          <cell r="AG49" t="str">
            <v>s49 2015</v>
          </cell>
          <cell r="AH49">
            <v>42416</v>
          </cell>
        </row>
        <row r="50">
          <cell r="A50" t="str">
            <v>EZ114</v>
          </cell>
          <cell r="B50" t="str">
            <v xml:space="preserve">RwandAir </v>
          </cell>
          <cell r="C50" t="str">
            <v>N</v>
          </cell>
          <cell r="D50">
            <v>480</v>
          </cell>
          <cell r="E50">
            <v>276</v>
          </cell>
          <cell r="F50">
            <v>50</v>
          </cell>
          <cell r="G50">
            <v>100</v>
          </cell>
          <cell r="H50">
            <v>42242</v>
          </cell>
          <cell r="I50" t="str">
            <v>s35 2015</v>
          </cell>
          <cell r="J50">
            <v>42255</v>
          </cell>
          <cell r="K50" t="str">
            <v>s37 2015</v>
          </cell>
          <cell r="L50">
            <v>42285</v>
          </cell>
          <cell r="M50" t="str">
            <v>s41 2015</v>
          </cell>
          <cell r="N50">
            <v>42353</v>
          </cell>
          <cell r="O50" t="str">
            <v>s51 2015</v>
          </cell>
          <cell r="P50">
            <v>42383</v>
          </cell>
          <cell r="Q50" t="str">
            <v>s3 2016</v>
          </cell>
          <cell r="R50">
            <v>42467</v>
          </cell>
          <cell r="S50" t="str">
            <v>s15 2016</v>
          </cell>
          <cell r="T50">
            <v>42477</v>
          </cell>
          <cell r="U50" t="str">
            <v>s17 2016</v>
          </cell>
          <cell r="V50">
            <v>42482</v>
          </cell>
          <cell r="W50" t="str">
            <v>s17 2016</v>
          </cell>
          <cell r="X50">
            <v>42492</v>
          </cell>
          <cell r="Y50" t="str">
            <v>s19 2016</v>
          </cell>
          <cell r="Z50">
            <v>42497</v>
          </cell>
          <cell r="AA50" t="str">
            <v>s19 2016</v>
          </cell>
          <cell r="AB50">
            <v>0</v>
          </cell>
          <cell r="AC50" t="str">
            <v>s0 1900</v>
          </cell>
          <cell r="AD50">
            <v>42502</v>
          </cell>
          <cell r="AE50" t="str">
            <v>s20 2016</v>
          </cell>
          <cell r="AF50">
            <v>42522</v>
          </cell>
          <cell r="AG50" t="str">
            <v>s23 2016</v>
          </cell>
          <cell r="AH50">
            <v>42551</v>
          </cell>
        </row>
        <row r="51">
          <cell r="A51" t="str">
            <v>EZ1YY</v>
          </cell>
          <cell r="B51" t="e">
            <v>#N/A</v>
          </cell>
          <cell r="C51" t="str">
            <v>N</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row>
        <row r="52">
          <cell r="A52" t="str">
            <v>EZ300</v>
          </cell>
          <cell r="B52" t="e">
            <v>#N/A</v>
          </cell>
          <cell r="C52" t="str">
            <v>N</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row>
        <row r="53">
          <cell r="A53" t="str">
            <v>EZ301</v>
          </cell>
          <cell r="B53" t="str">
            <v>AF</v>
          </cell>
          <cell r="C53" t="str">
            <v>N</v>
          </cell>
          <cell r="D53">
            <v>0</v>
          </cell>
          <cell r="E53">
            <v>0</v>
          </cell>
          <cell r="F53">
            <v>0</v>
          </cell>
          <cell r="G53">
            <v>0</v>
          </cell>
          <cell r="H53">
            <v>41526</v>
          </cell>
          <cell r="I53" t="str">
            <v>s37 2013</v>
          </cell>
          <cell r="J53">
            <v>41554</v>
          </cell>
          <cell r="K53" t="str">
            <v>s41 2013</v>
          </cell>
          <cell r="L53">
            <v>41584</v>
          </cell>
          <cell r="M53" t="str">
            <v>s45 2013</v>
          </cell>
          <cell r="N53">
            <v>41750</v>
          </cell>
          <cell r="O53" t="str">
            <v>s17 2014</v>
          </cell>
          <cell r="P53">
            <v>41780</v>
          </cell>
          <cell r="Q53" t="str">
            <v>s21 2014</v>
          </cell>
          <cell r="R53">
            <v>42051</v>
          </cell>
          <cell r="S53" t="str">
            <v>s8 2015</v>
          </cell>
          <cell r="T53">
            <v>42061</v>
          </cell>
          <cell r="U53" t="str">
            <v>s9 2015</v>
          </cell>
          <cell r="V53">
            <v>42066</v>
          </cell>
          <cell r="W53" t="str">
            <v>s10 2015</v>
          </cell>
          <cell r="X53">
            <v>42086</v>
          </cell>
          <cell r="Y53" t="str">
            <v>s13 2015</v>
          </cell>
          <cell r="Z53">
            <v>42126</v>
          </cell>
          <cell r="AA53" t="str">
            <v>s18 2015</v>
          </cell>
          <cell r="AB53">
            <v>0</v>
          </cell>
          <cell r="AC53" t="str">
            <v>s0 1900</v>
          </cell>
          <cell r="AD53">
            <v>42141</v>
          </cell>
          <cell r="AE53" t="str">
            <v>s21 2015</v>
          </cell>
          <cell r="AF53">
            <v>42171</v>
          </cell>
          <cell r="AG53" t="str">
            <v>s25 2015</v>
          </cell>
          <cell r="AH53">
            <v>42201</v>
          </cell>
        </row>
        <row r="54">
          <cell r="A54" t="str">
            <v>EZ301 V2</v>
          </cell>
          <cell r="B54" t="e">
            <v>#N/A</v>
          </cell>
          <cell r="C54" t="str">
            <v>N</v>
          </cell>
          <cell r="D54">
            <v>150</v>
          </cell>
          <cell r="E54">
            <v>750</v>
          </cell>
          <cell r="F54">
            <v>300</v>
          </cell>
          <cell r="G54">
            <v>120</v>
          </cell>
          <cell r="H54">
            <v>41687</v>
          </cell>
          <cell r="I54" t="str">
            <v>s8 2014</v>
          </cell>
          <cell r="J54">
            <v>41709</v>
          </cell>
          <cell r="K54" t="str">
            <v>s11 2014</v>
          </cell>
          <cell r="L54">
            <v>41739</v>
          </cell>
          <cell r="M54" t="str">
            <v>s15 2014</v>
          </cell>
          <cell r="N54">
            <v>41771</v>
          </cell>
          <cell r="O54" t="str">
            <v>s20 2014</v>
          </cell>
          <cell r="P54">
            <v>41801</v>
          </cell>
          <cell r="Q54" t="str">
            <v>s24 2014</v>
          </cell>
          <cell r="R54">
            <v>41968</v>
          </cell>
          <cell r="S54" t="str">
            <v>s48 2014</v>
          </cell>
          <cell r="T54">
            <v>41978</v>
          </cell>
          <cell r="U54" t="str">
            <v>s49 2014</v>
          </cell>
          <cell r="V54">
            <v>41983</v>
          </cell>
          <cell r="W54" t="str">
            <v>s50 2014</v>
          </cell>
          <cell r="X54">
            <v>42003</v>
          </cell>
          <cell r="Y54" t="str">
            <v>s53 2014</v>
          </cell>
          <cell r="Z54">
            <v>42043</v>
          </cell>
          <cell r="AA54" t="str">
            <v>s7 2015</v>
          </cell>
          <cell r="AB54">
            <v>0</v>
          </cell>
          <cell r="AC54" t="str">
            <v>s0 1900</v>
          </cell>
          <cell r="AD54">
            <v>42058</v>
          </cell>
          <cell r="AE54" t="str">
            <v>s9 2015</v>
          </cell>
          <cell r="AF54">
            <v>42088</v>
          </cell>
          <cell r="AG54" t="str">
            <v>s13 2015</v>
          </cell>
          <cell r="AH54">
            <v>42219</v>
          </cell>
        </row>
        <row r="55">
          <cell r="A55" t="str">
            <v>EZ303</v>
          </cell>
          <cell r="B55" t="str">
            <v>KLM</v>
          </cell>
          <cell r="C55" t="str">
            <v>N</v>
          </cell>
          <cell r="D55">
            <v>150</v>
          </cell>
          <cell r="E55">
            <v>750</v>
          </cell>
          <cell r="F55">
            <v>300</v>
          </cell>
          <cell r="G55">
            <v>120</v>
          </cell>
          <cell r="H55">
            <v>41585</v>
          </cell>
          <cell r="I55" t="str">
            <v>s45 2013</v>
          </cell>
          <cell r="J55">
            <v>41674</v>
          </cell>
          <cell r="K55" t="str">
            <v>s6 2014</v>
          </cell>
          <cell r="L55">
            <v>41704</v>
          </cell>
          <cell r="M55" t="str">
            <v>s10 2014</v>
          </cell>
          <cell r="N55">
            <v>41833</v>
          </cell>
          <cell r="O55" t="str">
            <v>s29 2014</v>
          </cell>
          <cell r="P55">
            <v>41863</v>
          </cell>
          <cell r="Q55" t="str">
            <v>s33 2014</v>
          </cell>
          <cell r="R55">
            <v>42079</v>
          </cell>
          <cell r="S55" t="str">
            <v>s12 2015</v>
          </cell>
          <cell r="T55">
            <v>42102</v>
          </cell>
          <cell r="U55" t="str">
            <v>s15 2015</v>
          </cell>
          <cell r="V55">
            <v>42107</v>
          </cell>
          <cell r="W55" t="str">
            <v>s16 2015</v>
          </cell>
          <cell r="X55">
            <v>42160</v>
          </cell>
          <cell r="Y55" t="str">
            <v>s23 2015</v>
          </cell>
          <cell r="Z55">
            <v>42165</v>
          </cell>
          <cell r="AA55" t="str">
            <v>s24 2015</v>
          </cell>
          <cell r="AB55">
            <v>0</v>
          </cell>
          <cell r="AC55" t="str">
            <v>s0 1900</v>
          </cell>
          <cell r="AD55">
            <v>42169</v>
          </cell>
          <cell r="AE55" t="str">
            <v>s25 2015</v>
          </cell>
          <cell r="AF55">
            <v>42184</v>
          </cell>
          <cell r="AG55" t="str">
            <v>s27 2015</v>
          </cell>
          <cell r="AH55">
            <v>42214</v>
          </cell>
        </row>
        <row r="56">
          <cell r="A56" t="str">
            <v>EZ304</v>
          </cell>
          <cell r="B56" t="str">
            <v>Air France</v>
          </cell>
          <cell r="C56" t="str">
            <v>N</v>
          </cell>
          <cell r="D56">
            <v>80</v>
          </cell>
          <cell r="E56">
            <v>450</v>
          </cell>
          <cell r="F56">
            <v>100</v>
          </cell>
          <cell r="G56">
            <v>70</v>
          </cell>
          <cell r="H56">
            <v>41990</v>
          </cell>
          <cell r="I56" t="str">
            <v>s51 2014</v>
          </cell>
          <cell r="J56">
            <v>42057</v>
          </cell>
          <cell r="K56" t="str">
            <v>s9 2015</v>
          </cell>
          <cell r="L56">
            <v>42087</v>
          </cell>
          <cell r="M56" t="str">
            <v>s13 2015</v>
          </cell>
          <cell r="N56">
            <v>42244</v>
          </cell>
          <cell r="O56" t="str">
            <v>s35 2015</v>
          </cell>
          <cell r="P56">
            <v>42279</v>
          </cell>
          <cell r="Q56" t="str">
            <v>s40 2015</v>
          </cell>
          <cell r="R56">
            <v>42329</v>
          </cell>
          <cell r="S56" t="str">
            <v>s47 2015</v>
          </cell>
          <cell r="T56">
            <v>42339</v>
          </cell>
          <cell r="U56" t="str">
            <v>s49 2015</v>
          </cell>
          <cell r="V56">
            <v>42344</v>
          </cell>
          <cell r="W56" t="str">
            <v>s50 2015</v>
          </cell>
          <cell r="X56">
            <v>42364</v>
          </cell>
          <cell r="Y56" t="str">
            <v>s52 2015</v>
          </cell>
          <cell r="Z56">
            <v>42404</v>
          </cell>
          <cell r="AA56" t="str">
            <v>s6 2016</v>
          </cell>
          <cell r="AB56">
            <v>0</v>
          </cell>
          <cell r="AC56" t="str">
            <v>s0 1900</v>
          </cell>
          <cell r="AD56">
            <v>42419</v>
          </cell>
          <cell r="AE56" t="str">
            <v>s8 2016</v>
          </cell>
          <cell r="AF56">
            <v>42478</v>
          </cell>
          <cell r="AG56" t="str">
            <v>s17 2016</v>
          </cell>
          <cell r="AH56">
            <v>42524</v>
          </cell>
        </row>
        <row r="57">
          <cell r="A57" t="str">
            <v>EZ305</v>
          </cell>
          <cell r="B57" t="str">
            <v>Swiss Air</v>
          </cell>
          <cell r="C57" t="str">
            <v>N</v>
          </cell>
          <cell r="D57">
            <v>150</v>
          </cell>
          <cell r="E57">
            <v>750</v>
          </cell>
          <cell r="F57">
            <v>300</v>
          </cell>
          <cell r="G57">
            <v>120</v>
          </cell>
          <cell r="H57">
            <v>41891</v>
          </cell>
          <cell r="I57" t="str">
            <v>s37 2014</v>
          </cell>
          <cell r="J57">
            <v>41918</v>
          </cell>
          <cell r="K57" t="str">
            <v>s41 2014</v>
          </cell>
          <cell r="L57">
            <v>41948</v>
          </cell>
          <cell r="M57" t="str">
            <v>s45 2014</v>
          </cell>
          <cell r="N57">
            <v>42050</v>
          </cell>
          <cell r="O57" t="str">
            <v>s8 2015</v>
          </cell>
          <cell r="P57">
            <v>42080</v>
          </cell>
          <cell r="Q57" t="str">
            <v>s12 2015</v>
          </cell>
          <cell r="R57">
            <v>42161</v>
          </cell>
          <cell r="S57" t="str">
            <v>s23 2015</v>
          </cell>
          <cell r="T57">
            <v>42181</v>
          </cell>
          <cell r="U57" t="str">
            <v>s26 2015</v>
          </cell>
          <cell r="V57">
            <v>42186</v>
          </cell>
          <cell r="W57" t="str">
            <v>s27 2015</v>
          </cell>
          <cell r="X57">
            <v>42201</v>
          </cell>
          <cell r="Y57" t="str">
            <v>s29 2015</v>
          </cell>
          <cell r="Z57">
            <v>42206</v>
          </cell>
          <cell r="AA57" t="str">
            <v>s30 2015</v>
          </cell>
          <cell r="AB57">
            <v>0</v>
          </cell>
          <cell r="AC57" t="str">
            <v>s0 1900</v>
          </cell>
          <cell r="AD57">
            <v>42236</v>
          </cell>
          <cell r="AE57" t="str">
            <v>s34 2015</v>
          </cell>
          <cell r="AF57">
            <v>42268</v>
          </cell>
          <cell r="AG57" t="str">
            <v>s39 2015</v>
          </cell>
          <cell r="AH57">
            <v>42304</v>
          </cell>
        </row>
        <row r="58">
          <cell r="A58" t="str">
            <v>EZ306</v>
          </cell>
          <cell r="B58" t="str">
            <v>Air Caraïbes</v>
          </cell>
          <cell r="C58" t="str">
            <v>N</v>
          </cell>
          <cell r="D58">
            <v>150</v>
          </cell>
          <cell r="E58">
            <v>750</v>
          </cell>
          <cell r="F58">
            <v>300</v>
          </cell>
          <cell r="G58">
            <v>120</v>
          </cell>
          <cell r="H58">
            <v>41934</v>
          </cell>
          <cell r="I58" t="str">
            <v>s43 2014</v>
          </cell>
          <cell r="J58">
            <v>42017</v>
          </cell>
          <cell r="K58" t="str">
            <v>s3 2015</v>
          </cell>
          <cell r="L58">
            <v>42047</v>
          </cell>
          <cell r="M58" t="str">
            <v>s7 2015</v>
          </cell>
          <cell r="N58">
            <v>42185</v>
          </cell>
          <cell r="O58" t="str">
            <v>s27 2015</v>
          </cell>
          <cell r="P58">
            <v>42215</v>
          </cell>
          <cell r="Q58" t="str">
            <v>s31 2015</v>
          </cell>
          <cell r="R58">
            <v>42279</v>
          </cell>
          <cell r="S58" t="str">
            <v>s40 2015</v>
          </cell>
          <cell r="T58">
            <v>42304</v>
          </cell>
          <cell r="U58" t="str">
            <v>s44 2015</v>
          </cell>
          <cell r="V58">
            <v>42334</v>
          </cell>
          <cell r="W58" t="str">
            <v>s48 2015</v>
          </cell>
          <cell r="X58">
            <v>42374</v>
          </cell>
          <cell r="Y58" t="str">
            <v>s2 2016</v>
          </cell>
          <cell r="Z58">
            <v>42429</v>
          </cell>
          <cell r="AA58" t="str">
            <v>s10 2016</v>
          </cell>
          <cell r="AB58">
            <v>0</v>
          </cell>
          <cell r="AC58" t="str">
            <v>s0 1900</v>
          </cell>
          <cell r="AD58">
            <v>42459</v>
          </cell>
          <cell r="AE58" t="str">
            <v>s14 2016</v>
          </cell>
          <cell r="AF58">
            <v>42486</v>
          </cell>
          <cell r="AG58" t="str">
            <v>s18 2016</v>
          </cell>
          <cell r="AH58">
            <v>42601</v>
          </cell>
        </row>
        <row r="59">
          <cell r="A59" t="str">
            <v>EZ307</v>
          </cell>
          <cell r="B59" t="str">
            <v>ACS et Lufthansa</v>
          </cell>
          <cell r="C59" t="str">
            <v>N</v>
          </cell>
          <cell r="D59">
            <v>150</v>
          </cell>
          <cell r="E59">
            <v>750</v>
          </cell>
          <cell r="F59">
            <v>300</v>
          </cell>
          <cell r="G59">
            <v>120</v>
          </cell>
          <cell r="H59">
            <v>41925</v>
          </cell>
          <cell r="I59" t="str">
            <v>s42 2014</v>
          </cell>
          <cell r="J59">
            <v>41987</v>
          </cell>
          <cell r="K59" t="str">
            <v>s51 2014</v>
          </cell>
          <cell r="L59">
            <v>42017</v>
          </cell>
          <cell r="M59" t="str">
            <v>s3 2015</v>
          </cell>
          <cell r="N59">
            <v>42211</v>
          </cell>
          <cell r="O59" t="str">
            <v>s31 2015</v>
          </cell>
          <cell r="P59">
            <v>42241</v>
          </cell>
          <cell r="Q59" t="str">
            <v>s35 2015</v>
          </cell>
          <cell r="R59">
            <v>42297</v>
          </cell>
          <cell r="S59" t="str">
            <v>s43 2015</v>
          </cell>
          <cell r="T59">
            <v>42307</v>
          </cell>
          <cell r="U59" t="str">
            <v>s44 2015</v>
          </cell>
          <cell r="V59">
            <v>42312</v>
          </cell>
          <cell r="W59" t="str">
            <v>s45 2015</v>
          </cell>
          <cell r="X59">
            <v>42352</v>
          </cell>
          <cell r="Y59" t="str">
            <v>s51 2015</v>
          </cell>
          <cell r="Z59">
            <v>42442</v>
          </cell>
          <cell r="AA59" t="str">
            <v>s12 2016</v>
          </cell>
          <cell r="AB59">
            <v>0</v>
          </cell>
          <cell r="AC59" t="str">
            <v>s0 1900</v>
          </cell>
          <cell r="AD59">
            <v>42457</v>
          </cell>
          <cell r="AE59" t="str">
            <v>s14 2016</v>
          </cell>
          <cell r="AF59">
            <v>42488</v>
          </cell>
          <cell r="AG59" t="str">
            <v>s18 2016</v>
          </cell>
          <cell r="AH59">
            <v>42535</v>
          </cell>
        </row>
        <row r="60">
          <cell r="A60" t="str">
            <v>EZ308</v>
          </cell>
          <cell r="B60" t="e">
            <v>#N/A</v>
          </cell>
          <cell r="C60" t="str">
            <v>N</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row>
        <row r="61">
          <cell r="A61" t="str">
            <v>EZ3YY</v>
          </cell>
          <cell r="B61" t="e">
            <v>#N/A</v>
          </cell>
          <cell r="C61" t="str">
            <v>N</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row>
        <row r="62">
          <cell r="A62" t="str">
            <v>Guide métier</v>
          </cell>
          <cell r="B62" t="e">
            <v>#N/A</v>
          </cell>
          <cell r="C62" t="str">
            <v>N</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row>
        <row r="63">
          <cell r="A63" t="str">
            <v>L1703</v>
          </cell>
          <cell r="B63" t="str">
            <v>ANA Gouv Jap</v>
          </cell>
          <cell r="C63" t="str">
            <v>N</v>
          </cell>
          <cell r="D63">
            <v>100</v>
          </cell>
          <cell r="E63">
            <v>400</v>
          </cell>
          <cell r="F63">
            <v>200</v>
          </cell>
          <cell r="G63">
            <v>100</v>
          </cell>
          <cell r="H63">
            <v>42012</v>
          </cell>
          <cell r="I63" t="str">
            <v>s2 2015</v>
          </cell>
          <cell r="J63">
            <v>42078</v>
          </cell>
          <cell r="K63" t="str">
            <v>s12 2015</v>
          </cell>
          <cell r="L63">
            <v>42108</v>
          </cell>
          <cell r="M63" t="str">
            <v>s16 2015</v>
          </cell>
          <cell r="N63">
            <v>42190</v>
          </cell>
          <cell r="O63" t="str">
            <v>s28 2015</v>
          </cell>
          <cell r="P63">
            <v>42220</v>
          </cell>
          <cell r="Q63" t="str">
            <v>s32 2015</v>
          </cell>
          <cell r="R63">
            <v>42319</v>
          </cell>
          <cell r="S63" t="str">
            <v>s46 2015</v>
          </cell>
          <cell r="T63">
            <v>42329</v>
          </cell>
          <cell r="U63" t="str">
            <v>s47 2015</v>
          </cell>
          <cell r="V63">
            <v>42334</v>
          </cell>
          <cell r="W63" t="str">
            <v>s48 2015</v>
          </cell>
          <cell r="X63">
            <v>42354</v>
          </cell>
          <cell r="Y63" t="str">
            <v>s51 2015</v>
          </cell>
          <cell r="Z63">
            <v>42394</v>
          </cell>
          <cell r="AA63" t="str">
            <v>s5 2016</v>
          </cell>
          <cell r="AB63">
            <v>0</v>
          </cell>
          <cell r="AC63" t="str">
            <v>s0 1900</v>
          </cell>
          <cell r="AD63">
            <v>42409</v>
          </cell>
          <cell r="AE63" t="str">
            <v>s7 2016</v>
          </cell>
          <cell r="AF63">
            <v>42437</v>
          </cell>
          <cell r="AG63" t="str">
            <v>s11 2016</v>
          </cell>
          <cell r="AH63">
            <v>42522</v>
          </cell>
        </row>
        <row r="64">
          <cell r="A64" t="str">
            <v>L1C24</v>
          </cell>
          <cell r="B64" t="str">
            <v>Eva Airways</v>
          </cell>
          <cell r="C64" t="str">
            <v>N</v>
          </cell>
          <cell r="D64">
            <v>100</v>
          </cell>
          <cell r="E64">
            <v>400</v>
          </cell>
          <cell r="F64">
            <v>200</v>
          </cell>
          <cell r="G64">
            <v>100</v>
          </cell>
          <cell r="H64">
            <v>42017</v>
          </cell>
          <cell r="I64" t="str">
            <v>s3 2015</v>
          </cell>
          <cell r="J64">
            <v>42092</v>
          </cell>
          <cell r="K64" t="str">
            <v>s14 2015</v>
          </cell>
          <cell r="L64">
            <v>42122</v>
          </cell>
          <cell r="M64" t="str">
            <v>s18 2015</v>
          </cell>
          <cell r="N64">
            <v>42190</v>
          </cell>
          <cell r="O64" t="str">
            <v>s28 2015</v>
          </cell>
          <cell r="P64">
            <v>42220</v>
          </cell>
          <cell r="Q64" t="str">
            <v>s32 2015</v>
          </cell>
          <cell r="R64">
            <v>42307</v>
          </cell>
          <cell r="S64" t="str">
            <v>s44 2015</v>
          </cell>
          <cell r="T64">
            <v>42317</v>
          </cell>
          <cell r="U64" t="str">
            <v>s46 2015</v>
          </cell>
          <cell r="V64">
            <v>42322</v>
          </cell>
          <cell r="W64" t="str">
            <v>s46 2015</v>
          </cell>
          <cell r="X64">
            <v>42342</v>
          </cell>
          <cell r="Y64" t="str">
            <v>s49 2015</v>
          </cell>
          <cell r="Z64">
            <v>42362</v>
          </cell>
          <cell r="AA64" t="str">
            <v>s52 2015</v>
          </cell>
          <cell r="AB64">
            <v>0</v>
          </cell>
          <cell r="AC64" t="str">
            <v>s0 1900</v>
          </cell>
          <cell r="AD64">
            <v>42377</v>
          </cell>
          <cell r="AE64" t="str">
            <v>s2 2016</v>
          </cell>
          <cell r="AF64">
            <v>42437</v>
          </cell>
          <cell r="AG64" t="str">
            <v>s11 2016</v>
          </cell>
          <cell r="AH64">
            <v>42543</v>
          </cell>
        </row>
        <row r="65">
          <cell r="A65" t="str">
            <v>L1C25</v>
          </cell>
          <cell r="B65" t="str">
            <v>Cathay Pacific</v>
          </cell>
          <cell r="C65" t="str">
            <v>N</v>
          </cell>
          <cell r="D65">
            <v>100</v>
          </cell>
          <cell r="E65">
            <v>400</v>
          </cell>
          <cell r="F65">
            <v>200</v>
          </cell>
          <cell r="G65">
            <v>100</v>
          </cell>
          <cell r="H65">
            <v>42040</v>
          </cell>
          <cell r="I65" t="str">
            <v>s6 2015</v>
          </cell>
          <cell r="J65">
            <v>42149</v>
          </cell>
          <cell r="K65" t="str">
            <v>s22 2015</v>
          </cell>
          <cell r="L65">
            <v>42179</v>
          </cell>
          <cell r="M65" t="str">
            <v>s26 2015</v>
          </cell>
          <cell r="N65">
            <v>42428</v>
          </cell>
          <cell r="O65" t="str">
            <v>s10 2016</v>
          </cell>
          <cell r="P65">
            <v>42458</v>
          </cell>
          <cell r="Q65" t="str">
            <v>s14 2016</v>
          </cell>
          <cell r="R65">
            <v>42392</v>
          </cell>
          <cell r="S65" t="str">
            <v>s4 2016</v>
          </cell>
          <cell r="T65">
            <v>42402</v>
          </cell>
          <cell r="U65" t="str">
            <v>s6 2016</v>
          </cell>
          <cell r="V65">
            <v>42407</v>
          </cell>
          <cell r="W65" t="str">
            <v>s7 2016</v>
          </cell>
          <cell r="X65">
            <v>42427</v>
          </cell>
          <cell r="Y65" t="str">
            <v>s9 2016</v>
          </cell>
          <cell r="Z65">
            <v>42447</v>
          </cell>
          <cell r="AA65" t="str">
            <v>s12 2016</v>
          </cell>
          <cell r="AB65">
            <v>0</v>
          </cell>
          <cell r="AC65" t="str">
            <v>s0 1900</v>
          </cell>
          <cell r="AD65">
            <v>42462</v>
          </cell>
          <cell r="AE65" t="str">
            <v>s14 2016</v>
          </cell>
          <cell r="AF65">
            <v>42752</v>
          </cell>
          <cell r="AG65" t="str">
            <v>s3 2017</v>
          </cell>
          <cell r="AH65">
            <v>42795</v>
          </cell>
        </row>
        <row r="66">
          <cell r="A66" t="str">
            <v>L1F01</v>
          </cell>
          <cell r="B66" t="e">
            <v>#N/A</v>
          </cell>
          <cell r="C66" t="str">
            <v>N</v>
          </cell>
          <cell r="D66">
            <v>300</v>
          </cell>
          <cell r="E66">
            <v>4600</v>
          </cell>
          <cell r="F66">
            <v>400</v>
          </cell>
          <cell r="G66">
            <v>400</v>
          </cell>
          <cell r="H66">
            <v>42287</v>
          </cell>
          <cell r="I66" t="str">
            <v>s41 2015</v>
          </cell>
          <cell r="J66">
            <v>42383</v>
          </cell>
          <cell r="K66" t="str">
            <v>s3 2016</v>
          </cell>
          <cell r="L66">
            <v>42413</v>
          </cell>
          <cell r="M66" t="str">
            <v>s7 2016</v>
          </cell>
          <cell r="N66">
            <v>42598</v>
          </cell>
          <cell r="O66" t="str">
            <v>s34 2016</v>
          </cell>
          <cell r="P66">
            <v>42628</v>
          </cell>
          <cell r="Q66" t="str">
            <v>s38 2016</v>
          </cell>
          <cell r="R66">
            <v>42695</v>
          </cell>
          <cell r="S66" t="str">
            <v>s48 2016</v>
          </cell>
          <cell r="T66">
            <v>42705</v>
          </cell>
          <cell r="U66" t="str">
            <v>s49 2016</v>
          </cell>
          <cell r="V66">
            <v>42710</v>
          </cell>
          <cell r="W66" t="str">
            <v>s50 2016</v>
          </cell>
          <cell r="X66">
            <v>42730</v>
          </cell>
          <cell r="Y66" t="str">
            <v>s53 2016</v>
          </cell>
          <cell r="Z66">
            <v>42770</v>
          </cell>
          <cell r="AA66" t="str">
            <v>s5 2017</v>
          </cell>
          <cell r="AB66">
            <v>0</v>
          </cell>
          <cell r="AC66" t="str">
            <v>s0 1900</v>
          </cell>
          <cell r="AD66">
            <v>42785</v>
          </cell>
          <cell r="AE66" t="str">
            <v>s8 2017</v>
          </cell>
          <cell r="AF66">
            <v>42815</v>
          </cell>
          <cell r="AG66" t="str">
            <v>s12 2017</v>
          </cell>
          <cell r="AH66">
            <v>42952</v>
          </cell>
        </row>
        <row r="67">
          <cell r="A67" t="str">
            <v>L1S02 V2</v>
          </cell>
          <cell r="B67" t="str">
            <v>ANA</v>
          </cell>
          <cell r="C67" t="str">
            <v>N</v>
          </cell>
          <cell r="D67">
            <v>50</v>
          </cell>
          <cell r="E67">
            <v>200</v>
          </cell>
          <cell r="F67">
            <v>100</v>
          </cell>
          <cell r="G67">
            <v>50</v>
          </cell>
          <cell r="H67">
            <v>41968</v>
          </cell>
          <cell r="I67" t="str">
            <v>s48 2014</v>
          </cell>
          <cell r="J67">
            <v>42094</v>
          </cell>
          <cell r="K67" t="str">
            <v>s14 2015</v>
          </cell>
          <cell r="L67">
            <v>42124</v>
          </cell>
          <cell r="M67" t="str">
            <v>s18 2015</v>
          </cell>
          <cell r="N67">
            <v>42156</v>
          </cell>
          <cell r="O67" t="str">
            <v>s23 2015</v>
          </cell>
          <cell r="P67">
            <v>42186</v>
          </cell>
          <cell r="Q67" t="str">
            <v>s27 2015</v>
          </cell>
          <cell r="R67">
            <v>42264</v>
          </cell>
          <cell r="S67" t="str">
            <v>s38 2015</v>
          </cell>
          <cell r="T67">
            <v>42270</v>
          </cell>
          <cell r="U67" t="str">
            <v>s39 2015</v>
          </cell>
          <cell r="V67">
            <v>42275</v>
          </cell>
          <cell r="W67" t="str">
            <v>s40 2015</v>
          </cell>
          <cell r="X67">
            <v>42290</v>
          </cell>
          <cell r="Y67" t="str">
            <v>s42 2015</v>
          </cell>
          <cell r="Z67">
            <v>42294</v>
          </cell>
          <cell r="AA67" t="str">
            <v>s42 2015</v>
          </cell>
          <cell r="AB67">
            <v>0</v>
          </cell>
          <cell r="AC67" t="str">
            <v>s0 1900</v>
          </cell>
          <cell r="AD67">
            <v>42299</v>
          </cell>
          <cell r="AE67" t="str">
            <v>s43 2015</v>
          </cell>
          <cell r="AF67">
            <v>42353</v>
          </cell>
          <cell r="AG67" t="str">
            <v>s51 2015</v>
          </cell>
          <cell r="AH67">
            <v>42449</v>
          </cell>
        </row>
        <row r="68">
          <cell r="A68" t="str">
            <v>L1S03</v>
          </cell>
          <cell r="B68" t="str">
            <v xml:space="preserve">Emirates </v>
          </cell>
          <cell r="C68" t="str">
            <v>N</v>
          </cell>
          <cell r="D68">
            <v>130</v>
          </cell>
          <cell r="E68">
            <v>600</v>
          </cell>
          <cell r="F68">
            <v>300</v>
          </cell>
          <cell r="G68">
            <v>130</v>
          </cell>
          <cell r="H68">
            <v>41470</v>
          </cell>
          <cell r="I68" t="str">
            <v>s29 2013</v>
          </cell>
          <cell r="J68">
            <v>41595</v>
          </cell>
          <cell r="K68" t="str">
            <v>s47 2013</v>
          </cell>
          <cell r="L68">
            <v>41625</v>
          </cell>
          <cell r="M68" t="str">
            <v>s51 2013</v>
          </cell>
          <cell r="N68">
            <v>41902</v>
          </cell>
          <cell r="O68" t="str">
            <v>s38 2014</v>
          </cell>
          <cell r="P68">
            <v>41932</v>
          </cell>
          <cell r="Q68" t="str">
            <v>s43 2014</v>
          </cell>
          <cell r="R68">
            <v>42016</v>
          </cell>
          <cell r="S68" t="str">
            <v>s3 2015</v>
          </cell>
          <cell r="T68">
            <v>42026</v>
          </cell>
          <cell r="U68" t="str">
            <v>s4 2015</v>
          </cell>
          <cell r="V68">
            <v>42031</v>
          </cell>
          <cell r="W68" t="str">
            <v>s5 2015</v>
          </cell>
          <cell r="X68">
            <v>42051</v>
          </cell>
          <cell r="Y68" t="str">
            <v>s8 2015</v>
          </cell>
          <cell r="Z68">
            <v>42091</v>
          </cell>
          <cell r="AA68" t="str">
            <v>s13 2015</v>
          </cell>
          <cell r="AB68">
            <v>0</v>
          </cell>
          <cell r="AC68" t="str">
            <v>s0 1900</v>
          </cell>
          <cell r="AD68">
            <v>42106</v>
          </cell>
          <cell r="AE68" t="str">
            <v>s16 2015</v>
          </cell>
          <cell r="AF68">
            <v>42136</v>
          </cell>
          <cell r="AG68" t="str">
            <v>s20 2015</v>
          </cell>
          <cell r="AH68">
            <v>42168</v>
          </cell>
        </row>
        <row r="69">
          <cell r="A69" t="str">
            <v>L2103</v>
          </cell>
          <cell r="B69" t="str">
            <v>ANA Gouv Jap</v>
          </cell>
          <cell r="C69" t="str">
            <v>N</v>
          </cell>
          <cell r="D69">
            <v>100</v>
          </cell>
          <cell r="E69">
            <v>400</v>
          </cell>
          <cell r="F69">
            <v>200</v>
          </cell>
          <cell r="G69">
            <v>100</v>
          </cell>
          <cell r="H69">
            <v>42012</v>
          </cell>
          <cell r="I69" t="str">
            <v>s2 2015</v>
          </cell>
          <cell r="J69">
            <v>42087</v>
          </cell>
          <cell r="K69" t="str">
            <v>s13 2015</v>
          </cell>
          <cell r="L69">
            <v>42117</v>
          </cell>
          <cell r="M69" t="str">
            <v>s17 2015</v>
          </cell>
          <cell r="N69">
            <v>42247</v>
          </cell>
          <cell r="O69" t="str">
            <v>s36 2015</v>
          </cell>
          <cell r="P69">
            <v>42277</v>
          </cell>
          <cell r="Q69" t="str">
            <v>s40 2015</v>
          </cell>
          <cell r="R69">
            <v>42331</v>
          </cell>
          <cell r="S69" t="str">
            <v>s48 2015</v>
          </cell>
          <cell r="T69">
            <v>42341</v>
          </cell>
          <cell r="U69" t="str">
            <v>s49 2015</v>
          </cell>
          <cell r="V69">
            <v>42346</v>
          </cell>
          <cell r="W69" t="str">
            <v>s50 2015</v>
          </cell>
          <cell r="X69">
            <v>42366</v>
          </cell>
          <cell r="Y69" t="str">
            <v>s53 2015</v>
          </cell>
          <cell r="Z69">
            <v>42406</v>
          </cell>
          <cell r="AA69" t="str">
            <v>s6 2016</v>
          </cell>
          <cell r="AB69">
            <v>0</v>
          </cell>
          <cell r="AC69" t="str">
            <v>s0 1900</v>
          </cell>
          <cell r="AD69">
            <v>42421</v>
          </cell>
          <cell r="AE69" t="str">
            <v>s9 2016</v>
          </cell>
          <cell r="AF69">
            <v>42450</v>
          </cell>
          <cell r="AG69" t="str">
            <v>s13 2016</v>
          </cell>
          <cell r="AH69">
            <v>42522</v>
          </cell>
        </row>
        <row r="70">
          <cell r="A70" t="str">
            <v>L2C01 V2</v>
          </cell>
          <cell r="B70" t="e">
            <v>#N/A</v>
          </cell>
          <cell r="C70" t="str">
            <v>N</v>
          </cell>
          <cell r="D70">
            <v>50</v>
          </cell>
          <cell r="E70">
            <v>0</v>
          </cell>
          <cell r="F70">
            <v>0</v>
          </cell>
          <cell r="G70">
            <v>0</v>
          </cell>
          <cell r="H70">
            <v>42156</v>
          </cell>
          <cell r="I70" t="str">
            <v>s23 2015</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row>
        <row r="71">
          <cell r="A71" t="str">
            <v>L2C03</v>
          </cell>
          <cell r="B71" t="str">
            <v>Finnair / ACS</v>
          </cell>
          <cell r="C71" t="str">
            <v>N</v>
          </cell>
          <cell r="D71">
            <v>0</v>
          </cell>
          <cell r="E71">
            <v>0</v>
          </cell>
          <cell r="F71">
            <v>0</v>
          </cell>
          <cell r="G71">
            <v>0</v>
          </cell>
          <cell r="H71">
            <v>41249</v>
          </cell>
          <cell r="I71" t="str">
            <v>s49 2012</v>
          </cell>
          <cell r="J71">
            <v>41388</v>
          </cell>
          <cell r="K71" t="str">
            <v>s17 2013</v>
          </cell>
          <cell r="L71">
            <v>41418</v>
          </cell>
          <cell r="M71" t="str">
            <v>s21 2013</v>
          </cell>
          <cell r="N71">
            <v>41787</v>
          </cell>
          <cell r="O71" t="str">
            <v>s22 2014</v>
          </cell>
          <cell r="P71">
            <v>41817</v>
          </cell>
          <cell r="Q71" t="str">
            <v>s26 2014</v>
          </cell>
          <cell r="R71">
            <v>41945</v>
          </cell>
          <cell r="S71" t="str">
            <v>s45 2014</v>
          </cell>
          <cell r="T71">
            <v>41955</v>
          </cell>
          <cell r="U71" t="str">
            <v>s46 2014</v>
          </cell>
          <cell r="V71">
            <v>41960</v>
          </cell>
          <cell r="W71" t="str">
            <v>s47 2014</v>
          </cell>
          <cell r="X71">
            <v>41980</v>
          </cell>
          <cell r="Y71" t="str">
            <v>s50 2014</v>
          </cell>
          <cell r="Z71">
            <v>42020</v>
          </cell>
          <cell r="AA71" t="str">
            <v>s3 2015</v>
          </cell>
          <cell r="AB71">
            <v>0</v>
          </cell>
          <cell r="AC71" t="str">
            <v>s0 1900</v>
          </cell>
          <cell r="AD71">
            <v>42035</v>
          </cell>
          <cell r="AE71" t="str">
            <v>s5 2015</v>
          </cell>
          <cell r="AF71">
            <v>42065</v>
          </cell>
          <cell r="AG71" t="str">
            <v>s10 2015</v>
          </cell>
          <cell r="AH71">
            <v>42131</v>
          </cell>
        </row>
        <row r="72">
          <cell r="A72" t="str">
            <v>L2C05</v>
          </cell>
          <cell r="B72" t="str">
            <v>KLM</v>
          </cell>
          <cell r="C72" t="str">
            <v>N</v>
          </cell>
          <cell r="D72">
            <v>180</v>
          </cell>
          <cell r="E72">
            <v>1300</v>
          </cell>
          <cell r="F72">
            <v>400</v>
          </cell>
          <cell r="G72">
            <v>150</v>
          </cell>
          <cell r="H72">
            <v>41568</v>
          </cell>
          <cell r="I72" t="str">
            <v>s43 2013</v>
          </cell>
          <cell r="J72">
            <v>41671</v>
          </cell>
          <cell r="K72" t="str">
            <v>s5 2014</v>
          </cell>
          <cell r="L72">
            <v>41701</v>
          </cell>
          <cell r="M72" t="str">
            <v>s10 2014</v>
          </cell>
          <cell r="N72">
            <v>41871</v>
          </cell>
          <cell r="O72" t="str">
            <v>s34 2014</v>
          </cell>
          <cell r="P72">
            <v>41901</v>
          </cell>
          <cell r="Q72" t="str">
            <v>s38 2014</v>
          </cell>
          <cell r="R72">
            <v>42055</v>
          </cell>
          <cell r="S72" t="str">
            <v>s8 2015</v>
          </cell>
          <cell r="T72">
            <v>42065</v>
          </cell>
          <cell r="U72" t="str">
            <v>s10 2015</v>
          </cell>
          <cell r="V72">
            <v>42070</v>
          </cell>
          <cell r="W72" t="str">
            <v>s10 2015</v>
          </cell>
          <cell r="X72">
            <v>42090</v>
          </cell>
          <cell r="Y72" t="str">
            <v>s13 2015</v>
          </cell>
          <cell r="Z72">
            <v>42130</v>
          </cell>
          <cell r="AA72" t="str">
            <v>s19 2015</v>
          </cell>
          <cell r="AB72">
            <v>0</v>
          </cell>
          <cell r="AC72" t="str">
            <v>s0 1900</v>
          </cell>
          <cell r="AD72">
            <v>42145</v>
          </cell>
          <cell r="AE72" t="str">
            <v>s21 2015</v>
          </cell>
          <cell r="AF72">
            <v>42173</v>
          </cell>
          <cell r="AG72" t="str">
            <v>s25 2015</v>
          </cell>
          <cell r="AH72">
            <v>42214</v>
          </cell>
        </row>
        <row r="73">
          <cell r="A73" t="str">
            <v>L2c06</v>
          </cell>
          <cell r="B73" t="str">
            <v>Vietnam / catalog</v>
          </cell>
          <cell r="C73" t="str">
            <v>N</v>
          </cell>
          <cell r="D73">
            <v>0</v>
          </cell>
          <cell r="E73">
            <v>0</v>
          </cell>
          <cell r="F73">
            <v>0</v>
          </cell>
          <cell r="G73">
            <v>0</v>
          </cell>
          <cell r="H73">
            <v>41470</v>
          </cell>
          <cell r="I73" t="str">
            <v>s29 2013</v>
          </cell>
          <cell r="J73">
            <v>41532</v>
          </cell>
          <cell r="K73" t="str">
            <v>s38 2013</v>
          </cell>
          <cell r="L73">
            <v>41562</v>
          </cell>
          <cell r="M73" t="str">
            <v>s42 2013</v>
          </cell>
          <cell r="N73">
            <v>41693</v>
          </cell>
          <cell r="O73" t="str">
            <v>s9 2014</v>
          </cell>
          <cell r="P73">
            <v>41723</v>
          </cell>
          <cell r="Q73" t="str">
            <v>s13 2014</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42037</v>
          </cell>
          <cell r="AG73" t="str">
            <v>s6 2015</v>
          </cell>
          <cell r="AH73">
            <v>42104</v>
          </cell>
        </row>
        <row r="74">
          <cell r="A74" t="str">
            <v>L2C07</v>
          </cell>
          <cell r="B74" t="str">
            <v>TRANSAERO</v>
          </cell>
          <cell r="C74" t="str">
            <v>N</v>
          </cell>
          <cell r="D74">
            <v>180</v>
          </cell>
          <cell r="E74">
            <v>1300</v>
          </cell>
          <cell r="F74">
            <v>400</v>
          </cell>
          <cell r="G74">
            <v>150</v>
          </cell>
          <cell r="H74">
            <v>41611</v>
          </cell>
          <cell r="I74" t="str">
            <v>s49 2013</v>
          </cell>
          <cell r="J74">
            <v>41671</v>
          </cell>
          <cell r="K74" t="str">
            <v>s5 2014</v>
          </cell>
          <cell r="L74">
            <v>41701</v>
          </cell>
          <cell r="M74" t="str">
            <v>s10 2014</v>
          </cell>
          <cell r="N74">
            <v>41784</v>
          </cell>
          <cell r="O74" t="str">
            <v>s22 2014</v>
          </cell>
          <cell r="P74">
            <v>41814</v>
          </cell>
          <cell r="Q74" t="str">
            <v>s26 2014</v>
          </cell>
          <cell r="R74">
            <v>42012</v>
          </cell>
          <cell r="S74" t="str">
            <v>s2 2015</v>
          </cell>
          <cell r="T74">
            <v>42022</v>
          </cell>
          <cell r="U74" t="str">
            <v>s4 2015</v>
          </cell>
          <cell r="V74">
            <v>42027</v>
          </cell>
          <cell r="W74" t="str">
            <v>s4 2015</v>
          </cell>
          <cell r="X74">
            <v>42047</v>
          </cell>
          <cell r="Y74" t="str">
            <v>s7 2015</v>
          </cell>
          <cell r="Z74">
            <v>42087</v>
          </cell>
          <cell r="AA74" t="str">
            <v>s13 2015</v>
          </cell>
          <cell r="AB74">
            <v>0</v>
          </cell>
          <cell r="AC74" t="str">
            <v>s0 1900</v>
          </cell>
          <cell r="AD74">
            <v>42102</v>
          </cell>
          <cell r="AE74" t="str">
            <v>s15 2015</v>
          </cell>
          <cell r="AF74">
            <v>42132</v>
          </cell>
          <cell r="AG74" t="str">
            <v>s19 2015</v>
          </cell>
          <cell r="AH74">
            <v>42210</v>
          </cell>
        </row>
        <row r="75">
          <cell r="A75" t="str">
            <v>L2C08</v>
          </cell>
          <cell r="B75" t="str">
            <v>Air France</v>
          </cell>
          <cell r="C75" t="str">
            <v>N</v>
          </cell>
          <cell r="D75">
            <v>180</v>
          </cell>
          <cell r="E75">
            <v>1300</v>
          </cell>
          <cell r="F75">
            <v>400</v>
          </cell>
          <cell r="G75">
            <v>150</v>
          </cell>
          <cell r="H75">
            <v>41922</v>
          </cell>
          <cell r="I75" t="str">
            <v>s41 2014</v>
          </cell>
          <cell r="J75">
            <v>42042</v>
          </cell>
          <cell r="K75" t="str">
            <v>s6 2015</v>
          </cell>
          <cell r="L75">
            <v>42072</v>
          </cell>
          <cell r="M75" t="str">
            <v>s11 2015</v>
          </cell>
          <cell r="N75">
            <v>42231</v>
          </cell>
          <cell r="O75" t="str">
            <v>s33 2015</v>
          </cell>
          <cell r="P75">
            <v>42261</v>
          </cell>
          <cell r="Q75" t="str">
            <v>s38 2015</v>
          </cell>
          <cell r="R75">
            <v>42341</v>
          </cell>
          <cell r="S75" t="str">
            <v>s49 2015</v>
          </cell>
          <cell r="T75">
            <v>42351</v>
          </cell>
          <cell r="U75" t="str">
            <v>s51 2015</v>
          </cell>
          <cell r="V75">
            <v>42356</v>
          </cell>
          <cell r="W75" t="str">
            <v>s51 2015</v>
          </cell>
          <cell r="X75">
            <v>42376</v>
          </cell>
          <cell r="Y75" t="str">
            <v>s2 2016</v>
          </cell>
          <cell r="Z75">
            <v>42416</v>
          </cell>
          <cell r="AA75" t="str">
            <v>s8 2016</v>
          </cell>
          <cell r="AB75">
            <v>0</v>
          </cell>
          <cell r="AC75" t="str">
            <v>s0 1900</v>
          </cell>
          <cell r="AD75">
            <v>42431</v>
          </cell>
          <cell r="AE75" t="str">
            <v>s10 2016</v>
          </cell>
          <cell r="AF75">
            <v>42492</v>
          </cell>
          <cell r="AG75" t="str">
            <v>s19 2016</v>
          </cell>
          <cell r="AH75">
            <v>42585</v>
          </cell>
        </row>
        <row r="76">
          <cell r="A76" t="str">
            <v>L2C09</v>
          </cell>
          <cell r="B76" t="str">
            <v>Sri Lankan / ACS</v>
          </cell>
          <cell r="C76" t="str">
            <v>N</v>
          </cell>
          <cell r="D76">
            <v>100</v>
          </cell>
          <cell r="E76">
            <v>400</v>
          </cell>
          <cell r="F76">
            <v>200</v>
          </cell>
          <cell r="G76">
            <v>100</v>
          </cell>
          <cell r="H76">
            <v>41813</v>
          </cell>
          <cell r="I76" t="str">
            <v>s26 2014</v>
          </cell>
          <cell r="J76">
            <v>41938</v>
          </cell>
          <cell r="K76" t="str">
            <v>s44 2014</v>
          </cell>
          <cell r="L76">
            <v>41968</v>
          </cell>
          <cell r="M76" t="str">
            <v>s48 2014</v>
          </cell>
          <cell r="N76">
            <v>42112</v>
          </cell>
          <cell r="O76" t="str">
            <v>s16 2015</v>
          </cell>
          <cell r="P76">
            <v>42142</v>
          </cell>
          <cell r="Q76" t="str">
            <v>s21 2015</v>
          </cell>
          <cell r="R76">
            <v>42240</v>
          </cell>
          <cell r="S76" t="str">
            <v>s35 2015</v>
          </cell>
          <cell r="T76">
            <v>42250</v>
          </cell>
          <cell r="U76" t="str">
            <v>s36 2015</v>
          </cell>
          <cell r="V76">
            <v>42255</v>
          </cell>
          <cell r="W76" t="str">
            <v>s37 2015</v>
          </cell>
          <cell r="X76">
            <v>42275</v>
          </cell>
          <cell r="Y76" t="str">
            <v>s40 2015</v>
          </cell>
          <cell r="Z76">
            <v>42305</v>
          </cell>
          <cell r="AA76" t="str">
            <v>s44 2015</v>
          </cell>
          <cell r="AB76">
            <v>0</v>
          </cell>
          <cell r="AC76" t="str">
            <v>s0 1900</v>
          </cell>
          <cell r="AD76">
            <v>42320</v>
          </cell>
          <cell r="AE76" t="str">
            <v>s46 2015</v>
          </cell>
          <cell r="AF76">
            <v>42389</v>
          </cell>
          <cell r="AG76" t="str">
            <v>s4 2016</v>
          </cell>
          <cell r="AH76">
            <v>42430</v>
          </cell>
        </row>
        <row r="77">
          <cell r="A77" t="str">
            <v>L2C10</v>
          </cell>
          <cell r="B77" t="str">
            <v>Vietnam / ACS</v>
          </cell>
          <cell r="C77" t="str">
            <v>N</v>
          </cell>
          <cell r="D77">
            <v>50</v>
          </cell>
          <cell r="E77">
            <v>200</v>
          </cell>
          <cell r="F77">
            <v>100</v>
          </cell>
          <cell r="G77">
            <v>50</v>
          </cell>
          <cell r="H77">
            <v>41829</v>
          </cell>
          <cell r="I77" t="str">
            <v>s28 2014</v>
          </cell>
          <cell r="J77">
            <v>41958</v>
          </cell>
          <cell r="K77" t="str">
            <v>s46 2014</v>
          </cell>
          <cell r="L77">
            <v>41988</v>
          </cell>
          <cell r="M77" t="str">
            <v>s51 2014</v>
          </cell>
          <cell r="N77">
            <v>42114</v>
          </cell>
          <cell r="O77" t="str">
            <v>s17 2015</v>
          </cell>
          <cell r="P77">
            <v>42144</v>
          </cell>
          <cell r="Q77" t="str">
            <v>s21 2015</v>
          </cell>
          <cell r="R77">
            <v>42243</v>
          </cell>
          <cell r="S77" t="str">
            <v>s35 2015</v>
          </cell>
          <cell r="T77">
            <v>42253</v>
          </cell>
          <cell r="U77" t="str">
            <v>s37 2015</v>
          </cell>
          <cell r="V77">
            <v>42258</v>
          </cell>
          <cell r="W77" t="str">
            <v>s37 2015</v>
          </cell>
          <cell r="X77">
            <v>42278</v>
          </cell>
          <cell r="Y77" t="str">
            <v>s40 2015</v>
          </cell>
          <cell r="Z77">
            <v>42318</v>
          </cell>
          <cell r="AA77" t="str">
            <v>s46 2015</v>
          </cell>
          <cell r="AB77">
            <v>0</v>
          </cell>
          <cell r="AC77" t="str">
            <v>s0 1900</v>
          </cell>
          <cell r="AD77">
            <v>42333</v>
          </cell>
          <cell r="AE77" t="str">
            <v>s48 2015</v>
          </cell>
          <cell r="AF77">
            <v>42401</v>
          </cell>
          <cell r="AG77" t="str">
            <v>s6 2016</v>
          </cell>
          <cell r="AH77">
            <v>42453</v>
          </cell>
        </row>
        <row r="78">
          <cell r="A78" t="str">
            <v>L2C11</v>
          </cell>
          <cell r="B78" t="str">
            <v>Hainan Airlines / catalog</v>
          </cell>
          <cell r="C78" t="str">
            <v>N</v>
          </cell>
          <cell r="D78">
            <v>120</v>
          </cell>
          <cell r="E78">
            <v>200</v>
          </cell>
          <cell r="F78">
            <v>100</v>
          </cell>
          <cell r="G78">
            <v>50</v>
          </cell>
          <cell r="H78">
            <v>42223</v>
          </cell>
          <cell r="I78" t="str">
            <v>s32 2015</v>
          </cell>
          <cell r="J78">
            <v>42308</v>
          </cell>
          <cell r="K78" t="str">
            <v>s44 2015</v>
          </cell>
          <cell r="L78">
            <v>42338</v>
          </cell>
          <cell r="M78" t="str">
            <v>s49 2015</v>
          </cell>
          <cell r="N78">
            <v>42460</v>
          </cell>
          <cell r="O78" t="str">
            <v>s14 2016</v>
          </cell>
          <cell r="P78">
            <v>42490</v>
          </cell>
          <cell r="Q78" t="str">
            <v>s18 2016</v>
          </cell>
          <cell r="R78">
            <v>42591</v>
          </cell>
          <cell r="S78" t="str">
            <v>s33 2016</v>
          </cell>
          <cell r="T78">
            <v>42601</v>
          </cell>
          <cell r="U78" t="str">
            <v>s34 2016</v>
          </cell>
          <cell r="V78">
            <v>42606</v>
          </cell>
          <cell r="W78" t="str">
            <v>s35 2016</v>
          </cell>
          <cell r="X78">
            <v>42631</v>
          </cell>
          <cell r="Y78" t="str">
            <v>s39 2016</v>
          </cell>
          <cell r="Z78">
            <v>42656</v>
          </cell>
          <cell r="AA78" t="str">
            <v>s42 2016</v>
          </cell>
          <cell r="AB78">
            <v>0</v>
          </cell>
          <cell r="AC78" t="str">
            <v>s0 1900</v>
          </cell>
          <cell r="AD78">
            <v>42661</v>
          </cell>
          <cell r="AE78" t="str">
            <v>s43 2016</v>
          </cell>
          <cell r="AF78">
            <v>42681</v>
          </cell>
          <cell r="AG78" t="str">
            <v>s46 2016</v>
          </cell>
          <cell r="AH78">
            <v>42735</v>
          </cell>
        </row>
        <row r="79">
          <cell r="A79" t="str">
            <v>L2S01</v>
          </cell>
          <cell r="B79">
            <v>0</v>
          </cell>
          <cell r="C79" t="str">
            <v>N</v>
          </cell>
          <cell r="D79">
            <v>180</v>
          </cell>
          <cell r="E79">
            <v>1300</v>
          </cell>
          <cell r="F79">
            <v>400</v>
          </cell>
          <cell r="G79">
            <v>150</v>
          </cell>
          <cell r="H79">
            <v>42262</v>
          </cell>
          <cell r="I79">
            <v>0</v>
          </cell>
          <cell r="J79">
            <v>0</v>
          </cell>
          <cell r="K79">
            <v>0</v>
          </cell>
          <cell r="L79">
            <v>42363</v>
          </cell>
          <cell r="M79">
            <v>0</v>
          </cell>
          <cell r="N79">
            <v>0</v>
          </cell>
          <cell r="O79">
            <v>0</v>
          </cell>
          <cell r="P79">
            <v>42495</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42701</v>
          </cell>
          <cell r="AG79">
            <v>0</v>
          </cell>
          <cell r="AH79">
            <v>42750</v>
          </cell>
        </row>
        <row r="80">
          <cell r="A80" t="str">
            <v>L3C01</v>
          </cell>
          <cell r="B80" t="str">
            <v>Cathay Pacific</v>
          </cell>
          <cell r="C80" t="str">
            <v>N</v>
          </cell>
          <cell r="D80">
            <v>180</v>
          </cell>
          <cell r="E80">
            <v>1300</v>
          </cell>
          <cell r="F80">
            <v>400</v>
          </cell>
          <cell r="G80">
            <v>150</v>
          </cell>
          <cell r="H80">
            <v>41526</v>
          </cell>
          <cell r="I80" t="str">
            <v>s37 2013</v>
          </cell>
          <cell r="J80">
            <v>41693</v>
          </cell>
          <cell r="K80" t="str">
            <v>s9 2014</v>
          </cell>
          <cell r="L80">
            <v>41723</v>
          </cell>
          <cell r="M80" t="str">
            <v>s13 2014</v>
          </cell>
          <cell r="N80">
            <v>41945</v>
          </cell>
          <cell r="O80" t="str">
            <v>s45 2014</v>
          </cell>
          <cell r="P80">
            <v>41975</v>
          </cell>
          <cell r="Q80" t="str">
            <v>s49 2014</v>
          </cell>
          <cell r="R80">
            <v>42129</v>
          </cell>
          <cell r="S80" t="str">
            <v>s19 2015</v>
          </cell>
          <cell r="T80">
            <v>42139</v>
          </cell>
          <cell r="U80" t="str">
            <v>s20 2015</v>
          </cell>
          <cell r="V80">
            <v>42144</v>
          </cell>
          <cell r="W80" t="str">
            <v>s21 2015</v>
          </cell>
          <cell r="X80">
            <v>42164</v>
          </cell>
          <cell r="Y80" t="str">
            <v>s24 2015</v>
          </cell>
          <cell r="Z80">
            <v>42204</v>
          </cell>
          <cell r="AA80" t="str">
            <v>s30 2015</v>
          </cell>
          <cell r="AB80">
            <v>0</v>
          </cell>
          <cell r="AC80" t="str">
            <v>s0 1900</v>
          </cell>
          <cell r="AD80">
            <v>42219</v>
          </cell>
          <cell r="AE80" t="str">
            <v>s32 2015</v>
          </cell>
          <cell r="AF80">
            <v>42282</v>
          </cell>
          <cell r="AG80" t="str">
            <v>s41 2015</v>
          </cell>
          <cell r="AH80">
            <v>42300</v>
          </cell>
        </row>
        <row r="81">
          <cell r="A81" t="str">
            <v>L3C02</v>
          </cell>
          <cell r="B81" t="str">
            <v>Cathay Pacific</v>
          </cell>
          <cell r="C81" t="str">
            <v>N</v>
          </cell>
          <cell r="D81">
            <v>0</v>
          </cell>
          <cell r="E81">
            <v>0</v>
          </cell>
          <cell r="F81">
            <v>0</v>
          </cell>
          <cell r="G81">
            <v>0</v>
          </cell>
          <cell r="H81">
            <v>42338</v>
          </cell>
          <cell r="I81">
            <v>0</v>
          </cell>
          <cell r="J81">
            <v>0</v>
          </cell>
          <cell r="K81">
            <v>0</v>
          </cell>
          <cell r="L81">
            <v>42401</v>
          </cell>
          <cell r="M81">
            <v>0</v>
          </cell>
          <cell r="N81">
            <v>0</v>
          </cell>
          <cell r="O81">
            <v>0</v>
          </cell>
          <cell r="P81">
            <v>42552</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42705</v>
          </cell>
          <cell r="AG81">
            <v>0</v>
          </cell>
          <cell r="AH81">
            <v>0</v>
          </cell>
        </row>
        <row r="82">
          <cell r="A82" t="str">
            <v>L3S01</v>
          </cell>
          <cell r="B82" t="e">
            <v>#N/A</v>
          </cell>
          <cell r="C82" t="str">
            <v>N</v>
          </cell>
          <cell r="D82">
            <v>300</v>
          </cell>
          <cell r="E82">
            <v>4600</v>
          </cell>
          <cell r="F82">
            <v>400</v>
          </cell>
          <cell r="G82">
            <v>400</v>
          </cell>
          <cell r="H82">
            <v>42277</v>
          </cell>
          <cell r="I82">
            <v>0</v>
          </cell>
          <cell r="J82">
            <v>0</v>
          </cell>
          <cell r="K82">
            <v>0</v>
          </cell>
          <cell r="L82">
            <v>42430</v>
          </cell>
          <cell r="M82">
            <v>0</v>
          </cell>
          <cell r="N82">
            <v>0</v>
          </cell>
          <cell r="O82">
            <v>0</v>
          </cell>
          <cell r="P82">
            <v>42644</v>
          </cell>
          <cell r="Q82">
            <v>0</v>
          </cell>
          <cell r="R82">
            <v>0</v>
          </cell>
          <cell r="S82">
            <v>0</v>
          </cell>
          <cell r="T82">
            <v>0</v>
          </cell>
          <cell r="U82">
            <v>0</v>
          </cell>
          <cell r="V82">
            <v>0</v>
          </cell>
          <cell r="W82">
            <v>0</v>
          </cell>
          <cell r="X82">
            <v>0</v>
          </cell>
          <cell r="Y82">
            <v>0</v>
          </cell>
          <cell r="Z82">
            <v>0</v>
          </cell>
          <cell r="AA82">
            <v>0</v>
          </cell>
          <cell r="AB82">
            <v>0</v>
          </cell>
          <cell r="AC82">
            <v>0</v>
          </cell>
          <cell r="AD82">
            <v>42806</v>
          </cell>
          <cell r="AE82">
            <v>0</v>
          </cell>
          <cell r="AF82">
            <v>42826</v>
          </cell>
          <cell r="AG82">
            <v>0</v>
          </cell>
          <cell r="AH82">
            <v>42948</v>
          </cell>
        </row>
        <row r="83">
          <cell r="A83" t="str">
            <v>Programme Support</v>
          </cell>
          <cell r="B83" t="e">
            <v>#N/A</v>
          </cell>
          <cell r="C83" t="str">
            <v>N</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row>
        <row r="84">
          <cell r="A84" t="str">
            <v>Z0041</v>
          </cell>
          <cell r="B84" t="e">
            <v>#N/A</v>
          </cell>
          <cell r="C84" t="str">
            <v>N</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row>
        <row r="85">
          <cell r="A85" t="str">
            <v>Z0056</v>
          </cell>
          <cell r="B85" t="e">
            <v>#N/A</v>
          </cell>
          <cell r="C85" t="str">
            <v>N</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row>
        <row r="86">
          <cell r="A86" t="str">
            <v>Z0069</v>
          </cell>
          <cell r="B86" t="e">
            <v>#N/A</v>
          </cell>
          <cell r="C86" t="str">
            <v>N</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row>
        <row r="87">
          <cell r="A87" t="str">
            <v>Z0078</v>
          </cell>
          <cell r="B87" t="e">
            <v>#N/A</v>
          </cell>
          <cell r="C87" t="str">
            <v>N</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row>
        <row r="88">
          <cell r="A88" t="str">
            <v>Z0086</v>
          </cell>
          <cell r="B88" t="e">
            <v>#N/A</v>
          </cell>
          <cell r="C88" t="str">
            <v>N</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row>
        <row r="89">
          <cell r="A89" t="str">
            <v>Z0111</v>
          </cell>
          <cell r="B89" t="e">
            <v>#N/A</v>
          </cell>
          <cell r="C89" t="str">
            <v>N</v>
          </cell>
          <cell r="D89">
            <v>0</v>
          </cell>
          <cell r="E89">
            <v>0</v>
          </cell>
          <cell r="F89">
            <v>0</v>
          </cell>
          <cell r="G89">
            <v>0</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row>
        <row r="90">
          <cell r="A90" t="str">
            <v>Z0119</v>
          </cell>
          <cell r="B90" t="e">
            <v>#N/A</v>
          </cell>
          <cell r="C90" t="str">
            <v>N</v>
          </cell>
          <cell r="D90">
            <v>0</v>
          </cell>
          <cell r="E90">
            <v>0</v>
          </cell>
          <cell r="F90">
            <v>0</v>
          </cell>
          <cell r="G90">
            <v>0</v>
          </cell>
          <cell r="H90">
            <v>42287</v>
          </cell>
          <cell r="I90" t="str">
            <v>s41 2015</v>
          </cell>
          <cell r="J90">
            <v>42383</v>
          </cell>
          <cell r="K90" t="str">
            <v>s3 2016</v>
          </cell>
          <cell r="L90">
            <v>42413</v>
          </cell>
          <cell r="M90" t="str">
            <v>s7 2016</v>
          </cell>
          <cell r="N90">
            <v>42598</v>
          </cell>
          <cell r="O90" t="str">
            <v>s34 2016</v>
          </cell>
          <cell r="P90">
            <v>42628</v>
          </cell>
          <cell r="Q90" t="str">
            <v>s38 2016</v>
          </cell>
          <cell r="R90">
            <v>42695</v>
          </cell>
          <cell r="S90" t="str">
            <v>s48 2016</v>
          </cell>
          <cell r="T90">
            <v>42705</v>
          </cell>
          <cell r="U90" t="str">
            <v>s49 2016</v>
          </cell>
          <cell r="V90">
            <v>42710</v>
          </cell>
          <cell r="W90" t="str">
            <v>s50 2016</v>
          </cell>
          <cell r="X90">
            <v>42730</v>
          </cell>
          <cell r="Y90" t="str">
            <v>s53 2016</v>
          </cell>
          <cell r="Z90">
            <v>42770</v>
          </cell>
          <cell r="AA90" t="str">
            <v>s5 2017</v>
          </cell>
          <cell r="AB90">
            <v>0</v>
          </cell>
          <cell r="AC90" t="str">
            <v>s0 1900</v>
          </cell>
          <cell r="AD90">
            <v>42785</v>
          </cell>
          <cell r="AE90" t="str">
            <v>s8 2017</v>
          </cell>
          <cell r="AF90">
            <v>42815</v>
          </cell>
          <cell r="AG90" t="str">
            <v>s12 2017</v>
          </cell>
          <cell r="AH90">
            <v>42952</v>
          </cell>
        </row>
        <row r="91">
          <cell r="A91" t="str">
            <v>Z0124</v>
          </cell>
          <cell r="B91" t="e">
            <v>#N/A</v>
          </cell>
          <cell r="C91" t="str">
            <v>N</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row>
        <row r="92">
          <cell r="A92" t="str">
            <v>L1408</v>
          </cell>
          <cell r="B92" t="e">
            <v>#N/A</v>
          </cell>
          <cell r="C92" t="str">
            <v>N</v>
          </cell>
          <cell r="D92">
            <v>0</v>
          </cell>
          <cell r="E92">
            <v>0</v>
          </cell>
          <cell r="F92">
            <v>0</v>
          </cell>
          <cell r="G92">
            <v>0</v>
          </cell>
          <cell r="H92">
            <v>42262</v>
          </cell>
          <cell r="I92">
            <v>0</v>
          </cell>
          <cell r="J92">
            <v>0</v>
          </cell>
          <cell r="K92">
            <v>0</v>
          </cell>
          <cell r="L92">
            <v>42327</v>
          </cell>
          <cell r="M92">
            <v>0</v>
          </cell>
          <cell r="N92">
            <v>0</v>
          </cell>
          <cell r="O92">
            <v>0</v>
          </cell>
          <cell r="P92">
            <v>42327</v>
          </cell>
          <cell r="Q92">
            <v>0</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42504</v>
          </cell>
          <cell r="AG92">
            <v>0</v>
          </cell>
          <cell r="AH92">
            <v>42535</v>
          </cell>
        </row>
        <row r="93">
          <cell r="A93" t="str">
            <v>E3530</v>
          </cell>
          <cell r="B93" t="e">
            <v>#N/A</v>
          </cell>
          <cell r="C93" t="str">
            <v>N</v>
          </cell>
          <cell r="D93">
            <v>0</v>
          </cell>
          <cell r="E93">
            <v>0</v>
          </cell>
          <cell r="F93">
            <v>0</v>
          </cell>
          <cell r="G93">
            <v>0</v>
          </cell>
          <cell r="H93">
            <v>42262</v>
          </cell>
          <cell r="I93">
            <v>0</v>
          </cell>
          <cell r="J93">
            <v>0</v>
          </cell>
          <cell r="K93">
            <v>0</v>
          </cell>
          <cell r="L93">
            <v>42327</v>
          </cell>
          <cell r="M93">
            <v>0</v>
          </cell>
          <cell r="N93">
            <v>0</v>
          </cell>
          <cell r="O93">
            <v>0</v>
          </cell>
          <cell r="P93">
            <v>42327</v>
          </cell>
          <cell r="Q93">
            <v>0</v>
          </cell>
          <cell r="R93">
            <v>0</v>
          </cell>
          <cell r="S93">
            <v>0</v>
          </cell>
          <cell r="T93">
            <v>0</v>
          </cell>
          <cell r="U93">
            <v>0</v>
          </cell>
          <cell r="V93">
            <v>0</v>
          </cell>
          <cell r="W93">
            <v>0</v>
          </cell>
          <cell r="X93">
            <v>0</v>
          </cell>
          <cell r="Y93">
            <v>0</v>
          </cell>
          <cell r="Z93">
            <v>0</v>
          </cell>
          <cell r="AA93">
            <v>0</v>
          </cell>
          <cell r="AB93">
            <v>0</v>
          </cell>
          <cell r="AC93">
            <v>0</v>
          </cell>
          <cell r="AD93">
            <v>0</v>
          </cell>
          <cell r="AE93">
            <v>0</v>
          </cell>
          <cell r="AF93">
            <v>42472</v>
          </cell>
          <cell r="AG93">
            <v>0</v>
          </cell>
          <cell r="AH93">
            <v>42522</v>
          </cell>
        </row>
        <row r="94">
          <cell r="A94" t="str">
            <v>E3104 V2</v>
          </cell>
          <cell r="B94" t="e">
            <v>#N/A</v>
          </cell>
          <cell r="C94" t="str">
            <v>N</v>
          </cell>
          <cell r="D94">
            <v>0</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row>
        <row r="95">
          <cell r="A95" t="str">
            <v>E3805 V2</v>
          </cell>
          <cell r="B95" t="e">
            <v>#N/A</v>
          </cell>
          <cell r="C95" t="str">
            <v>N</v>
          </cell>
          <cell r="D95">
            <v>0</v>
          </cell>
          <cell r="E95">
            <v>0</v>
          </cell>
          <cell r="F95">
            <v>0</v>
          </cell>
          <cell r="G95">
            <v>0</v>
          </cell>
          <cell r="H95">
            <v>42200</v>
          </cell>
          <cell r="I95">
            <v>0</v>
          </cell>
          <cell r="J95">
            <v>0</v>
          </cell>
          <cell r="K95">
            <v>0</v>
          </cell>
          <cell r="L95">
            <v>42380</v>
          </cell>
          <cell r="M95">
            <v>0</v>
          </cell>
          <cell r="N95">
            <v>0</v>
          </cell>
          <cell r="O95">
            <v>0</v>
          </cell>
          <cell r="P95">
            <v>42434</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42744</v>
          </cell>
          <cell r="AG95">
            <v>0</v>
          </cell>
          <cell r="AH95">
            <v>42828</v>
          </cell>
        </row>
        <row r="96">
          <cell r="A96" t="str">
            <v>L1S01 V2</v>
          </cell>
          <cell r="B96" t="str">
            <v>UAE nveaux meubles</v>
          </cell>
          <cell r="C96" t="str">
            <v>N</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row>
        <row r="97">
          <cell r="A97" t="str">
            <v>L1S03 V2</v>
          </cell>
          <cell r="B97" t="str">
            <v>UAE nveaux meubles</v>
          </cell>
          <cell r="C97" t="str">
            <v>N</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row>
        <row r="98">
          <cell r="A98" t="str">
            <v>E3113 V2</v>
          </cell>
          <cell r="B98" t="e">
            <v>#N/A</v>
          </cell>
          <cell r="C98" t="str">
            <v>N</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row>
        <row r="99">
          <cell r="A99" t="str">
            <v>E3145</v>
          </cell>
          <cell r="B99" t="str">
            <v>URAL AIRLINES</v>
          </cell>
          <cell r="C99" t="str">
            <v>N</v>
          </cell>
          <cell r="D99">
            <v>0</v>
          </cell>
          <cell r="E99">
            <v>0</v>
          </cell>
          <cell r="F99">
            <v>0</v>
          </cell>
          <cell r="G99">
            <v>0</v>
          </cell>
          <cell r="H99">
            <v>42333</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42456</v>
          </cell>
        </row>
        <row r="100">
          <cell r="A100" t="str">
            <v>EZ115</v>
          </cell>
          <cell r="B100" t="str">
            <v>Airbus Defence &amp; Space MRTT (Korea Army)</v>
          </cell>
          <cell r="C100" t="str">
            <v>N</v>
          </cell>
          <cell r="D100">
            <v>0</v>
          </cell>
          <cell r="E100">
            <v>0</v>
          </cell>
          <cell r="F100">
            <v>0</v>
          </cell>
          <cell r="G100">
            <v>0</v>
          </cell>
          <cell r="H100">
            <v>42338</v>
          </cell>
          <cell r="I100">
            <v>0</v>
          </cell>
          <cell r="J100">
            <v>0</v>
          </cell>
          <cell r="K100">
            <v>0</v>
          </cell>
          <cell r="L100">
            <v>42396</v>
          </cell>
          <cell r="M100">
            <v>0</v>
          </cell>
          <cell r="N100">
            <v>0</v>
          </cell>
          <cell r="O100">
            <v>0</v>
          </cell>
          <cell r="P100">
            <v>42452</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42744</v>
          </cell>
          <cell r="AG100">
            <v>0</v>
          </cell>
          <cell r="AH100">
            <v>42768</v>
          </cell>
        </row>
        <row r="101">
          <cell r="A101" t="str">
            <v>Z0151</v>
          </cell>
          <cell r="B101" t="str">
            <v>Z85 NG Programme interne A32X, B737-8,A330-3-4, A350 -9 -10, B777, B787, B767 (Z85NG - roadmap produit rev 3: O:\Donnees_BE\BE\04-Ligne de produits Y-C\Z85NG\Development plan )
Pré etude: A350 200h, B787 100h, B777, 737, A3X: 200h de MAJ</v>
          </cell>
          <cell r="C101" t="str">
            <v>N</v>
          </cell>
          <cell r="D101">
            <v>0</v>
          </cell>
          <cell r="E101">
            <v>0</v>
          </cell>
          <cell r="F101">
            <v>0</v>
          </cell>
          <cell r="G101">
            <v>0</v>
          </cell>
          <cell r="H101">
            <v>42505</v>
          </cell>
          <cell r="I101">
            <v>0</v>
          </cell>
          <cell r="J101">
            <v>0</v>
          </cell>
          <cell r="K101">
            <v>0</v>
          </cell>
          <cell r="L101">
            <v>42675</v>
          </cell>
          <cell r="M101">
            <v>0</v>
          </cell>
          <cell r="N101">
            <v>0</v>
          </cell>
          <cell r="O101">
            <v>0</v>
          </cell>
          <cell r="P101">
            <v>42826</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row>
        <row r="102">
          <cell r="A102">
            <v>0</v>
          </cell>
          <cell r="B102" t="e">
            <v>#N/A</v>
          </cell>
          <cell r="C102">
            <v>0</v>
          </cell>
          <cell r="D102">
            <v>0</v>
          </cell>
          <cell r="E102">
            <v>0</v>
          </cell>
          <cell r="F102">
            <v>0</v>
          </cell>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row>
        <row r="103">
          <cell r="A103">
            <v>0</v>
          </cell>
          <cell r="B103" t="e">
            <v>#N/A</v>
          </cell>
          <cell r="C103">
            <v>0</v>
          </cell>
          <cell r="D103">
            <v>0</v>
          </cell>
          <cell r="E103">
            <v>0</v>
          </cell>
          <cell r="F103">
            <v>0</v>
          </cell>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row>
        <row r="104">
          <cell r="A104">
            <v>0</v>
          </cell>
          <cell r="B104" t="e">
            <v>#N/A</v>
          </cell>
          <cell r="C104">
            <v>0</v>
          </cell>
          <cell r="D104">
            <v>0</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row>
        <row r="105">
          <cell r="A105">
            <v>0</v>
          </cell>
          <cell r="B105" t="e">
            <v>#N/A</v>
          </cell>
          <cell r="C105">
            <v>0</v>
          </cell>
          <cell r="D105">
            <v>0</v>
          </cell>
          <cell r="E105">
            <v>0</v>
          </cell>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row>
        <row r="106">
          <cell r="A106">
            <v>0</v>
          </cell>
          <cell r="B106" t="e">
            <v>#N/A</v>
          </cell>
          <cell r="C106">
            <v>0</v>
          </cell>
          <cell r="D106">
            <v>0</v>
          </cell>
          <cell r="E106">
            <v>0</v>
          </cell>
          <cell r="F106">
            <v>0</v>
          </cell>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row>
        <row r="107">
          <cell r="A107">
            <v>0</v>
          </cell>
          <cell r="B107" t="e">
            <v>#N/A</v>
          </cell>
          <cell r="C107">
            <v>0</v>
          </cell>
          <cell r="D107">
            <v>0</v>
          </cell>
          <cell r="E107">
            <v>0</v>
          </cell>
          <cell r="F107">
            <v>0</v>
          </cell>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row>
        <row r="108">
          <cell r="A108">
            <v>0</v>
          </cell>
          <cell r="B108" t="e">
            <v>#N/A</v>
          </cell>
          <cell r="C108">
            <v>0</v>
          </cell>
          <cell r="D108">
            <v>0</v>
          </cell>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row>
        <row r="109">
          <cell r="A109">
            <v>0</v>
          </cell>
          <cell r="B109" t="e">
            <v>#N/A</v>
          </cell>
          <cell r="C109">
            <v>0</v>
          </cell>
          <cell r="D109">
            <v>0</v>
          </cell>
          <cell r="E109">
            <v>0</v>
          </cell>
          <cell r="F109">
            <v>0</v>
          </cell>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row>
        <row r="110">
          <cell r="A110">
            <v>0</v>
          </cell>
          <cell r="B110" t="e">
            <v>#N/A</v>
          </cell>
          <cell r="C110">
            <v>0</v>
          </cell>
          <cell r="D110">
            <v>0</v>
          </cell>
          <cell r="E110">
            <v>0</v>
          </cell>
          <cell r="F110">
            <v>0</v>
          </cell>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row>
        <row r="111">
          <cell r="A111">
            <v>0</v>
          </cell>
          <cell r="B111" t="e">
            <v>#N/A</v>
          </cell>
          <cell r="C111">
            <v>0</v>
          </cell>
          <cell r="D111">
            <v>0</v>
          </cell>
          <cell r="E111">
            <v>0</v>
          </cell>
          <cell r="F111">
            <v>0</v>
          </cell>
          <cell r="G111">
            <v>0</v>
          </cell>
          <cell r="H111">
            <v>0</v>
          </cell>
          <cell r="I111">
            <v>0</v>
          </cell>
          <cell r="J111">
            <v>0</v>
          </cell>
          <cell r="K111">
            <v>0</v>
          </cell>
          <cell r="L111">
            <v>0</v>
          </cell>
          <cell r="M111">
            <v>0</v>
          </cell>
          <cell r="N111">
            <v>0</v>
          </cell>
          <cell r="O111">
            <v>0</v>
          </cell>
          <cell r="P111">
            <v>0</v>
          </cell>
          <cell r="Q111">
            <v>0</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cell r="AF111">
            <v>0</v>
          </cell>
          <cell r="AG111">
            <v>0</v>
          </cell>
          <cell r="AH111">
            <v>0</v>
          </cell>
        </row>
        <row r="112">
          <cell r="A112">
            <v>0</v>
          </cell>
          <cell r="B112" t="e">
            <v>#N/A</v>
          </cell>
          <cell r="C112">
            <v>0</v>
          </cell>
          <cell r="D112">
            <v>0</v>
          </cell>
          <cell r="E112">
            <v>0</v>
          </cell>
          <cell r="F112">
            <v>0</v>
          </cell>
          <cell r="G112">
            <v>0</v>
          </cell>
          <cell r="H112">
            <v>0</v>
          </cell>
          <cell r="I112">
            <v>0</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row>
        <row r="113">
          <cell r="A113">
            <v>0</v>
          </cell>
          <cell r="B113" t="e">
            <v>#N/A</v>
          </cell>
          <cell r="C113">
            <v>0</v>
          </cell>
          <cell r="D113">
            <v>0</v>
          </cell>
          <cell r="E113">
            <v>0</v>
          </cell>
          <cell r="F113">
            <v>0</v>
          </cell>
          <cell r="G113">
            <v>0</v>
          </cell>
          <cell r="H113">
            <v>0</v>
          </cell>
          <cell r="I113">
            <v>0</v>
          </cell>
          <cell r="J113">
            <v>0</v>
          </cell>
          <cell r="K113">
            <v>0</v>
          </cell>
          <cell r="L113">
            <v>0</v>
          </cell>
          <cell r="M113">
            <v>0</v>
          </cell>
          <cell r="N113">
            <v>0</v>
          </cell>
          <cell r="O113">
            <v>0</v>
          </cell>
          <cell r="P113">
            <v>0</v>
          </cell>
          <cell r="Q113">
            <v>0</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row>
        <row r="114">
          <cell r="A114">
            <v>0</v>
          </cell>
          <cell r="B114" t="e">
            <v>#N/A</v>
          </cell>
          <cell r="C114">
            <v>0</v>
          </cell>
          <cell r="D114">
            <v>0</v>
          </cell>
          <cell r="E114">
            <v>0</v>
          </cell>
          <cell r="F114">
            <v>0</v>
          </cell>
          <cell r="G114">
            <v>0</v>
          </cell>
          <cell r="H114">
            <v>0</v>
          </cell>
          <cell r="I114">
            <v>0</v>
          </cell>
          <cell r="J114">
            <v>0</v>
          </cell>
          <cell r="K114">
            <v>0</v>
          </cell>
          <cell r="L114">
            <v>0</v>
          </cell>
          <cell r="M114">
            <v>0</v>
          </cell>
          <cell r="N114">
            <v>0</v>
          </cell>
          <cell r="O114">
            <v>0</v>
          </cell>
          <cell r="P114">
            <v>0</v>
          </cell>
          <cell r="Q114">
            <v>0</v>
          </cell>
          <cell r="R114">
            <v>0</v>
          </cell>
          <cell r="S114">
            <v>0</v>
          </cell>
          <cell r="T114">
            <v>0</v>
          </cell>
          <cell r="U114">
            <v>0</v>
          </cell>
          <cell r="V114">
            <v>0</v>
          </cell>
          <cell r="W114">
            <v>0</v>
          </cell>
          <cell r="X114">
            <v>0</v>
          </cell>
          <cell r="Y114">
            <v>0</v>
          </cell>
          <cell r="Z114">
            <v>0</v>
          </cell>
          <cell r="AA114">
            <v>0</v>
          </cell>
          <cell r="AB114">
            <v>0</v>
          </cell>
          <cell r="AC114">
            <v>0</v>
          </cell>
          <cell r="AD114">
            <v>0</v>
          </cell>
          <cell r="AE114">
            <v>0</v>
          </cell>
          <cell r="AF114">
            <v>0</v>
          </cell>
          <cell r="AG114">
            <v>0</v>
          </cell>
          <cell r="AH114">
            <v>0</v>
          </cell>
        </row>
        <row r="115">
          <cell r="A115">
            <v>0</v>
          </cell>
          <cell r="B115" t="e">
            <v>#N/A</v>
          </cell>
          <cell r="C115">
            <v>0</v>
          </cell>
          <cell r="D115">
            <v>0</v>
          </cell>
          <cell r="E115">
            <v>0</v>
          </cell>
          <cell r="F115">
            <v>0</v>
          </cell>
          <cell r="G115">
            <v>0</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v>0</v>
          </cell>
          <cell r="AC115">
            <v>0</v>
          </cell>
          <cell r="AD115">
            <v>0</v>
          </cell>
          <cell r="AE115">
            <v>0</v>
          </cell>
          <cell r="AF115">
            <v>0</v>
          </cell>
          <cell r="AG115">
            <v>0</v>
          </cell>
          <cell r="AH115">
            <v>0</v>
          </cell>
        </row>
        <row r="116">
          <cell r="A116">
            <v>0</v>
          </cell>
          <cell r="B116" t="e">
            <v>#N/A</v>
          </cell>
          <cell r="C116">
            <v>0</v>
          </cell>
          <cell r="D116">
            <v>0</v>
          </cell>
          <cell r="E116">
            <v>0</v>
          </cell>
          <cell r="F116">
            <v>0</v>
          </cell>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Z116">
            <v>0</v>
          </cell>
          <cell r="AA116">
            <v>0</v>
          </cell>
          <cell r="AB116">
            <v>0</v>
          </cell>
          <cell r="AC116">
            <v>0</v>
          </cell>
          <cell r="AD116">
            <v>0</v>
          </cell>
          <cell r="AE116">
            <v>0</v>
          </cell>
          <cell r="AF116">
            <v>0</v>
          </cell>
          <cell r="AG116">
            <v>0</v>
          </cell>
          <cell r="AH116">
            <v>0</v>
          </cell>
        </row>
        <row r="117">
          <cell r="A117">
            <v>0</v>
          </cell>
          <cell r="B117" t="e">
            <v>#N/A</v>
          </cell>
          <cell r="C117">
            <v>0</v>
          </cell>
          <cell r="D117">
            <v>0</v>
          </cell>
          <cell r="E117">
            <v>0</v>
          </cell>
          <cell r="F117">
            <v>0</v>
          </cell>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v>
          </cell>
          <cell r="AH117">
            <v>0</v>
          </cell>
        </row>
        <row r="118">
          <cell r="A118">
            <v>0</v>
          </cell>
          <cell r="B118" t="e">
            <v>#N/A</v>
          </cell>
          <cell r="C118">
            <v>0</v>
          </cell>
          <cell r="D118">
            <v>0</v>
          </cell>
          <cell r="E118">
            <v>0</v>
          </cell>
          <cell r="F118">
            <v>0</v>
          </cell>
          <cell r="G118">
            <v>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row>
        <row r="119">
          <cell r="A119">
            <v>0</v>
          </cell>
          <cell r="B119" t="e">
            <v>#N/A</v>
          </cell>
          <cell r="C119">
            <v>0</v>
          </cell>
          <cell r="D119">
            <v>0</v>
          </cell>
          <cell r="E119">
            <v>0</v>
          </cell>
          <cell r="F119">
            <v>0</v>
          </cell>
          <cell r="G119">
            <v>0</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cell r="W119">
            <v>0</v>
          </cell>
          <cell r="X119">
            <v>0</v>
          </cell>
          <cell r="Y119">
            <v>0</v>
          </cell>
          <cell r="Z119">
            <v>0</v>
          </cell>
          <cell r="AA119">
            <v>0</v>
          </cell>
          <cell r="AB119">
            <v>0</v>
          </cell>
          <cell r="AC119">
            <v>0</v>
          </cell>
          <cell r="AD119">
            <v>0</v>
          </cell>
          <cell r="AE119">
            <v>0</v>
          </cell>
          <cell r="AF119">
            <v>0</v>
          </cell>
          <cell r="AG119">
            <v>0</v>
          </cell>
          <cell r="AH119">
            <v>0</v>
          </cell>
        </row>
        <row r="120">
          <cell r="A120">
            <v>0</v>
          </cell>
          <cell r="B120" t="e">
            <v>#N/A</v>
          </cell>
          <cell r="C120">
            <v>0</v>
          </cell>
          <cell r="D120">
            <v>0</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v>
          </cell>
          <cell r="AH120">
            <v>0</v>
          </cell>
        </row>
        <row r="121">
          <cell r="A121">
            <v>0</v>
          </cell>
          <cell r="B121" t="e">
            <v>#N/A</v>
          </cell>
          <cell r="C121">
            <v>0</v>
          </cell>
          <cell r="D121">
            <v>0</v>
          </cell>
          <cell r="E121">
            <v>0</v>
          </cell>
          <cell r="F121">
            <v>0</v>
          </cell>
          <cell r="G121">
            <v>0</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row>
        <row r="122">
          <cell r="A122">
            <v>0</v>
          </cell>
          <cell r="B122" t="e">
            <v>#N/A</v>
          </cell>
          <cell r="C122">
            <v>0</v>
          </cell>
          <cell r="D122">
            <v>0</v>
          </cell>
          <cell r="E122">
            <v>0</v>
          </cell>
          <cell r="F122">
            <v>0</v>
          </cell>
          <cell r="G122">
            <v>0</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cell r="V122">
            <v>0</v>
          </cell>
          <cell r="W122">
            <v>0</v>
          </cell>
          <cell r="X122">
            <v>0</v>
          </cell>
          <cell r="Y122">
            <v>0</v>
          </cell>
          <cell r="Z122">
            <v>0</v>
          </cell>
          <cell r="AA122">
            <v>0</v>
          </cell>
          <cell r="AB122">
            <v>0</v>
          </cell>
          <cell r="AC122">
            <v>0</v>
          </cell>
          <cell r="AD122">
            <v>0</v>
          </cell>
          <cell r="AE122">
            <v>0</v>
          </cell>
          <cell r="AF122">
            <v>0</v>
          </cell>
          <cell r="AG122">
            <v>0</v>
          </cell>
          <cell r="AH122">
            <v>0</v>
          </cell>
        </row>
        <row r="123">
          <cell r="A123">
            <v>0</v>
          </cell>
          <cell r="B123" t="e">
            <v>#N/A</v>
          </cell>
          <cell r="C123">
            <v>0</v>
          </cell>
          <cell r="D123">
            <v>0</v>
          </cell>
          <cell r="E123">
            <v>0</v>
          </cell>
          <cell r="F123">
            <v>0</v>
          </cell>
          <cell r="G123">
            <v>0</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v>
          </cell>
        </row>
        <row r="124">
          <cell r="A124">
            <v>0</v>
          </cell>
          <cell r="B124" t="e">
            <v>#N/A</v>
          </cell>
          <cell r="C124">
            <v>0</v>
          </cell>
          <cell r="D124">
            <v>0</v>
          </cell>
          <cell r="E124">
            <v>0</v>
          </cell>
          <cell r="F124">
            <v>0</v>
          </cell>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v>
          </cell>
          <cell r="AH124">
            <v>0</v>
          </cell>
        </row>
        <row r="125">
          <cell r="A125">
            <v>0</v>
          </cell>
          <cell r="B125" t="e">
            <v>#N/A</v>
          </cell>
          <cell r="C125">
            <v>0</v>
          </cell>
          <cell r="D125">
            <v>0</v>
          </cell>
          <cell r="E125">
            <v>0</v>
          </cell>
          <cell r="F125">
            <v>0</v>
          </cell>
          <cell r="G125">
            <v>0</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cell r="W125">
            <v>0</v>
          </cell>
          <cell r="X125">
            <v>0</v>
          </cell>
          <cell r="Y125">
            <v>0</v>
          </cell>
          <cell r="Z125">
            <v>0</v>
          </cell>
          <cell r="AA125">
            <v>0</v>
          </cell>
          <cell r="AB125">
            <v>0</v>
          </cell>
          <cell r="AC125">
            <v>0</v>
          </cell>
          <cell r="AD125">
            <v>0</v>
          </cell>
          <cell r="AE125">
            <v>0</v>
          </cell>
          <cell r="AF125">
            <v>0</v>
          </cell>
          <cell r="AG125">
            <v>0</v>
          </cell>
          <cell r="AH125">
            <v>0</v>
          </cell>
        </row>
        <row r="126">
          <cell r="A126">
            <v>0</v>
          </cell>
          <cell r="B126" t="e">
            <v>#N/A</v>
          </cell>
          <cell r="C126">
            <v>0</v>
          </cell>
          <cell r="D126">
            <v>0</v>
          </cell>
          <cell r="E126">
            <v>0</v>
          </cell>
          <cell r="F126">
            <v>0</v>
          </cell>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v>
          </cell>
        </row>
        <row r="127">
          <cell r="A127">
            <v>0</v>
          </cell>
          <cell r="B127" t="e">
            <v>#N/A</v>
          </cell>
          <cell r="C127">
            <v>0</v>
          </cell>
          <cell r="D127">
            <v>0</v>
          </cell>
          <cell r="E127">
            <v>0</v>
          </cell>
          <cell r="F127">
            <v>0</v>
          </cell>
          <cell r="G127">
            <v>0</v>
          </cell>
          <cell r="H127">
            <v>0</v>
          </cell>
          <cell r="I127">
            <v>0</v>
          </cell>
          <cell r="J127">
            <v>0</v>
          </cell>
          <cell r="K127">
            <v>0</v>
          </cell>
          <cell r="L127">
            <v>0</v>
          </cell>
          <cell r="M127">
            <v>0</v>
          </cell>
          <cell r="N127">
            <v>0</v>
          </cell>
          <cell r="O127">
            <v>0</v>
          </cell>
          <cell r="P127">
            <v>0</v>
          </cell>
          <cell r="Q127">
            <v>0</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row>
        <row r="128">
          <cell r="A128">
            <v>0</v>
          </cell>
          <cell r="B128" t="e">
            <v>#N/A</v>
          </cell>
          <cell r="C128">
            <v>0</v>
          </cell>
          <cell r="D128">
            <v>0</v>
          </cell>
          <cell r="E128">
            <v>0</v>
          </cell>
          <cell r="F128">
            <v>0</v>
          </cell>
          <cell r="G128">
            <v>0</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cell r="W128">
            <v>0</v>
          </cell>
          <cell r="X128">
            <v>0</v>
          </cell>
          <cell r="Y128">
            <v>0</v>
          </cell>
          <cell r="Z128">
            <v>0</v>
          </cell>
          <cell r="AA128">
            <v>0</v>
          </cell>
          <cell r="AB128">
            <v>0</v>
          </cell>
          <cell r="AC128">
            <v>0</v>
          </cell>
          <cell r="AD128">
            <v>0</v>
          </cell>
          <cell r="AE128">
            <v>0</v>
          </cell>
          <cell r="AF128">
            <v>0</v>
          </cell>
          <cell r="AG128">
            <v>0</v>
          </cell>
          <cell r="AH128">
            <v>0</v>
          </cell>
        </row>
        <row r="129">
          <cell r="A129">
            <v>0</v>
          </cell>
          <cell r="B129" t="e">
            <v>#N/A</v>
          </cell>
          <cell r="C129">
            <v>0</v>
          </cell>
          <cell r="D129">
            <v>0</v>
          </cell>
          <cell r="E129">
            <v>0</v>
          </cell>
          <cell r="F129">
            <v>0</v>
          </cell>
          <cell r="G129">
            <v>0</v>
          </cell>
          <cell r="H129">
            <v>0</v>
          </cell>
          <cell r="I129">
            <v>0</v>
          </cell>
          <cell r="J129">
            <v>0</v>
          </cell>
          <cell r="K129">
            <v>0</v>
          </cell>
          <cell r="L129">
            <v>0</v>
          </cell>
          <cell r="M129">
            <v>0</v>
          </cell>
          <cell r="N129">
            <v>0</v>
          </cell>
          <cell r="O129">
            <v>0</v>
          </cell>
          <cell r="P129">
            <v>0</v>
          </cell>
          <cell r="Q129">
            <v>0</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row>
        <row r="130">
          <cell r="A130">
            <v>0</v>
          </cell>
          <cell r="B130" t="e">
            <v>#N/A</v>
          </cell>
          <cell r="C130">
            <v>0</v>
          </cell>
          <cell r="D130">
            <v>0</v>
          </cell>
          <cell r="E130">
            <v>0</v>
          </cell>
          <cell r="F130">
            <v>0</v>
          </cell>
          <cell r="G130">
            <v>0</v>
          </cell>
          <cell r="H130">
            <v>0</v>
          </cell>
          <cell r="I130">
            <v>0</v>
          </cell>
          <cell r="J130">
            <v>0</v>
          </cell>
          <cell r="K130">
            <v>0</v>
          </cell>
          <cell r="L130">
            <v>0</v>
          </cell>
          <cell r="M130">
            <v>0</v>
          </cell>
          <cell r="N130">
            <v>0</v>
          </cell>
          <cell r="O130">
            <v>0</v>
          </cell>
          <cell r="P130">
            <v>0</v>
          </cell>
          <cell r="Q130">
            <v>0</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row>
        <row r="131">
          <cell r="A131">
            <v>0</v>
          </cell>
          <cell r="B131" t="e">
            <v>#N/A</v>
          </cell>
          <cell r="C131">
            <v>0</v>
          </cell>
          <cell r="D131">
            <v>0</v>
          </cell>
          <cell r="E131">
            <v>0</v>
          </cell>
          <cell r="F131">
            <v>0</v>
          </cell>
          <cell r="G131">
            <v>0</v>
          </cell>
          <cell r="H131">
            <v>0</v>
          </cell>
          <cell r="I131">
            <v>0</v>
          </cell>
          <cell r="J131">
            <v>0</v>
          </cell>
          <cell r="K131">
            <v>0</v>
          </cell>
          <cell r="L131">
            <v>0</v>
          </cell>
          <cell r="M131">
            <v>0</v>
          </cell>
          <cell r="N131">
            <v>0</v>
          </cell>
          <cell r="O131">
            <v>0</v>
          </cell>
          <cell r="P131">
            <v>0</v>
          </cell>
          <cell r="Q131">
            <v>0</v>
          </cell>
          <cell r="R131">
            <v>0</v>
          </cell>
          <cell r="S131">
            <v>0</v>
          </cell>
          <cell r="T131">
            <v>0</v>
          </cell>
          <cell r="U131">
            <v>0</v>
          </cell>
          <cell r="V131">
            <v>0</v>
          </cell>
          <cell r="W131">
            <v>0</v>
          </cell>
          <cell r="X131">
            <v>0</v>
          </cell>
          <cell r="Y131">
            <v>0</v>
          </cell>
          <cell r="Z131">
            <v>0</v>
          </cell>
          <cell r="AA131">
            <v>0</v>
          </cell>
          <cell r="AB131">
            <v>0</v>
          </cell>
          <cell r="AC131">
            <v>0</v>
          </cell>
          <cell r="AD131">
            <v>0</v>
          </cell>
          <cell r="AE131">
            <v>0</v>
          </cell>
          <cell r="AF131">
            <v>0</v>
          </cell>
          <cell r="AG131">
            <v>0</v>
          </cell>
          <cell r="AH131">
            <v>0</v>
          </cell>
        </row>
        <row r="132">
          <cell r="A132">
            <v>0</v>
          </cell>
          <cell r="B132" t="e">
            <v>#N/A</v>
          </cell>
          <cell r="C132">
            <v>0</v>
          </cell>
          <cell r="D132">
            <v>0</v>
          </cell>
          <cell r="E132">
            <v>0</v>
          </cell>
          <cell r="F132">
            <v>0</v>
          </cell>
          <cell r="G132">
            <v>0</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row>
        <row r="133">
          <cell r="A133">
            <v>0</v>
          </cell>
          <cell r="B133" t="e">
            <v>#N/A</v>
          </cell>
          <cell r="C133">
            <v>0</v>
          </cell>
          <cell r="D133">
            <v>0</v>
          </cell>
          <cell r="E133">
            <v>0</v>
          </cell>
          <cell r="F133">
            <v>0</v>
          </cell>
          <cell r="G133">
            <v>0</v>
          </cell>
          <cell r="H133">
            <v>0</v>
          </cell>
          <cell r="I133">
            <v>0</v>
          </cell>
          <cell r="J133">
            <v>0</v>
          </cell>
          <cell r="K133">
            <v>0</v>
          </cell>
          <cell r="L133">
            <v>0</v>
          </cell>
          <cell r="M133">
            <v>0</v>
          </cell>
          <cell r="N133">
            <v>0</v>
          </cell>
          <cell r="O133">
            <v>0</v>
          </cell>
          <cell r="P133">
            <v>0</v>
          </cell>
          <cell r="Q133">
            <v>0</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row>
        <row r="134">
          <cell r="A134">
            <v>0</v>
          </cell>
          <cell r="B134" t="e">
            <v>#N/A</v>
          </cell>
          <cell r="C134">
            <v>0</v>
          </cell>
          <cell r="D134">
            <v>0</v>
          </cell>
          <cell r="E134">
            <v>0</v>
          </cell>
          <cell r="F134">
            <v>0</v>
          </cell>
          <cell r="G134">
            <v>0</v>
          </cell>
          <cell r="H134">
            <v>0</v>
          </cell>
          <cell r="I134">
            <v>0</v>
          </cell>
          <cell r="J134">
            <v>0</v>
          </cell>
          <cell r="K134">
            <v>0</v>
          </cell>
          <cell r="L134">
            <v>0</v>
          </cell>
          <cell r="M134">
            <v>0</v>
          </cell>
          <cell r="N134">
            <v>0</v>
          </cell>
          <cell r="O134">
            <v>0</v>
          </cell>
          <cell r="P134">
            <v>0</v>
          </cell>
          <cell r="Q134">
            <v>0</v>
          </cell>
          <cell r="R134">
            <v>0</v>
          </cell>
          <cell r="S134">
            <v>0</v>
          </cell>
          <cell r="T134">
            <v>0</v>
          </cell>
          <cell r="U134">
            <v>0</v>
          </cell>
          <cell r="V134">
            <v>0</v>
          </cell>
          <cell r="W134">
            <v>0</v>
          </cell>
          <cell r="X134">
            <v>0</v>
          </cell>
          <cell r="Y134">
            <v>0</v>
          </cell>
          <cell r="Z134">
            <v>0</v>
          </cell>
          <cell r="AA134">
            <v>0</v>
          </cell>
          <cell r="AB134">
            <v>0</v>
          </cell>
          <cell r="AC134">
            <v>0</v>
          </cell>
          <cell r="AD134">
            <v>0</v>
          </cell>
          <cell r="AE134">
            <v>0</v>
          </cell>
          <cell r="AF134">
            <v>0</v>
          </cell>
          <cell r="AG134">
            <v>0</v>
          </cell>
          <cell r="AH134">
            <v>0</v>
          </cell>
        </row>
        <row r="135">
          <cell r="A135">
            <v>0</v>
          </cell>
          <cell r="B135" t="e">
            <v>#N/A</v>
          </cell>
          <cell r="C135">
            <v>0</v>
          </cell>
          <cell r="D135">
            <v>0</v>
          </cell>
          <cell r="E135">
            <v>0</v>
          </cell>
          <cell r="F135">
            <v>0</v>
          </cell>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v>
          </cell>
        </row>
        <row r="136">
          <cell r="A136">
            <v>0</v>
          </cell>
          <cell r="B136" t="e">
            <v>#N/A</v>
          </cell>
          <cell r="C136">
            <v>0</v>
          </cell>
          <cell r="D136">
            <v>0</v>
          </cell>
          <cell r="E136">
            <v>0</v>
          </cell>
          <cell r="F136">
            <v>0</v>
          </cell>
          <cell r="G136">
            <v>0</v>
          </cell>
          <cell r="H136">
            <v>0</v>
          </cell>
          <cell r="I136">
            <v>0</v>
          </cell>
          <cell r="J136">
            <v>0</v>
          </cell>
          <cell r="K136">
            <v>0</v>
          </cell>
          <cell r="L136">
            <v>0</v>
          </cell>
          <cell r="M136">
            <v>0</v>
          </cell>
          <cell r="N136">
            <v>0</v>
          </cell>
          <cell r="O136">
            <v>0</v>
          </cell>
          <cell r="P136">
            <v>0</v>
          </cell>
          <cell r="Q136">
            <v>0</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row>
        <row r="137">
          <cell r="A137">
            <v>0</v>
          </cell>
          <cell r="B137" t="e">
            <v>#N/A</v>
          </cell>
          <cell r="C137">
            <v>0</v>
          </cell>
          <cell r="D137">
            <v>0</v>
          </cell>
          <cell r="E137">
            <v>0</v>
          </cell>
          <cell r="F137">
            <v>0</v>
          </cell>
          <cell r="G137">
            <v>0</v>
          </cell>
          <cell r="H137">
            <v>0</v>
          </cell>
          <cell r="I137">
            <v>0</v>
          </cell>
          <cell r="J137">
            <v>0</v>
          </cell>
          <cell r="K137">
            <v>0</v>
          </cell>
          <cell r="L137">
            <v>0</v>
          </cell>
          <cell r="M137">
            <v>0</v>
          </cell>
          <cell r="N137">
            <v>0</v>
          </cell>
          <cell r="O137">
            <v>0</v>
          </cell>
          <cell r="P137">
            <v>0</v>
          </cell>
          <cell r="Q137">
            <v>0</v>
          </cell>
          <cell r="R137">
            <v>0</v>
          </cell>
          <cell r="S137">
            <v>0</v>
          </cell>
          <cell r="T137">
            <v>0</v>
          </cell>
          <cell r="U137">
            <v>0</v>
          </cell>
          <cell r="V137">
            <v>0</v>
          </cell>
          <cell r="W137">
            <v>0</v>
          </cell>
          <cell r="X137">
            <v>0</v>
          </cell>
          <cell r="Y137">
            <v>0</v>
          </cell>
          <cell r="Z137">
            <v>0</v>
          </cell>
          <cell r="AA137">
            <v>0</v>
          </cell>
          <cell r="AB137">
            <v>0</v>
          </cell>
          <cell r="AC137">
            <v>0</v>
          </cell>
          <cell r="AD137">
            <v>0</v>
          </cell>
          <cell r="AE137">
            <v>0</v>
          </cell>
          <cell r="AF137">
            <v>0</v>
          </cell>
          <cell r="AG137">
            <v>0</v>
          </cell>
          <cell r="AH137">
            <v>0</v>
          </cell>
        </row>
        <row r="138">
          <cell r="A138">
            <v>0</v>
          </cell>
          <cell r="B138" t="e">
            <v>#N/A</v>
          </cell>
          <cell r="C138">
            <v>0</v>
          </cell>
          <cell r="D138">
            <v>0</v>
          </cell>
          <cell r="E138">
            <v>0</v>
          </cell>
          <cell r="F138">
            <v>0</v>
          </cell>
          <cell r="G138">
            <v>0</v>
          </cell>
          <cell r="H138">
            <v>0</v>
          </cell>
          <cell r="I138">
            <v>0</v>
          </cell>
          <cell r="J138">
            <v>0</v>
          </cell>
          <cell r="K138">
            <v>0</v>
          </cell>
          <cell r="L138">
            <v>0</v>
          </cell>
          <cell r="M138">
            <v>0</v>
          </cell>
          <cell r="N138">
            <v>0</v>
          </cell>
          <cell r="O138">
            <v>0</v>
          </cell>
          <cell r="P138">
            <v>0</v>
          </cell>
          <cell r="Q138">
            <v>0</v>
          </cell>
          <cell r="R138">
            <v>0</v>
          </cell>
          <cell r="S138">
            <v>0</v>
          </cell>
          <cell r="T138">
            <v>0</v>
          </cell>
          <cell r="U138">
            <v>0</v>
          </cell>
          <cell r="V138">
            <v>0</v>
          </cell>
          <cell r="W138">
            <v>0</v>
          </cell>
          <cell r="X138">
            <v>0</v>
          </cell>
          <cell r="Y138">
            <v>0</v>
          </cell>
          <cell r="Z138">
            <v>0</v>
          </cell>
          <cell r="AA138">
            <v>0</v>
          </cell>
          <cell r="AB138">
            <v>0</v>
          </cell>
          <cell r="AC138">
            <v>0</v>
          </cell>
          <cell r="AD138">
            <v>0</v>
          </cell>
          <cell r="AE138">
            <v>0</v>
          </cell>
          <cell r="AF138">
            <v>0</v>
          </cell>
          <cell r="AG138">
            <v>0</v>
          </cell>
          <cell r="AH138">
            <v>0</v>
          </cell>
        </row>
        <row r="139">
          <cell r="A139">
            <v>0</v>
          </cell>
          <cell r="B139" t="e">
            <v>#N/A</v>
          </cell>
          <cell r="C139">
            <v>0</v>
          </cell>
          <cell r="D139">
            <v>0</v>
          </cell>
          <cell r="E139">
            <v>0</v>
          </cell>
          <cell r="F139">
            <v>0</v>
          </cell>
          <cell r="G139">
            <v>0</v>
          </cell>
          <cell r="H139">
            <v>0</v>
          </cell>
          <cell r="I139">
            <v>0</v>
          </cell>
          <cell r="J139">
            <v>0</v>
          </cell>
          <cell r="K139">
            <v>0</v>
          </cell>
          <cell r="L139">
            <v>0</v>
          </cell>
          <cell r="M139">
            <v>0</v>
          </cell>
          <cell r="N139">
            <v>0</v>
          </cell>
          <cell r="O139">
            <v>0</v>
          </cell>
          <cell r="P139">
            <v>0</v>
          </cell>
          <cell r="Q139">
            <v>0</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row>
        <row r="140">
          <cell r="A140">
            <v>0</v>
          </cell>
          <cell r="B140" t="e">
            <v>#N/A</v>
          </cell>
          <cell r="C140">
            <v>0</v>
          </cell>
          <cell r="D140">
            <v>0</v>
          </cell>
          <cell r="E140">
            <v>0</v>
          </cell>
          <cell r="F140">
            <v>0</v>
          </cell>
          <cell r="G140">
            <v>0</v>
          </cell>
          <cell r="H140">
            <v>0</v>
          </cell>
          <cell r="I140">
            <v>0</v>
          </cell>
          <cell r="J140">
            <v>0</v>
          </cell>
          <cell r="K140">
            <v>0</v>
          </cell>
          <cell r="L140">
            <v>0</v>
          </cell>
          <cell r="M140">
            <v>0</v>
          </cell>
          <cell r="N140">
            <v>0</v>
          </cell>
          <cell r="O140">
            <v>0</v>
          </cell>
          <cell r="P140">
            <v>0</v>
          </cell>
          <cell r="Q140">
            <v>0</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row>
      </sheetData>
      <sheetData sheetId="2" refreshError="1"/>
      <sheetData sheetId="3"/>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hyperlink" Target="http://forum.excel-pratique.com/excel/exporter-donnees-d-une-feuille-a-une-autre-t72889.html" TargetMode="External"/><Relationship Id="rId5" Type="http://schemas.openxmlformats.org/officeDocument/2006/relationships/comments" Target="../comments2.xml"/><Relationship Id="rId4"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EK134"/>
  <sheetViews>
    <sheetView zoomScale="85" zoomScaleNormal="85" workbookViewId="0">
      <pane xSplit="1" ySplit="6" topLeftCell="B7" activePane="bottomRight" state="frozen"/>
      <selection activeCell="Y42" sqref="Y42"/>
      <selection pane="topRight" activeCell="Y42" sqref="Y42"/>
      <selection pane="bottomLeft" activeCell="Y42" sqref="Y42"/>
      <selection pane="bottomRight" sqref="A1:XFD1"/>
    </sheetView>
  </sheetViews>
  <sheetFormatPr baseColWidth="10" defaultRowHeight="15"/>
  <cols>
    <col min="1" max="1" width="14.28515625" customWidth="1"/>
    <col min="2" max="2" width="20.140625" customWidth="1"/>
    <col min="3" max="3" width="24.5703125" bestFit="1" customWidth="1"/>
    <col min="4" max="4" width="14.28515625" style="75" customWidth="1"/>
    <col min="5" max="12" width="12.7109375" customWidth="1"/>
    <col min="13" max="13" width="11.42578125" customWidth="1"/>
    <col min="14" max="14" width="24.7109375" style="87" bestFit="1" customWidth="1"/>
    <col min="15" max="30" width="11.42578125" customWidth="1"/>
    <col min="31" max="31" width="15.140625" customWidth="1"/>
    <col min="32" max="32" width="13.85546875" customWidth="1"/>
    <col min="33" max="33" width="15.42578125" customWidth="1"/>
    <col min="34" max="34" width="13.85546875" customWidth="1"/>
    <col min="35" max="35" width="14.5703125" customWidth="1"/>
    <col min="36" max="36" width="15" customWidth="1"/>
    <col min="37" max="37" width="12.42578125" customWidth="1"/>
    <col min="38" max="38" width="13.140625" customWidth="1"/>
    <col min="39" max="39" width="12.5703125" customWidth="1"/>
    <col min="40" max="42" width="14.42578125" customWidth="1"/>
    <col min="43" max="43" width="14.85546875" customWidth="1"/>
    <col min="44" max="44" width="15" customWidth="1"/>
    <col min="45" max="45" width="14.140625" customWidth="1"/>
    <col min="46" max="52" width="13" customWidth="1"/>
    <col min="53" max="53" width="15.85546875" customWidth="1"/>
    <col min="54" max="54" width="35.85546875" hidden="1" customWidth="1"/>
    <col min="55" max="55" width="9.42578125" hidden="1" customWidth="1"/>
    <col min="56" max="56" width="14.140625" customWidth="1"/>
    <col min="57" max="59" width="11.42578125" customWidth="1"/>
    <col min="60" max="60" width="12.28515625" customWidth="1"/>
    <col min="61" max="61" width="21.140625" customWidth="1"/>
    <col min="62" max="62" width="16.7109375" customWidth="1"/>
    <col min="63" max="63" width="19" customWidth="1"/>
    <col min="64" max="64" width="15" customWidth="1"/>
    <col min="65" max="65" width="17.140625" customWidth="1"/>
    <col min="66" max="66" width="14" customWidth="1"/>
    <col min="67" max="67" width="20.85546875" customWidth="1"/>
    <col min="68" max="68" width="15.7109375" customWidth="1"/>
    <col min="69" max="69" width="18.140625" customWidth="1"/>
    <col min="70" max="70" width="17.140625" customWidth="1"/>
    <col min="71" max="71" width="11.42578125" customWidth="1"/>
    <col min="72" max="72" width="16" customWidth="1"/>
    <col min="73" max="74" width="16.140625" customWidth="1"/>
    <col min="75" max="75" width="14.5703125" customWidth="1"/>
    <col min="76" max="76" width="38.140625" customWidth="1"/>
    <col min="77" max="77" width="13" customWidth="1"/>
    <col min="79" max="79" width="12.5703125" customWidth="1"/>
    <col min="81" max="81" width="12.140625" customWidth="1"/>
    <col min="82" max="82" width="15.7109375" customWidth="1"/>
    <col min="83" max="83" width="12.5703125" customWidth="1"/>
    <col min="84" max="84" width="14.28515625" customWidth="1"/>
    <col min="85" max="85" width="13.85546875" customWidth="1"/>
    <col min="86" max="89" width="14.42578125" customWidth="1"/>
    <col min="91" max="91" width="13.28515625" customWidth="1"/>
    <col min="92" max="92" width="14.5703125" customWidth="1"/>
    <col min="93" max="93" width="14.85546875" customWidth="1"/>
    <col min="94" max="94" width="33.140625" customWidth="1"/>
    <col min="95" max="95" width="13.28515625" customWidth="1"/>
    <col min="96" max="96" width="14" customWidth="1"/>
    <col min="97" max="97" width="13.42578125" customWidth="1"/>
    <col min="98" max="98" width="22.42578125" customWidth="1"/>
    <col min="99" max="99" width="12.85546875" customWidth="1"/>
    <col min="100" max="100" width="13.7109375" customWidth="1"/>
    <col min="101" max="101" width="14.140625" customWidth="1"/>
    <col min="103" max="103" width="14.85546875" customWidth="1"/>
    <col min="104" max="104" width="25.140625" customWidth="1"/>
    <col min="105" max="105" width="20.140625" customWidth="1"/>
    <col min="106" max="106" width="34.5703125" customWidth="1"/>
    <col min="107" max="107" width="28" customWidth="1"/>
    <col min="108" max="108" width="42.5703125" customWidth="1"/>
    <col min="109" max="109" width="13.28515625" customWidth="1"/>
    <col min="110" max="110" width="38.140625" customWidth="1"/>
    <col min="111" max="111" width="14.140625" customWidth="1"/>
    <col min="112" max="112" width="19" customWidth="1"/>
    <col min="113" max="113" width="13.7109375" customWidth="1"/>
    <col min="114" max="114" width="17.140625" customWidth="1"/>
    <col min="115" max="115" width="12.85546875" customWidth="1"/>
    <col min="116" max="116" width="34.42578125" customWidth="1"/>
    <col min="117" max="117" width="25.5703125" customWidth="1"/>
    <col min="118" max="118" width="17.140625" customWidth="1"/>
    <col min="119" max="119" width="26.5703125" customWidth="1"/>
    <col min="123" max="123" width="14.140625" customWidth="1"/>
    <col min="124" max="124" width="16.5703125" customWidth="1"/>
    <col min="140" max="140" width="23.140625" customWidth="1"/>
  </cols>
  <sheetData>
    <row r="1" spans="1:120" ht="61.5">
      <c r="A1" s="22" t="s">
        <v>11</v>
      </c>
      <c r="B1" s="22"/>
      <c r="C1" s="22"/>
      <c r="D1" s="80"/>
      <c r="E1" s="22"/>
      <c r="F1" s="22"/>
      <c r="G1" s="22"/>
      <c r="H1" s="22"/>
      <c r="I1" s="22"/>
      <c r="J1" s="22"/>
      <c r="K1" s="22"/>
      <c r="L1" s="22"/>
      <c r="M1" s="22"/>
      <c r="N1" s="80"/>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H1" s="19" t="s">
        <v>106</v>
      </c>
      <c r="BI1" s="19"/>
      <c r="BJ1" s="19"/>
      <c r="BK1" s="19"/>
      <c r="BL1" s="19"/>
      <c r="BM1" s="19"/>
      <c r="BN1" s="19"/>
      <c r="BO1" s="19"/>
      <c r="BP1" s="19"/>
      <c r="BQ1" s="19"/>
      <c r="BR1" s="19"/>
      <c r="BS1" s="19"/>
      <c r="BT1" s="19"/>
      <c r="BU1" s="19"/>
      <c r="BV1" s="19"/>
      <c r="BW1" s="19"/>
      <c r="BX1" s="19"/>
      <c r="BY1" s="19"/>
      <c r="CA1" s="19"/>
      <c r="CB1" s="19"/>
      <c r="CC1" s="19"/>
      <c r="CD1" s="19"/>
      <c r="CE1" s="19"/>
      <c r="CF1" s="19"/>
      <c r="CG1" s="19"/>
      <c r="CH1" s="19" t="s">
        <v>275</v>
      </c>
      <c r="CI1" s="19"/>
      <c r="CJ1" s="19"/>
      <c r="CK1" s="19"/>
      <c r="CL1" s="19"/>
      <c r="CM1" s="19"/>
      <c r="CN1" s="19"/>
      <c r="CO1" s="19"/>
      <c r="CP1" s="19"/>
      <c r="CQ1" s="19"/>
      <c r="CR1" s="19"/>
      <c r="CS1" s="19"/>
      <c r="DH1" s="19" t="s">
        <v>276</v>
      </c>
      <c r="DI1" s="19"/>
      <c r="DJ1" s="19"/>
      <c r="DK1" s="19"/>
      <c r="DL1" s="19"/>
      <c r="DM1" s="19"/>
      <c r="DN1" s="19"/>
      <c r="DO1" s="19"/>
      <c r="DP1" s="19"/>
    </row>
    <row r="2" spans="1:120" s="2" customFormat="1" ht="0.75" customHeight="1" thickBot="1">
      <c r="A2" s="1"/>
      <c r="B2" s="1"/>
      <c r="C2" s="1"/>
      <c r="D2" s="1"/>
      <c r="E2" s="1"/>
      <c r="F2" s="3" t="s">
        <v>17</v>
      </c>
      <c r="G2" s="4">
        <v>41887</v>
      </c>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row>
    <row r="3" spans="1:120" ht="15" customHeight="1">
      <c r="A3" s="263" t="s">
        <v>27</v>
      </c>
      <c r="B3" s="264"/>
      <c r="C3" s="264"/>
      <c r="D3" s="264"/>
      <c r="E3" s="264"/>
      <c r="F3" s="265"/>
      <c r="G3" s="265"/>
      <c r="H3" s="265"/>
      <c r="I3" s="265"/>
      <c r="J3" s="265"/>
      <c r="K3" s="265"/>
      <c r="L3" s="265"/>
      <c r="M3" s="266"/>
      <c r="N3" s="5" t="s">
        <v>28</v>
      </c>
      <c r="O3" s="205" t="s">
        <v>125</v>
      </c>
      <c r="P3" s="206"/>
      <c r="Q3" s="206"/>
      <c r="R3" s="206"/>
      <c r="S3" s="206"/>
      <c r="T3" s="206"/>
      <c r="U3" s="206"/>
      <c r="V3" s="206"/>
      <c r="W3" s="206"/>
      <c r="X3" s="206"/>
      <c r="Y3" s="206"/>
      <c r="Z3" s="206"/>
      <c r="AA3" s="206"/>
      <c r="AB3" s="206"/>
      <c r="AC3" s="206"/>
      <c r="AD3" s="273"/>
      <c r="AE3" s="205" t="s">
        <v>287</v>
      </c>
      <c r="AF3" s="206"/>
      <c r="AG3" s="206"/>
      <c r="AH3" s="206"/>
      <c r="AI3" s="206"/>
      <c r="AJ3" s="206"/>
      <c r="AK3" s="206"/>
      <c r="AL3" s="206"/>
      <c r="AM3" s="206"/>
      <c r="AN3" s="206"/>
      <c r="AO3" s="206"/>
      <c r="AP3" s="206"/>
      <c r="AQ3" s="206"/>
      <c r="AR3" s="206"/>
      <c r="AS3" s="206"/>
      <c r="AT3" s="206"/>
      <c r="AU3" s="206"/>
      <c r="AV3" s="206"/>
      <c r="AW3" s="206"/>
      <c r="AX3" s="206"/>
      <c r="AY3" s="206"/>
      <c r="AZ3" s="206"/>
      <c r="BA3" s="206"/>
      <c r="BB3" s="206"/>
      <c r="BC3" s="206"/>
      <c r="BD3" s="206"/>
      <c r="BE3" s="135" t="s">
        <v>126</v>
      </c>
      <c r="BF3" s="267" t="s">
        <v>136</v>
      </c>
      <c r="BG3" s="268"/>
      <c r="BH3" s="196" t="s">
        <v>29</v>
      </c>
      <c r="BI3" s="197"/>
      <c r="BJ3" s="197"/>
      <c r="BK3" s="197"/>
      <c r="BL3" s="197"/>
      <c r="BM3" s="197"/>
      <c r="BN3" s="197"/>
      <c r="BO3" s="197"/>
      <c r="BP3" s="197"/>
      <c r="BQ3" s="197"/>
      <c r="BR3" s="197"/>
      <c r="BS3" s="197"/>
      <c r="BT3" s="197"/>
      <c r="BU3" s="197"/>
      <c r="BV3" s="198"/>
      <c r="BW3" s="242" t="s">
        <v>99</v>
      </c>
      <c r="BX3" s="209" t="s">
        <v>12</v>
      </c>
      <c r="BY3" s="193" t="s">
        <v>183</v>
      </c>
      <c r="BZ3" s="194"/>
      <c r="CA3" s="194"/>
      <c r="CB3" s="194"/>
      <c r="CC3" s="194"/>
      <c r="CD3" s="194"/>
      <c r="CE3" s="194"/>
      <c r="CF3" s="194"/>
      <c r="CG3" s="194"/>
      <c r="CH3" s="194"/>
      <c r="CI3" s="194"/>
      <c r="CJ3" s="194"/>
      <c r="CK3" s="194"/>
      <c r="CL3" s="194"/>
      <c r="CM3" s="194"/>
      <c r="CN3" s="195"/>
      <c r="CO3" s="230" t="s">
        <v>107</v>
      </c>
      <c r="CP3" s="197"/>
      <c r="CQ3" s="197"/>
      <c r="CR3" s="197"/>
      <c r="CS3" s="197"/>
      <c r="CT3" s="197"/>
      <c r="CU3" s="245" t="s">
        <v>174</v>
      </c>
      <c r="CV3" s="246"/>
      <c r="CW3" s="246"/>
      <c r="CX3" s="246"/>
      <c r="CY3" s="246"/>
      <c r="CZ3" s="247"/>
      <c r="DA3" s="248" t="s">
        <v>178</v>
      </c>
      <c r="DB3" s="249"/>
      <c r="DC3" s="250"/>
      <c r="DD3" s="209" t="s">
        <v>114</v>
      </c>
      <c r="DE3" s="230" t="s">
        <v>107</v>
      </c>
      <c r="DF3" s="197"/>
      <c r="DG3" s="197"/>
      <c r="DH3" s="231"/>
      <c r="DI3" s="17"/>
      <c r="DJ3" s="17"/>
      <c r="DK3" s="17"/>
      <c r="DL3" s="17"/>
      <c r="DM3" s="17"/>
      <c r="DN3" s="17"/>
      <c r="DO3" s="209" t="s">
        <v>114</v>
      </c>
    </row>
    <row r="4" spans="1:120" ht="15" customHeight="1">
      <c r="A4" s="269" t="s">
        <v>272</v>
      </c>
      <c r="B4" s="236" t="s">
        <v>212</v>
      </c>
      <c r="C4" s="236" t="s">
        <v>215</v>
      </c>
      <c r="D4" s="239" t="s">
        <v>239</v>
      </c>
      <c r="E4" s="271" t="s">
        <v>39</v>
      </c>
      <c r="F4" s="271" t="s">
        <v>2</v>
      </c>
      <c r="G4" s="271" t="s">
        <v>1</v>
      </c>
      <c r="H4" s="271" t="s">
        <v>115</v>
      </c>
      <c r="I4" s="271" t="s">
        <v>273</v>
      </c>
      <c r="J4" s="236" t="s">
        <v>40</v>
      </c>
      <c r="K4" s="239" t="s">
        <v>274</v>
      </c>
      <c r="L4" s="239" t="s">
        <v>236</v>
      </c>
      <c r="M4" s="256" t="s">
        <v>251</v>
      </c>
      <c r="N4" s="282" t="s">
        <v>30</v>
      </c>
      <c r="O4" s="274" t="s">
        <v>133</v>
      </c>
      <c r="P4" s="275"/>
      <c r="Q4" s="275" t="s">
        <v>92</v>
      </c>
      <c r="R4" s="275"/>
      <c r="S4" s="275" t="s">
        <v>93</v>
      </c>
      <c r="T4" s="275"/>
      <c r="U4" s="275" t="s">
        <v>134</v>
      </c>
      <c r="V4" s="275"/>
      <c r="W4" s="275" t="s">
        <v>135</v>
      </c>
      <c r="X4" s="275"/>
      <c r="Y4" s="177" t="s">
        <v>284</v>
      </c>
      <c r="Z4" s="181"/>
      <c r="AA4" s="178"/>
      <c r="AB4" s="177" t="s">
        <v>284</v>
      </c>
      <c r="AC4" s="181"/>
      <c r="AD4" s="182"/>
      <c r="AE4" s="185" t="s">
        <v>133</v>
      </c>
      <c r="AF4" s="178"/>
      <c r="AG4" s="177" t="s">
        <v>288</v>
      </c>
      <c r="AH4" s="178"/>
      <c r="AI4" s="177" t="s">
        <v>289</v>
      </c>
      <c r="AJ4" s="178"/>
      <c r="AK4" s="177" t="s">
        <v>290</v>
      </c>
      <c r="AL4" s="178"/>
      <c r="AM4" s="177" t="s">
        <v>135</v>
      </c>
      <c r="AN4" s="181"/>
      <c r="AO4" s="177" t="s">
        <v>291</v>
      </c>
      <c r="AP4" s="178"/>
      <c r="AQ4" s="177" t="s">
        <v>292</v>
      </c>
      <c r="AR4" s="181"/>
      <c r="AS4" s="182"/>
      <c r="AT4" s="185" t="s">
        <v>292</v>
      </c>
      <c r="AU4" s="181"/>
      <c r="AV4" s="182"/>
      <c r="AW4" s="185" t="s">
        <v>292</v>
      </c>
      <c r="AX4" s="181"/>
      <c r="AY4" s="182"/>
      <c r="AZ4" s="185" t="s">
        <v>292</v>
      </c>
      <c r="BA4" s="181"/>
      <c r="BB4" s="181"/>
      <c r="BC4" s="181"/>
      <c r="BD4" s="182"/>
      <c r="BE4" s="115"/>
      <c r="BF4" s="259"/>
      <c r="BG4" s="260"/>
      <c r="BH4" s="199" t="s">
        <v>5</v>
      </c>
      <c r="BI4" s="200"/>
      <c r="BJ4" s="200"/>
      <c r="BK4" s="201"/>
      <c r="BL4" s="276" t="s">
        <v>6</v>
      </c>
      <c r="BM4" s="277"/>
      <c r="BN4" s="277"/>
      <c r="BO4" s="277"/>
      <c r="BP4" s="277"/>
      <c r="BQ4" s="214" t="s">
        <v>90</v>
      </c>
      <c r="BR4" s="200"/>
      <c r="BS4" s="201"/>
      <c r="BT4" s="214" t="s">
        <v>7</v>
      </c>
      <c r="BU4" s="200"/>
      <c r="BV4" s="201"/>
      <c r="BW4" s="243"/>
      <c r="BX4" s="210"/>
      <c r="BY4" s="251" t="s">
        <v>142</v>
      </c>
      <c r="BZ4" s="189"/>
      <c r="CA4" s="187" t="s">
        <v>143</v>
      </c>
      <c r="CB4" s="189"/>
      <c r="CC4" s="187" t="s">
        <v>146</v>
      </c>
      <c r="CD4" s="189"/>
      <c r="CE4" s="187" t="s">
        <v>144</v>
      </c>
      <c r="CF4" s="189"/>
      <c r="CG4" s="187" t="s">
        <v>145</v>
      </c>
      <c r="CH4" s="189"/>
      <c r="CI4" s="187" t="s">
        <v>285</v>
      </c>
      <c r="CJ4" s="188"/>
      <c r="CK4" s="189"/>
      <c r="CL4" s="187" t="s">
        <v>285</v>
      </c>
      <c r="CM4" s="188"/>
      <c r="CN4" s="253"/>
      <c r="CO4" s="200" t="s">
        <v>110</v>
      </c>
      <c r="CP4" s="200"/>
      <c r="CQ4" s="214" t="s">
        <v>111</v>
      </c>
      <c r="CR4" s="201"/>
      <c r="CS4" s="232" t="s">
        <v>175</v>
      </c>
      <c r="CT4" s="233"/>
      <c r="CU4" s="234" t="s">
        <v>173</v>
      </c>
      <c r="CV4" s="219"/>
      <c r="CW4" s="218" t="s">
        <v>109</v>
      </c>
      <c r="CX4" s="219"/>
      <c r="CY4" s="218" t="s">
        <v>113</v>
      </c>
      <c r="CZ4" s="222"/>
      <c r="DA4" s="224" t="s">
        <v>179</v>
      </c>
      <c r="DB4" s="226" t="s">
        <v>180</v>
      </c>
      <c r="DC4" s="228" t="s">
        <v>181</v>
      </c>
      <c r="DD4" s="210"/>
      <c r="DE4" s="199" t="s">
        <v>110</v>
      </c>
      <c r="DF4" s="201"/>
      <c r="DG4" s="214" t="s">
        <v>111</v>
      </c>
      <c r="DH4" s="201"/>
      <c r="DI4" s="214" t="s">
        <v>109</v>
      </c>
      <c r="DJ4" s="201"/>
      <c r="DK4" s="214" t="s">
        <v>112</v>
      </c>
      <c r="DL4" s="201"/>
      <c r="DM4" s="214" t="s">
        <v>113</v>
      </c>
      <c r="DN4" s="216"/>
      <c r="DO4" s="210"/>
    </row>
    <row r="5" spans="1:120" ht="30" customHeight="1">
      <c r="A5" s="269"/>
      <c r="B5" s="237"/>
      <c r="C5" s="237"/>
      <c r="D5" s="237"/>
      <c r="E5" s="271"/>
      <c r="F5" s="271"/>
      <c r="G5" s="271"/>
      <c r="H5" s="271"/>
      <c r="I5" s="271"/>
      <c r="J5" s="237"/>
      <c r="K5" s="240"/>
      <c r="L5" s="240"/>
      <c r="M5" s="257"/>
      <c r="N5" s="282"/>
      <c r="O5" s="274"/>
      <c r="P5" s="275"/>
      <c r="Q5" s="275"/>
      <c r="R5" s="275"/>
      <c r="S5" s="275"/>
      <c r="T5" s="275"/>
      <c r="U5" s="275"/>
      <c r="V5" s="275"/>
      <c r="W5" s="275"/>
      <c r="X5" s="275"/>
      <c r="Y5" s="179"/>
      <c r="Z5" s="183"/>
      <c r="AA5" s="180"/>
      <c r="AB5" s="179"/>
      <c r="AC5" s="183"/>
      <c r="AD5" s="184"/>
      <c r="AE5" s="207"/>
      <c r="AF5" s="208"/>
      <c r="AG5" s="179"/>
      <c r="AH5" s="180"/>
      <c r="AI5" s="179"/>
      <c r="AJ5" s="180"/>
      <c r="AK5" s="179"/>
      <c r="AL5" s="180"/>
      <c r="AM5" s="179"/>
      <c r="AN5" s="183"/>
      <c r="AO5" s="179"/>
      <c r="AP5" s="180"/>
      <c r="AQ5" s="179"/>
      <c r="AR5" s="183"/>
      <c r="AS5" s="184"/>
      <c r="AT5" s="186"/>
      <c r="AU5" s="183"/>
      <c r="AV5" s="184"/>
      <c r="AW5" s="186"/>
      <c r="AX5" s="183"/>
      <c r="AY5" s="184"/>
      <c r="AZ5" s="186"/>
      <c r="BA5" s="183"/>
      <c r="BB5" s="183"/>
      <c r="BC5" s="183"/>
      <c r="BD5" s="184"/>
      <c r="BE5" s="134"/>
      <c r="BF5" s="261"/>
      <c r="BG5" s="262"/>
      <c r="BH5" s="202"/>
      <c r="BI5" s="203"/>
      <c r="BJ5" s="203"/>
      <c r="BK5" s="204"/>
      <c r="BL5" s="279" t="s">
        <v>9</v>
      </c>
      <c r="BM5" s="280"/>
      <c r="BN5" s="281"/>
      <c r="BO5" s="279" t="s">
        <v>10</v>
      </c>
      <c r="BP5" s="281"/>
      <c r="BQ5" s="278"/>
      <c r="BR5" s="203"/>
      <c r="BS5" s="204"/>
      <c r="BT5" s="278"/>
      <c r="BU5" s="203"/>
      <c r="BV5" s="204"/>
      <c r="BW5" s="243"/>
      <c r="BX5" s="210"/>
      <c r="BY5" s="252"/>
      <c r="BZ5" s="192"/>
      <c r="CA5" s="190"/>
      <c r="CB5" s="192"/>
      <c r="CC5" s="190"/>
      <c r="CD5" s="192"/>
      <c r="CE5" s="190"/>
      <c r="CF5" s="192"/>
      <c r="CG5" s="190"/>
      <c r="CH5" s="192"/>
      <c r="CI5" s="190"/>
      <c r="CJ5" s="191"/>
      <c r="CK5" s="192"/>
      <c r="CL5" s="190"/>
      <c r="CM5" s="191"/>
      <c r="CN5" s="254"/>
      <c r="CO5" s="255"/>
      <c r="CP5" s="255"/>
      <c r="CQ5" s="215"/>
      <c r="CR5" s="213"/>
      <c r="CS5" s="89" t="s">
        <v>176</v>
      </c>
      <c r="CT5" s="90" t="s">
        <v>177</v>
      </c>
      <c r="CU5" s="235"/>
      <c r="CV5" s="221"/>
      <c r="CW5" s="220"/>
      <c r="CX5" s="221"/>
      <c r="CY5" s="220"/>
      <c r="CZ5" s="223"/>
      <c r="DA5" s="225"/>
      <c r="DB5" s="227"/>
      <c r="DC5" s="229"/>
      <c r="DD5" s="210"/>
      <c r="DE5" s="212"/>
      <c r="DF5" s="213"/>
      <c r="DG5" s="215"/>
      <c r="DH5" s="213"/>
      <c r="DI5" s="215"/>
      <c r="DJ5" s="213"/>
      <c r="DK5" s="215"/>
      <c r="DL5" s="213"/>
      <c r="DM5" s="215"/>
      <c r="DN5" s="217"/>
      <c r="DO5" s="210"/>
    </row>
    <row r="6" spans="1:120" ht="63.75" thickBot="1">
      <c r="A6" s="270"/>
      <c r="B6" s="238"/>
      <c r="C6" s="238"/>
      <c r="D6" s="238"/>
      <c r="E6" s="272"/>
      <c r="F6" s="272"/>
      <c r="G6" s="272"/>
      <c r="H6" s="272"/>
      <c r="I6" s="272"/>
      <c r="J6" s="238"/>
      <c r="K6" s="241"/>
      <c r="L6" s="241"/>
      <c r="M6" s="258"/>
      <c r="N6" s="283"/>
      <c r="O6" s="21" t="s">
        <v>137</v>
      </c>
      <c r="P6" s="27" t="s">
        <v>195</v>
      </c>
      <c r="Q6" s="27" t="s">
        <v>137</v>
      </c>
      <c r="R6" s="27" t="s">
        <v>195</v>
      </c>
      <c r="S6" s="27" t="s">
        <v>137</v>
      </c>
      <c r="T6" s="27" t="s">
        <v>195</v>
      </c>
      <c r="U6" s="27" t="s">
        <v>137</v>
      </c>
      <c r="V6" s="27" t="s">
        <v>195</v>
      </c>
      <c r="W6" s="27" t="s">
        <v>137</v>
      </c>
      <c r="X6" s="27" t="s">
        <v>195</v>
      </c>
      <c r="Y6" s="27" t="s">
        <v>141</v>
      </c>
      <c r="Z6" s="27" t="s">
        <v>137</v>
      </c>
      <c r="AA6" s="27" t="s">
        <v>185</v>
      </c>
      <c r="AB6" s="27" t="s">
        <v>141</v>
      </c>
      <c r="AC6" s="27" t="s">
        <v>137</v>
      </c>
      <c r="AD6" s="144" t="s">
        <v>195</v>
      </c>
      <c r="AE6" s="114" t="s">
        <v>137</v>
      </c>
      <c r="AF6" s="136" t="s">
        <v>286</v>
      </c>
      <c r="AG6" s="136" t="s">
        <v>137</v>
      </c>
      <c r="AH6" s="136" t="s">
        <v>286</v>
      </c>
      <c r="AI6" s="136" t="s">
        <v>137</v>
      </c>
      <c r="AJ6" s="136" t="s">
        <v>286</v>
      </c>
      <c r="AK6" s="136" t="s">
        <v>137</v>
      </c>
      <c r="AL6" s="136" t="s">
        <v>286</v>
      </c>
      <c r="AM6" s="27" t="s">
        <v>137</v>
      </c>
      <c r="AN6" s="136" t="s">
        <v>286</v>
      </c>
      <c r="AO6" s="136" t="s">
        <v>137</v>
      </c>
      <c r="AP6" s="27" t="s">
        <v>286</v>
      </c>
      <c r="AQ6" s="27" t="s">
        <v>141</v>
      </c>
      <c r="AR6" s="27" t="s">
        <v>137</v>
      </c>
      <c r="AS6" s="148" t="s">
        <v>286</v>
      </c>
      <c r="AT6" s="27" t="s">
        <v>141</v>
      </c>
      <c r="AU6" s="27" t="s">
        <v>137</v>
      </c>
      <c r="AV6" s="148" t="s">
        <v>286</v>
      </c>
      <c r="AW6" s="27" t="s">
        <v>141</v>
      </c>
      <c r="AX6" s="27" t="s">
        <v>137</v>
      </c>
      <c r="AY6" s="148" t="s">
        <v>286</v>
      </c>
      <c r="AZ6" s="27" t="s">
        <v>141</v>
      </c>
      <c r="BA6" s="27" t="s">
        <v>137</v>
      </c>
      <c r="BB6" s="148"/>
      <c r="BC6" s="148"/>
      <c r="BD6" s="148" t="s">
        <v>286</v>
      </c>
      <c r="BE6" s="143" t="s">
        <v>137</v>
      </c>
      <c r="BF6" s="23" t="s">
        <v>137</v>
      </c>
      <c r="BG6" s="24" t="s">
        <v>124</v>
      </c>
      <c r="BH6" s="26" t="s">
        <v>170</v>
      </c>
      <c r="BI6" s="91" t="s">
        <v>8</v>
      </c>
      <c r="BJ6" s="28" t="s">
        <v>127</v>
      </c>
      <c r="BK6" s="99" t="s">
        <v>8</v>
      </c>
      <c r="BL6" s="28" t="s">
        <v>105</v>
      </c>
      <c r="BM6" s="29" t="s">
        <v>104</v>
      </c>
      <c r="BN6" s="16" t="s">
        <v>8</v>
      </c>
      <c r="BO6" s="29" t="s">
        <v>128</v>
      </c>
      <c r="BP6" s="16" t="s">
        <v>8</v>
      </c>
      <c r="BQ6" s="29" t="s">
        <v>172</v>
      </c>
      <c r="BR6" s="29" t="s">
        <v>171</v>
      </c>
      <c r="BS6" s="16" t="s">
        <v>8</v>
      </c>
      <c r="BT6" s="29" t="s">
        <v>172</v>
      </c>
      <c r="BU6" s="29" t="s">
        <v>171</v>
      </c>
      <c r="BV6" s="99" t="s">
        <v>8</v>
      </c>
      <c r="BW6" s="244"/>
      <c r="BX6" s="211"/>
      <c r="BY6" s="104" t="s">
        <v>184</v>
      </c>
      <c r="BZ6" s="36" t="s">
        <v>185</v>
      </c>
      <c r="CA6" s="37" t="s">
        <v>184</v>
      </c>
      <c r="CB6" s="36" t="s">
        <v>185</v>
      </c>
      <c r="CC6" s="37" t="s">
        <v>184</v>
      </c>
      <c r="CD6" s="36" t="s">
        <v>185</v>
      </c>
      <c r="CE6" s="37" t="s">
        <v>184</v>
      </c>
      <c r="CF6" s="36" t="s">
        <v>185</v>
      </c>
      <c r="CG6" s="37" t="s">
        <v>184</v>
      </c>
      <c r="CH6" s="36" t="s">
        <v>185</v>
      </c>
      <c r="CI6" s="37" t="s">
        <v>141</v>
      </c>
      <c r="CJ6" s="37" t="s">
        <v>184</v>
      </c>
      <c r="CK6" s="37" t="s">
        <v>185</v>
      </c>
      <c r="CL6" s="37" t="s">
        <v>141</v>
      </c>
      <c r="CM6" s="37" t="s">
        <v>184</v>
      </c>
      <c r="CN6" s="105" t="s">
        <v>185</v>
      </c>
      <c r="CO6" s="15" t="s">
        <v>108</v>
      </c>
      <c r="CP6" s="18" t="s">
        <v>8</v>
      </c>
      <c r="CQ6" s="16" t="s">
        <v>108</v>
      </c>
      <c r="CR6" s="16" t="s">
        <v>8</v>
      </c>
      <c r="CS6" s="16" t="s">
        <v>108</v>
      </c>
      <c r="CT6" s="99" t="s">
        <v>108</v>
      </c>
      <c r="CU6" s="30" t="s">
        <v>108</v>
      </c>
      <c r="CV6" s="31" t="s">
        <v>8</v>
      </c>
      <c r="CW6" s="31" t="s">
        <v>108</v>
      </c>
      <c r="CX6" s="31" t="s">
        <v>8</v>
      </c>
      <c r="CY6" s="31" t="s">
        <v>108</v>
      </c>
      <c r="CZ6" s="32" t="s">
        <v>8</v>
      </c>
      <c r="DA6" s="33" t="s">
        <v>108</v>
      </c>
      <c r="DB6" s="34" t="s">
        <v>108</v>
      </c>
      <c r="DC6" s="35" t="s">
        <v>108</v>
      </c>
      <c r="DD6" s="211"/>
      <c r="DE6" s="15" t="s">
        <v>108</v>
      </c>
      <c r="DF6" s="18" t="s">
        <v>8</v>
      </c>
      <c r="DG6" s="16" t="s">
        <v>108</v>
      </c>
      <c r="DH6" s="16" t="s">
        <v>8</v>
      </c>
      <c r="DI6" s="16" t="s">
        <v>108</v>
      </c>
      <c r="DJ6" s="16" t="s">
        <v>8</v>
      </c>
      <c r="DK6" s="16" t="s">
        <v>108</v>
      </c>
      <c r="DL6" s="16" t="s">
        <v>8</v>
      </c>
      <c r="DM6" s="20" t="s">
        <v>108</v>
      </c>
      <c r="DN6" s="99" t="s">
        <v>8</v>
      </c>
      <c r="DO6" s="211"/>
    </row>
    <row r="7" spans="1:120" ht="15.75" thickBot="1">
      <c r="A7" s="42" t="s">
        <v>187</v>
      </c>
      <c r="B7" s="57">
        <f>jalons!B7</f>
        <v>0</v>
      </c>
      <c r="C7" s="57">
        <f>jalons!C7</f>
        <v>0</v>
      </c>
      <c r="D7" s="81" t="s">
        <v>252</v>
      </c>
      <c r="E7" s="6">
        <f>IF($A7="","",INDEX(jalons!$A$7:$K$125,MATCH('Suivi livrables'!$A7,jalons!$A$7:$A$125,0),4))</f>
        <v>41989</v>
      </c>
      <c r="F7" s="7">
        <f>IF($A7="","",INDEX(jalons!$A$7:$K$125,MATCH('Suivi livrables'!$A7,jalons!$A$7:$A$125,0),5))</f>
        <v>42160</v>
      </c>
      <c r="G7" s="7">
        <f>IF($A7="","",INDEX(jalons!$A$7:$K$125,MATCH('Suivi livrables'!$A7,jalons!$A$7:$A$125,0),6))</f>
        <v>42290</v>
      </c>
      <c r="H7" s="7">
        <f>IF($A7="","",INDEX(jalons!$A$7:$K$125,MATCH('Suivi livrables'!$A7,jalons!$A$7:$A$125,0),7))</f>
        <v>42414</v>
      </c>
      <c r="I7" s="7">
        <f>IF($A7="","",INDEX(jalons!$A$7:$K$125,MATCH('Suivi livrables'!$A7,jalons!$A$7:$A$125,0),8))</f>
        <v>42444</v>
      </c>
      <c r="J7" s="7" t="str">
        <f>IF($A7="","",INDEX(jalons!$A$7:$K$125,MATCH('Suivi livrables'!$A7,jalons!$A$7:$A$125,0),9))</f>
        <v>manque date</v>
      </c>
      <c r="K7" s="7">
        <f>IF($A7="","",INDEX(jalons!$A$7:$K$125,MATCH('Suivi livrables'!$A7,jalons!$A$7:$A$125,0),10))</f>
        <v>42399</v>
      </c>
      <c r="L7" s="7">
        <f>IF($A7="","",INDEX(jalons!$A$7:$K$125,MATCH('Suivi livrables'!$A7,jalons!$A$7:$A$125,0),11))</f>
        <v>42324</v>
      </c>
      <c r="M7" s="8"/>
      <c r="N7" s="43"/>
      <c r="O7" s="44"/>
      <c r="P7" s="45"/>
      <c r="Q7" s="45"/>
      <c r="R7" s="45"/>
      <c r="S7" s="45"/>
      <c r="T7" s="45"/>
      <c r="U7" s="45"/>
      <c r="V7" s="45"/>
      <c r="W7" s="45"/>
      <c r="X7" s="45"/>
      <c r="Y7" s="131"/>
      <c r="Z7" s="48"/>
      <c r="AA7" s="45"/>
      <c r="AB7" s="45"/>
      <c r="AC7" s="131"/>
      <c r="AD7" s="46"/>
      <c r="AE7" s="146"/>
      <c r="AF7" s="133"/>
      <c r="AG7" s="145"/>
      <c r="AH7" s="133"/>
      <c r="AI7" s="145"/>
      <c r="AJ7" s="133"/>
      <c r="AK7" s="133"/>
      <c r="AL7" s="133"/>
      <c r="AM7" s="133"/>
      <c r="AN7" s="139"/>
      <c r="AO7" s="133"/>
      <c r="AP7" s="139"/>
      <c r="AQ7" s="132"/>
      <c r="AR7" s="133"/>
      <c r="AS7" s="139"/>
      <c r="AT7" s="132"/>
      <c r="AU7" s="139"/>
      <c r="AV7" s="139"/>
      <c r="AW7" s="132"/>
      <c r="AX7" s="139"/>
      <c r="AY7" s="139"/>
      <c r="AZ7" s="132"/>
      <c r="BA7" s="139"/>
      <c r="BB7" s="139"/>
      <c r="BC7" s="139"/>
      <c r="BD7" s="139"/>
      <c r="BE7" s="138"/>
      <c r="BF7" s="44"/>
      <c r="BG7" s="92"/>
      <c r="BH7" s="96">
        <f t="shared" ref="BH7:BH38" si="0">IF(A7=0,0,IF(G7=0,0,G7-77))</f>
        <v>42213</v>
      </c>
      <c r="BI7" s="117"/>
      <c r="BJ7" s="118">
        <f t="shared" ref="BJ7:BJ38" si="1">IF(A7=0,0,IF(G7=0,0,G7-21))</f>
        <v>42269</v>
      </c>
      <c r="BK7" s="117"/>
      <c r="BL7" s="120" t="str">
        <f t="shared" ref="BL7:BL38" si="2">IF(E7=0,0,IF(BE7="ZSFR",E7+15,"N/A"))</f>
        <v>N/A</v>
      </c>
      <c r="BM7" s="120" t="str">
        <f>IF(G7=0,0,IF('Suivi livrables'!BE7="ZSFR",IF(G7-F7&lt;90,F7+7,G7-90),"N/A"))</f>
        <v>N/A</v>
      </c>
      <c r="BN7" s="117"/>
      <c r="BO7" s="120" t="str">
        <f>IF(G7=0,0,IF('Suivi livrables'!BE7="ZSFR",IF(L7=0,I7-45,L7-4),"N/A"))</f>
        <v>N/A</v>
      </c>
      <c r="BP7" s="117"/>
      <c r="BQ7" s="120">
        <f t="shared" ref="BQ7:BQ38" si="3">IF(G7=0,0,IF(BE7="ZSFR","N/A",G7-77))</f>
        <v>42213</v>
      </c>
      <c r="BR7" s="120">
        <f t="shared" ref="BR7:BR38" si="4">IF(G7=0,0,IF(BE7="ZSFR","N/A",G7-7))</f>
        <v>42283</v>
      </c>
      <c r="BS7" s="117"/>
      <c r="BT7" s="120" t="str">
        <f>IF(G7=0,0,IF(AND('Suivi livrables'!P7=0,'Suivi livrables'!R7=0,'Suivi livrables'!T7=0,'Suivi livrables'!V7=0,'Suivi livrables'!X7=0,'Suivi livrables'!AD7=0),"N/A",#REF!-77))</f>
        <v>N/A</v>
      </c>
      <c r="BU7" s="121" t="str">
        <f>IF(G7=0,0,IF(AND('Suivi livrables'!P7=0,'Suivi livrables'!R7=0,'Suivi livrables'!T7=0,'Suivi livrables'!V7=0,'Suivi livrables'!X7=0,'Suivi livrables'!AD7=0),"N/A",#REF!-21))</f>
        <v>N/A</v>
      </c>
      <c r="BV7" s="117"/>
      <c r="BW7" s="100"/>
      <c r="BX7" s="101"/>
      <c r="BY7" s="117" t="str">
        <f t="shared" ref="BY7:CN7" si="5">IF(O7="","",O7)</f>
        <v/>
      </c>
      <c r="BZ7" s="117" t="str">
        <f t="shared" si="5"/>
        <v/>
      </c>
      <c r="CA7" s="117" t="str">
        <f t="shared" si="5"/>
        <v/>
      </c>
      <c r="CB7" s="117" t="str">
        <f t="shared" si="5"/>
        <v/>
      </c>
      <c r="CC7" s="117" t="str">
        <f t="shared" si="5"/>
        <v/>
      </c>
      <c r="CD7" s="117" t="str">
        <f t="shared" si="5"/>
        <v/>
      </c>
      <c r="CE7" s="117" t="str">
        <f t="shared" si="5"/>
        <v/>
      </c>
      <c r="CF7" s="117" t="str">
        <f t="shared" si="5"/>
        <v/>
      </c>
      <c r="CG7" s="117" t="str">
        <f t="shared" si="5"/>
        <v/>
      </c>
      <c r="CH7" s="117" t="str">
        <f t="shared" si="5"/>
        <v/>
      </c>
      <c r="CI7" s="117" t="str">
        <f t="shared" si="5"/>
        <v/>
      </c>
      <c r="CJ7" s="117" t="str">
        <f t="shared" si="5"/>
        <v/>
      </c>
      <c r="CK7" s="117" t="str">
        <f t="shared" si="5"/>
        <v/>
      </c>
      <c r="CL7" s="117" t="str">
        <f t="shared" si="5"/>
        <v/>
      </c>
      <c r="CM7" s="117" t="str">
        <f t="shared" si="5"/>
        <v/>
      </c>
      <c r="CN7" s="117" t="str">
        <f t="shared" si="5"/>
        <v/>
      </c>
      <c r="CO7" s="125">
        <f t="shared" ref="CO7:CO38" si="6">IF(A7=0,"",IF(G7=0,"TBD",IF(OR(BZ7&lt;&gt;0,CB7&lt;&gt;0,CD7&lt;&gt;0,CF7&lt;&gt;0,CH7&lt;&gt;0,CN7&lt;&gt;0),G7-77,"N/A")))</f>
        <v>42213</v>
      </c>
      <c r="CP7" s="124"/>
      <c r="CQ7" s="125">
        <f t="shared" ref="CQ7:CQ38" si="7">IF(A7=0,"",IF(G7=0,"TBD",IF(OR(BZ7&lt;&gt;0,CB7&lt;&gt;0,CD7&lt;&gt;0,CF7&lt;&gt;0,CH7&lt;&gt;0,CN7&lt;&gt;0),G7-77,"N/A")))</f>
        <v>42213</v>
      </c>
      <c r="CR7" s="124"/>
      <c r="CS7" s="125">
        <f t="shared" ref="CS7:CS38" si="8">IF(A7=0,"",IF(G7=0,"TBD",IF(OR(BZ7&lt;&gt;0,CB7&lt;&gt;0,CD7&lt;&gt;0,CF7&lt;&gt;0,CH7&lt;&gt;0,CN7&lt;&gt;0),G7-35,"N/A")))</f>
        <v>42255</v>
      </c>
      <c r="CT7" s="125">
        <f t="shared" ref="CT7:CT38" si="9">IF(A7=0,"",IF(G7=0,"TBD",IF(OR(BZ7&lt;&gt;0,CB7&lt;&gt;0,CD7&lt;&gt;0,CF7&lt;&gt;0,CH7&lt;&gt;0,CN7&lt;&gt;0),G7-21,"N/A")))</f>
        <v>42269</v>
      </c>
      <c r="CU7" s="125">
        <f t="shared" ref="CU7:CU38" si="10">IF(A7=0,"",IF(G7=0,"TBD",IF(OR(BZ7&lt;&gt;0,CB7&lt;&gt;0,CD7&lt;&gt;0,CF7&lt;&gt;0,CH7&lt;&gt;0,CN7&lt;&gt;0),G7-49,"N/A")))</f>
        <v>42241</v>
      </c>
      <c r="CV7" s="124"/>
      <c r="CW7" s="125">
        <f t="shared" ref="CW7:CW38" si="11">IF(A7=0,"",IF(G7=0,"TBD",IF(OR(BZ7&lt;&gt;0,CB7&lt;&gt;0,CD7&lt;&gt;0,CF7&lt;&gt;0,CH7&lt;&gt;0,CN7&lt;&gt;0),G7-35,"N/A")))</f>
        <v>42255</v>
      </c>
      <c r="CX7" s="124"/>
      <c r="CY7" s="125">
        <f t="shared" ref="CY7:CY38" si="12">IF(A7=0,"",IF(G7=0,"TBD",IF(OR(BZ7&lt;&gt;0,CB7&lt;&gt;0,CD7&lt;&gt;0,CF7&lt;&gt;0,CH7&lt;&gt;0,CN7&lt;&gt;0),G7-28,"N/A")))</f>
        <v>42262</v>
      </c>
      <c r="CZ7" s="124"/>
      <c r="DA7" s="125">
        <f t="shared" ref="DA7:DA38" si="13">IF(A7=0,"",IF(G7=0,"TBD",IF(OR(BZ7&lt;&gt;0,CB7&lt;&gt;0,CD7&lt;&gt;0,CF7&lt;&gt;0,CH7&lt;&gt;0,CN7&lt;&gt;0),G7-21,"N/A")))</f>
        <v>42269</v>
      </c>
      <c r="DB7" s="125">
        <f t="shared" ref="DB7:DB38" si="14">IF(A7=0,"",IF(G7=0,"TBD",IF(OR(BZ7&lt;&gt;0,CB7&lt;&gt;0,CD7&lt;&gt;0,CF7&lt;&gt;0,CH7&lt;&gt;0,CN7&lt;&gt;0),G7+28,"N/A")))</f>
        <v>42318</v>
      </c>
      <c r="DC7" s="125">
        <f t="shared" ref="DC7:DC38" si="15">IF(A7=0,"",IF(G7=0,"TBD",IF(OR(BZ7&lt;&gt;0,CB7&lt;&gt;0,CD7&lt;&gt;0,CF7&lt;&gt;0,CH7&lt;&gt;0,CN7&lt;&gt;0),G7+28,"N/A")))</f>
        <v>42318</v>
      </c>
      <c r="DD7" s="124"/>
      <c r="DE7" s="125">
        <f t="shared" ref="DE7:DE38" si="16">IF(A7=0,0,IF(OR(F7=0,G7=0),"Missing date",DK7-45))</f>
        <v>42140</v>
      </c>
      <c r="DF7" s="124"/>
      <c r="DG7" s="125">
        <f>IF(DI7="N/A","N/A",DE7)</f>
        <v>42140</v>
      </c>
      <c r="DH7" s="124"/>
      <c r="DI7" s="125">
        <f t="shared" ref="DI7:DI38" si="17">IF(A7=0,0,IF(OR(F7=0,G7=0),"Missing date",IF(G7-F7&lt;90,F7+15,G7-90)))</f>
        <v>42200</v>
      </c>
      <c r="DJ7" s="124"/>
      <c r="DK7" s="125">
        <f t="shared" ref="DK7:DK38" si="18">IF(A7=0,0,IF(OR(F7=0,G7=0),"Missing date",DI7-15))</f>
        <v>42185</v>
      </c>
      <c r="DL7" s="124"/>
      <c r="DM7" s="124"/>
      <c r="DN7" s="124"/>
      <c r="DO7" s="124"/>
    </row>
    <row r="8" spans="1:120" ht="15.75" thickBot="1">
      <c r="A8" s="25" t="s">
        <v>78</v>
      </c>
      <c r="B8" s="57">
        <f>jalons!B8</f>
        <v>0</v>
      </c>
      <c r="C8" s="57">
        <f>jalons!C8</f>
        <v>0</v>
      </c>
      <c r="D8" s="82" t="s">
        <v>252</v>
      </c>
      <c r="E8" s="9" t="str">
        <f>IF($A8="","",INDEX(jalons!$A$7:$K$125,MATCH('Suivi livrables'!$A8,jalons!$A$7:$A$125,0),4))</f>
        <v>manque date</v>
      </c>
      <c r="F8" s="10" t="str">
        <f>IF($A8="","",INDEX(jalons!$A$7:$K$125,MATCH('Suivi livrables'!$A8,jalons!$A$7:$A$125,0),5))</f>
        <v>manque date</v>
      </c>
      <c r="G8" s="10" t="str">
        <f>IF($A8="","",INDEX(jalons!$A$7:$K$125,MATCH('Suivi livrables'!$A8,jalons!$A$7:$A$125,0),6))</f>
        <v>manque date</v>
      </c>
      <c r="H8" s="10" t="str">
        <f>IF($A8="","",INDEX(jalons!$A$7:$K$125,MATCH('Suivi livrables'!$A8,jalons!$A$7:$A$125,0),7))</f>
        <v>manque date</v>
      </c>
      <c r="I8" s="10" t="str">
        <f>IF($A8="","",INDEX(jalons!$A$7:$K$125,MATCH('Suivi livrables'!$A8,jalons!$A$7:$A$125,0),8))</f>
        <v>manque date</v>
      </c>
      <c r="J8" s="10" t="str">
        <f>IF($A8="","",INDEX(jalons!$A$7:$K$125,MATCH('Suivi livrables'!$A8,jalons!$A$7:$A$125,0),9))</f>
        <v>manque date</v>
      </c>
      <c r="K8" s="10" t="str">
        <f>IF($A8="","",INDEX(jalons!$A$7:$K$125,MATCH('Suivi livrables'!$A8,jalons!$A$7:$A$125,0),10))</f>
        <v>manque date</v>
      </c>
      <c r="L8" s="10" t="str">
        <f>IF($A8="","",INDEX(jalons!$A$7:$K$125,MATCH('Suivi livrables'!$A8,jalons!$A$7:$A$125,0),11))</f>
        <v>manque date</v>
      </c>
      <c r="M8" s="14"/>
      <c r="N8" s="47" t="s">
        <v>79</v>
      </c>
      <c r="O8" s="47"/>
      <c r="P8" s="48"/>
      <c r="Q8" s="48"/>
      <c r="R8" s="48"/>
      <c r="S8" s="48"/>
      <c r="T8" s="48"/>
      <c r="U8" s="48"/>
      <c r="V8" s="48"/>
      <c r="W8" s="48"/>
      <c r="X8" s="48"/>
      <c r="Y8" s="48"/>
      <c r="Z8" s="48"/>
      <c r="AA8" s="48"/>
      <c r="AB8" s="93"/>
      <c r="AC8" s="48"/>
      <c r="AD8" s="127"/>
      <c r="AE8" s="132"/>
      <c r="AF8" s="48"/>
      <c r="AG8" s="48"/>
      <c r="AH8" s="48"/>
      <c r="AI8" s="48"/>
      <c r="AJ8" s="48"/>
      <c r="AK8" s="48"/>
      <c r="AL8" s="48"/>
      <c r="AM8" s="48"/>
      <c r="AN8" s="132"/>
      <c r="AO8" s="133"/>
      <c r="AP8" s="132"/>
      <c r="AQ8" s="132"/>
      <c r="AR8" s="133"/>
      <c r="AS8" s="132"/>
      <c r="AT8" s="132"/>
      <c r="AU8" s="132"/>
      <c r="AV8" s="132"/>
      <c r="AW8" s="132"/>
      <c r="AX8" s="132"/>
      <c r="AY8" s="132"/>
      <c r="AZ8" s="132"/>
      <c r="BA8" s="132"/>
      <c r="BB8" s="132"/>
      <c r="BC8" s="132"/>
      <c r="BD8" s="132"/>
      <c r="BE8" s="137"/>
      <c r="BF8" s="47"/>
      <c r="BG8" s="93"/>
      <c r="BH8" s="96" t="e">
        <f t="shared" si="0"/>
        <v>#VALUE!</v>
      </c>
      <c r="BI8" s="117"/>
      <c r="BJ8" s="118" t="e">
        <f t="shared" si="1"/>
        <v>#VALUE!</v>
      </c>
      <c r="BK8" s="117"/>
      <c r="BL8" s="121" t="str">
        <f t="shared" si="2"/>
        <v>N/A</v>
      </c>
      <c r="BM8" s="121" t="str">
        <f>IF(G8=0,0,IF('Suivi livrables'!BE8="ZSFR",IF(G8-F8&lt;90,F8+7,G8-90),"N/A"))</f>
        <v>N/A</v>
      </c>
      <c r="BN8" s="117"/>
      <c r="BO8" s="121" t="str">
        <f>IF(G8=0,0,IF('Suivi livrables'!BE8="ZSFR",IF(L8=0,I8-45,L8-4),"N/A"))</f>
        <v>N/A</v>
      </c>
      <c r="BP8" s="117"/>
      <c r="BQ8" s="121" t="e">
        <f t="shared" si="3"/>
        <v>#VALUE!</v>
      </c>
      <c r="BR8" s="121" t="e">
        <f t="shared" si="4"/>
        <v>#VALUE!</v>
      </c>
      <c r="BS8" s="117"/>
      <c r="BT8" s="121" t="str">
        <f>IF(G8=0,0,IF(AND('Suivi livrables'!P8=0,'Suivi livrables'!R8=0,'Suivi livrables'!T8=0,'Suivi livrables'!V8=0,'Suivi livrables'!X8=0,'Suivi livrables'!AD8=0),"N/A",#REF!-77))</f>
        <v>N/A</v>
      </c>
      <c r="BU8" s="121" t="str">
        <f>IF(G8=0,0,IF(AND('Suivi livrables'!P8=0,'Suivi livrables'!R8=0,'Suivi livrables'!T8=0,'Suivi livrables'!V8=0,'Suivi livrables'!X8=0,'Suivi livrables'!AD8=0),"N/A",#REF!-21))</f>
        <v>N/A</v>
      </c>
      <c r="BV8" s="117"/>
      <c r="BW8" s="97"/>
      <c r="BX8" s="102"/>
      <c r="BY8" s="117" t="str">
        <f t="shared" ref="BY8:BY39" si="19">IF(O8="","",O8)</f>
        <v/>
      </c>
      <c r="BZ8" s="117" t="str">
        <f t="shared" ref="BZ8:BZ39" si="20">IF(P8="","",P8)</f>
        <v/>
      </c>
      <c r="CA8" s="117" t="str">
        <f t="shared" ref="CA8:CA39" si="21">IF(Q8="","",Q8)</f>
        <v/>
      </c>
      <c r="CB8" s="117" t="str">
        <f t="shared" ref="CB8:CB39" si="22">IF(R8="","",R8)</f>
        <v/>
      </c>
      <c r="CC8" s="117" t="str">
        <f t="shared" ref="CC8:CC39" si="23">IF(S8="","",S8)</f>
        <v/>
      </c>
      <c r="CD8" s="117" t="str">
        <f t="shared" ref="CD8:CD39" si="24">IF(T8="","",T8)</f>
        <v/>
      </c>
      <c r="CE8" s="117" t="str">
        <f t="shared" ref="CE8:CE39" si="25">IF(U8="","",U8)</f>
        <v/>
      </c>
      <c r="CF8" s="117" t="str">
        <f t="shared" ref="CF8:CF39" si="26">IF(V8="","",V8)</f>
        <v/>
      </c>
      <c r="CG8" s="117" t="str">
        <f t="shared" ref="CG8:CG39" si="27">IF(W8="","",W8)</f>
        <v/>
      </c>
      <c r="CH8" s="117" t="str">
        <f t="shared" ref="CH8:CH39" si="28">IF(X8="","",X8)</f>
        <v/>
      </c>
      <c r="CI8" s="117" t="str">
        <f t="shared" ref="CI8:CI71" si="29">IF(Y8="","",Y8)</f>
        <v/>
      </c>
      <c r="CJ8" s="117" t="str">
        <f t="shared" ref="CJ8:CJ71" si="30">IF(Z8="","",Z8)</f>
        <v/>
      </c>
      <c r="CK8" s="117" t="str">
        <f t="shared" ref="CK8:CK71" si="31">IF(AA8="","",AA8)</f>
        <v/>
      </c>
      <c r="CL8" s="117" t="str">
        <f t="shared" ref="CL8:CL39" si="32">IF(AB8="","",AB8)</f>
        <v/>
      </c>
      <c r="CM8" s="117" t="str">
        <f t="shared" ref="CM8:CM39" si="33">IF(AC8="","",AC8)</f>
        <v/>
      </c>
      <c r="CN8" s="117" t="str">
        <f t="shared" ref="CN8:CN39" si="34">IF(AD8="","",AD8)</f>
        <v/>
      </c>
      <c r="CO8" s="121" t="e">
        <f t="shared" si="6"/>
        <v>#VALUE!</v>
      </c>
      <c r="CP8" s="117"/>
      <c r="CQ8" s="121" t="e">
        <f t="shared" si="7"/>
        <v>#VALUE!</v>
      </c>
      <c r="CR8" s="117"/>
      <c r="CS8" s="121" t="e">
        <f t="shared" si="8"/>
        <v>#VALUE!</v>
      </c>
      <c r="CT8" s="121" t="e">
        <f t="shared" si="9"/>
        <v>#VALUE!</v>
      </c>
      <c r="CU8" s="121" t="e">
        <f t="shared" si="10"/>
        <v>#VALUE!</v>
      </c>
      <c r="CV8" s="117"/>
      <c r="CW8" s="121" t="e">
        <f t="shared" si="11"/>
        <v>#VALUE!</v>
      </c>
      <c r="CX8" s="117"/>
      <c r="CY8" s="121" t="e">
        <f t="shared" si="12"/>
        <v>#VALUE!</v>
      </c>
      <c r="CZ8" s="117"/>
      <c r="DA8" s="121" t="e">
        <f t="shared" si="13"/>
        <v>#VALUE!</v>
      </c>
      <c r="DB8" s="121" t="e">
        <f t="shared" si="14"/>
        <v>#VALUE!</v>
      </c>
      <c r="DC8" s="121" t="e">
        <f t="shared" si="15"/>
        <v>#VALUE!</v>
      </c>
      <c r="DD8" s="117"/>
      <c r="DE8" s="74" t="e">
        <f t="shared" si="16"/>
        <v>#VALUE!</v>
      </c>
      <c r="DF8" s="124"/>
      <c r="DG8" s="125" t="e">
        <f t="shared" ref="DG8:DG71" si="35">IF(DI8="N/A","N/A",DE8)</f>
        <v>#VALUE!</v>
      </c>
      <c r="DH8" s="124"/>
      <c r="DI8" s="125" t="e">
        <f t="shared" si="17"/>
        <v>#VALUE!</v>
      </c>
      <c r="DJ8" s="124"/>
      <c r="DK8" s="125" t="e">
        <f t="shared" si="18"/>
        <v>#VALUE!</v>
      </c>
      <c r="DL8" s="124"/>
      <c r="DM8" s="124"/>
      <c r="DN8" s="124"/>
      <c r="DO8" s="117"/>
    </row>
    <row r="9" spans="1:120" ht="15.75" thickBot="1">
      <c r="A9" s="25" t="s">
        <v>35</v>
      </c>
      <c r="B9" s="57" t="str">
        <f>jalons!B9</f>
        <v>JAL</v>
      </c>
      <c r="C9" s="57" t="str">
        <f>jalons!C9</f>
        <v>B737</v>
      </c>
      <c r="D9" s="82" t="s">
        <v>252</v>
      </c>
      <c r="E9" s="9">
        <f>IF($A9="","",INDEX(jalons!$A$7:$K$125,MATCH('Suivi livrables'!$A9,jalons!$A$7:$A$125,0),4))</f>
        <v>41250</v>
      </c>
      <c r="F9" s="10">
        <f>IF($A9="","",INDEX(jalons!$A$7:$K$125,MATCH('Suivi livrables'!$A9,jalons!$A$7:$A$125,0),5))</f>
        <v>41347</v>
      </c>
      <c r="G9" s="10">
        <f>IF($A9="","",INDEX(jalons!$A$7:$K$125,MATCH('Suivi livrables'!$A9,jalons!$A$7:$A$125,0),6))</f>
        <v>41431</v>
      </c>
      <c r="H9" s="10" t="str">
        <f>IF($A9="","",INDEX(jalons!$A$7:$K$125,MATCH('Suivi livrables'!$A9,jalons!$A$7:$A$125,0),7))</f>
        <v>manque date</v>
      </c>
      <c r="I9" s="10">
        <f>IF($A9="","",INDEX(jalons!$A$7:$K$125,MATCH('Suivi livrables'!$A9,jalons!$A$7:$A$125,0),8))</f>
        <v>41724</v>
      </c>
      <c r="J9" s="10" t="str">
        <f>IF($A9="","",INDEX(jalons!$A$7:$K$125,MATCH('Suivi livrables'!$A9,jalons!$A$7:$A$125,0),9))</f>
        <v>manque date</v>
      </c>
      <c r="K9" s="10" t="str">
        <f>IF($A9="","",INDEX(jalons!$A$7:$K$125,MATCH('Suivi livrables'!$A9,jalons!$A$7:$A$125,0),10))</f>
        <v>manque date</v>
      </c>
      <c r="L9" s="10" t="str">
        <f>IF($A9="","",INDEX(jalons!$A$7:$K$125,MATCH('Suivi livrables'!$A9,jalons!$A$7:$A$125,0),11))</f>
        <v>manque date</v>
      </c>
      <c r="M9" s="14"/>
      <c r="N9" s="47"/>
      <c r="O9" s="47"/>
      <c r="P9" s="48"/>
      <c r="Q9" s="48"/>
      <c r="R9" s="48"/>
      <c r="S9" s="48"/>
      <c r="T9" s="48"/>
      <c r="U9" s="48"/>
      <c r="V9" s="48"/>
      <c r="W9" s="48"/>
      <c r="X9" s="48"/>
      <c r="Y9" s="48"/>
      <c r="Z9" s="48"/>
      <c r="AA9" s="48"/>
      <c r="AB9" s="93"/>
      <c r="AC9" s="48"/>
      <c r="AD9" s="127"/>
      <c r="AE9" s="132"/>
      <c r="AF9" s="48"/>
      <c r="AG9" s="48"/>
      <c r="AH9" s="48"/>
      <c r="AI9" s="48"/>
      <c r="AJ9" s="48"/>
      <c r="AK9" s="48"/>
      <c r="AL9" s="48"/>
      <c r="AM9" s="48"/>
      <c r="AN9" s="132"/>
      <c r="AO9" s="133"/>
      <c r="AP9" s="132"/>
      <c r="AQ9" s="132"/>
      <c r="AR9" s="133"/>
      <c r="AS9" s="132"/>
      <c r="AT9" s="132"/>
      <c r="AU9" s="132"/>
      <c r="AV9" s="132"/>
      <c r="AW9" s="132"/>
      <c r="AX9" s="132"/>
      <c r="AY9" s="132"/>
      <c r="AZ9" s="132"/>
      <c r="BA9" s="132"/>
      <c r="BB9" s="132"/>
      <c r="BC9" s="132"/>
      <c r="BD9" s="132"/>
      <c r="BE9" s="137"/>
      <c r="BF9" s="47"/>
      <c r="BG9" s="93"/>
      <c r="BH9" s="96">
        <f t="shared" si="0"/>
        <v>41354</v>
      </c>
      <c r="BI9" s="117"/>
      <c r="BJ9" s="118">
        <f t="shared" si="1"/>
        <v>41410</v>
      </c>
      <c r="BK9" s="117"/>
      <c r="BL9" s="121" t="str">
        <f t="shared" si="2"/>
        <v>N/A</v>
      </c>
      <c r="BM9" s="121" t="str">
        <f>IF(G9=0,0,IF('Suivi livrables'!BE9="ZSFR",IF(G9-F9&lt;90,F9+7,G9-90),"N/A"))</f>
        <v>N/A</v>
      </c>
      <c r="BN9" s="117"/>
      <c r="BO9" s="121" t="str">
        <f>IF(G9=0,0,IF('Suivi livrables'!BE9="ZSFR",IF(L9=0,I9-45,L9-4),"N/A"))</f>
        <v>N/A</v>
      </c>
      <c r="BP9" s="117"/>
      <c r="BQ9" s="121">
        <f t="shared" si="3"/>
        <v>41354</v>
      </c>
      <c r="BR9" s="121">
        <f t="shared" si="4"/>
        <v>41424</v>
      </c>
      <c r="BS9" s="117"/>
      <c r="BT9" s="121" t="str">
        <f>IF(G9=0,0,IF(AND('Suivi livrables'!P9=0,'Suivi livrables'!R9=0,'Suivi livrables'!T9=0,'Suivi livrables'!V9=0,'Suivi livrables'!X9=0,'Suivi livrables'!AD9=0),"N/A",#REF!-77))</f>
        <v>N/A</v>
      </c>
      <c r="BU9" s="121" t="str">
        <f>IF(G9=0,0,IF(AND('Suivi livrables'!P9=0,'Suivi livrables'!R9=0,'Suivi livrables'!T9=0,'Suivi livrables'!V9=0,'Suivi livrables'!X9=0,'Suivi livrables'!AD9=0),"N/A",#REF!-21))</f>
        <v>N/A</v>
      </c>
      <c r="BV9" s="117"/>
      <c r="BW9" s="97"/>
      <c r="BX9" s="102"/>
      <c r="BY9" s="117" t="str">
        <f t="shared" si="19"/>
        <v/>
      </c>
      <c r="BZ9" s="117" t="str">
        <f t="shared" si="20"/>
        <v/>
      </c>
      <c r="CA9" s="117" t="str">
        <f t="shared" si="21"/>
        <v/>
      </c>
      <c r="CB9" s="117" t="str">
        <f t="shared" si="22"/>
        <v/>
      </c>
      <c r="CC9" s="117" t="str">
        <f t="shared" si="23"/>
        <v/>
      </c>
      <c r="CD9" s="117" t="str">
        <f t="shared" si="24"/>
        <v/>
      </c>
      <c r="CE9" s="117" t="str">
        <f t="shared" si="25"/>
        <v/>
      </c>
      <c r="CF9" s="117" t="str">
        <f t="shared" si="26"/>
        <v/>
      </c>
      <c r="CG9" s="117" t="str">
        <f t="shared" si="27"/>
        <v/>
      </c>
      <c r="CH9" s="117" t="str">
        <f t="shared" si="28"/>
        <v/>
      </c>
      <c r="CI9" s="117" t="str">
        <f t="shared" si="29"/>
        <v/>
      </c>
      <c r="CJ9" s="117" t="str">
        <f t="shared" si="30"/>
        <v/>
      </c>
      <c r="CK9" s="117" t="str">
        <f t="shared" si="31"/>
        <v/>
      </c>
      <c r="CL9" s="117" t="str">
        <f t="shared" si="32"/>
        <v/>
      </c>
      <c r="CM9" s="117" t="str">
        <f t="shared" si="33"/>
        <v/>
      </c>
      <c r="CN9" s="117" t="str">
        <f t="shared" si="34"/>
        <v/>
      </c>
      <c r="CO9" s="121">
        <f t="shared" si="6"/>
        <v>41354</v>
      </c>
      <c r="CP9" s="117"/>
      <c r="CQ9" s="121">
        <f t="shared" si="7"/>
        <v>41354</v>
      </c>
      <c r="CR9" s="117"/>
      <c r="CS9" s="121">
        <f t="shared" si="8"/>
        <v>41396</v>
      </c>
      <c r="CT9" s="121">
        <f t="shared" si="9"/>
        <v>41410</v>
      </c>
      <c r="CU9" s="121">
        <f t="shared" si="10"/>
        <v>41382</v>
      </c>
      <c r="CV9" s="117"/>
      <c r="CW9" s="121">
        <f t="shared" si="11"/>
        <v>41396</v>
      </c>
      <c r="CX9" s="117"/>
      <c r="CY9" s="121">
        <f t="shared" si="12"/>
        <v>41403</v>
      </c>
      <c r="CZ9" s="117"/>
      <c r="DA9" s="121">
        <f t="shared" si="13"/>
        <v>41410</v>
      </c>
      <c r="DB9" s="121">
        <f t="shared" si="14"/>
        <v>41459</v>
      </c>
      <c r="DC9" s="121">
        <f t="shared" si="15"/>
        <v>41459</v>
      </c>
      <c r="DD9" s="117"/>
      <c r="DE9" s="125">
        <f t="shared" si="16"/>
        <v>41302</v>
      </c>
      <c r="DF9" s="124"/>
      <c r="DG9" s="125">
        <f t="shared" si="35"/>
        <v>41302</v>
      </c>
      <c r="DH9" s="124"/>
      <c r="DI9" s="125">
        <f t="shared" si="17"/>
        <v>41362</v>
      </c>
      <c r="DJ9" s="124"/>
      <c r="DK9" s="125">
        <f t="shared" si="18"/>
        <v>41347</v>
      </c>
      <c r="DL9" s="124"/>
      <c r="DM9" s="124"/>
      <c r="DN9" s="124"/>
      <c r="DO9" s="117"/>
    </row>
    <row r="10" spans="1:120" ht="15.75" thickBot="1">
      <c r="A10" s="25" t="s">
        <v>31</v>
      </c>
      <c r="B10" s="57" t="str">
        <f>jalons!B10</f>
        <v>SMBC / PEACH</v>
      </c>
      <c r="C10" s="57" t="str">
        <f>jalons!C10</f>
        <v>A320</v>
      </c>
      <c r="D10" s="82" t="s">
        <v>252</v>
      </c>
      <c r="E10" s="9">
        <f>IF($A10="","",INDEX(jalons!$A$7:$K$125,MATCH('Suivi livrables'!$A10,jalons!$A$7:$A$125,0),4))</f>
        <v>41733</v>
      </c>
      <c r="F10" s="10">
        <f>IF($A10="","",INDEX(jalons!$A$7:$K$125,MATCH('Suivi livrables'!$A10,jalons!$A$7:$A$125,0),5))</f>
        <v>41787</v>
      </c>
      <c r="G10" s="10">
        <f>IF($A10="","",INDEX(jalons!$A$7:$K$125,MATCH('Suivi livrables'!$A10,jalons!$A$7:$A$125,0),6))</f>
        <v>41823</v>
      </c>
      <c r="H10" s="10">
        <f>IF($A10="","",INDEX(jalons!$A$7:$K$125,MATCH('Suivi livrables'!$A10,jalons!$A$7:$A$125,0),7))</f>
        <v>42058</v>
      </c>
      <c r="I10" s="10">
        <f>IF($A10="","",INDEX(jalons!$A$7:$K$125,MATCH('Suivi livrables'!$A10,jalons!$A$7:$A$125,0),8))</f>
        <v>42088</v>
      </c>
      <c r="J10" s="10">
        <f>IF($A10="","",INDEX(jalons!$A$7:$K$125,MATCH('Suivi livrables'!$A10,jalons!$A$7:$A$125,0),9))</f>
        <v>42142</v>
      </c>
      <c r="K10" s="10">
        <f>IF($A10="","",INDEX(jalons!$A$7:$K$125,MATCH('Suivi livrables'!$A10,jalons!$A$7:$A$125,0),10))</f>
        <v>42043</v>
      </c>
      <c r="L10" s="10">
        <f>IF($A10="","",INDEX(jalons!$A$7:$K$125,MATCH('Suivi livrables'!$A10,jalons!$A$7:$A$125,0),11))</f>
        <v>41968</v>
      </c>
      <c r="M10" s="14"/>
      <c r="N10" s="47" t="s">
        <v>77</v>
      </c>
      <c r="O10" s="47" t="s">
        <v>67</v>
      </c>
      <c r="P10" s="48"/>
      <c r="Q10" s="48" t="s">
        <v>67</v>
      </c>
      <c r="R10" s="48"/>
      <c r="S10" s="48"/>
      <c r="T10" s="48"/>
      <c r="U10" s="48"/>
      <c r="V10" s="48"/>
      <c r="W10" s="48"/>
      <c r="X10" s="48"/>
      <c r="Y10" s="48"/>
      <c r="Z10" s="48"/>
      <c r="AA10" s="48"/>
      <c r="AB10" s="93"/>
      <c r="AC10" s="48"/>
      <c r="AD10" s="127"/>
      <c r="AE10" s="132"/>
      <c r="AF10" s="48"/>
      <c r="AG10" s="48"/>
      <c r="AH10" s="48"/>
      <c r="AI10" s="48"/>
      <c r="AJ10" s="48"/>
      <c r="AK10" s="48"/>
      <c r="AL10" s="48"/>
      <c r="AM10" s="48"/>
      <c r="AN10" s="132"/>
      <c r="AO10" s="133"/>
      <c r="AP10" s="132"/>
      <c r="AQ10" s="132"/>
      <c r="AR10" s="133"/>
      <c r="AS10" s="132"/>
      <c r="AT10" s="132"/>
      <c r="AU10" s="139"/>
      <c r="AV10" s="139"/>
      <c r="AW10" s="132"/>
      <c r="AX10" s="139"/>
      <c r="AY10" s="139"/>
      <c r="AZ10" s="132"/>
      <c r="BA10" s="139"/>
      <c r="BB10" s="139"/>
      <c r="BC10" s="139"/>
      <c r="BD10" s="139"/>
      <c r="BE10" s="133" t="s">
        <v>68</v>
      </c>
      <c r="BF10" s="47"/>
      <c r="BG10" s="93"/>
      <c r="BH10" s="96">
        <f t="shared" si="0"/>
        <v>41746</v>
      </c>
      <c r="BI10" s="117"/>
      <c r="BJ10" s="118">
        <f t="shared" si="1"/>
        <v>41802</v>
      </c>
      <c r="BK10" s="117"/>
      <c r="BL10" s="121">
        <f t="shared" si="2"/>
        <v>41748</v>
      </c>
      <c r="BM10" s="121">
        <f>IF(G10=0,0,IF('Suivi livrables'!BE10="ZSFR",IF(G10-F10&lt;90,F10+7,G10-90),"N/A"))</f>
        <v>41794</v>
      </c>
      <c r="BN10" s="117"/>
      <c r="BO10" s="121">
        <f>IF(G10=0,0,IF(BE10="ZSFR",IF(L10=0,I10-45,L10-4),"N/A"))</f>
        <v>41964</v>
      </c>
      <c r="BP10" s="117"/>
      <c r="BQ10" s="121" t="str">
        <f t="shared" si="3"/>
        <v>N/A</v>
      </c>
      <c r="BR10" s="121" t="str">
        <f t="shared" si="4"/>
        <v>N/A</v>
      </c>
      <c r="BS10" s="117"/>
      <c r="BT10" s="121" t="str">
        <f>IF(G10=0,0,IF(AND('Suivi livrables'!P10=0,'Suivi livrables'!R10=0,'Suivi livrables'!T10=0,'Suivi livrables'!V10=0,'Suivi livrables'!X10=0,'Suivi livrables'!AD10=0),"N/A",#REF!-77))</f>
        <v>N/A</v>
      </c>
      <c r="BU10" s="121" t="str">
        <f>IF(G10=0,0,IF(AND('Suivi livrables'!P10=0,'Suivi livrables'!R10=0,'Suivi livrables'!T10=0,'Suivi livrables'!V10=0,'Suivi livrables'!X10=0,'Suivi livrables'!AD10=0),"N/A",#REF!-21))</f>
        <v>N/A</v>
      </c>
      <c r="BV10" s="117"/>
      <c r="BW10" s="97"/>
      <c r="BX10" s="102"/>
      <c r="BY10" s="117" t="str">
        <f t="shared" si="19"/>
        <v>Franklin</v>
      </c>
      <c r="BZ10" s="117" t="str">
        <f t="shared" si="20"/>
        <v/>
      </c>
      <c r="CA10" s="117" t="str">
        <f t="shared" si="21"/>
        <v>Franklin</v>
      </c>
      <c r="CB10" s="117" t="str">
        <f t="shared" si="22"/>
        <v/>
      </c>
      <c r="CC10" s="117" t="str">
        <f t="shared" si="23"/>
        <v/>
      </c>
      <c r="CD10" s="117" t="str">
        <f t="shared" si="24"/>
        <v/>
      </c>
      <c r="CE10" s="117" t="str">
        <f t="shared" si="25"/>
        <v/>
      </c>
      <c r="CF10" s="117" t="str">
        <f t="shared" si="26"/>
        <v/>
      </c>
      <c r="CG10" s="117" t="str">
        <f t="shared" si="27"/>
        <v/>
      </c>
      <c r="CH10" s="117" t="str">
        <f t="shared" si="28"/>
        <v/>
      </c>
      <c r="CI10" s="117" t="str">
        <f t="shared" si="29"/>
        <v/>
      </c>
      <c r="CJ10" s="117" t="str">
        <f t="shared" si="30"/>
        <v/>
      </c>
      <c r="CK10" s="117" t="str">
        <f t="shared" si="31"/>
        <v/>
      </c>
      <c r="CL10" s="117" t="str">
        <f t="shared" si="32"/>
        <v/>
      </c>
      <c r="CM10" s="117" t="str">
        <f t="shared" si="33"/>
        <v/>
      </c>
      <c r="CN10" s="117" t="str">
        <f t="shared" si="34"/>
        <v/>
      </c>
      <c r="CO10" s="121">
        <f t="shared" si="6"/>
        <v>41746</v>
      </c>
      <c r="CP10" s="117"/>
      <c r="CQ10" s="121">
        <f t="shared" si="7"/>
        <v>41746</v>
      </c>
      <c r="CR10" s="117"/>
      <c r="CS10" s="121">
        <f t="shared" si="8"/>
        <v>41788</v>
      </c>
      <c r="CT10" s="121">
        <f t="shared" si="9"/>
        <v>41802</v>
      </c>
      <c r="CU10" s="121">
        <f t="shared" si="10"/>
        <v>41774</v>
      </c>
      <c r="CV10" s="117"/>
      <c r="CW10" s="121">
        <f t="shared" si="11"/>
        <v>41788</v>
      </c>
      <c r="CX10" s="117"/>
      <c r="CY10" s="121">
        <f t="shared" si="12"/>
        <v>41795</v>
      </c>
      <c r="CZ10" s="117"/>
      <c r="DA10" s="121">
        <f t="shared" si="13"/>
        <v>41802</v>
      </c>
      <c r="DB10" s="121">
        <f t="shared" si="14"/>
        <v>41851</v>
      </c>
      <c r="DC10" s="121">
        <f t="shared" si="15"/>
        <v>41851</v>
      </c>
      <c r="DD10" s="117"/>
      <c r="DE10" s="125">
        <f t="shared" si="16"/>
        <v>41742</v>
      </c>
      <c r="DF10" s="124"/>
      <c r="DG10" s="125">
        <f t="shared" si="35"/>
        <v>41742</v>
      </c>
      <c r="DH10" s="124"/>
      <c r="DI10" s="125">
        <f t="shared" si="17"/>
        <v>41802</v>
      </c>
      <c r="DJ10" s="124"/>
      <c r="DK10" s="125">
        <f t="shared" si="18"/>
        <v>41787</v>
      </c>
      <c r="DL10" s="124"/>
      <c r="DM10" s="124"/>
      <c r="DN10" s="124"/>
      <c r="DO10" s="117"/>
    </row>
    <row r="11" spans="1:120" ht="15.75" thickBot="1">
      <c r="A11" s="25" t="s">
        <v>80</v>
      </c>
      <c r="B11" s="57" t="str">
        <f>jalons!B11</f>
        <v>PEGASUS</v>
      </c>
      <c r="C11" s="57" t="str">
        <f>jalons!C11</f>
        <v>B737</v>
      </c>
      <c r="D11" s="82" t="s">
        <v>252</v>
      </c>
      <c r="E11" s="9">
        <f>IF($A11="","",INDEX(jalons!$A$7:$K$125,MATCH('Suivi livrables'!$A11,jalons!$A$7:$A$125,0),4))</f>
        <v>41737</v>
      </c>
      <c r="F11" s="10" t="str">
        <f>IF($A11="","",INDEX(jalons!$A$7:$K$125,MATCH('Suivi livrables'!$A11,jalons!$A$7:$A$125,0),5))</f>
        <v>manque date</v>
      </c>
      <c r="G11" s="10">
        <f>IF($A11="","",INDEX(jalons!$A$7:$K$125,MATCH('Suivi livrables'!$A11,jalons!$A$7:$A$125,0),6))</f>
        <v>41766</v>
      </c>
      <c r="H11" s="10" t="str">
        <f>IF($A11="","",INDEX(jalons!$A$7:$K$125,MATCH('Suivi livrables'!$A11,jalons!$A$7:$A$125,0),7))</f>
        <v>manque date</v>
      </c>
      <c r="I11" s="10">
        <f>IF($A11="","",INDEX(jalons!$A$7:$K$125,MATCH('Suivi livrables'!$A11,jalons!$A$7:$A$125,0),8))</f>
        <v>41878</v>
      </c>
      <c r="J11" s="10" t="str">
        <f>IF($A11="","",INDEX(jalons!$A$7:$K$125,MATCH('Suivi livrables'!$A11,jalons!$A$7:$A$125,0),9))</f>
        <v>manque date</v>
      </c>
      <c r="K11" s="10">
        <f>IF($A11="","",INDEX(jalons!$A$7:$K$125,MATCH('Suivi livrables'!$A11,jalons!$A$7:$A$125,0),10))</f>
        <v>41862</v>
      </c>
      <c r="L11" s="10" t="str">
        <f>IF($A11="","",INDEX(jalons!$A$7:$K$125,MATCH('Suivi livrables'!$A11,jalons!$A$7:$A$125,0),11))</f>
        <v>manque date</v>
      </c>
      <c r="M11" s="14"/>
      <c r="N11" s="47"/>
      <c r="O11" s="47" t="s">
        <v>67</v>
      </c>
      <c r="P11" s="48">
        <v>13</v>
      </c>
      <c r="Q11" s="48" t="s">
        <v>67</v>
      </c>
      <c r="R11" s="48">
        <v>4</v>
      </c>
      <c r="S11" s="48"/>
      <c r="T11" s="48"/>
      <c r="U11" s="48"/>
      <c r="V11" s="48"/>
      <c r="W11" s="48"/>
      <c r="X11" s="48"/>
      <c r="Y11" s="48"/>
      <c r="Z11" s="48"/>
      <c r="AA11" s="48"/>
      <c r="AB11" s="93"/>
      <c r="AC11" s="48"/>
      <c r="AD11" s="127"/>
      <c r="AE11" s="132"/>
      <c r="AF11" s="48"/>
      <c r="AG11" s="48"/>
      <c r="AH11" s="48"/>
      <c r="AI11" s="48"/>
      <c r="AJ11" s="48"/>
      <c r="AK11" s="48"/>
      <c r="AL11" s="48"/>
      <c r="AM11" s="48"/>
      <c r="AN11" s="132"/>
      <c r="AO11" s="133"/>
      <c r="AP11" s="132"/>
      <c r="AQ11" s="132"/>
      <c r="AR11" s="133"/>
      <c r="AS11" s="132"/>
      <c r="AT11" s="132"/>
      <c r="AU11" s="139"/>
      <c r="AV11" s="139"/>
      <c r="AW11" s="132"/>
      <c r="AX11" s="139"/>
      <c r="AY11" s="139"/>
      <c r="AZ11" s="132"/>
      <c r="BA11" s="139"/>
      <c r="BB11" s="139"/>
      <c r="BC11" s="139"/>
      <c r="BD11" s="139"/>
      <c r="BE11" s="133" t="s">
        <v>68</v>
      </c>
      <c r="BF11" s="47"/>
      <c r="BG11" s="93"/>
      <c r="BH11" s="96">
        <f t="shared" si="0"/>
        <v>41689</v>
      </c>
      <c r="BI11" s="117"/>
      <c r="BJ11" s="118">
        <f t="shared" si="1"/>
        <v>41745</v>
      </c>
      <c r="BK11" s="117"/>
      <c r="BL11" s="121">
        <f t="shared" si="2"/>
        <v>41752</v>
      </c>
      <c r="BM11" s="122" t="e">
        <f>IF(G11=0,0,IF(IF(G11-F11&lt;90,F11+7,G11-90),"N/A"))</f>
        <v>#VALUE!</v>
      </c>
      <c r="BN11" s="117"/>
      <c r="BO11" s="121" t="e">
        <f>IF(G11=0,0,IF('Suivi livrables'!BE11="ZSFR",IF(L11=0,I11-45,L11-4),"N/A"))</f>
        <v>#VALUE!</v>
      </c>
      <c r="BP11" s="117"/>
      <c r="BQ11" s="121" t="str">
        <f t="shared" si="3"/>
        <v>N/A</v>
      </c>
      <c r="BR11" s="121" t="str">
        <f t="shared" si="4"/>
        <v>N/A</v>
      </c>
      <c r="BS11" s="117"/>
      <c r="BT11" s="121" t="e">
        <f>IF(G11=0,0,IF(AND('Suivi livrables'!P11=0,'Suivi livrables'!R11=0,'Suivi livrables'!T11=0,'Suivi livrables'!V11=0,'Suivi livrables'!X11=0,'Suivi livrables'!AD11=0),"N/A",#REF!-77))</f>
        <v>#REF!</v>
      </c>
      <c r="BU11" s="121" t="e">
        <f>IF(G11=0,0,IF(AND('Suivi livrables'!P11=0,'Suivi livrables'!R11=0,'Suivi livrables'!T11=0,'Suivi livrables'!V11=0,'Suivi livrables'!X11=0,'Suivi livrables'!AD11=0),"N/A",#REF!-21))</f>
        <v>#REF!</v>
      </c>
      <c r="BV11" s="117"/>
      <c r="BW11" s="97"/>
      <c r="BX11" s="102"/>
      <c r="BY11" s="117" t="str">
        <f t="shared" si="19"/>
        <v>Franklin</v>
      </c>
      <c r="BZ11" s="117">
        <f t="shared" si="20"/>
        <v>13</v>
      </c>
      <c r="CA11" s="117" t="str">
        <f t="shared" si="21"/>
        <v>Franklin</v>
      </c>
      <c r="CB11" s="117">
        <f t="shared" si="22"/>
        <v>4</v>
      </c>
      <c r="CC11" s="117" t="str">
        <f t="shared" si="23"/>
        <v/>
      </c>
      <c r="CD11" s="117" t="str">
        <f t="shared" si="24"/>
        <v/>
      </c>
      <c r="CE11" s="117" t="str">
        <f t="shared" si="25"/>
        <v/>
      </c>
      <c r="CF11" s="117" t="str">
        <f t="shared" si="26"/>
        <v/>
      </c>
      <c r="CG11" s="117" t="str">
        <f t="shared" si="27"/>
        <v/>
      </c>
      <c r="CH11" s="117" t="str">
        <f t="shared" si="28"/>
        <v/>
      </c>
      <c r="CI11" s="117" t="str">
        <f t="shared" si="29"/>
        <v/>
      </c>
      <c r="CJ11" s="117" t="str">
        <f t="shared" si="30"/>
        <v/>
      </c>
      <c r="CK11" s="117" t="str">
        <f t="shared" si="31"/>
        <v/>
      </c>
      <c r="CL11" s="117" t="str">
        <f t="shared" si="32"/>
        <v/>
      </c>
      <c r="CM11" s="117" t="str">
        <f t="shared" si="33"/>
        <v/>
      </c>
      <c r="CN11" s="117" t="str">
        <f t="shared" si="34"/>
        <v/>
      </c>
      <c r="CO11" s="121">
        <f t="shared" si="6"/>
        <v>41689</v>
      </c>
      <c r="CP11" s="117"/>
      <c r="CQ11" s="121">
        <f t="shared" si="7"/>
        <v>41689</v>
      </c>
      <c r="CR11" s="117"/>
      <c r="CS11" s="121">
        <f t="shared" si="8"/>
        <v>41731</v>
      </c>
      <c r="CT11" s="121">
        <f t="shared" si="9"/>
        <v>41745</v>
      </c>
      <c r="CU11" s="121">
        <f t="shared" si="10"/>
        <v>41717</v>
      </c>
      <c r="CV11" s="117"/>
      <c r="CW11" s="121">
        <f t="shared" si="11"/>
        <v>41731</v>
      </c>
      <c r="CX11" s="117"/>
      <c r="CY11" s="121">
        <f t="shared" si="12"/>
        <v>41738</v>
      </c>
      <c r="CZ11" s="117"/>
      <c r="DA11" s="121">
        <f t="shared" si="13"/>
        <v>41745</v>
      </c>
      <c r="DB11" s="121">
        <f t="shared" si="14"/>
        <v>41794</v>
      </c>
      <c r="DC11" s="121">
        <f t="shared" si="15"/>
        <v>41794</v>
      </c>
      <c r="DD11" s="117"/>
      <c r="DE11" s="74" t="e">
        <f t="shared" si="16"/>
        <v>#VALUE!</v>
      </c>
      <c r="DF11" s="124"/>
      <c r="DG11" s="125" t="e">
        <f t="shared" si="35"/>
        <v>#VALUE!</v>
      </c>
      <c r="DH11" s="124"/>
      <c r="DI11" s="125" t="e">
        <f t="shared" si="17"/>
        <v>#VALUE!</v>
      </c>
      <c r="DJ11" s="124"/>
      <c r="DK11" s="125" t="e">
        <f t="shared" si="18"/>
        <v>#VALUE!</v>
      </c>
      <c r="DL11" s="124"/>
      <c r="DM11" s="124"/>
      <c r="DN11" s="124"/>
      <c r="DO11" s="117"/>
    </row>
    <row r="12" spans="1:120" ht="15.75" thickBot="1">
      <c r="A12" s="25" t="s">
        <v>32</v>
      </c>
      <c r="B12" s="57" t="str">
        <f>jalons!B12</f>
        <v>Donghai</v>
      </c>
      <c r="C12" s="57" t="str">
        <f>jalons!C12</f>
        <v>B737</v>
      </c>
      <c r="D12" s="82" t="s">
        <v>252</v>
      </c>
      <c r="E12" s="9" t="e">
        <f>IF($A12="","",INDEX(jalons!$A$7:$K$125,MATCH('Suivi livrables'!$A12,jalons!$A$7:$A$125,0),4))</f>
        <v>#N/A</v>
      </c>
      <c r="F12" s="10" t="e">
        <f>IF($A12="","",INDEX(jalons!$A$7:$K$125,MATCH('Suivi livrables'!$A12,jalons!$A$7:$A$125,0),5))</f>
        <v>#N/A</v>
      </c>
      <c r="G12" s="10" t="e">
        <f>IF($A12="","",INDEX(jalons!$A$7:$K$125,MATCH('Suivi livrables'!$A12,jalons!$A$7:$A$125,0),6))</f>
        <v>#N/A</v>
      </c>
      <c r="H12" s="10" t="e">
        <f>IF($A12="","",INDEX(jalons!$A$7:$K$125,MATCH('Suivi livrables'!$A12,jalons!$A$7:$A$125,0),7))</f>
        <v>#N/A</v>
      </c>
      <c r="I12" s="10" t="e">
        <f>IF($A12="","",INDEX(jalons!$A$7:$K$125,MATCH('Suivi livrables'!$A12,jalons!$A$7:$A$125,0),8))</f>
        <v>#N/A</v>
      </c>
      <c r="J12" s="10" t="e">
        <f>IF($A12="","",INDEX(jalons!$A$7:$K$125,MATCH('Suivi livrables'!$A12,jalons!$A$7:$A$125,0),9))</f>
        <v>#N/A</v>
      </c>
      <c r="K12" s="10" t="e">
        <f>IF($A12="","",INDEX(jalons!$A$7:$K$125,MATCH('Suivi livrables'!$A12,jalons!$A$7:$A$125,0),10))</f>
        <v>#N/A</v>
      </c>
      <c r="L12" s="10" t="e">
        <f>IF($A12="","",INDEX(jalons!$A$7:$K$125,MATCH('Suivi livrables'!$A12,jalons!$A$7:$A$125,0),11))</f>
        <v>#N/A</v>
      </c>
      <c r="M12" s="14"/>
      <c r="N12" s="47" t="s">
        <v>87</v>
      </c>
      <c r="O12" s="47" t="s">
        <v>67</v>
      </c>
      <c r="P12" s="48"/>
      <c r="Q12" s="48" t="s">
        <v>67</v>
      </c>
      <c r="R12" s="48">
        <v>4</v>
      </c>
      <c r="S12" s="48"/>
      <c r="T12" s="48"/>
      <c r="U12" s="48" t="s">
        <v>67</v>
      </c>
      <c r="V12" s="48">
        <v>2</v>
      </c>
      <c r="W12" s="48"/>
      <c r="X12" s="48"/>
      <c r="Y12" s="48"/>
      <c r="Z12" s="48"/>
      <c r="AA12" s="48"/>
      <c r="AB12" s="93"/>
      <c r="AC12" s="48"/>
      <c r="AD12" s="127"/>
      <c r="AE12" s="132"/>
      <c r="AF12" s="48"/>
      <c r="AG12" s="48"/>
      <c r="AH12" s="48"/>
      <c r="AI12" s="48"/>
      <c r="AJ12" s="48"/>
      <c r="AK12" s="48"/>
      <c r="AL12" s="48"/>
      <c r="AM12" s="48"/>
      <c r="AN12" s="132"/>
      <c r="AO12" s="133"/>
      <c r="AP12" s="132"/>
      <c r="AQ12" s="132"/>
      <c r="AR12" s="133"/>
      <c r="AS12" s="132"/>
      <c r="AT12" s="132"/>
      <c r="AU12" s="139"/>
      <c r="AV12" s="139"/>
      <c r="AW12" s="132"/>
      <c r="AX12" s="139"/>
      <c r="AY12" s="139"/>
      <c r="AZ12" s="132"/>
      <c r="BA12" s="139"/>
      <c r="BB12" s="139"/>
      <c r="BC12" s="139"/>
      <c r="BD12" s="139"/>
      <c r="BE12" s="133" t="s">
        <v>68</v>
      </c>
      <c r="BF12" s="47"/>
      <c r="BG12" s="93"/>
      <c r="BH12" s="96" t="e">
        <f t="shared" si="0"/>
        <v>#N/A</v>
      </c>
      <c r="BI12" s="117"/>
      <c r="BJ12" s="119" t="e">
        <f t="shared" si="1"/>
        <v>#N/A</v>
      </c>
      <c r="BK12" s="117"/>
      <c r="BL12" s="121" t="e">
        <f t="shared" si="2"/>
        <v>#N/A</v>
      </c>
      <c r="BM12" s="121" t="e">
        <f>IF(G12=0,0,IF('Suivi livrables'!BE12="ZSFR",IF(G12-F12&lt;90,F12+7,G12-90),"N/A"))</f>
        <v>#N/A</v>
      </c>
      <c r="BN12" s="117"/>
      <c r="BO12" s="121" t="e">
        <f>IF(G12=0,0,IF('Suivi livrables'!BE12="ZSFR",IF(L12=0,I12-45,L12-4),"N/A"))</f>
        <v>#N/A</v>
      </c>
      <c r="BP12" s="117"/>
      <c r="BQ12" s="121" t="e">
        <f t="shared" si="3"/>
        <v>#N/A</v>
      </c>
      <c r="BR12" s="121" t="e">
        <f t="shared" si="4"/>
        <v>#N/A</v>
      </c>
      <c r="BS12" s="117"/>
      <c r="BT12" s="121" t="e">
        <f>IF(G12=0,0,IF(AND('Suivi livrables'!P12=0,'Suivi livrables'!R12=0,'Suivi livrables'!T12=0,'Suivi livrables'!V12=0,'Suivi livrables'!X12=0,'Suivi livrables'!AD12=0),"N/A",#REF!-77))</f>
        <v>#N/A</v>
      </c>
      <c r="BU12" s="121" t="e">
        <f>IF(G12=0,0,IF(AND('Suivi livrables'!P12=0,'Suivi livrables'!R12=0,'Suivi livrables'!T12=0,'Suivi livrables'!V12=0,'Suivi livrables'!X12=0,'Suivi livrables'!AD12=0),"N/A",#REF!-21))</f>
        <v>#N/A</v>
      </c>
      <c r="BV12" s="117"/>
      <c r="BW12" s="97"/>
      <c r="BX12" s="102"/>
      <c r="BY12" s="117" t="str">
        <f t="shared" si="19"/>
        <v>Franklin</v>
      </c>
      <c r="BZ12" s="117" t="str">
        <f t="shared" si="20"/>
        <v/>
      </c>
      <c r="CA12" s="117" t="str">
        <f t="shared" si="21"/>
        <v>Franklin</v>
      </c>
      <c r="CB12" s="117">
        <f t="shared" si="22"/>
        <v>4</v>
      </c>
      <c r="CC12" s="117" t="str">
        <f t="shared" si="23"/>
        <v/>
      </c>
      <c r="CD12" s="117" t="str">
        <f t="shared" si="24"/>
        <v/>
      </c>
      <c r="CE12" s="117" t="str">
        <f t="shared" si="25"/>
        <v>Franklin</v>
      </c>
      <c r="CF12" s="117">
        <f t="shared" si="26"/>
        <v>2</v>
      </c>
      <c r="CG12" s="117" t="str">
        <f t="shared" si="27"/>
        <v/>
      </c>
      <c r="CH12" s="117" t="str">
        <f t="shared" si="28"/>
        <v/>
      </c>
      <c r="CI12" s="117" t="str">
        <f t="shared" si="29"/>
        <v/>
      </c>
      <c r="CJ12" s="117" t="str">
        <f t="shared" si="30"/>
        <v/>
      </c>
      <c r="CK12" s="117" t="str">
        <f t="shared" si="31"/>
        <v/>
      </c>
      <c r="CL12" s="117" t="str">
        <f t="shared" si="32"/>
        <v/>
      </c>
      <c r="CM12" s="117" t="str">
        <f t="shared" si="33"/>
        <v/>
      </c>
      <c r="CN12" s="117" t="str">
        <f t="shared" si="34"/>
        <v/>
      </c>
      <c r="CO12" s="121" t="e">
        <f t="shared" si="6"/>
        <v>#N/A</v>
      </c>
      <c r="CP12" s="117"/>
      <c r="CQ12" s="121" t="e">
        <f t="shared" si="7"/>
        <v>#N/A</v>
      </c>
      <c r="CR12" s="117"/>
      <c r="CS12" s="121" t="e">
        <f t="shared" si="8"/>
        <v>#N/A</v>
      </c>
      <c r="CT12" s="121" t="e">
        <f t="shared" si="9"/>
        <v>#N/A</v>
      </c>
      <c r="CU12" s="121" t="e">
        <f t="shared" si="10"/>
        <v>#N/A</v>
      </c>
      <c r="CV12" s="117"/>
      <c r="CW12" s="121" t="e">
        <f t="shared" si="11"/>
        <v>#N/A</v>
      </c>
      <c r="CX12" s="117"/>
      <c r="CY12" s="121" t="e">
        <f t="shared" si="12"/>
        <v>#N/A</v>
      </c>
      <c r="CZ12" s="117"/>
      <c r="DA12" s="121" t="e">
        <f t="shared" si="13"/>
        <v>#N/A</v>
      </c>
      <c r="DB12" s="121" t="e">
        <f t="shared" si="14"/>
        <v>#N/A</v>
      </c>
      <c r="DC12" s="121" t="e">
        <f t="shared" si="15"/>
        <v>#N/A</v>
      </c>
      <c r="DD12" s="117"/>
      <c r="DE12" s="74" t="e">
        <f t="shared" si="16"/>
        <v>#N/A</v>
      </c>
      <c r="DF12" s="124"/>
      <c r="DG12" s="125" t="e">
        <f t="shared" si="35"/>
        <v>#N/A</v>
      </c>
      <c r="DH12" s="124"/>
      <c r="DI12" s="125" t="e">
        <f t="shared" si="17"/>
        <v>#N/A</v>
      </c>
      <c r="DJ12" s="124"/>
      <c r="DK12" s="125" t="e">
        <f t="shared" si="18"/>
        <v>#N/A</v>
      </c>
      <c r="DL12" s="124"/>
      <c r="DM12" s="124"/>
      <c r="DN12" s="124"/>
      <c r="DO12" s="117"/>
    </row>
    <row r="13" spans="1:120" ht="15.75" thickBot="1">
      <c r="A13" s="13" t="s">
        <v>220</v>
      </c>
      <c r="B13" s="57" t="str">
        <f>jalons!B13</f>
        <v>Air India (CALC) AIC</v>
      </c>
      <c r="C13" s="57" t="str">
        <f>jalons!C13</f>
        <v>A320</v>
      </c>
      <c r="D13" s="83" t="s">
        <v>252</v>
      </c>
      <c r="E13" s="9">
        <f>IF($A13="","",INDEX(jalons!$A$7:$K$125,MATCH('Suivi livrables'!$A13,jalons!$A$7:$A$125,0),4))</f>
        <v>42156</v>
      </c>
      <c r="F13" s="10">
        <f>IF($A13="","",INDEX(jalons!$A$7:$K$125,MATCH('Suivi livrables'!$A13,jalons!$A$7:$A$125,0),5))</f>
        <v>42186</v>
      </c>
      <c r="G13" s="10">
        <f>IF($A13="","",INDEX(jalons!$A$7:$K$125,MATCH('Suivi livrables'!$A13,jalons!$A$7:$A$125,0),6))</f>
        <v>42217</v>
      </c>
      <c r="H13" s="10">
        <f>IF($A13="","",INDEX(jalons!$A$7:$K$125,MATCH('Suivi livrables'!$A13,jalons!$A$7:$A$125,0),7))</f>
        <v>42241</v>
      </c>
      <c r="I13" s="10">
        <f>IF($A13="","",INDEX(jalons!$A$7:$K$125,MATCH('Suivi livrables'!$A13,jalons!$A$7:$A$125,0),8))</f>
        <v>42248</v>
      </c>
      <c r="J13" s="10">
        <f>IF($A13="","",INDEX(jalons!$A$7:$K$125,MATCH('Suivi livrables'!$A13,jalons!$A$7:$A$125,0),9))</f>
        <v>42278</v>
      </c>
      <c r="K13" s="10">
        <f>IF($A13="","",INDEX(jalons!$A$7:$K$125,MATCH('Suivi livrables'!$A13,jalons!$A$7:$A$125,0),10))</f>
        <v>42239</v>
      </c>
      <c r="L13" s="10">
        <f>IF($A13="","",INDEX(jalons!$A$7:$K$125,MATCH('Suivi livrables'!$A13,jalons!$A$7:$A$125,0),11))</f>
        <v>42223</v>
      </c>
      <c r="M13" s="14"/>
      <c r="N13" s="47"/>
      <c r="O13" s="47"/>
      <c r="P13" s="48"/>
      <c r="Q13" s="48"/>
      <c r="R13" s="48"/>
      <c r="S13" s="48"/>
      <c r="T13" s="48"/>
      <c r="U13" s="48"/>
      <c r="V13" s="48"/>
      <c r="W13" s="48"/>
      <c r="X13" s="48"/>
      <c r="Y13" s="48"/>
      <c r="Z13" s="48"/>
      <c r="AA13" s="48"/>
      <c r="AB13" s="93"/>
      <c r="AC13" s="48"/>
      <c r="AD13" s="127"/>
      <c r="AE13" s="132"/>
      <c r="AF13" s="48"/>
      <c r="AG13" s="48"/>
      <c r="AH13" s="48"/>
      <c r="AI13" s="48"/>
      <c r="AJ13" s="48"/>
      <c r="AK13" s="48"/>
      <c r="AL13" s="48"/>
      <c r="AM13" s="48"/>
      <c r="AN13" s="132"/>
      <c r="AO13" s="133"/>
      <c r="AP13" s="132"/>
      <c r="AQ13" s="132"/>
      <c r="AR13" s="133"/>
      <c r="AS13" s="132"/>
      <c r="AT13" s="132"/>
      <c r="AU13" s="139"/>
      <c r="AV13" s="139"/>
      <c r="AW13" s="132"/>
      <c r="AX13" s="139"/>
      <c r="AY13" s="139"/>
      <c r="AZ13" s="132"/>
      <c r="BA13" s="139"/>
      <c r="BB13" s="139"/>
      <c r="BC13" s="139"/>
      <c r="BD13" s="139"/>
      <c r="BE13" s="133"/>
      <c r="BF13" s="47"/>
      <c r="BG13" s="93"/>
      <c r="BH13" s="96">
        <f t="shared" si="0"/>
        <v>42140</v>
      </c>
      <c r="BI13" s="117" t="s">
        <v>23</v>
      </c>
      <c r="BJ13" s="119">
        <f t="shared" si="1"/>
        <v>42196</v>
      </c>
      <c r="BK13" s="117"/>
      <c r="BL13" s="121" t="str">
        <f t="shared" si="2"/>
        <v>N/A</v>
      </c>
      <c r="BM13" s="121" t="str">
        <f>IF(G13=0,0,IF('Suivi livrables'!BE13="ZSFR",IF(G13-F13&lt;90,F13+7,G13-90),"N/A"))</f>
        <v>N/A</v>
      </c>
      <c r="BN13" s="117"/>
      <c r="BO13" s="121" t="str">
        <f>IF(G13=0,0,IF('Suivi livrables'!BE13="ZSFR",IF(L13=0,I13-45,L13-4),"N/A"))</f>
        <v>N/A</v>
      </c>
      <c r="BP13" s="117"/>
      <c r="BQ13" s="121">
        <f t="shared" si="3"/>
        <v>42140</v>
      </c>
      <c r="BR13" s="121">
        <f t="shared" si="4"/>
        <v>42210</v>
      </c>
      <c r="BS13" s="117"/>
      <c r="BT13" s="121" t="str">
        <f>IF(G13=0,0,IF(AND('Suivi livrables'!P13=0,'Suivi livrables'!R13=0,'Suivi livrables'!T13=0,'Suivi livrables'!V13=0,'Suivi livrables'!X13=0,'Suivi livrables'!AD13=0),"N/A",#REF!-77))</f>
        <v>N/A</v>
      </c>
      <c r="BU13" s="121" t="str">
        <f>IF(G13=0,0,IF(AND('Suivi livrables'!P13=0,'Suivi livrables'!R13=0,'Suivi livrables'!T13=0,'Suivi livrables'!V13=0,'Suivi livrables'!X13=0,'Suivi livrables'!AD13=0),"N/A",#REF!-21))</f>
        <v>N/A</v>
      </c>
      <c r="BV13" s="117"/>
      <c r="BW13" s="97"/>
      <c r="BX13" s="102"/>
      <c r="BY13" s="117" t="str">
        <f t="shared" si="19"/>
        <v/>
      </c>
      <c r="BZ13" s="117" t="str">
        <f t="shared" si="20"/>
        <v/>
      </c>
      <c r="CA13" s="117" t="str">
        <f t="shared" si="21"/>
        <v/>
      </c>
      <c r="CB13" s="117" t="str">
        <f t="shared" si="22"/>
        <v/>
      </c>
      <c r="CC13" s="117" t="str">
        <f t="shared" si="23"/>
        <v/>
      </c>
      <c r="CD13" s="117" t="str">
        <f t="shared" si="24"/>
        <v/>
      </c>
      <c r="CE13" s="117" t="str">
        <f t="shared" si="25"/>
        <v/>
      </c>
      <c r="CF13" s="117" t="str">
        <f t="shared" si="26"/>
        <v/>
      </c>
      <c r="CG13" s="117" t="str">
        <f t="shared" si="27"/>
        <v/>
      </c>
      <c r="CH13" s="117" t="str">
        <f t="shared" si="28"/>
        <v/>
      </c>
      <c r="CI13" s="117" t="str">
        <f t="shared" si="29"/>
        <v/>
      </c>
      <c r="CJ13" s="117" t="str">
        <f t="shared" si="30"/>
        <v/>
      </c>
      <c r="CK13" s="117" t="str">
        <f t="shared" si="31"/>
        <v/>
      </c>
      <c r="CL13" s="117" t="str">
        <f t="shared" si="32"/>
        <v/>
      </c>
      <c r="CM13" s="117" t="str">
        <f t="shared" si="33"/>
        <v/>
      </c>
      <c r="CN13" s="117" t="str">
        <f t="shared" si="34"/>
        <v/>
      </c>
      <c r="CO13" s="121">
        <f t="shared" si="6"/>
        <v>42140</v>
      </c>
      <c r="CP13" s="117"/>
      <c r="CQ13" s="121">
        <f t="shared" si="7"/>
        <v>42140</v>
      </c>
      <c r="CR13" s="117"/>
      <c r="CS13" s="121">
        <f t="shared" si="8"/>
        <v>42182</v>
      </c>
      <c r="CT13" s="121">
        <f t="shared" si="9"/>
        <v>42196</v>
      </c>
      <c r="CU13" s="121">
        <f t="shared" si="10"/>
        <v>42168</v>
      </c>
      <c r="CV13" s="117"/>
      <c r="CW13" s="121">
        <f t="shared" si="11"/>
        <v>42182</v>
      </c>
      <c r="CX13" s="117"/>
      <c r="CY13" s="121">
        <f t="shared" si="12"/>
        <v>42189</v>
      </c>
      <c r="CZ13" s="117"/>
      <c r="DA13" s="121">
        <f t="shared" si="13"/>
        <v>42196</v>
      </c>
      <c r="DB13" s="121">
        <f t="shared" si="14"/>
        <v>42245</v>
      </c>
      <c r="DC13" s="121">
        <f t="shared" si="15"/>
        <v>42245</v>
      </c>
      <c r="DD13" s="117"/>
      <c r="DE13" s="125">
        <f t="shared" si="16"/>
        <v>42141</v>
      </c>
      <c r="DF13" s="124"/>
      <c r="DG13" s="125">
        <f t="shared" si="35"/>
        <v>42141</v>
      </c>
      <c r="DH13" s="124"/>
      <c r="DI13" s="125">
        <f t="shared" si="17"/>
        <v>42201</v>
      </c>
      <c r="DJ13" s="124"/>
      <c r="DK13" s="125">
        <f t="shared" si="18"/>
        <v>42186</v>
      </c>
      <c r="DL13" s="124"/>
      <c r="DM13" s="124"/>
      <c r="DN13" s="124"/>
      <c r="DO13" s="117"/>
    </row>
    <row r="14" spans="1:120" ht="15.75" thickBot="1">
      <c r="A14" s="25" t="s">
        <v>33</v>
      </c>
      <c r="B14" s="57">
        <f>jalons!B14</f>
        <v>0</v>
      </c>
      <c r="C14" s="57">
        <f>jalons!C14</f>
        <v>0</v>
      </c>
      <c r="D14" s="82" t="s">
        <v>252</v>
      </c>
      <c r="E14" s="9">
        <f>IF($A14="","",INDEX(jalons!$A$7:$K$125,MATCH('Suivi livrables'!$A14,jalons!$A$7:$A$125,0),4))</f>
        <v>41793</v>
      </c>
      <c r="F14" s="10">
        <f>IF($A14="","",INDEX(jalons!$A$7:$K$125,MATCH('Suivi livrables'!$A14,jalons!$A$7:$A$125,0),5))</f>
        <v>41821</v>
      </c>
      <c r="G14" s="10">
        <f>IF($A14="","",INDEX(jalons!$A$7:$K$125,MATCH('Suivi livrables'!$A14,jalons!$A$7:$A$125,0),6))</f>
        <v>41849</v>
      </c>
      <c r="H14" s="10">
        <f>IF($A14="","",INDEX(jalons!$A$7:$K$125,MATCH('Suivi livrables'!$A14,jalons!$A$7:$A$125,0),7))</f>
        <v>41927</v>
      </c>
      <c r="I14" s="10">
        <f>IF($A14="","",INDEX(jalons!$A$7:$K$125,MATCH('Suivi livrables'!$A14,jalons!$A$7:$A$125,0),8))</f>
        <v>41941</v>
      </c>
      <c r="J14" s="10">
        <f>IF($A14="","",INDEX(jalons!$A$7:$K$125,MATCH('Suivi livrables'!$A14,jalons!$A$7:$A$125,0),9))</f>
        <v>41971</v>
      </c>
      <c r="K14" s="10">
        <f>IF($A14="","",INDEX(jalons!$A$7:$K$125,MATCH('Suivi livrables'!$A14,jalons!$A$7:$A$125,0),10))</f>
        <v>41945</v>
      </c>
      <c r="L14" s="10" t="str">
        <f>IF($A14="","",INDEX(jalons!$A$7:$K$125,MATCH('Suivi livrables'!$A14,jalons!$A$7:$A$125,0),11))</f>
        <v>manque date</v>
      </c>
      <c r="M14" s="14"/>
      <c r="N14" s="47" t="s">
        <v>88</v>
      </c>
      <c r="O14" s="47" t="s">
        <v>67</v>
      </c>
      <c r="P14" s="48"/>
      <c r="Q14" s="48" t="s">
        <v>67</v>
      </c>
      <c r="R14" s="48"/>
      <c r="S14" s="48"/>
      <c r="T14" s="48"/>
      <c r="U14" s="48"/>
      <c r="V14" s="48"/>
      <c r="W14" s="48"/>
      <c r="X14" s="48"/>
      <c r="Y14" s="48"/>
      <c r="Z14" s="48"/>
      <c r="AA14" s="48"/>
      <c r="AB14" s="93"/>
      <c r="AC14" s="48"/>
      <c r="AD14" s="127"/>
      <c r="AE14" s="132"/>
      <c r="AF14" s="48"/>
      <c r="AG14" s="48"/>
      <c r="AH14" s="48"/>
      <c r="AI14" s="48"/>
      <c r="AJ14" s="48"/>
      <c r="AK14" s="48"/>
      <c r="AL14" s="48"/>
      <c r="AM14" s="48"/>
      <c r="AN14" s="132"/>
      <c r="AO14" s="133"/>
      <c r="AP14" s="132"/>
      <c r="AQ14" s="132"/>
      <c r="AR14" s="133"/>
      <c r="AS14" s="132"/>
      <c r="AT14" s="132"/>
      <c r="AU14" s="139"/>
      <c r="AV14" s="139"/>
      <c r="AW14" s="132"/>
      <c r="AX14" s="139"/>
      <c r="AY14" s="139"/>
      <c r="AZ14" s="132"/>
      <c r="BA14" s="139"/>
      <c r="BB14" s="139"/>
      <c r="BC14" s="139"/>
      <c r="BD14" s="139"/>
      <c r="BE14" s="133" t="s">
        <v>68</v>
      </c>
      <c r="BF14" s="47"/>
      <c r="BG14" s="93"/>
      <c r="BH14" s="96">
        <f t="shared" si="0"/>
        <v>41772</v>
      </c>
      <c r="BI14" s="117" t="s">
        <v>23</v>
      </c>
      <c r="BJ14" s="119">
        <f t="shared" si="1"/>
        <v>41828</v>
      </c>
      <c r="BK14" s="117"/>
      <c r="BL14" s="121">
        <f t="shared" si="2"/>
        <v>41808</v>
      </c>
      <c r="BM14" s="121">
        <f>IF(G14=0,0,IF('Suivi livrables'!BE14="ZSFR",IF(G14-F14&lt;90,F14+7,G14-90),"N/A"))</f>
        <v>41828</v>
      </c>
      <c r="BN14" s="117"/>
      <c r="BO14" s="121" t="e">
        <f>IF(G14=0,0,IF('Suivi livrables'!BE14="ZSFR",IF(L14=0,I14-45,L14-4),"N/A"))</f>
        <v>#VALUE!</v>
      </c>
      <c r="BP14" s="117"/>
      <c r="BQ14" s="121" t="str">
        <f t="shared" si="3"/>
        <v>N/A</v>
      </c>
      <c r="BR14" s="121" t="str">
        <f t="shared" si="4"/>
        <v>N/A</v>
      </c>
      <c r="BS14" s="117"/>
      <c r="BT14" s="121" t="str">
        <f>IF(G14=0,0,IF(AND('Suivi livrables'!P14=0,'Suivi livrables'!R14=0,'Suivi livrables'!T14=0,'Suivi livrables'!V14=0,'Suivi livrables'!X14=0,'Suivi livrables'!AD14=0),"N/A",#REF!-77))</f>
        <v>N/A</v>
      </c>
      <c r="BU14" s="121" t="str">
        <f>IF(G14=0,0,IF(AND('Suivi livrables'!P14=0,'Suivi livrables'!R14=0,'Suivi livrables'!T14=0,'Suivi livrables'!V14=0,'Suivi livrables'!X14=0,'Suivi livrables'!AD14=0),"N/A",#REF!-21))</f>
        <v>N/A</v>
      </c>
      <c r="BV14" s="117"/>
      <c r="BW14" s="97"/>
      <c r="BX14" s="102"/>
      <c r="BY14" s="117" t="str">
        <f t="shared" si="19"/>
        <v>Franklin</v>
      </c>
      <c r="BZ14" s="117" t="str">
        <f t="shared" si="20"/>
        <v/>
      </c>
      <c r="CA14" s="117" t="str">
        <f t="shared" si="21"/>
        <v>Franklin</v>
      </c>
      <c r="CB14" s="117" t="str">
        <f t="shared" si="22"/>
        <v/>
      </c>
      <c r="CC14" s="117" t="str">
        <f t="shared" si="23"/>
        <v/>
      </c>
      <c r="CD14" s="117" t="str">
        <f t="shared" si="24"/>
        <v/>
      </c>
      <c r="CE14" s="117" t="str">
        <f t="shared" si="25"/>
        <v/>
      </c>
      <c r="CF14" s="117" t="str">
        <f t="shared" si="26"/>
        <v/>
      </c>
      <c r="CG14" s="117" t="str">
        <f t="shared" si="27"/>
        <v/>
      </c>
      <c r="CH14" s="117" t="str">
        <f t="shared" si="28"/>
        <v/>
      </c>
      <c r="CI14" s="117" t="str">
        <f t="shared" si="29"/>
        <v/>
      </c>
      <c r="CJ14" s="117" t="str">
        <f t="shared" si="30"/>
        <v/>
      </c>
      <c r="CK14" s="117" t="str">
        <f t="shared" si="31"/>
        <v/>
      </c>
      <c r="CL14" s="117" t="str">
        <f t="shared" si="32"/>
        <v/>
      </c>
      <c r="CM14" s="117" t="str">
        <f t="shared" si="33"/>
        <v/>
      </c>
      <c r="CN14" s="117" t="str">
        <f t="shared" si="34"/>
        <v/>
      </c>
      <c r="CO14" s="121">
        <f t="shared" si="6"/>
        <v>41772</v>
      </c>
      <c r="CP14" s="117"/>
      <c r="CQ14" s="121">
        <f t="shared" si="7"/>
        <v>41772</v>
      </c>
      <c r="CR14" s="117"/>
      <c r="CS14" s="121">
        <f t="shared" si="8"/>
        <v>41814</v>
      </c>
      <c r="CT14" s="121">
        <f t="shared" si="9"/>
        <v>41828</v>
      </c>
      <c r="CU14" s="121">
        <f t="shared" si="10"/>
        <v>41800</v>
      </c>
      <c r="CV14" s="117"/>
      <c r="CW14" s="121">
        <f t="shared" si="11"/>
        <v>41814</v>
      </c>
      <c r="CX14" s="117"/>
      <c r="CY14" s="121">
        <f t="shared" si="12"/>
        <v>41821</v>
      </c>
      <c r="CZ14" s="117"/>
      <c r="DA14" s="121">
        <f t="shared" si="13"/>
        <v>41828</v>
      </c>
      <c r="DB14" s="121">
        <f t="shared" si="14"/>
        <v>41877</v>
      </c>
      <c r="DC14" s="121">
        <f t="shared" si="15"/>
        <v>41877</v>
      </c>
      <c r="DD14" s="117"/>
      <c r="DE14" s="125">
        <f t="shared" si="16"/>
        <v>41776</v>
      </c>
      <c r="DF14" s="124"/>
      <c r="DG14" s="125">
        <f t="shared" si="35"/>
        <v>41776</v>
      </c>
      <c r="DH14" s="124"/>
      <c r="DI14" s="125">
        <f t="shared" si="17"/>
        <v>41836</v>
      </c>
      <c r="DJ14" s="124"/>
      <c r="DK14" s="125">
        <f t="shared" si="18"/>
        <v>41821</v>
      </c>
      <c r="DL14" s="124"/>
      <c r="DM14" s="124"/>
      <c r="DN14" s="124"/>
      <c r="DO14" s="117"/>
    </row>
    <row r="15" spans="1:120" ht="15.75" thickBot="1">
      <c r="A15" s="25" t="s">
        <v>44</v>
      </c>
      <c r="B15" s="57">
        <f>jalons!B15</f>
        <v>0</v>
      </c>
      <c r="C15" s="57">
        <f>jalons!C15</f>
        <v>0</v>
      </c>
      <c r="D15" s="82" t="s">
        <v>252</v>
      </c>
      <c r="E15" s="9">
        <f>IF($A15="","",INDEX(jalons!$A$7:$K$125,MATCH('Suivi livrables'!$A15,jalons!$A$7:$A$125,0),4))</f>
        <v>41828</v>
      </c>
      <c r="F15" s="10">
        <f>IF($A15="","",INDEX(jalons!$A$7:$K$125,MATCH('Suivi livrables'!$A15,jalons!$A$7:$A$125,0),5))</f>
        <v>41913</v>
      </c>
      <c r="G15" s="10">
        <f>IF($A15="","",INDEX(jalons!$A$7:$K$125,MATCH('Suivi livrables'!$A15,jalons!$A$7:$A$125,0),6))</f>
        <v>41983</v>
      </c>
      <c r="H15" s="10">
        <f>IF($A15="","",INDEX(jalons!$A$7:$K$125,MATCH('Suivi livrables'!$A15,jalons!$A$7:$A$125,0),7))</f>
        <v>42065</v>
      </c>
      <c r="I15" s="10">
        <f>IF($A15="","",INDEX(jalons!$A$7:$K$125,MATCH('Suivi livrables'!$A15,jalons!$A$7:$A$125,0),8))</f>
        <v>42095</v>
      </c>
      <c r="J15" s="10">
        <f>IF($A15="","",INDEX(jalons!$A$7:$K$125,MATCH('Suivi livrables'!$A15,jalons!$A$7:$A$125,0),9))</f>
        <v>42132</v>
      </c>
      <c r="K15" s="10">
        <f>IF($A15="","",INDEX(jalons!$A$7:$K$125,MATCH('Suivi livrables'!$A15,jalons!$A$7:$A$125,0),10))</f>
        <v>42050</v>
      </c>
      <c r="L15" s="10">
        <f>IF($A15="","",INDEX(jalons!$A$7:$K$125,MATCH('Suivi livrables'!$A15,jalons!$A$7:$A$125,0),11))</f>
        <v>41985</v>
      </c>
      <c r="M15" s="14"/>
      <c r="N15" s="47" t="s">
        <v>91</v>
      </c>
      <c r="O15" s="47" t="s">
        <v>67</v>
      </c>
      <c r="P15" s="48"/>
      <c r="Q15" s="48" t="s">
        <v>67</v>
      </c>
      <c r="R15" s="48">
        <v>3</v>
      </c>
      <c r="S15" s="48"/>
      <c r="T15" s="48"/>
      <c r="U15" s="48"/>
      <c r="V15" s="48"/>
      <c r="W15" s="48"/>
      <c r="X15" s="48"/>
      <c r="Y15" s="48"/>
      <c r="Z15" s="48"/>
      <c r="AA15" s="48"/>
      <c r="AB15" s="93"/>
      <c r="AC15" s="48"/>
      <c r="AD15" s="127"/>
      <c r="AE15" s="132"/>
      <c r="AF15" s="48"/>
      <c r="AG15" s="48"/>
      <c r="AH15" s="48"/>
      <c r="AI15" s="48"/>
      <c r="AJ15" s="48"/>
      <c r="AK15" s="48"/>
      <c r="AL15" s="48"/>
      <c r="AM15" s="48"/>
      <c r="AN15" s="132"/>
      <c r="AO15" s="133"/>
      <c r="AP15" s="132"/>
      <c r="AQ15" s="132"/>
      <c r="AR15" s="133"/>
      <c r="AS15" s="132"/>
      <c r="AT15" s="132"/>
      <c r="AU15" s="139"/>
      <c r="AV15" s="139"/>
      <c r="AW15" s="132"/>
      <c r="AX15" s="139"/>
      <c r="AY15" s="139"/>
      <c r="AZ15" s="132"/>
      <c r="BA15" s="139"/>
      <c r="BB15" s="139"/>
      <c r="BC15" s="139"/>
      <c r="BD15" s="139"/>
      <c r="BE15" s="133" t="s">
        <v>68</v>
      </c>
      <c r="BF15" s="47"/>
      <c r="BG15" s="93"/>
      <c r="BH15" s="96">
        <f t="shared" si="0"/>
        <v>41906</v>
      </c>
      <c r="BI15" s="117" t="s">
        <v>23</v>
      </c>
      <c r="BJ15" s="119">
        <f t="shared" si="1"/>
        <v>41962</v>
      </c>
      <c r="BK15" s="117"/>
      <c r="BL15" s="121">
        <f t="shared" si="2"/>
        <v>41843</v>
      </c>
      <c r="BM15" s="121">
        <f>IF(G15=0,0,IF('Suivi livrables'!BE15="ZSFR",IF(G15-F15&lt;90,F15+7,G15-90),"N/A"))</f>
        <v>41920</v>
      </c>
      <c r="BN15" s="117"/>
      <c r="BO15" s="121">
        <f>IF(G15=0,0,IF('Suivi livrables'!BE15="ZSFR",IF(L15=0,I15-45,L15-4),"N/A"))</f>
        <v>41981</v>
      </c>
      <c r="BP15" s="117"/>
      <c r="BQ15" s="121" t="str">
        <f t="shared" si="3"/>
        <v>N/A</v>
      </c>
      <c r="BR15" s="121" t="str">
        <f t="shared" si="4"/>
        <v>N/A</v>
      </c>
      <c r="BS15" s="117"/>
      <c r="BT15" s="121" t="e">
        <f>IF(G15=0,0,IF(AND('Suivi livrables'!P15=0,'Suivi livrables'!R15=0,'Suivi livrables'!T15=0,'Suivi livrables'!V15=0,'Suivi livrables'!X15=0,'Suivi livrables'!AD15=0),"N/A",#REF!-77))</f>
        <v>#REF!</v>
      </c>
      <c r="BU15" s="121" t="e">
        <f>IF(G15=0,0,IF(AND('Suivi livrables'!P15=0,'Suivi livrables'!R15=0,'Suivi livrables'!T15=0,'Suivi livrables'!V15=0,'Suivi livrables'!X15=0,'Suivi livrables'!AD15=0),"N/A",#REF!-21))</f>
        <v>#REF!</v>
      </c>
      <c r="BV15" s="117"/>
      <c r="BW15" s="97"/>
      <c r="BX15" s="102"/>
      <c r="BY15" s="117" t="str">
        <f t="shared" si="19"/>
        <v>Franklin</v>
      </c>
      <c r="BZ15" s="117" t="str">
        <f t="shared" si="20"/>
        <v/>
      </c>
      <c r="CA15" s="117" t="str">
        <f t="shared" si="21"/>
        <v>Franklin</v>
      </c>
      <c r="CB15" s="117">
        <f t="shared" si="22"/>
        <v>3</v>
      </c>
      <c r="CC15" s="117" t="str">
        <f t="shared" si="23"/>
        <v/>
      </c>
      <c r="CD15" s="117" t="str">
        <f t="shared" si="24"/>
        <v/>
      </c>
      <c r="CE15" s="117" t="str">
        <f t="shared" si="25"/>
        <v/>
      </c>
      <c r="CF15" s="117" t="str">
        <f t="shared" si="26"/>
        <v/>
      </c>
      <c r="CG15" s="117" t="str">
        <f t="shared" si="27"/>
        <v/>
      </c>
      <c r="CH15" s="117" t="str">
        <f t="shared" si="28"/>
        <v/>
      </c>
      <c r="CI15" s="117" t="str">
        <f t="shared" si="29"/>
        <v/>
      </c>
      <c r="CJ15" s="117" t="str">
        <f t="shared" si="30"/>
        <v/>
      </c>
      <c r="CK15" s="117" t="str">
        <f t="shared" si="31"/>
        <v/>
      </c>
      <c r="CL15" s="117" t="str">
        <f t="shared" si="32"/>
        <v/>
      </c>
      <c r="CM15" s="117" t="str">
        <f t="shared" si="33"/>
        <v/>
      </c>
      <c r="CN15" s="117" t="str">
        <f t="shared" si="34"/>
        <v/>
      </c>
      <c r="CO15" s="121">
        <f t="shared" si="6"/>
        <v>41906</v>
      </c>
      <c r="CP15" s="117"/>
      <c r="CQ15" s="121">
        <f t="shared" si="7"/>
        <v>41906</v>
      </c>
      <c r="CR15" s="117"/>
      <c r="CS15" s="121">
        <f t="shared" si="8"/>
        <v>41948</v>
      </c>
      <c r="CT15" s="121">
        <f t="shared" si="9"/>
        <v>41962</v>
      </c>
      <c r="CU15" s="121">
        <f t="shared" si="10"/>
        <v>41934</v>
      </c>
      <c r="CV15" s="117"/>
      <c r="CW15" s="121">
        <f t="shared" si="11"/>
        <v>41948</v>
      </c>
      <c r="CX15" s="117"/>
      <c r="CY15" s="121">
        <f t="shared" si="12"/>
        <v>41955</v>
      </c>
      <c r="CZ15" s="117"/>
      <c r="DA15" s="121">
        <f t="shared" si="13"/>
        <v>41962</v>
      </c>
      <c r="DB15" s="121">
        <f t="shared" si="14"/>
        <v>42011</v>
      </c>
      <c r="DC15" s="121">
        <f t="shared" si="15"/>
        <v>42011</v>
      </c>
      <c r="DD15" s="117"/>
      <c r="DE15" s="125">
        <f t="shared" si="16"/>
        <v>41868</v>
      </c>
      <c r="DF15" s="124"/>
      <c r="DG15" s="125">
        <f t="shared" si="35"/>
        <v>41868</v>
      </c>
      <c r="DH15" s="124"/>
      <c r="DI15" s="125">
        <f t="shared" si="17"/>
        <v>41928</v>
      </c>
      <c r="DJ15" s="124"/>
      <c r="DK15" s="125">
        <f t="shared" si="18"/>
        <v>41913</v>
      </c>
      <c r="DL15" s="124"/>
      <c r="DM15" s="124"/>
      <c r="DN15" s="124"/>
      <c r="DO15" s="117"/>
    </row>
    <row r="16" spans="1:120" ht="15.75" thickBot="1">
      <c r="A16" s="13" t="s">
        <v>221</v>
      </c>
      <c r="B16" s="57" t="str">
        <f>jalons!B16</f>
        <v>Japan TransOcean Air</v>
      </c>
      <c r="C16" s="57" t="str">
        <f>jalons!C16</f>
        <v>B737</v>
      </c>
      <c r="D16" s="83" t="s">
        <v>252</v>
      </c>
      <c r="E16" s="9">
        <f>IF($A16="","",INDEX(jalons!$A$7:$K$125,MATCH('Suivi livrables'!$A16,jalons!$A$7:$A$125,0),4))</f>
        <v>42292</v>
      </c>
      <c r="F16" s="10">
        <f>IF($A16="","",INDEX(jalons!$A$7:$K$125,MATCH('Suivi livrables'!$A16,jalons!$A$7:$A$125,0),5))</f>
        <v>42322</v>
      </c>
      <c r="G16" s="10">
        <f>IF($A16="","",INDEX(jalons!$A$7:$K$125,MATCH('Suivi livrables'!$A16,jalons!$A$7:$A$125,0),6))</f>
        <v>42322</v>
      </c>
      <c r="H16" s="10" t="str">
        <f>IF($A16="","",INDEX(jalons!$A$7:$K$125,MATCH('Suivi livrables'!$A16,jalons!$A$7:$A$125,0),7))</f>
        <v>manque date</v>
      </c>
      <c r="I16" s="10">
        <f>IF($A16="","",INDEX(jalons!$A$7:$K$125,MATCH('Suivi livrables'!$A16,jalons!$A$7:$A$125,0),8))</f>
        <v>42384</v>
      </c>
      <c r="J16" s="10">
        <f>IF($A16="","",INDEX(jalons!$A$7:$K$125,MATCH('Suivi livrables'!$A16,jalons!$A$7:$A$125,0),9))</f>
        <v>42460</v>
      </c>
      <c r="K16" s="10" t="str">
        <f>IF($A16="","",INDEX(jalons!$A$7:$K$125,MATCH('Suivi livrables'!$A16,jalons!$A$7:$A$125,0),10))</f>
        <v>manque date</v>
      </c>
      <c r="L16" s="10" t="str">
        <f>IF($A16="","",INDEX(jalons!$A$7:$K$125,MATCH('Suivi livrables'!$A16,jalons!$A$7:$A$125,0),11))</f>
        <v>manque date</v>
      </c>
      <c r="M16" s="14"/>
      <c r="N16" s="47"/>
      <c r="O16" s="49"/>
      <c r="P16" s="50"/>
      <c r="Q16" s="50"/>
      <c r="R16" s="50"/>
      <c r="S16" s="50"/>
      <c r="T16" s="50"/>
      <c r="U16" s="50"/>
      <c r="V16" s="50"/>
      <c r="W16" s="50"/>
      <c r="X16" s="50"/>
      <c r="Y16" s="48"/>
      <c r="Z16" s="48"/>
      <c r="AA16" s="50"/>
      <c r="AB16" s="94"/>
      <c r="AC16" s="48"/>
      <c r="AD16" s="128"/>
      <c r="AE16" s="132"/>
      <c r="AF16" s="50"/>
      <c r="AG16" s="48"/>
      <c r="AH16" s="50"/>
      <c r="AI16" s="48"/>
      <c r="AJ16" s="50"/>
      <c r="AK16" s="48"/>
      <c r="AL16" s="50"/>
      <c r="AM16" s="48"/>
      <c r="AN16" s="140"/>
      <c r="AO16" s="133"/>
      <c r="AP16" s="140"/>
      <c r="AQ16" s="132"/>
      <c r="AR16" s="133"/>
      <c r="AS16" s="140"/>
      <c r="AT16" s="132"/>
      <c r="AU16" s="149"/>
      <c r="AV16" s="149"/>
      <c r="AW16" s="132"/>
      <c r="AX16" s="149"/>
      <c r="AY16" s="149"/>
      <c r="AZ16" s="132"/>
      <c r="BA16" s="149"/>
      <c r="BB16" s="149"/>
      <c r="BC16" s="149"/>
      <c r="BD16" s="149"/>
      <c r="BE16" s="133"/>
      <c r="BF16" s="49"/>
      <c r="BG16" s="94"/>
      <c r="BH16" s="96">
        <f t="shared" si="0"/>
        <v>42245</v>
      </c>
      <c r="BI16" s="117" t="s">
        <v>23</v>
      </c>
      <c r="BJ16" s="119">
        <f t="shared" si="1"/>
        <v>42301</v>
      </c>
      <c r="BK16" s="117"/>
      <c r="BL16" s="121" t="str">
        <f t="shared" si="2"/>
        <v>N/A</v>
      </c>
      <c r="BM16" s="121" t="str">
        <f>IF(G16=0,0,IF('Suivi livrables'!BE16="ZSFR",IF(G16-F16&lt;90,F16+7,G16-90),"N/A"))</f>
        <v>N/A</v>
      </c>
      <c r="BN16" s="117"/>
      <c r="BO16" s="121" t="str">
        <f>IF(G16=0,0,IF('Suivi livrables'!BE16="ZSFR",IF(L16=0,I16-45,L16-4),"N/A"))</f>
        <v>N/A</v>
      </c>
      <c r="BP16" s="117"/>
      <c r="BQ16" s="121">
        <f t="shared" si="3"/>
        <v>42245</v>
      </c>
      <c r="BR16" s="121">
        <f t="shared" si="4"/>
        <v>42315</v>
      </c>
      <c r="BS16" s="117"/>
      <c r="BT16" s="121" t="str">
        <f>IF(G16=0,0,IF(AND('Suivi livrables'!P16=0,'Suivi livrables'!R16=0,'Suivi livrables'!T16=0,'Suivi livrables'!V16=0,'Suivi livrables'!X16=0,'Suivi livrables'!AD16=0),"N/A",#REF!-77))</f>
        <v>N/A</v>
      </c>
      <c r="BU16" s="121" t="str">
        <f>IF(G16=0,0,IF(AND('Suivi livrables'!P16=0,'Suivi livrables'!R16=0,'Suivi livrables'!T16=0,'Suivi livrables'!V16=0,'Suivi livrables'!X16=0,'Suivi livrables'!AD16=0),"N/A",#REF!-21))</f>
        <v>N/A</v>
      </c>
      <c r="BV16" s="117"/>
      <c r="BW16" s="97"/>
      <c r="BX16" s="102"/>
      <c r="BY16" s="117" t="str">
        <f t="shared" si="19"/>
        <v/>
      </c>
      <c r="BZ16" s="117" t="str">
        <f t="shared" si="20"/>
        <v/>
      </c>
      <c r="CA16" s="117" t="str">
        <f t="shared" si="21"/>
        <v/>
      </c>
      <c r="CB16" s="117" t="str">
        <f t="shared" si="22"/>
        <v/>
      </c>
      <c r="CC16" s="117" t="str">
        <f t="shared" si="23"/>
        <v/>
      </c>
      <c r="CD16" s="117" t="str">
        <f t="shared" si="24"/>
        <v/>
      </c>
      <c r="CE16" s="117" t="str">
        <f t="shared" si="25"/>
        <v/>
      </c>
      <c r="CF16" s="117" t="str">
        <f t="shared" si="26"/>
        <v/>
      </c>
      <c r="CG16" s="117" t="str">
        <f t="shared" si="27"/>
        <v/>
      </c>
      <c r="CH16" s="117" t="str">
        <f t="shared" si="28"/>
        <v/>
      </c>
      <c r="CI16" s="117" t="str">
        <f t="shared" si="29"/>
        <v/>
      </c>
      <c r="CJ16" s="117" t="str">
        <f t="shared" si="30"/>
        <v/>
      </c>
      <c r="CK16" s="117" t="str">
        <f t="shared" si="31"/>
        <v/>
      </c>
      <c r="CL16" s="117" t="str">
        <f t="shared" si="32"/>
        <v/>
      </c>
      <c r="CM16" s="117" t="str">
        <f t="shared" si="33"/>
        <v/>
      </c>
      <c r="CN16" s="117" t="str">
        <f t="shared" si="34"/>
        <v/>
      </c>
      <c r="CO16" s="121">
        <f t="shared" si="6"/>
        <v>42245</v>
      </c>
      <c r="CP16" s="117"/>
      <c r="CQ16" s="121">
        <f t="shared" si="7"/>
        <v>42245</v>
      </c>
      <c r="CR16" s="117"/>
      <c r="CS16" s="121">
        <f t="shared" si="8"/>
        <v>42287</v>
      </c>
      <c r="CT16" s="121">
        <f t="shared" si="9"/>
        <v>42301</v>
      </c>
      <c r="CU16" s="121">
        <f t="shared" si="10"/>
        <v>42273</v>
      </c>
      <c r="CV16" s="117"/>
      <c r="CW16" s="121">
        <f t="shared" si="11"/>
        <v>42287</v>
      </c>
      <c r="CX16" s="117"/>
      <c r="CY16" s="121">
        <f t="shared" si="12"/>
        <v>42294</v>
      </c>
      <c r="CZ16" s="117"/>
      <c r="DA16" s="121">
        <f t="shared" si="13"/>
        <v>42301</v>
      </c>
      <c r="DB16" s="121">
        <f t="shared" si="14"/>
        <v>42350</v>
      </c>
      <c r="DC16" s="121">
        <f t="shared" si="15"/>
        <v>42350</v>
      </c>
      <c r="DD16" s="117"/>
      <c r="DE16" s="125">
        <f t="shared" si="16"/>
        <v>42277</v>
      </c>
      <c r="DF16" s="124"/>
      <c r="DG16" s="125">
        <f t="shared" si="35"/>
        <v>42277</v>
      </c>
      <c r="DH16" s="124"/>
      <c r="DI16" s="125">
        <f t="shared" si="17"/>
        <v>42337</v>
      </c>
      <c r="DJ16" s="124"/>
      <c r="DK16" s="125">
        <f t="shared" si="18"/>
        <v>42322</v>
      </c>
      <c r="DL16" s="124"/>
      <c r="DM16" s="124"/>
      <c r="DN16" s="124"/>
      <c r="DO16" s="117"/>
    </row>
    <row r="17" spans="1:119" ht="15.75" thickBot="1">
      <c r="A17" s="25" t="s">
        <v>45</v>
      </c>
      <c r="B17" s="57">
        <f>jalons!B17</f>
        <v>0</v>
      </c>
      <c r="C17" s="57">
        <f>jalons!C17</f>
        <v>0</v>
      </c>
      <c r="D17" s="82" t="s">
        <v>252</v>
      </c>
      <c r="E17" s="9">
        <f>IF($A17="","",INDEX(jalons!$A$7:$K$125,MATCH('Suivi livrables'!$A17,jalons!$A$7:$A$125,0),4))</f>
        <v>41872</v>
      </c>
      <c r="F17" s="10">
        <f>IF($A17="","",INDEX(jalons!$A$7:$K$125,MATCH('Suivi livrables'!$A17,jalons!$A$7:$A$125,0),5))</f>
        <v>41934</v>
      </c>
      <c r="G17" s="10">
        <f>IF($A17="","",INDEX(jalons!$A$7:$K$125,MATCH('Suivi livrables'!$A17,jalons!$A$7:$A$125,0),6))</f>
        <v>42025</v>
      </c>
      <c r="H17" s="10">
        <f>IF($A17="","",INDEX(jalons!$A$7:$K$125,MATCH('Suivi livrables'!$A17,jalons!$A$7:$A$125,0),7))</f>
        <v>42205</v>
      </c>
      <c r="I17" s="10">
        <f>IF($A17="","",INDEX(jalons!$A$7:$K$125,MATCH('Suivi livrables'!$A17,jalons!$A$7:$A$125,0),8))</f>
        <v>42235</v>
      </c>
      <c r="J17" s="10">
        <f>IF($A17="","",INDEX(jalons!$A$7:$K$125,MATCH('Suivi livrables'!$A17,jalons!$A$7:$A$125,0),9))</f>
        <v>42331</v>
      </c>
      <c r="K17" s="10">
        <f>IF($A17="","",INDEX(jalons!$A$7:$K$125,MATCH('Suivi livrables'!$A17,jalons!$A$7:$A$125,0),10))</f>
        <v>42135</v>
      </c>
      <c r="L17" s="10">
        <f>IF($A17="","",INDEX(jalons!$A$7:$K$125,MATCH('Suivi livrables'!$A17,jalons!$A$7:$A$125,0),11))</f>
        <v>42115</v>
      </c>
      <c r="M17" s="14"/>
      <c r="N17" s="47" t="s">
        <v>55</v>
      </c>
      <c r="O17" s="47" t="s">
        <v>71</v>
      </c>
      <c r="P17" s="48"/>
      <c r="Q17" s="48" t="s">
        <v>71</v>
      </c>
      <c r="R17" s="48"/>
      <c r="S17" s="48"/>
      <c r="T17" s="48"/>
      <c r="U17" s="48"/>
      <c r="V17" s="48"/>
      <c r="W17" s="48"/>
      <c r="X17" s="48"/>
      <c r="Y17" s="48"/>
      <c r="Z17" s="48"/>
      <c r="AA17" s="48"/>
      <c r="AB17" s="93"/>
      <c r="AC17" s="48"/>
      <c r="AD17" s="127"/>
      <c r="AE17" s="132"/>
      <c r="AF17" s="48"/>
      <c r="AG17" s="48"/>
      <c r="AH17" s="48"/>
      <c r="AI17" s="48"/>
      <c r="AJ17" s="48"/>
      <c r="AK17" s="48"/>
      <c r="AL17" s="48"/>
      <c r="AM17" s="48"/>
      <c r="AN17" s="132"/>
      <c r="AO17" s="133"/>
      <c r="AP17" s="132"/>
      <c r="AQ17" s="132"/>
      <c r="AR17" s="133"/>
      <c r="AS17" s="132"/>
      <c r="AT17" s="132"/>
      <c r="AU17" s="139"/>
      <c r="AV17" s="139"/>
      <c r="AW17" s="132"/>
      <c r="AX17" s="139"/>
      <c r="AY17" s="139"/>
      <c r="AZ17" s="132"/>
      <c r="BA17" s="139"/>
      <c r="BB17" s="139"/>
      <c r="BC17" s="139"/>
      <c r="BD17" s="139"/>
      <c r="BE17" s="133" t="s">
        <v>68</v>
      </c>
      <c r="BF17" s="47"/>
      <c r="BG17" s="93"/>
      <c r="BH17" s="96">
        <f t="shared" si="0"/>
        <v>41948</v>
      </c>
      <c r="BI17" s="117" t="s">
        <v>23</v>
      </c>
      <c r="BJ17" s="119">
        <f t="shared" si="1"/>
        <v>42004</v>
      </c>
      <c r="BK17" s="117"/>
      <c r="BL17" s="121">
        <f t="shared" si="2"/>
        <v>41887</v>
      </c>
      <c r="BM17" s="121">
        <f>IF(G17=0,0,IF('Suivi livrables'!BE17="ZSFR",IF(G17-F17&lt;90,F17+7,G17-90),"N/A"))</f>
        <v>41935</v>
      </c>
      <c r="BN17" s="117"/>
      <c r="BO17" s="121">
        <f>IF(G17=0,0,IF('Suivi livrables'!BE17="ZSFR",IF(L17=0,I17-45,L17-4),"N/A"))</f>
        <v>42111</v>
      </c>
      <c r="BP17" s="117"/>
      <c r="BQ17" s="121" t="str">
        <f t="shared" si="3"/>
        <v>N/A</v>
      </c>
      <c r="BR17" s="121" t="str">
        <f t="shared" si="4"/>
        <v>N/A</v>
      </c>
      <c r="BS17" s="117"/>
      <c r="BT17" s="121" t="str">
        <f>IF(G17=0,0,IF(AND('Suivi livrables'!P17=0,'Suivi livrables'!R17=0,'Suivi livrables'!T17=0,'Suivi livrables'!V17=0,'Suivi livrables'!X17=0,'Suivi livrables'!AD17=0),"N/A",#REF!-77))</f>
        <v>N/A</v>
      </c>
      <c r="BU17" s="121" t="str">
        <f>IF(G17=0,0,IF(AND('Suivi livrables'!P17=0,'Suivi livrables'!R17=0,'Suivi livrables'!T17=0,'Suivi livrables'!V17=0,'Suivi livrables'!X17=0,'Suivi livrables'!AD17=0),"N/A",#REF!-21))</f>
        <v>N/A</v>
      </c>
      <c r="BV17" s="117"/>
      <c r="BW17" s="97"/>
      <c r="BX17" s="102"/>
      <c r="BY17" s="117" t="str">
        <f t="shared" si="19"/>
        <v>Greiner</v>
      </c>
      <c r="BZ17" s="117" t="str">
        <f t="shared" si="20"/>
        <v/>
      </c>
      <c r="CA17" s="117" t="str">
        <f t="shared" si="21"/>
        <v>Greiner</v>
      </c>
      <c r="CB17" s="117" t="str">
        <f t="shared" si="22"/>
        <v/>
      </c>
      <c r="CC17" s="117" t="str">
        <f t="shared" si="23"/>
        <v/>
      </c>
      <c r="CD17" s="117" t="str">
        <f t="shared" si="24"/>
        <v/>
      </c>
      <c r="CE17" s="117" t="str">
        <f t="shared" si="25"/>
        <v/>
      </c>
      <c r="CF17" s="117" t="str">
        <f t="shared" si="26"/>
        <v/>
      </c>
      <c r="CG17" s="117" t="str">
        <f t="shared" si="27"/>
        <v/>
      </c>
      <c r="CH17" s="117" t="str">
        <f t="shared" si="28"/>
        <v/>
      </c>
      <c r="CI17" s="117" t="str">
        <f t="shared" si="29"/>
        <v/>
      </c>
      <c r="CJ17" s="117" t="str">
        <f t="shared" si="30"/>
        <v/>
      </c>
      <c r="CK17" s="117" t="str">
        <f t="shared" si="31"/>
        <v/>
      </c>
      <c r="CL17" s="117" t="str">
        <f t="shared" si="32"/>
        <v/>
      </c>
      <c r="CM17" s="117" t="str">
        <f t="shared" si="33"/>
        <v/>
      </c>
      <c r="CN17" s="117" t="str">
        <f t="shared" si="34"/>
        <v/>
      </c>
      <c r="CO17" s="121">
        <f t="shared" si="6"/>
        <v>41948</v>
      </c>
      <c r="CP17" s="117"/>
      <c r="CQ17" s="121">
        <f t="shared" si="7"/>
        <v>41948</v>
      </c>
      <c r="CR17" s="117"/>
      <c r="CS17" s="121">
        <f t="shared" si="8"/>
        <v>41990</v>
      </c>
      <c r="CT17" s="121">
        <f t="shared" si="9"/>
        <v>42004</v>
      </c>
      <c r="CU17" s="121">
        <f t="shared" si="10"/>
        <v>41976</v>
      </c>
      <c r="CV17" s="117"/>
      <c r="CW17" s="121">
        <f t="shared" si="11"/>
        <v>41990</v>
      </c>
      <c r="CX17" s="117"/>
      <c r="CY17" s="121">
        <f t="shared" si="12"/>
        <v>41997</v>
      </c>
      <c r="CZ17" s="117"/>
      <c r="DA17" s="121">
        <f t="shared" si="13"/>
        <v>42004</v>
      </c>
      <c r="DB17" s="121">
        <f t="shared" si="14"/>
        <v>42053</v>
      </c>
      <c r="DC17" s="121">
        <f t="shared" si="15"/>
        <v>42053</v>
      </c>
      <c r="DD17" s="117"/>
      <c r="DE17" s="125">
        <f t="shared" si="16"/>
        <v>41875</v>
      </c>
      <c r="DF17" s="124"/>
      <c r="DG17" s="125">
        <f t="shared" si="35"/>
        <v>41875</v>
      </c>
      <c r="DH17" s="124"/>
      <c r="DI17" s="125">
        <f t="shared" si="17"/>
        <v>41935</v>
      </c>
      <c r="DJ17" s="124"/>
      <c r="DK17" s="125">
        <f t="shared" si="18"/>
        <v>41920</v>
      </c>
      <c r="DL17" s="124"/>
      <c r="DM17" s="124"/>
      <c r="DN17" s="124"/>
      <c r="DO17" s="117"/>
    </row>
    <row r="18" spans="1:119" ht="15.75" thickBot="1">
      <c r="A18" s="25" t="s">
        <v>81</v>
      </c>
      <c r="B18" s="57" t="str">
        <f>jalons!B18</f>
        <v>NOK Air</v>
      </c>
      <c r="C18" s="57" t="str">
        <f>jalons!C18</f>
        <v>B737</v>
      </c>
      <c r="D18" s="82" t="s">
        <v>252</v>
      </c>
      <c r="E18" s="9">
        <f>IF($A18="","",INDEX(jalons!$A$7:$K$125,MATCH('Suivi livrables'!$A18,jalons!$A$7:$A$125,0),4))</f>
        <v>41843</v>
      </c>
      <c r="F18" s="10">
        <f>IF($A18="","",INDEX(jalons!$A$7:$K$125,MATCH('Suivi livrables'!$A18,jalons!$A$7:$A$125,0),5))</f>
        <v>41918</v>
      </c>
      <c r="G18" s="10">
        <f>IF($A18="","",INDEX(jalons!$A$7:$K$125,MATCH('Suivi livrables'!$A18,jalons!$A$7:$A$125,0),6))</f>
        <v>42010</v>
      </c>
      <c r="H18" s="10">
        <f>IF($A18="","",INDEX(jalons!$A$7:$K$125,MATCH('Suivi livrables'!$A18,jalons!$A$7:$A$125,0),7))</f>
        <v>42128</v>
      </c>
      <c r="I18" s="10">
        <f>IF($A18="","",INDEX(jalons!$A$7:$K$125,MATCH('Suivi livrables'!$A18,jalons!$A$7:$A$125,0),8))</f>
        <v>42158</v>
      </c>
      <c r="J18" s="10">
        <f>IF($A18="","",INDEX(jalons!$A$7:$K$125,MATCH('Suivi livrables'!$A18,jalons!$A$7:$A$125,0),9))</f>
        <v>42173</v>
      </c>
      <c r="K18" s="10">
        <f>IF($A18="","",INDEX(jalons!$A$7:$K$125,MATCH('Suivi livrables'!$A18,jalons!$A$7:$A$125,0),10))</f>
        <v>42113</v>
      </c>
      <c r="L18" s="10">
        <f>IF($A18="","",INDEX(jalons!$A$7:$K$125,MATCH('Suivi livrables'!$A18,jalons!$A$7:$A$125,0),11))</f>
        <v>42038</v>
      </c>
      <c r="M18" s="14"/>
      <c r="N18" s="47" t="s">
        <v>199</v>
      </c>
      <c r="O18" s="47" t="s">
        <v>71</v>
      </c>
      <c r="P18" s="48"/>
      <c r="Q18" s="48" t="s">
        <v>71</v>
      </c>
      <c r="R18" s="48">
        <v>2</v>
      </c>
      <c r="S18" s="48"/>
      <c r="T18" s="48"/>
      <c r="U18" s="48"/>
      <c r="V18" s="48"/>
      <c r="W18" s="48"/>
      <c r="X18" s="48"/>
      <c r="Y18" s="48"/>
      <c r="Z18" s="48"/>
      <c r="AA18" s="48"/>
      <c r="AB18" s="93"/>
      <c r="AC18" s="48"/>
      <c r="AD18" s="127"/>
      <c r="AE18" s="132"/>
      <c r="AF18" s="48"/>
      <c r="AG18" s="48"/>
      <c r="AH18" s="48"/>
      <c r="AI18" s="48"/>
      <c r="AJ18" s="48"/>
      <c r="AK18" s="48"/>
      <c r="AL18" s="48"/>
      <c r="AM18" s="48"/>
      <c r="AN18" s="132"/>
      <c r="AO18" s="133"/>
      <c r="AP18" s="132"/>
      <c r="AQ18" s="132"/>
      <c r="AR18" s="133"/>
      <c r="AS18" s="132"/>
      <c r="AT18" s="132"/>
      <c r="AU18" s="139"/>
      <c r="AV18" s="139"/>
      <c r="AW18" s="132"/>
      <c r="AX18" s="139"/>
      <c r="AY18" s="139"/>
      <c r="AZ18" s="132"/>
      <c r="BA18" s="139"/>
      <c r="BB18" s="139"/>
      <c r="BC18" s="139"/>
      <c r="BD18" s="139"/>
      <c r="BE18" s="133" t="s">
        <v>68</v>
      </c>
      <c r="BF18" s="47"/>
      <c r="BG18" s="93"/>
      <c r="BH18" s="96">
        <f t="shared" si="0"/>
        <v>41933</v>
      </c>
      <c r="BI18" s="117" t="s">
        <v>23</v>
      </c>
      <c r="BJ18" s="119">
        <f t="shared" si="1"/>
        <v>41989</v>
      </c>
      <c r="BK18" s="117"/>
      <c r="BL18" s="121">
        <f t="shared" si="2"/>
        <v>41858</v>
      </c>
      <c r="BM18" s="121">
        <f>IF(G18=0,0,IF('Suivi livrables'!BE18="ZSFR",IF(G18-F18&lt;90,F18+7,G18-90),"N/A"))</f>
        <v>41920</v>
      </c>
      <c r="BN18" s="117"/>
      <c r="BO18" s="121">
        <f>IF(G18=0,0,IF('Suivi livrables'!BE18="ZSFR",IF(L18=0,I18-45,L18-4),"N/A"))</f>
        <v>42034</v>
      </c>
      <c r="BP18" s="117"/>
      <c r="BQ18" s="121" t="str">
        <f t="shared" si="3"/>
        <v>N/A</v>
      </c>
      <c r="BR18" s="121" t="str">
        <f t="shared" si="4"/>
        <v>N/A</v>
      </c>
      <c r="BS18" s="117"/>
      <c r="BT18" s="121" t="e">
        <f>IF(G18=0,0,IF(AND('Suivi livrables'!P18=0,'Suivi livrables'!R18=0,'Suivi livrables'!T18=0,'Suivi livrables'!V18=0,'Suivi livrables'!X18=0,'Suivi livrables'!AD18=0),"N/A",#REF!-77))</f>
        <v>#REF!</v>
      </c>
      <c r="BU18" s="121" t="e">
        <f>IF(G18=0,0,IF(AND('Suivi livrables'!P18=0,'Suivi livrables'!R18=0,'Suivi livrables'!T18=0,'Suivi livrables'!V18=0,'Suivi livrables'!X18=0,'Suivi livrables'!AD18=0),"N/A",#REF!-21))</f>
        <v>#REF!</v>
      </c>
      <c r="BV18" s="117"/>
      <c r="BW18" s="97"/>
      <c r="BX18" s="102"/>
      <c r="BY18" s="117" t="str">
        <f t="shared" si="19"/>
        <v>Greiner</v>
      </c>
      <c r="BZ18" s="117" t="str">
        <f t="shared" si="20"/>
        <v/>
      </c>
      <c r="CA18" s="117" t="str">
        <f t="shared" si="21"/>
        <v>Greiner</v>
      </c>
      <c r="CB18" s="117">
        <f t="shared" si="22"/>
        <v>2</v>
      </c>
      <c r="CC18" s="117" t="str">
        <f t="shared" si="23"/>
        <v/>
      </c>
      <c r="CD18" s="117" t="str">
        <f t="shared" si="24"/>
        <v/>
      </c>
      <c r="CE18" s="117" t="str">
        <f t="shared" si="25"/>
        <v/>
      </c>
      <c r="CF18" s="117" t="str">
        <f t="shared" si="26"/>
        <v/>
      </c>
      <c r="CG18" s="117" t="str">
        <f t="shared" si="27"/>
        <v/>
      </c>
      <c r="CH18" s="117" t="str">
        <f t="shared" si="28"/>
        <v/>
      </c>
      <c r="CI18" s="117" t="str">
        <f t="shared" si="29"/>
        <v/>
      </c>
      <c r="CJ18" s="117" t="str">
        <f t="shared" si="30"/>
        <v/>
      </c>
      <c r="CK18" s="117" t="str">
        <f t="shared" si="31"/>
        <v/>
      </c>
      <c r="CL18" s="117" t="str">
        <f t="shared" si="32"/>
        <v/>
      </c>
      <c r="CM18" s="117" t="str">
        <f t="shared" si="33"/>
        <v/>
      </c>
      <c r="CN18" s="117" t="str">
        <f t="shared" si="34"/>
        <v/>
      </c>
      <c r="CO18" s="121">
        <f t="shared" si="6"/>
        <v>41933</v>
      </c>
      <c r="CP18" s="117"/>
      <c r="CQ18" s="121">
        <f t="shared" si="7"/>
        <v>41933</v>
      </c>
      <c r="CR18" s="117"/>
      <c r="CS18" s="121">
        <f t="shared" si="8"/>
        <v>41975</v>
      </c>
      <c r="CT18" s="121">
        <f t="shared" si="9"/>
        <v>41989</v>
      </c>
      <c r="CU18" s="121">
        <f t="shared" si="10"/>
        <v>41961</v>
      </c>
      <c r="CV18" s="117"/>
      <c r="CW18" s="121">
        <f t="shared" si="11"/>
        <v>41975</v>
      </c>
      <c r="CX18" s="117"/>
      <c r="CY18" s="121">
        <f t="shared" si="12"/>
        <v>41982</v>
      </c>
      <c r="CZ18" s="117"/>
      <c r="DA18" s="121">
        <f t="shared" si="13"/>
        <v>41989</v>
      </c>
      <c r="DB18" s="121">
        <f t="shared" si="14"/>
        <v>42038</v>
      </c>
      <c r="DC18" s="121">
        <f t="shared" si="15"/>
        <v>42038</v>
      </c>
      <c r="DD18" s="117"/>
      <c r="DE18" s="125">
        <f t="shared" si="16"/>
        <v>41860</v>
      </c>
      <c r="DF18" s="124"/>
      <c r="DG18" s="125">
        <f t="shared" si="35"/>
        <v>41860</v>
      </c>
      <c r="DH18" s="124"/>
      <c r="DI18" s="125">
        <f t="shared" si="17"/>
        <v>41920</v>
      </c>
      <c r="DJ18" s="124"/>
      <c r="DK18" s="125">
        <f t="shared" si="18"/>
        <v>41905</v>
      </c>
      <c r="DL18" s="124"/>
      <c r="DM18" s="124"/>
      <c r="DN18" s="124"/>
      <c r="DO18" s="117"/>
    </row>
    <row r="19" spans="1:119" ht="15.75" thickBot="1">
      <c r="A19" s="25" t="s">
        <v>213</v>
      </c>
      <c r="B19" s="57" t="str">
        <f>jalons!B19</f>
        <v>Korean Airlines</v>
      </c>
      <c r="C19" s="57" t="str">
        <f>jalons!C19</f>
        <v>B777</v>
      </c>
      <c r="D19" s="82" t="s">
        <v>252</v>
      </c>
      <c r="E19" s="9">
        <f>IF($A19="","",INDEX(jalons!$A$7:$K$125,MATCH('Suivi livrables'!$A19,jalons!$A$7:$A$125,0),4))</f>
        <v>41872</v>
      </c>
      <c r="F19" s="10">
        <f>IF($A19="","",INDEX(jalons!$A$7:$K$125,MATCH('Suivi livrables'!$A19,jalons!$A$7:$A$125,0),5))</f>
        <v>41934</v>
      </c>
      <c r="G19" s="10">
        <f>IF($A19="","",INDEX(jalons!$A$7:$K$125,MATCH('Suivi livrables'!$A19,jalons!$A$7:$A$125,0),6))</f>
        <v>42031</v>
      </c>
      <c r="H19" s="10">
        <f>IF($A19="","",INDEX(jalons!$A$7:$K$125,MATCH('Suivi livrables'!$A19,jalons!$A$7:$A$125,0),7))</f>
        <v>42122</v>
      </c>
      <c r="I19" s="10">
        <f>IF($A19="","",INDEX(jalons!$A$7:$K$125,MATCH('Suivi livrables'!$A19,jalons!$A$7:$A$125,0),8))</f>
        <v>42151</v>
      </c>
      <c r="J19" s="10">
        <f>IF($A19="","",INDEX(jalons!$A$7:$K$125,MATCH('Suivi livrables'!$A19,jalons!$A$7:$A$125,0),9))</f>
        <v>42181</v>
      </c>
      <c r="K19" s="10">
        <f>IF($A19="","",INDEX(jalons!$A$7:$K$125,MATCH('Suivi livrables'!$A19,jalons!$A$7:$A$125,0),10))</f>
        <v>42107</v>
      </c>
      <c r="L19" s="10">
        <f>IF($A19="","",INDEX(jalons!$A$7:$K$125,MATCH('Suivi livrables'!$A19,jalons!$A$7:$A$125,0),11))</f>
        <v>42052</v>
      </c>
      <c r="M19" s="14"/>
      <c r="N19" s="47" t="s">
        <v>75</v>
      </c>
      <c r="O19" s="47" t="s">
        <v>71</v>
      </c>
      <c r="P19" s="48"/>
      <c r="Q19" s="48" t="s">
        <v>71</v>
      </c>
      <c r="R19" s="48">
        <v>5</v>
      </c>
      <c r="S19" s="48"/>
      <c r="T19" s="48"/>
      <c r="U19" s="48" t="s">
        <v>71</v>
      </c>
      <c r="V19" s="48">
        <v>3</v>
      </c>
      <c r="W19" s="48"/>
      <c r="X19" s="48"/>
      <c r="Y19" s="48"/>
      <c r="Z19" s="48"/>
      <c r="AA19" s="48"/>
      <c r="AB19" s="93"/>
      <c r="AC19" s="48"/>
      <c r="AD19" s="127"/>
      <c r="AE19" s="132"/>
      <c r="AF19" s="48"/>
      <c r="AG19" s="48"/>
      <c r="AH19" s="48"/>
      <c r="AI19" s="48"/>
      <c r="AJ19" s="48"/>
      <c r="AK19" s="48"/>
      <c r="AL19" s="48"/>
      <c r="AM19" s="48"/>
      <c r="AN19" s="132"/>
      <c r="AO19" s="133"/>
      <c r="AP19" s="132"/>
      <c r="AQ19" s="132"/>
      <c r="AR19" s="133"/>
      <c r="AS19" s="132"/>
      <c r="AT19" s="132"/>
      <c r="AU19" s="139"/>
      <c r="AV19" s="139"/>
      <c r="AW19" s="132"/>
      <c r="AX19" s="139"/>
      <c r="AY19" s="139"/>
      <c r="AZ19" s="132"/>
      <c r="BA19" s="139"/>
      <c r="BB19" s="139"/>
      <c r="BC19" s="139"/>
      <c r="BD19" s="139"/>
      <c r="BE19" s="133" t="s">
        <v>68</v>
      </c>
      <c r="BF19" s="47"/>
      <c r="BG19" s="93"/>
      <c r="BH19" s="96">
        <f t="shared" si="0"/>
        <v>41954</v>
      </c>
      <c r="BI19" s="117" t="s">
        <v>23</v>
      </c>
      <c r="BJ19" s="119">
        <f t="shared" si="1"/>
        <v>42010</v>
      </c>
      <c r="BK19" s="117"/>
      <c r="BL19" s="121">
        <f t="shared" si="2"/>
        <v>41887</v>
      </c>
      <c r="BM19" s="121">
        <f>IF(G19=0,0,IF('Suivi livrables'!BE19="ZSFR",IF(G19-F19&lt;90,F19+7,G19-90),"N/A"))</f>
        <v>41941</v>
      </c>
      <c r="BN19" s="117"/>
      <c r="BO19" s="121">
        <f>IF(G19=0,0,IF('Suivi livrables'!BE19="ZSFR",IF(L19=0,I19-45,L19-4),"N/A"))</f>
        <v>42048</v>
      </c>
      <c r="BP19" s="117"/>
      <c r="BQ19" s="121" t="str">
        <f t="shared" si="3"/>
        <v>N/A</v>
      </c>
      <c r="BR19" s="121" t="str">
        <f t="shared" si="4"/>
        <v>N/A</v>
      </c>
      <c r="BS19" s="117"/>
      <c r="BT19" s="121" t="e">
        <f>IF(G19=0,0,IF(AND('Suivi livrables'!P19=0,'Suivi livrables'!R19=0,'Suivi livrables'!T19=0,'Suivi livrables'!V19=0,'Suivi livrables'!X19=0,'Suivi livrables'!AD19=0),"N/A",#REF!-77))</f>
        <v>#REF!</v>
      </c>
      <c r="BU19" s="121" t="e">
        <f>IF(G19=0,0,IF(AND('Suivi livrables'!P19=0,'Suivi livrables'!R19=0,'Suivi livrables'!T19=0,'Suivi livrables'!V19=0,'Suivi livrables'!X19=0,'Suivi livrables'!AD19=0),"N/A",#REF!-21))</f>
        <v>#REF!</v>
      </c>
      <c r="BV19" s="117"/>
      <c r="BW19" s="97"/>
      <c r="BX19" s="102"/>
      <c r="BY19" s="117" t="str">
        <f t="shared" si="19"/>
        <v>Greiner</v>
      </c>
      <c r="BZ19" s="117" t="str">
        <f t="shared" si="20"/>
        <v/>
      </c>
      <c r="CA19" s="117" t="str">
        <f t="shared" si="21"/>
        <v>Greiner</v>
      </c>
      <c r="CB19" s="117">
        <f t="shared" si="22"/>
        <v>5</v>
      </c>
      <c r="CC19" s="117" t="str">
        <f t="shared" si="23"/>
        <v/>
      </c>
      <c r="CD19" s="117" t="str">
        <f t="shared" si="24"/>
        <v/>
      </c>
      <c r="CE19" s="117" t="str">
        <f t="shared" si="25"/>
        <v>Greiner</v>
      </c>
      <c r="CF19" s="117">
        <f t="shared" si="26"/>
        <v>3</v>
      </c>
      <c r="CG19" s="117" t="str">
        <f t="shared" si="27"/>
        <v/>
      </c>
      <c r="CH19" s="117" t="str">
        <f t="shared" si="28"/>
        <v/>
      </c>
      <c r="CI19" s="117" t="str">
        <f t="shared" si="29"/>
        <v/>
      </c>
      <c r="CJ19" s="117" t="str">
        <f t="shared" si="30"/>
        <v/>
      </c>
      <c r="CK19" s="117" t="str">
        <f t="shared" si="31"/>
        <v/>
      </c>
      <c r="CL19" s="117" t="str">
        <f t="shared" si="32"/>
        <v/>
      </c>
      <c r="CM19" s="117" t="str">
        <f t="shared" si="33"/>
        <v/>
      </c>
      <c r="CN19" s="117" t="str">
        <f t="shared" si="34"/>
        <v/>
      </c>
      <c r="CO19" s="121">
        <f t="shared" si="6"/>
        <v>41954</v>
      </c>
      <c r="CP19" s="117"/>
      <c r="CQ19" s="121">
        <f t="shared" si="7"/>
        <v>41954</v>
      </c>
      <c r="CR19" s="117"/>
      <c r="CS19" s="121">
        <f t="shared" si="8"/>
        <v>41996</v>
      </c>
      <c r="CT19" s="121">
        <f t="shared" si="9"/>
        <v>42010</v>
      </c>
      <c r="CU19" s="121">
        <f t="shared" si="10"/>
        <v>41982</v>
      </c>
      <c r="CV19" s="117"/>
      <c r="CW19" s="121">
        <f t="shared" si="11"/>
        <v>41996</v>
      </c>
      <c r="CX19" s="117"/>
      <c r="CY19" s="121">
        <f t="shared" si="12"/>
        <v>42003</v>
      </c>
      <c r="CZ19" s="117"/>
      <c r="DA19" s="121">
        <f t="shared" si="13"/>
        <v>42010</v>
      </c>
      <c r="DB19" s="121">
        <f t="shared" si="14"/>
        <v>42059</v>
      </c>
      <c r="DC19" s="121">
        <f t="shared" si="15"/>
        <v>42059</v>
      </c>
      <c r="DD19" s="117"/>
      <c r="DE19" s="125">
        <f t="shared" si="16"/>
        <v>41881</v>
      </c>
      <c r="DF19" s="124"/>
      <c r="DG19" s="125">
        <f t="shared" si="35"/>
        <v>41881</v>
      </c>
      <c r="DH19" s="124"/>
      <c r="DI19" s="125">
        <f t="shared" si="17"/>
        <v>41941</v>
      </c>
      <c r="DJ19" s="124"/>
      <c r="DK19" s="125">
        <f t="shared" si="18"/>
        <v>41926</v>
      </c>
      <c r="DL19" s="124"/>
      <c r="DM19" s="124"/>
      <c r="DN19" s="124"/>
      <c r="DO19" s="117"/>
    </row>
    <row r="20" spans="1:119" ht="15.75" thickBot="1">
      <c r="A20" s="25" t="s">
        <v>47</v>
      </c>
      <c r="B20" s="57">
        <f>jalons!B20</f>
        <v>0</v>
      </c>
      <c r="C20" s="57">
        <f>jalons!C20</f>
        <v>0</v>
      </c>
      <c r="D20" s="82" t="s">
        <v>252</v>
      </c>
      <c r="E20" s="9">
        <f>IF($A20="","",INDEX(jalons!$A$7:$K$125,MATCH('Suivi livrables'!$A20,jalons!$A$7:$A$125,0),4))</f>
        <v>41884</v>
      </c>
      <c r="F20" s="10">
        <f>IF($A20="","",INDEX(jalons!$A$7:$K$125,MATCH('Suivi livrables'!$A20,jalons!$A$7:$A$125,0),5))</f>
        <v>41927</v>
      </c>
      <c r="G20" s="10">
        <f>IF($A20="","",INDEX(jalons!$A$7:$K$125,MATCH('Suivi livrables'!$A20,jalons!$A$7:$A$125,0),6))</f>
        <v>41988</v>
      </c>
      <c r="H20" s="10">
        <f>IF($A20="","",INDEX(jalons!$A$7:$K$125,MATCH('Suivi livrables'!$A20,jalons!$A$7:$A$125,0),7))</f>
        <v>42193</v>
      </c>
      <c r="I20" s="10">
        <f>IF($A20="","",INDEX(jalons!$A$7:$K$125,MATCH('Suivi livrables'!$A20,jalons!$A$7:$A$125,0),8))</f>
        <v>42201</v>
      </c>
      <c r="J20" s="10">
        <f>IF($A20="","",INDEX(jalons!$A$7:$K$125,MATCH('Suivi livrables'!$A20,jalons!$A$7:$A$125,0),9))</f>
        <v>42272</v>
      </c>
      <c r="K20" s="10">
        <f>IF($A20="","",INDEX(jalons!$A$7:$K$125,MATCH('Suivi livrables'!$A20,jalons!$A$7:$A$125,0),10))</f>
        <v>42156</v>
      </c>
      <c r="L20" s="10">
        <f>IF($A20="","",INDEX(jalons!$A$7:$K$125,MATCH('Suivi livrables'!$A20,jalons!$A$7:$A$125,0),11))</f>
        <v>42129</v>
      </c>
      <c r="M20" s="14"/>
      <c r="N20" s="47" t="s">
        <v>70</v>
      </c>
      <c r="O20" s="47" t="s">
        <v>71</v>
      </c>
      <c r="P20" s="48"/>
      <c r="Q20" s="48" t="s">
        <v>71</v>
      </c>
      <c r="R20" s="48">
        <v>4</v>
      </c>
      <c r="S20" s="48"/>
      <c r="T20" s="48"/>
      <c r="U20" s="48" t="s">
        <v>71</v>
      </c>
      <c r="V20" s="48"/>
      <c r="W20" s="48"/>
      <c r="X20" s="48"/>
      <c r="Y20" s="48"/>
      <c r="Z20" s="48"/>
      <c r="AA20" s="48"/>
      <c r="AB20" s="93"/>
      <c r="AC20" s="48"/>
      <c r="AD20" s="127"/>
      <c r="AE20" s="132"/>
      <c r="AF20" s="48"/>
      <c r="AG20" s="48"/>
      <c r="AH20" s="48"/>
      <c r="AI20" s="48"/>
      <c r="AJ20" s="48"/>
      <c r="AK20" s="48"/>
      <c r="AL20" s="48"/>
      <c r="AM20" s="48"/>
      <c r="AN20" s="132"/>
      <c r="AO20" s="133"/>
      <c r="AP20" s="132"/>
      <c r="AQ20" s="132"/>
      <c r="AR20" s="133"/>
      <c r="AS20" s="132"/>
      <c r="AT20" s="132"/>
      <c r="AU20" s="139"/>
      <c r="AV20" s="139"/>
      <c r="AW20" s="132"/>
      <c r="AX20" s="139"/>
      <c r="AY20" s="139"/>
      <c r="AZ20" s="132"/>
      <c r="BA20" s="139"/>
      <c r="BB20" s="139"/>
      <c r="BC20" s="139"/>
      <c r="BD20" s="139"/>
      <c r="BE20" s="133" t="s">
        <v>68</v>
      </c>
      <c r="BF20" s="47"/>
      <c r="BG20" s="93"/>
      <c r="BH20" s="96">
        <f t="shared" si="0"/>
        <v>41911</v>
      </c>
      <c r="BI20" s="117" t="s">
        <v>23</v>
      </c>
      <c r="BJ20" s="119">
        <f t="shared" si="1"/>
        <v>41967</v>
      </c>
      <c r="BK20" s="117"/>
      <c r="BL20" s="121">
        <f t="shared" si="2"/>
        <v>41899</v>
      </c>
      <c r="BM20" s="121">
        <f>IF(G20=0,0,IF('Suivi livrables'!BE20="ZSFR",IF(G20-F20&lt;90,F20+7,G20-90),"N/A"))</f>
        <v>41934</v>
      </c>
      <c r="BN20" s="117"/>
      <c r="BO20" s="121">
        <f>IF(G20=0,0,IF('Suivi livrables'!BE20="ZSFR",IF(L20=0,I20-45,L20-4),"N/A"))</f>
        <v>42125</v>
      </c>
      <c r="BP20" s="117"/>
      <c r="BQ20" s="121" t="str">
        <f t="shared" si="3"/>
        <v>N/A</v>
      </c>
      <c r="BR20" s="121" t="str">
        <f t="shared" si="4"/>
        <v>N/A</v>
      </c>
      <c r="BS20" s="117"/>
      <c r="BT20" s="121" t="e">
        <f>IF(G20=0,0,IF(AND('Suivi livrables'!P20=0,'Suivi livrables'!R20=0,'Suivi livrables'!T20=0,'Suivi livrables'!V20=0,'Suivi livrables'!X20=0,'Suivi livrables'!AD20=0),"N/A",#REF!-77))</f>
        <v>#REF!</v>
      </c>
      <c r="BU20" s="121" t="e">
        <f>IF(G20=0,0,IF(AND('Suivi livrables'!P20=0,'Suivi livrables'!R20=0,'Suivi livrables'!T20=0,'Suivi livrables'!V20=0,'Suivi livrables'!X20=0,'Suivi livrables'!AD20=0),"N/A",#REF!-21))</f>
        <v>#REF!</v>
      </c>
      <c r="BV20" s="117"/>
      <c r="BW20" s="97"/>
      <c r="BX20" s="102"/>
      <c r="BY20" s="117" t="str">
        <f t="shared" si="19"/>
        <v>Greiner</v>
      </c>
      <c r="BZ20" s="117" t="str">
        <f t="shared" si="20"/>
        <v/>
      </c>
      <c r="CA20" s="117" t="str">
        <f t="shared" si="21"/>
        <v>Greiner</v>
      </c>
      <c r="CB20" s="117">
        <f t="shared" si="22"/>
        <v>4</v>
      </c>
      <c r="CC20" s="117" t="str">
        <f t="shared" si="23"/>
        <v/>
      </c>
      <c r="CD20" s="117" t="str">
        <f t="shared" si="24"/>
        <v/>
      </c>
      <c r="CE20" s="117" t="str">
        <f t="shared" si="25"/>
        <v>Greiner</v>
      </c>
      <c r="CF20" s="117" t="str">
        <f t="shared" si="26"/>
        <v/>
      </c>
      <c r="CG20" s="117" t="str">
        <f t="shared" si="27"/>
        <v/>
      </c>
      <c r="CH20" s="117" t="str">
        <f t="shared" si="28"/>
        <v/>
      </c>
      <c r="CI20" s="117" t="str">
        <f t="shared" si="29"/>
        <v/>
      </c>
      <c r="CJ20" s="117" t="str">
        <f t="shared" si="30"/>
        <v/>
      </c>
      <c r="CK20" s="117" t="str">
        <f t="shared" si="31"/>
        <v/>
      </c>
      <c r="CL20" s="117" t="str">
        <f t="shared" si="32"/>
        <v/>
      </c>
      <c r="CM20" s="117" t="str">
        <f t="shared" si="33"/>
        <v/>
      </c>
      <c r="CN20" s="117" t="str">
        <f t="shared" si="34"/>
        <v/>
      </c>
      <c r="CO20" s="121">
        <f t="shared" si="6"/>
        <v>41911</v>
      </c>
      <c r="CP20" s="117"/>
      <c r="CQ20" s="121">
        <f t="shared" si="7"/>
        <v>41911</v>
      </c>
      <c r="CR20" s="117"/>
      <c r="CS20" s="121">
        <f t="shared" si="8"/>
        <v>41953</v>
      </c>
      <c r="CT20" s="121">
        <f t="shared" si="9"/>
        <v>41967</v>
      </c>
      <c r="CU20" s="121">
        <f t="shared" si="10"/>
        <v>41939</v>
      </c>
      <c r="CV20" s="117"/>
      <c r="CW20" s="121">
        <f t="shared" si="11"/>
        <v>41953</v>
      </c>
      <c r="CX20" s="117"/>
      <c r="CY20" s="121">
        <f t="shared" si="12"/>
        <v>41960</v>
      </c>
      <c r="CZ20" s="117"/>
      <c r="DA20" s="121">
        <f t="shared" si="13"/>
        <v>41967</v>
      </c>
      <c r="DB20" s="121">
        <f t="shared" si="14"/>
        <v>42016</v>
      </c>
      <c r="DC20" s="121">
        <f t="shared" si="15"/>
        <v>42016</v>
      </c>
      <c r="DD20" s="117"/>
      <c r="DE20" s="125">
        <f t="shared" si="16"/>
        <v>41882</v>
      </c>
      <c r="DF20" s="124"/>
      <c r="DG20" s="125">
        <f t="shared" si="35"/>
        <v>41882</v>
      </c>
      <c r="DH20" s="124"/>
      <c r="DI20" s="125">
        <f t="shared" si="17"/>
        <v>41942</v>
      </c>
      <c r="DJ20" s="124"/>
      <c r="DK20" s="125">
        <f t="shared" si="18"/>
        <v>41927</v>
      </c>
      <c r="DL20" s="124"/>
      <c r="DM20" s="124"/>
      <c r="DN20" s="124"/>
      <c r="DO20" s="117"/>
    </row>
    <row r="21" spans="1:119" ht="15.75" thickBot="1">
      <c r="A21" s="25" t="s">
        <v>43</v>
      </c>
      <c r="B21" s="57">
        <f>jalons!B21</f>
        <v>0</v>
      </c>
      <c r="C21" s="57">
        <f>jalons!C21</f>
        <v>0</v>
      </c>
      <c r="D21" s="82" t="s">
        <v>252</v>
      </c>
      <c r="E21" s="9">
        <f>IF($A21="","",INDEX(jalons!$A$7:$K$125,MATCH('Suivi livrables'!$A21,jalons!$A$7:$A$125,0),4))</f>
        <v>41892</v>
      </c>
      <c r="F21" s="10">
        <f>IF($A21="","",INDEX(jalons!$A$7:$K$125,MATCH('Suivi livrables'!$A21,jalons!$A$7:$A$125,0),5))</f>
        <v>41921</v>
      </c>
      <c r="G21" s="10">
        <f>IF($A21="","",INDEX(jalons!$A$7:$K$125,MATCH('Suivi livrables'!$A21,jalons!$A$7:$A$125,0),6))</f>
        <v>41934</v>
      </c>
      <c r="H21" s="10">
        <f>IF($A21="","",INDEX(jalons!$A$7:$K$125,MATCH('Suivi livrables'!$A21,jalons!$A$7:$A$125,0),7))</f>
        <v>42320</v>
      </c>
      <c r="I21" s="10">
        <f>IF($A21="","",INDEX(jalons!$A$7:$K$125,MATCH('Suivi livrables'!$A21,jalons!$A$7:$A$125,0),8))</f>
        <v>42350</v>
      </c>
      <c r="J21" s="10">
        <f>IF($A21="","",INDEX(jalons!$A$7:$K$125,MATCH('Suivi livrables'!$A21,jalons!$A$7:$A$125,0),9))</f>
        <v>42074</v>
      </c>
      <c r="K21" s="10">
        <f>IF($A21="","",INDEX(jalons!$A$7:$K$125,MATCH('Suivi livrables'!$A21,jalons!$A$7:$A$125,0),10))</f>
        <v>42305</v>
      </c>
      <c r="L21" s="10">
        <f>IF($A21="","",INDEX(jalons!$A$7:$K$125,MATCH('Suivi livrables'!$A21,jalons!$A$7:$A$125,0),11))</f>
        <v>42230</v>
      </c>
      <c r="M21" s="14"/>
      <c r="N21" s="47" t="s">
        <v>69</v>
      </c>
      <c r="O21" s="47" t="s">
        <v>67</v>
      </c>
      <c r="P21" s="48"/>
      <c r="Q21" s="48"/>
      <c r="R21" s="48"/>
      <c r="S21" s="48"/>
      <c r="T21" s="48"/>
      <c r="U21" s="48"/>
      <c r="V21" s="48"/>
      <c r="W21" s="48"/>
      <c r="X21" s="48"/>
      <c r="Y21" s="48"/>
      <c r="Z21" s="48"/>
      <c r="AA21" s="48"/>
      <c r="AB21" s="93"/>
      <c r="AC21" s="48"/>
      <c r="AD21" s="127"/>
      <c r="AE21" s="132"/>
      <c r="AF21" s="48"/>
      <c r="AG21" s="48"/>
      <c r="AH21" s="48"/>
      <c r="AI21" s="48"/>
      <c r="AJ21" s="48"/>
      <c r="AK21" s="48"/>
      <c r="AL21" s="48"/>
      <c r="AM21" s="48"/>
      <c r="AN21" s="132"/>
      <c r="AO21" s="133"/>
      <c r="AP21" s="132"/>
      <c r="AQ21" s="132"/>
      <c r="AR21" s="133"/>
      <c r="AS21" s="132"/>
      <c r="AT21" s="132"/>
      <c r="AU21" s="139"/>
      <c r="AV21" s="139"/>
      <c r="AW21" s="132"/>
      <c r="AX21" s="139"/>
      <c r="AY21" s="139"/>
      <c r="AZ21" s="132"/>
      <c r="BA21" s="139"/>
      <c r="BB21" s="139"/>
      <c r="BC21" s="139"/>
      <c r="BD21" s="139"/>
      <c r="BE21" s="133" t="s">
        <v>68</v>
      </c>
      <c r="BF21" s="47"/>
      <c r="BG21" s="93"/>
      <c r="BH21" s="96">
        <f t="shared" si="0"/>
        <v>41857</v>
      </c>
      <c r="BI21" s="117" t="s">
        <v>23</v>
      </c>
      <c r="BJ21" s="119">
        <f t="shared" si="1"/>
        <v>41913</v>
      </c>
      <c r="BK21" s="117"/>
      <c r="BL21" s="121">
        <f t="shared" si="2"/>
        <v>41907</v>
      </c>
      <c r="BM21" s="121">
        <f>IF(G21=0,0,IF('Suivi livrables'!BE21="ZSFR",IF(G21-F21&lt;90,F21+7,G21-90),"N/A"))</f>
        <v>41928</v>
      </c>
      <c r="BN21" s="117"/>
      <c r="BO21" s="121">
        <f>IF(G21=0,0,IF('Suivi livrables'!BE21="ZSFR",IF(L21=0,I21-45,L21-4),"N/A"))</f>
        <v>42226</v>
      </c>
      <c r="BP21" s="117"/>
      <c r="BQ21" s="121" t="str">
        <f t="shared" si="3"/>
        <v>N/A</v>
      </c>
      <c r="BR21" s="121" t="str">
        <f t="shared" si="4"/>
        <v>N/A</v>
      </c>
      <c r="BS21" s="117"/>
      <c r="BT21" s="121" t="str">
        <f>IF(G21=0,0,IF(AND('Suivi livrables'!P21=0,'Suivi livrables'!R21=0,'Suivi livrables'!T21=0,'Suivi livrables'!V21=0,'Suivi livrables'!X21=0,'Suivi livrables'!AD21=0),"N/A",#REF!-77))</f>
        <v>N/A</v>
      </c>
      <c r="BU21" s="121" t="str">
        <f>IF(G21=0,0,IF(AND('Suivi livrables'!P21=0,'Suivi livrables'!R21=0,'Suivi livrables'!T21=0,'Suivi livrables'!V21=0,'Suivi livrables'!X21=0,'Suivi livrables'!AD21=0),"N/A",#REF!-21))</f>
        <v>N/A</v>
      </c>
      <c r="BV21" s="117"/>
      <c r="BW21" s="97"/>
      <c r="BX21" s="102"/>
      <c r="BY21" s="117" t="str">
        <f t="shared" si="19"/>
        <v>Franklin</v>
      </c>
      <c r="BZ21" s="117" t="str">
        <f t="shared" si="20"/>
        <v/>
      </c>
      <c r="CA21" s="117" t="str">
        <f t="shared" si="21"/>
        <v/>
      </c>
      <c r="CB21" s="117" t="str">
        <f t="shared" si="22"/>
        <v/>
      </c>
      <c r="CC21" s="117" t="str">
        <f t="shared" si="23"/>
        <v/>
      </c>
      <c r="CD21" s="117" t="str">
        <f t="shared" si="24"/>
        <v/>
      </c>
      <c r="CE21" s="117" t="str">
        <f t="shared" si="25"/>
        <v/>
      </c>
      <c r="CF21" s="117" t="str">
        <f t="shared" si="26"/>
        <v/>
      </c>
      <c r="CG21" s="117" t="str">
        <f t="shared" si="27"/>
        <v/>
      </c>
      <c r="CH21" s="117" t="str">
        <f t="shared" si="28"/>
        <v/>
      </c>
      <c r="CI21" s="117" t="str">
        <f t="shared" si="29"/>
        <v/>
      </c>
      <c r="CJ21" s="117" t="str">
        <f t="shared" si="30"/>
        <v/>
      </c>
      <c r="CK21" s="117" t="str">
        <f t="shared" si="31"/>
        <v/>
      </c>
      <c r="CL21" s="117" t="str">
        <f t="shared" si="32"/>
        <v/>
      </c>
      <c r="CM21" s="117" t="str">
        <f t="shared" si="33"/>
        <v/>
      </c>
      <c r="CN21" s="117" t="str">
        <f t="shared" si="34"/>
        <v/>
      </c>
      <c r="CO21" s="121">
        <f t="shared" si="6"/>
        <v>41857</v>
      </c>
      <c r="CP21" s="117"/>
      <c r="CQ21" s="121">
        <f t="shared" si="7"/>
        <v>41857</v>
      </c>
      <c r="CR21" s="117"/>
      <c r="CS21" s="121">
        <f t="shared" si="8"/>
        <v>41899</v>
      </c>
      <c r="CT21" s="121">
        <f t="shared" si="9"/>
        <v>41913</v>
      </c>
      <c r="CU21" s="121">
        <f t="shared" si="10"/>
        <v>41885</v>
      </c>
      <c r="CV21" s="117"/>
      <c r="CW21" s="121">
        <f t="shared" si="11"/>
        <v>41899</v>
      </c>
      <c r="CX21" s="117"/>
      <c r="CY21" s="121">
        <f t="shared" si="12"/>
        <v>41906</v>
      </c>
      <c r="CZ21" s="117"/>
      <c r="DA21" s="121">
        <f t="shared" si="13"/>
        <v>41913</v>
      </c>
      <c r="DB21" s="121">
        <f t="shared" si="14"/>
        <v>41962</v>
      </c>
      <c r="DC21" s="121">
        <f t="shared" si="15"/>
        <v>41962</v>
      </c>
      <c r="DD21" s="117"/>
      <c r="DE21" s="125">
        <f t="shared" si="16"/>
        <v>41876</v>
      </c>
      <c r="DF21" s="124"/>
      <c r="DG21" s="125">
        <f t="shared" si="35"/>
        <v>41876</v>
      </c>
      <c r="DH21" s="124"/>
      <c r="DI21" s="125">
        <f t="shared" si="17"/>
        <v>41936</v>
      </c>
      <c r="DJ21" s="124"/>
      <c r="DK21" s="125">
        <f t="shared" si="18"/>
        <v>41921</v>
      </c>
      <c r="DL21" s="124"/>
      <c r="DM21" s="117"/>
      <c r="DN21" s="124"/>
      <c r="DO21" s="117"/>
    </row>
    <row r="22" spans="1:119" ht="15.75" thickBot="1">
      <c r="A22" s="25" t="s">
        <v>58</v>
      </c>
      <c r="B22" s="57" t="str">
        <f>jalons!B22</f>
        <v>JAL</v>
      </c>
      <c r="C22" s="57" t="str">
        <f>jalons!C22</f>
        <v>B777-200</v>
      </c>
      <c r="D22" s="82" t="s">
        <v>252</v>
      </c>
      <c r="E22" s="9">
        <f>IF($A22="","",INDEX(jalons!$A$7:$K$125,MATCH('Suivi livrables'!$A22,jalons!$A$7:$A$125,0),4))</f>
        <v>41919</v>
      </c>
      <c r="F22" s="10">
        <f>IF($A22="","",INDEX(jalons!$A$7:$K$125,MATCH('Suivi livrables'!$A22,jalons!$A$7:$A$125,0),5))</f>
        <v>41963</v>
      </c>
      <c r="G22" s="10">
        <f>IF($A22="","",INDEX(jalons!$A$7:$K$125,MATCH('Suivi livrables'!$A22,jalons!$A$7:$A$125,0),6))</f>
        <v>42037</v>
      </c>
      <c r="H22" s="10">
        <f>IF($A22="","",INDEX(jalons!$A$7:$K$125,MATCH('Suivi livrables'!$A22,jalons!$A$7:$A$125,0),7))</f>
        <v>42100</v>
      </c>
      <c r="I22" s="10">
        <f>IF($A22="","",INDEX(jalons!$A$7:$K$125,MATCH('Suivi livrables'!$A22,jalons!$A$7:$A$125,0),8))</f>
        <v>42130</v>
      </c>
      <c r="J22" s="10">
        <f>IF($A22="","",INDEX(jalons!$A$7:$K$125,MATCH('Suivi livrables'!$A22,jalons!$A$7:$A$125,0),9))</f>
        <v>42195</v>
      </c>
      <c r="K22" s="10">
        <f>IF($A22="","",INDEX(jalons!$A$7:$K$125,MATCH('Suivi livrables'!$A22,jalons!$A$7:$A$125,0),10))</f>
        <v>42085</v>
      </c>
      <c r="L22" s="10">
        <f>IF($A22="","",INDEX(jalons!$A$7:$K$125,MATCH('Suivi livrables'!$A22,jalons!$A$7:$A$125,0),11))</f>
        <v>42040</v>
      </c>
      <c r="M22" s="14"/>
      <c r="N22" s="47"/>
      <c r="O22" s="47" t="s">
        <v>67</v>
      </c>
      <c r="P22" s="48"/>
      <c r="Q22" s="48" t="s">
        <v>67</v>
      </c>
      <c r="R22" s="48">
        <v>3</v>
      </c>
      <c r="S22" s="48"/>
      <c r="T22" s="48"/>
      <c r="U22" s="48" t="s">
        <v>67</v>
      </c>
      <c r="V22" s="48"/>
      <c r="W22" s="48"/>
      <c r="X22" s="48"/>
      <c r="Y22" s="48"/>
      <c r="Z22" s="48"/>
      <c r="AA22" s="48"/>
      <c r="AB22" s="93"/>
      <c r="AC22" s="48"/>
      <c r="AD22" s="127"/>
      <c r="AE22" s="132"/>
      <c r="AF22" s="48"/>
      <c r="AG22" s="48"/>
      <c r="AH22" s="48"/>
      <c r="AI22" s="48"/>
      <c r="AJ22" s="48"/>
      <c r="AK22" s="48"/>
      <c r="AL22" s="48"/>
      <c r="AM22" s="48"/>
      <c r="AN22" s="132"/>
      <c r="AO22" s="133"/>
      <c r="AP22" s="132"/>
      <c r="AQ22" s="132"/>
      <c r="AR22" s="133"/>
      <c r="AS22" s="132"/>
      <c r="AT22" s="132"/>
      <c r="AU22" s="139"/>
      <c r="AV22" s="139"/>
      <c r="AW22" s="132"/>
      <c r="AX22" s="139"/>
      <c r="AY22" s="139"/>
      <c r="AZ22" s="132"/>
      <c r="BA22" s="139"/>
      <c r="BB22" s="139"/>
      <c r="BC22" s="139"/>
      <c r="BD22" s="139"/>
      <c r="BE22" s="133" t="s">
        <v>68</v>
      </c>
      <c r="BF22" s="47"/>
      <c r="BG22" s="93"/>
      <c r="BH22" s="96">
        <f t="shared" si="0"/>
        <v>41960</v>
      </c>
      <c r="BI22" s="117" t="s">
        <v>23</v>
      </c>
      <c r="BJ22" s="119">
        <f t="shared" si="1"/>
        <v>42016</v>
      </c>
      <c r="BK22" s="117"/>
      <c r="BL22" s="121">
        <f t="shared" si="2"/>
        <v>41934</v>
      </c>
      <c r="BM22" s="121">
        <f>IF(G22=0,0,IF('Suivi livrables'!BE22="ZSFR",IF(G22-F22&lt;90,F22+7,G22-90),"N/A"))</f>
        <v>41970</v>
      </c>
      <c r="BN22" s="117"/>
      <c r="BO22" s="121">
        <f>IF(G22=0,0,IF('Suivi livrables'!BE22="ZSFR",IF(L22=0,I22-45,L22-4),"N/A"))</f>
        <v>42036</v>
      </c>
      <c r="BP22" s="117"/>
      <c r="BQ22" s="121" t="str">
        <f t="shared" si="3"/>
        <v>N/A</v>
      </c>
      <c r="BR22" s="121" t="str">
        <f t="shared" si="4"/>
        <v>N/A</v>
      </c>
      <c r="BS22" s="117"/>
      <c r="BT22" s="121" t="e">
        <f>IF(G22=0,0,IF(AND('Suivi livrables'!P22=0,'Suivi livrables'!R22=0,'Suivi livrables'!T22=0,'Suivi livrables'!V22=0,'Suivi livrables'!X22=0,'Suivi livrables'!AD22=0),"N/A",#REF!-77))</f>
        <v>#REF!</v>
      </c>
      <c r="BU22" s="121" t="e">
        <f>IF(G22=0,0,IF(AND('Suivi livrables'!P22=0,'Suivi livrables'!R22=0,'Suivi livrables'!T22=0,'Suivi livrables'!V22=0,'Suivi livrables'!X22=0,'Suivi livrables'!AD22=0),"N/A",#REF!-21))</f>
        <v>#REF!</v>
      </c>
      <c r="BV22" s="117"/>
      <c r="BW22" s="97"/>
      <c r="BX22" s="102"/>
      <c r="BY22" s="117" t="str">
        <f t="shared" si="19"/>
        <v>Franklin</v>
      </c>
      <c r="BZ22" s="117" t="str">
        <f t="shared" si="20"/>
        <v/>
      </c>
      <c r="CA22" s="117" t="str">
        <f t="shared" si="21"/>
        <v>Franklin</v>
      </c>
      <c r="CB22" s="117">
        <f t="shared" si="22"/>
        <v>3</v>
      </c>
      <c r="CC22" s="117" t="str">
        <f t="shared" si="23"/>
        <v/>
      </c>
      <c r="CD22" s="117" t="str">
        <f t="shared" si="24"/>
        <v/>
      </c>
      <c r="CE22" s="117" t="str">
        <f t="shared" si="25"/>
        <v>Franklin</v>
      </c>
      <c r="CF22" s="117" t="str">
        <f t="shared" si="26"/>
        <v/>
      </c>
      <c r="CG22" s="117" t="str">
        <f t="shared" si="27"/>
        <v/>
      </c>
      <c r="CH22" s="117" t="str">
        <f t="shared" si="28"/>
        <v/>
      </c>
      <c r="CI22" s="117" t="str">
        <f t="shared" si="29"/>
        <v/>
      </c>
      <c r="CJ22" s="117" t="str">
        <f t="shared" si="30"/>
        <v/>
      </c>
      <c r="CK22" s="117" t="str">
        <f t="shared" si="31"/>
        <v/>
      </c>
      <c r="CL22" s="117" t="str">
        <f t="shared" si="32"/>
        <v/>
      </c>
      <c r="CM22" s="117" t="str">
        <f t="shared" si="33"/>
        <v/>
      </c>
      <c r="CN22" s="117" t="str">
        <f t="shared" si="34"/>
        <v/>
      </c>
      <c r="CO22" s="121">
        <f t="shared" si="6"/>
        <v>41960</v>
      </c>
      <c r="CP22" s="117"/>
      <c r="CQ22" s="121">
        <f t="shared" si="7"/>
        <v>41960</v>
      </c>
      <c r="CR22" s="117"/>
      <c r="CS22" s="121">
        <f t="shared" si="8"/>
        <v>42002</v>
      </c>
      <c r="CT22" s="121">
        <f t="shared" si="9"/>
        <v>42016</v>
      </c>
      <c r="CU22" s="121">
        <f t="shared" si="10"/>
        <v>41988</v>
      </c>
      <c r="CV22" s="117"/>
      <c r="CW22" s="121">
        <f t="shared" si="11"/>
        <v>42002</v>
      </c>
      <c r="CX22" s="117"/>
      <c r="CY22" s="121">
        <f t="shared" si="12"/>
        <v>42009</v>
      </c>
      <c r="CZ22" s="117"/>
      <c r="DA22" s="121">
        <f t="shared" si="13"/>
        <v>42016</v>
      </c>
      <c r="DB22" s="121">
        <f t="shared" si="14"/>
        <v>42065</v>
      </c>
      <c r="DC22" s="121">
        <f t="shared" si="15"/>
        <v>42065</v>
      </c>
      <c r="DD22" s="117"/>
      <c r="DE22" s="125">
        <f t="shared" si="16"/>
        <v>41918</v>
      </c>
      <c r="DF22" s="124"/>
      <c r="DG22" s="125">
        <f t="shared" si="35"/>
        <v>41918</v>
      </c>
      <c r="DH22" s="124"/>
      <c r="DI22" s="125">
        <f t="shared" si="17"/>
        <v>41978</v>
      </c>
      <c r="DJ22" s="124"/>
      <c r="DK22" s="125">
        <f t="shared" si="18"/>
        <v>41963</v>
      </c>
      <c r="DL22" s="124"/>
      <c r="DM22" s="117"/>
      <c r="DN22" s="124"/>
      <c r="DO22" s="117"/>
    </row>
    <row r="23" spans="1:119" ht="15.75" thickBot="1">
      <c r="A23" s="25" t="s">
        <v>57</v>
      </c>
      <c r="B23" s="57" t="str">
        <f>jalons!B23</f>
        <v>Hainan Airlines</v>
      </c>
      <c r="C23" s="57" t="str">
        <f>jalons!C23</f>
        <v>A320-200</v>
      </c>
      <c r="D23" s="82" t="s">
        <v>252</v>
      </c>
      <c r="E23" s="9">
        <f>IF($A23="","",INDEX(jalons!$A$7:$K$125,MATCH('Suivi livrables'!$A23,jalons!$A$7:$A$125,0),4))</f>
        <v>41863</v>
      </c>
      <c r="F23" s="10">
        <f>IF($A23="","",INDEX(jalons!$A$7:$K$125,MATCH('Suivi livrables'!$A23,jalons!$A$7:$A$125,0),5))</f>
        <v>41913</v>
      </c>
      <c r="G23" s="10">
        <f>IF($A23="","",INDEX(jalons!$A$7:$K$125,MATCH('Suivi livrables'!$A23,jalons!$A$7:$A$125,0),6))</f>
        <v>41948</v>
      </c>
      <c r="H23" s="10">
        <f>IF($A23="","",INDEX(jalons!$A$7:$K$125,MATCH('Suivi livrables'!$A23,jalons!$A$7:$A$125,0),7))</f>
        <v>42209</v>
      </c>
      <c r="I23" s="10">
        <f>IF($A23="","",INDEX(jalons!$A$7:$K$125,MATCH('Suivi livrables'!$A23,jalons!$A$7:$A$125,0),8))</f>
        <v>42249</v>
      </c>
      <c r="J23" s="10">
        <f>IF($A23="","",INDEX(jalons!$A$7:$K$125,MATCH('Suivi livrables'!$A23,jalons!$A$7:$A$125,0),9))</f>
        <v>42300</v>
      </c>
      <c r="K23" s="10">
        <f>IF($A23="","",INDEX(jalons!$A$7:$K$125,MATCH('Suivi livrables'!$A23,jalons!$A$7:$A$125,0),10))</f>
        <v>42139</v>
      </c>
      <c r="L23" s="10">
        <f>IF($A23="","",INDEX(jalons!$A$7:$K$125,MATCH('Suivi livrables'!$A23,jalons!$A$7:$A$125,0),11))</f>
        <v>42129</v>
      </c>
      <c r="M23" s="14"/>
      <c r="N23" s="47"/>
      <c r="O23" s="47" t="s">
        <v>71</v>
      </c>
      <c r="P23" s="48"/>
      <c r="Q23" s="48" t="s">
        <v>71</v>
      </c>
      <c r="R23" s="48"/>
      <c r="S23" s="48"/>
      <c r="T23" s="48"/>
      <c r="U23" s="48"/>
      <c r="V23" s="48"/>
      <c r="W23" s="48"/>
      <c r="X23" s="48"/>
      <c r="Y23" s="48"/>
      <c r="Z23" s="48"/>
      <c r="AA23" s="48"/>
      <c r="AB23" s="93"/>
      <c r="AC23" s="48"/>
      <c r="AD23" s="127"/>
      <c r="AE23" s="132"/>
      <c r="AF23" s="48"/>
      <c r="AG23" s="48"/>
      <c r="AH23" s="48"/>
      <c r="AI23" s="48"/>
      <c r="AJ23" s="48"/>
      <c r="AK23" s="48"/>
      <c r="AL23" s="48"/>
      <c r="AM23" s="48"/>
      <c r="AN23" s="132"/>
      <c r="AO23" s="133"/>
      <c r="AP23" s="132"/>
      <c r="AQ23" s="132"/>
      <c r="AR23" s="133"/>
      <c r="AS23" s="132"/>
      <c r="AT23" s="132"/>
      <c r="AU23" s="139"/>
      <c r="AV23" s="139"/>
      <c r="AW23" s="132"/>
      <c r="AX23" s="139"/>
      <c r="AY23" s="139"/>
      <c r="AZ23" s="132"/>
      <c r="BA23" s="139"/>
      <c r="BB23" s="139"/>
      <c r="BC23" s="139"/>
      <c r="BD23" s="139"/>
      <c r="BE23" s="133" t="s">
        <v>68</v>
      </c>
      <c r="BF23" s="47"/>
      <c r="BG23" s="93"/>
      <c r="BH23" s="96">
        <f t="shared" si="0"/>
        <v>41871</v>
      </c>
      <c r="BI23" s="117" t="s">
        <v>23</v>
      </c>
      <c r="BJ23" s="119">
        <f t="shared" si="1"/>
        <v>41927</v>
      </c>
      <c r="BK23" s="117"/>
      <c r="BL23" s="121">
        <f t="shared" si="2"/>
        <v>41878</v>
      </c>
      <c r="BM23" s="121">
        <f>IF(G23=0,0,IF('Suivi livrables'!BE23="ZSFR",IF(G23-F23&lt;90,F23+7,G23-90),"N/A"))</f>
        <v>41920</v>
      </c>
      <c r="BN23" s="117"/>
      <c r="BO23" s="121">
        <f>IF(G23=0,0,IF('Suivi livrables'!BE23="ZSFR",IF(L23=0,I23-45,L23-4),"N/A"))</f>
        <v>42125</v>
      </c>
      <c r="BP23" s="117"/>
      <c r="BQ23" s="121" t="str">
        <f t="shared" si="3"/>
        <v>N/A</v>
      </c>
      <c r="BR23" s="121" t="str">
        <f t="shared" si="4"/>
        <v>N/A</v>
      </c>
      <c r="BS23" s="117"/>
      <c r="BT23" s="121" t="str">
        <f>IF(G23=0,0,IF(AND('Suivi livrables'!P23=0,'Suivi livrables'!R23=0,'Suivi livrables'!T23=0,'Suivi livrables'!V23=0,'Suivi livrables'!X23=0,'Suivi livrables'!AD23=0),"N/A",#REF!-77))</f>
        <v>N/A</v>
      </c>
      <c r="BU23" s="121" t="str">
        <f>IF(G23=0,0,IF(AND('Suivi livrables'!P23=0,'Suivi livrables'!R23=0,'Suivi livrables'!T23=0,'Suivi livrables'!V23=0,'Suivi livrables'!X23=0,'Suivi livrables'!AD23=0),"N/A",#REF!-21))</f>
        <v>N/A</v>
      </c>
      <c r="BV23" s="117"/>
      <c r="BW23" s="97"/>
      <c r="BX23" s="102"/>
      <c r="BY23" s="117" t="str">
        <f t="shared" si="19"/>
        <v>Greiner</v>
      </c>
      <c r="BZ23" s="117" t="str">
        <f t="shared" si="20"/>
        <v/>
      </c>
      <c r="CA23" s="117" t="str">
        <f t="shared" si="21"/>
        <v>Greiner</v>
      </c>
      <c r="CB23" s="117" t="str">
        <f t="shared" si="22"/>
        <v/>
      </c>
      <c r="CC23" s="117" t="str">
        <f t="shared" si="23"/>
        <v/>
      </c>
      <c r="CD23" s="117" t="str">
        <f t="shared" si="24"/>
        <v/>
      </c>
      <c r="CE23" s="117" t="str">
        <f t="shared" si="25"/>
        <v/>
      </c>
      <c r="CF23" s="117" t="str">
        <f t="shared" si="26"/>
        <v/>
      </c>
      <c r="CG23" s="117" t="str">
        <f t="shared" si="27"/>
        <v/>
      </c>
      <c r="CH23" s="117" t="str">
        <f t="shared" si="28"/>
        <v/>
      </c>
      <c r="CI23" s="117" t="str">
        <f t="shared" si="29"/>
        <v/>
      </c>
      <c r="CJ23" s="117" t="str">
        <f t="shared" si="30"/>
        <v/>
      </c>
      <c r="CK23" s="117" t="str">
        <f t="shared" si="31"/>
        <v/>
      </c>
      <c r="CL23" s="117" t="str">
        <f t="shared" si="32"/>
        <v/>
      </c>
      <c r="CM23" s="117" t="str">
        <f t="shared" si="33"/>
        <v/>
      </c>
      <c r="CN23" s="117" t="str">
        <f t="shared" si="34"/>
        <v/>
      </c>
      <c r="CO23" s="121">
        <f t="shared" si="6"/>
        <v>41871</v>
      </c>
      <c r="CP23" s="117"/>
      <c r="CQ23" s="121">
        <f t="shared" si="7"/>
        <v>41871</v>
      </c>
      <c r="CR23" s="117"/>
      <c r="CS23" s="121">
        <f t="shared" si="8"/>
        <v>41913</v>
      </c>
      <c r="CT23" s="121">
        <f t="shared" si="9"/>
        <v>41927</v>
      </c>
      <c r="CU23" s="121">
        <f t="shared" si="10"/>
        <v>41899</v>
      </c>
      <c r="CV23" s="117"/>
      <c r="CW23" s="121">
        <f t="shared" si="11"/>
        <v>41913</v>
      </c>
      <c r="CX23" s="117"/>
      <c r="CY23" s="121">
        <f t="shared" si="12"/>
        <v>41920</v>
      </c>
      <c r="CZ23" s="117"/>
      <c r="DA23" s="121">
        <f t="shared" si="13"/>
        <v>41927</v>
      </c>
      <c r="DB23" s="121">
        <f t="shared" si="14"/>
        <v>41976</v>
      </c>
      <c r="DC23" s="121">
        <f t="shared" si="15"/>
        <v>41976</v>
      </c>
      <c r="DD23" s="117"/>
      <c r="DE23" s="125">
        <f t="shared" si="16"/>
        <v>41868</v>
      </c>
      <c r="DF23" s="124"/>
      <c r="DG23" s="125">
        <f t="shared" si="35"/>
        <v>41868</v>
      </c>
      <c r="DH23" s="124"/>
      <c r="DI23" s="125">
        <f t="shared" si="17"/>
        <v>41928</v>
      </c>
      <c r="DJ23" s="124"/>
      <c r="DK23" s="125">
        <f t="shared" si="18"/>
        <v>41913</v>
      </c>
      <c r="DL23" s="124"/>
      <c r="DM23" s="117"/>
      <c r="DN23" s="124"/>
      <c r="DO23" s="117"/>
    </row>
    <row r="24" spans="1:119" ht="15.75" thickBot="1">
      <c r="A24" s="25" t="s">
        <v>238</v>
      </c>
      <c r="B24" s="57" t="str">
        <f>jalons!B24</f>
        <v>Hainan Airlines</v>
      </c>
      <c r="C24" s="57" t="str">
        <f>jalons!C24</f>
        <v>A321-200?</v>
      </c>
      <c r="D24" s="82" t="s">
        <v>252</v>
      </c>
      <c r="E24" s="9" t="e">
        <f>IF($A24="","",INDEX(jalons!$A$7:$K$125,MATCH('Suivi livrables'!$A24,jalons!$A$7:$A$125,0),4))</f>
        <v>#N/A</v>
      </c>
      <c r="F24" s="10" t="e">
        <f>IF($A24="","",INDEX(jalons!$A$7:$K$125,MATCH('Suivi livrables'!$A24,jalons!$A$7:$A$125,0),5))</f>
        <v>#N/A</v>
      </c>
      <c r="G24" s="10" t="e">
        <f>IF($A24="","",INDEX(jalons!$A$7:$K$125,MATCH('Suivi livrables'!$A24,jalons!$A$7:$A$125,0),6))</f>
        <v>#N/A</v>
      </c>
      <c r="H24" s="10" t="e">
        <f>IF($A24="","",INDEX(jalons!$A$7:$K$125,MATCH('Suivi livrables'!$A24,jalons!$A$7:$A$125,0),7))</f>
        <v>#N/A</v>
      </c>
      <c r="I24" s="10" t="e">
        <f>IF($A24="","",INDEX(jalons!$A$7:$K$125,MATCH('Suivi livrables'!$A24,jalons!$A$7:$A$125,0),8))</f>
        <v>#N/A</v>
      </c>
      <c r="J24" s="10" t="e">
        <f>IF($A24="","",INDEX(jalons!$A$7:$K$125,MATCH('Suivi livrables'!$A24,jalons!$A$7:$A$125,0),9))</f>
        <v>#N/A</v>
      </c>
      <c r="K24" s="10" t="e">
        <f>IF($A24="","",INDEX(jalons!$A$7:$K$125,MATCH('Suivi livrables'!$A24,jalons!$A$7:$A$125,0),10))</f>
        <v>#N/A</v>
      </c>
      <c r="L24" s="10" t="e">
        <f>IF($A24="","",INDEX(jalons!$A$7:$K$125,MATCH('Suivi livrables'!$A24,jalons!$A$7:$A$125,0),11))</f>
        <v>#N/A</v>
      </c>
      <c r="M24" s="14"/>
      <c r="N24" s="47" t="s">
        <v>55</v>
      </c>
      <c r="O24" s="47" t="s">
        <v>67</v>
      </c>
      <c r="P24" s="48"/>
      <c r="Q24" s="48" t="s">
        <v>67</v>
      </c>
      <c r="R24" s="48">
        <v>3</v>
      </c>
      <c r="S24" s="48"/>
      <c r="T24" s="48"/>
      <c r="U24" s="48"/>
      <c r="V24" s="48"/>
      <c r="W24" s="48"/>
      <c r="X24" s="48"/>
      <c r="Y24" s="48"/>
      <c r="Z24" s="48"/>
      <c r="AA24" s="48"/>
      <c r="AB24" s="93"/>
      <c r="AC24" s="48"/>
      <c r="AD24" s="127"/>
      <c r="AE24" s="132"/>
      <c r="AF24" s="48"/>
      <c r="AG24" s="48"/>
      <c r="AH24" s="48"/>
      <c r="AI24" s="48"/>
      <c r="AJ24" s="48"/>
      <c r="AK24" s="48"/>
      <c r="AL24" s="48"/>
      <c r="AM24" s="48"/>
      <c r="AN24" s="132"/>
      <c r="AO24" s="133"/>
      <c r="AP24" s="132"/>
      <c r="AQ24" s="132"/>
      <c r="AR24" s="133"/>
      <c r="AS24" s="132"/>
      <c r="AT24" s="132"/>
      <c r="AU24" s="139"/>
      <c r="AV24" s="139"/>
      <c r="AW24" s="132"/>
      <c r="AX24" s="139"/>
      <c r="AY24" s="139"/>
      <c r="AZ24" s="132"/>
      <c r="BA24" s="139"/>
      <c r="BB24" s="139"/>
      <c r="BC24" s="139"/>
      <c r="BD24" s="139"/>
      <c r="BE24" s="133" t="s">
        <v>68</v>
      </c>
      <c r="BF24" s="47"/>
      <c r="BG24" s="93"/>
      <c r="BH24" s="96" t="e">
        <f t="shared" si="0"/>
        <v>#N/A</v>
      </c>
      <c r="BI24" s="117" t="s">
        <v>23</v>
      </c>
      <c r="BJ24" s="119" t="e">
        <f t="shared" si="1"/>
        <v>#N/A</v>
      </c>
      <c r="BK24" s="117"/>
      <c r="BL24" s="121" t="e">
        <f t="shared" si="2"/>
        <v>#N/A</v>
      </c>
      <c r="BM24" s="121" t="e">
        <f>IF(G24=0,0,IF('Suivi livrables'!BE24="ZSFR",IF(G24-F24&lt;90,F24+7,G24-90),"N/A"))</f>
        <v>#N/A</v>
      </c>
      <c r="BN24" s="117"/>
      <c r="BO24" s="121" t="e">
        <f>IF(G24=0,0,IF('Suivi livrables'!BE24="ZSFR",IF(L24=0,I24-45,L24-4),"N/A"))</f>
        <v>#N/A</v>
      </c>
      <c r="BP24" s="117"/>
      <c r="BQ24" s="121" t="e">
        <f t="shared" si="3"/>
        <v>#N/A</v>
      </c>
      <c r="BR24" s="121" t="e">
        <f t="shared" si="4"/>
        <v>#N/A</v>
      </c>
      <c r="BS24" s="117"/>
      <c r="BT24" s="121" t="e">
        <f>IF(G24=0,0,IF(AND('Suivi livrables'!P24=0,'Suivi livrables'!R24=0,'Suivi livrables'!T24=0,'Suivi livrables'!V24=0,'Suivi livrables'!X24=0,'Suivi livrables'!AD24=0),"N/A",#REF!-77))</f>
        <v>#N/A</v>
      </c>
      <c r="BU24" s="121" t="e">
        <f>IF(G24=0,0,IF(AND('Suivi livrables'!P24=0,'Suivi livrables'!R24=0,'Suivi livrables'!T24=0,'Suivi livrables'!V24=0,'Suivi livrables'!X24=0,'Suivi livrables'!AD24=0),"N/A",#REF!-21))</f>
        <v>#N/A</v>
      </c>
      <c r="BV24" s="117"/>
      <c r="BW24" s="97"/>
      <c r="BX24" s="102"/>
      <c r="BY24" s="117" t="str">
        <f t="shared" si="19"/>
        <v>Franklin</v>
      </c>
      <c r="BZ24" s="117" t="str">
        <f t="shared" si="20"/>
        <v/>
      </c>
      <c r="CA24" s="117" t="str">
        <f t="shared" si="21"/>
        <v>Franklin</v>
      </c>
      <c r="CB24" s="117">
        <f t="shared" si="22"/>
        <v>3</v>
      </c>
      <c r="CC24" s="117" t="str">
        <f t="shared" si="23"/>
        <v/>
      </c>
      <c r="CD24" s="117" t="str">
        <f t="shared" si="24"/>
        <v/>
      </c>
      <c r="CE24" s="117" t="str">
        <f t="shared" si="25"/>
        <v/>
      </c>
      <c r="CF24" s="117" t="str">
        <f t="shared" si="26"/>
        <v/>
      </c>
      <c r="CG24" s="117" t="str">
        <f t="shared" si="27"/>
        <v/>
      </c>
      <c r="CH24" s="117" t="str">
        <f t="shared" si="28"/>
        <v/>
      </c>
      <c r="CI24" s="117" t="str">
        <f t="shared" si="29"/>
        <v/>
      </c>
      <c r="CJ24" s="117" t="str">
        <f t="shared" si="30"/>
        <v/>
      </c>
      <c r="CK24" s="117" t="str">
        <f t="shared" si="31"/>
        <v/>
      </c>
      <c r="CL24" s="117" t="str">
        <f t="shared" si="32"/>
        <v/>
      </c>
      <c r="CM24" s="117" t="str">
        <f t="shared" si="33"/>
        <v/>
      </c>
      <c r="CN24" s="117" t="str">
        <f t="shared" si="34"/>
        <v/>
      </c>
      <c r="CO24" s="121" t="e">
        <f t="shared" si="6"/>
        <v>#N/A</v>
      </c>
      <c r="CP24" s="117"/>
      <c r="CQ24" s="121" t="e">
        <f t="shared" si="7"/>
        <v>#N/A</v>
      </c>
      <c r="CR24" s="117"/>
      <c r="CS24" s="121" t="e">
        <f t="shared" si="8"/>
        <v>#N/A</v>
      </c>
      <c r="CT24" s="121" t="e">
        <f t="shared" si="9"/>
        <v>#N/A</v>
      </c>
      <c r="CU24" s="121" t="e">
        <f t="shared" si="10"/>
        <v>#N/A</v>
      </c>
      <c r="CV24" s="117"/>
      <c r="CW24" s="121" t="e">
        <f t="shared" si="11"/>
        <v>#N/A</v>
      </c>
      <c r="CX24" s="117"/>
      <c r="CY24" s="121" t="e">
        <f t="shared" si="12"/>
        <v>#N/A</v>
      </c>
      <c r="CZ24" s="117"/>
      <c r="DA24" s="121" t="e">
        <f t="shared" si="13"/>
        <v>#N/A</v>
      </c>
      <c r="DB24" s="121" t="e">
        <f t="shared" si="14"/>
        <v>#N/A</v>
      </c>
      <c r="DC24" s="121" t="e">
        <f t="shared" si="15"/>
        <v>#N/A</v>
      </c>
      <c r="DD24" s="117"/>
      <c r="DE24" s="125" t="e">
        <f t="shared" si="16"/>
        <v>#N/A</v>
      </c>
      <c r="DF24" s="124"/>
      <c r="DG24" s="125" t="e">
        <f t="shared" si="35"/>
        <v>#N/A</v>
      </c>
      <c r="DH24" s="124"/>
      <c r="DI24" s="125" t="e">
        <f t="shared" si="17"/>
        <v>#N/A</v>
      </c>
      <c r="DJ24" s="124"/>
      <c r="DK24" s="125" t="e">
        <f t="shared" si="18"/>
        <v>#N/A</v>
      </c>
      <c r="DL24" s="124"/>
      <c r="DM24" s="117"/>
      <c r="DN24" s="124"/>
      <c r="DO24" s="117"/>
    </row>
    <row r="25" spans="1:119" ht="15.75" thickBot="1">
      <c r="A25" s="25" t="s">
        <v>222</v>
      </c>
      <c r="B25" s="57" t="str">
        <f>jalons!B25</f>
        <v>Indigo</v>
      </c>
      <c r="C25" s="57" t="str">
        <f>jalons!C25</f>
        <v>A320-200</v>
      </c>
      <c r="D25" s="82" t="s">
        <v>252</v>
      </c>
      <c r="E25" s="9">
        <f>IF($A25="","",INDEX(jalons!$A$7:$K$125,MATCH('Suivi livrables'!$A25,jalons!$A$7:$A$125,0),4))</f>
        <v>41976</v>
      </c>
      <c r="F25" s="10">
        <f>IF($A25="","",INDEX(jalons!$A$7:$K$125,MATCH('Suivi livrables'!$A25,jalons!$A$7:$A$125,0),5))</f>
        <v>42039</v>
      </c>
      <c r="G25" s="10">
        <f>IF($A25="","",INDEX(jalons!$A$7:$K$125,MATCH('Suivi livrables'!$A25,jalons!$A$7:$A$125,0),6))</f>
        <v>42068</v>
      </c>
      <c r="H25" s="10">
        <f>IF($A25="","",INDEX(jalons!$A$7:$K$125,MATCH('Suivi livrables'!$A25,jalons!$A$7:$A$125,0),7))</f>
        <v>42142</v>
      </c>
      <c r="I25" s="10">
        <f>IF($A25="","",INDEX(jalons!$A$7:$K$125,MATCH('Suivi livrables'!$A25,jalons!$A$7:$A$125,0),8))</f>
        <v>42172</v>
      </c>
      <c r="J25" s="10">
        <f>IF($A25="","",INDEX(jalons!$A$7:$K$125,MATCH('Suivi livrables'!$A25,jalons!$A$7:$A$125,0),9))</f>
        <v>42194</v>
      </c>
      <c r="K25" s="10">
        <f>IF($A25="","",INDEX(jalons!$A$7:$K$125,MATCH('Suivi livrables'!$A25,jalons!$A$7:$A$125,0),10))</f>
        <v>42127</v>
      </c>
      <c r="L25" s="10">
        <f>IF($A25="","",INDEX(jalons!$A$7:$K$125,MATCH('Suivi livrables'!$A25,jalons!$A$7:$A$125,0),11))</f>
        <v>42082</v>
      </c>
      <c r="M25" s="14"/>
      <c r="N25" s="47"/>
      <c r="O25" s="47" t="s">
        <v>67</v>
      </c>
      <c r="P25" s="48"/>
      <c r="Q25" s="48" t="s">
        <v>67</v>
      </c>
      <c r="R25" s="48"/>
      <c r="S25" s="48"/>
      <c r="T25" s="48"/>
      <c r="U25" s="48"/>
      <c r="V25" s="48"/>
      <c r="W25" s="48"/>
      <c r="X25" s="48"/>
      <c r="Y25" s="48"/>
      <c r="Z25" s="48"/>
      <c r="AA25" s="48"/>
      <c r="AB25" s="93"/>
      <c r="AC25" s="48"/>
      <c r="AD25" s="127"/>
      <c r="AE25" s="132"/>
      <c r="AF25" s="48"/>
      <c r="AG25" s="48"/>
      <c r="AH25" s="48"/>
      <c r="AI25" s="48"/>
      <c r="AJ25" s="48"/>
      <c r="AK25" s="48"/>
      <c r="AL25" s="48"/>
      <c r="AM25" s="48"/>
      <c r="AN25" s="132"/>
      <c r="AO25" s="133"/>
      <c r="AP25" s="132"/>
      <c r="AQ25" s="132"/>
      <c r="AR25" s="133"/>
      <c r="AS25" s="132"/>
      <c r="AT25" s="132"/>
      <c r="AU25" s="139"/>
      <c r="AV25" s="139"/>
      <c r="AW25" s="132"/>
      <c r="AX25" s="139"/>
      <c r="AY25" s="139"/>
      <c r="AZ25" s="132"/>
      <c r="BA25" s="139"/>
      <c r="BB25" s="139"/>
      <c r="BC25" s="139"/>
      <c r="BD25" s="139"/>
      <c r="BE25" s="133" t="s">
        <v>68</v>
      </c>
      <c r="BF25" s="47"/>
      <c r="BG25" s="93"/>
      <c r="BH25" s="96">
        <f t="shared" si="0"/>
        <v>41991</v>
      </c>
      <c r="BI25" s="117" t="s">
        <v>23</v>
      </c>
      <c r="BJ25" s="119">
        <f t="shared" si="1"/>
        <v>42047</v>
      </c>
      <c r="BK25" s="117"/>
      <c r="BL25" s="121">
        <f t="shared" si="2"/>
        <v>41991</v>
      </c>
      <c r="BM25" s="121">
        <f>IF(G25=0,0,IF('Suivi livrables'!BE25="ZSFR",IF(G25-F25&lt;90,F25+7,G25-90),"N/A"))</f>
        <v>42046</v>
      </c>
      <c r="BN25" s="117"/>
      <c r="BO25" s="121">
        <f>IF(G25=0,0,IF('Suivi livrables'!BE25="ZSFR",IF(L25=0,I25-45,L25-4),"N/A"))</f>
        <v>42078</v>
      </c>
      <c r="BP25" s="117"/>
      <c r="BQ25" s="121" t="str">
        <f t="shared" si="3"/>
        <v>N/A</v>
      </c>
      <c r="BR25" s="121" t="str">
        <f t="shared" si="4"/>
        <v>N/A</v>
      </c>
      <c r="BS25" s="117"/>
      <c r="BT25" s="121" t="str">
        <f>IF(G25=0,0,IF(AND('Suivi livrables'!P25=0,'Suivi livrables'!R25=0,'Suivi livrables'!T25=0,'Suivi livrables'!V25=0,'Suivi livrables'!X25=0,'Suivi livrables'!AD25=0),"N/A",#REF!-77))</f>
        <v>N/A</v>
      </c>
      <c r="BU25" s="121" t="str">
        <f>IF(G25=0,0,IF(AND('Suivi livrables'!P25=0,'Suivi livrables'!R25=0,'Suivi livrables'!T25=0,'Suivi livrables'!V25=0,'Suivi livrables'!X25=0,'Suivi livrables'!AD25=0),"N/A",#REF!-21))</f>
        <v>N/A</v>
      </c>
      <c r="BV25" s="117"/>
      <c r="BW25" s="97"/>
      <c r="BX25" s="102"/>
      <c r="BY25" s="117" t="str">
        <f t="shared" si="19"/>
        <v>Franklin</v>
      </c>
      <c r="BZ25" s="117" t="str">
        <f t="shared" si="20"/>
        <v/>
      </c>
      <c r="CA25" s="117" t="str">
        <f t="shared" si="21"/>
        <v>Franklin</v>
      </c>
      <c r="CB25" s="117" t="str">
        <f t="shared" si="22"/>
        <v/>
      </c>
      <c r="CC25" s="117" t="str">
        <f t="shared" si="23"/>
        <v/>
      </c>
      <c r="CD25" s="117" t="str">
        <f t="shared" si="24"/>
        <v/>
      </c>
      <c r="CE25" s="117" t="str">
        <f t="shared" si="25"/>
        <v/>
      </c>
      <c r="CF25" s="117" t="str">
        <f t="shared" si="26"/>
        <v/>
      </c>
      <c r="CG25" s="117" t="str">
        <f t="shared" si="27"/>
        <v/>
      </c>
      <c r="CH25" s="117" t="str">
        <f t="shared" si="28"/>
        <v/>
      </c>
      <c r="CI25" s="117" t="str">
        <f t="shared" si="29"/>
        <v/>
      </c>
      <c r="CJ25" s="117" t="str">
        <f t="shared" si="30"/>
        <v/>
      </c>
      <c r="CK25" s="117" t="str">
        <f t="shared" si="31"/>
        <v/>
      </c>
      <c r="CL25" s="117" t="str">
        <f t="shared" si="32"/>
        <v/>
      </c>
      <c r="CM25" s="117" t="str">
        <f t="shared" si="33"/>
        <v/>
      </c>
      <c r="CN25" s="117" t="str">
        <f t="shared" si="34"/>
        <v/>
      </c>
      <c r="CO25" s="121">
        <f t="shared" si="6"/>
        <v>41991</v>
      </c>
      <c r="CP25" s="117"/>
      <c r="CQ25" s="121">
        <f t="shared" si="7"/>
        <v>41991</v>
      </c>
      <c r="CR25" s="117"/>
      <c r="CS25" s="121">
        <f t="shared" si="8"/>
        <v>42033</v>
      </c>
      <c r="CT25" s="121">
        <f t="shared" si="9"/>
        <v>42047</v>
      </c>
      <c r="CU25" s="121">
        <f t="shared" si="10"/>
        <v>42019</v>
      </c>
      <c r="CV25" s="117"/>
      <c r="CW25" s="121">
        <f t="shared" si="11"/>
        <v>42033</v>
      </c>
      <c r="CX25" s="117"/>
      <c r="CY25" s="121">
        <f t="shared" si="12"/>
        <v>42040</v>
      </c>
      <c r="CZ25" s="117"/>
      <c r="DA25" s="121">
        <f t="shared" si="13"/>
        <v>42047</v>
      </c>
      <c r="DB25" s="121">
        <f t="shared" si="14"/>
        <v>42096</v>
      </c>
      <c r="DC25" s="121">
        <f t="shared" si="15"/>
        <v>42096</v>
      </c>
      <c r="DD25" s="117"/>
      <c r="DE25" s="125">
        <f t="shared" si="16"/>
        <v>41994</v>
      </c>
      <c r="DF25" s="124"/>
      <c r="DG25" s="125">
        <f t="shared" si="35"/>
        <v>41994</v>
      </c>
      <c r="DH25" s="124"/>
      <c r="DI25" s="125">
        <f t="shared" si="17"/>
        <v>42054</v>
      </c>
      <c r="DJ25" s="124"/>
      <c r="DK25" s="125">
        <f t="shared" si="18"/>
        <v>42039</v>
      </c>
      <c r="DL25" s="124"/>
      <c r="DM25" s="117"/>
      <c r="DN25" s="124"/>
      <c r="DO25" s="117"/>
    </row>
    <row r="26" spans="1:119" ht="15.75" thickBot="1">
      <c r="A26" s="25" t="s">
        <v>116</v>
      </c>
      <c r="B26" s="57">
        <f>jalons!B26</f>
        <v>0</v>
      </c>
      <c r="C26" s="57">
        <f>jalons!C26</f>
        <v>0</v>
      </c>
      <c r="D26" s="82" t="s">
        <v>252</v>
      </c>
      <c r="E26" s="9">
        <f>IF($A26="","",INDEX(jalons!$A$7:$K$125,MATCH('Suivi livrables'!$A26,jalons!$A$7:$A$125,0),4))</f>
        <v>42032</v>
      </c>
      <c r="F26" s="10">
        <f>IF($A26="","",INDEX(jalons!$A$7:$K$125,MATCH('Suivi livrables'!$A26,jalons!$A$7:$A$125,0),5))</f>
        <v>42041</v>
      </c>
      <c r="G26" s="10">
        <f>IF($A26="","",INDEX(jalons!$A$7:$K$125,MATCH('Suivi livrables'!$A26,jalons!$A$7:$A$125,0),6))</f>
        <v>42079</v>
      </c>
      <c r="H26" s="10">
        <f>IF($A26="","",INDEX(jalons!$A$7:$K$125,MATCH('Suivi livrables'!$A26,jalons!$A$7:$A$125,0),7))</f>
        <v>42165</v>
      </c>
      <c r="I26" s="10">
        <f>IF($A26="","",INDEX(jalons!$A$7:$K$125,MATCH('Suivi livrables'!$A26,jalons!$A$7:$A$125,0),8))</f>
        <v>42173</v>
      </c>
      <c r="J26" s="10">
        <f>IF($A26="","",INDEX(jalons!$A$7:$K$125,MATCH('Suivi livrables'!$A26,jalons!$A$7:$A$125,0),9))</f>
        <v>42231</v>
      </c>
      <c r="K26" s="10">
        <f>IF($A26="","",INDEX(jalons!$A$7:$K$125,MATCH('Suivi livrables'!$A26,jalons!$A$7:$A$125,0),10))</f>
        <v>42155</v>
      </c>
      <c r="L26" s="10">
        <f>IF($A26="","",INDEX(jalons!$A$7:$K$125,MATCH('Suivi livrables'!$A26,jalons!$A$7:$A$125,0),11))</f>
        <v>42110</v>
      </c>
      <c r="M26" s="14"/>
      <c r="N26" s="47" t="s">
        <v>200</v>
      </c>
      <c r="O26" s="47" t="s">
        <v>67</v>
      </c>
      <c r="P26" s="48"/>
      <c r="Q26" s="48" t="s">
        <v>67</v>
      </c>
      <c r="R26" s="48"/>
      <c r="S26" s="48"/>
      <c r="T26" s="48"/>
      <c r="U26" s="48"/>
      <c r="V26" s="48"/>
      <c r="W26" s="48"/>
      <c r="X26" s="48"/>
      <c r="Y26" s="48"/>
      <c r="Z26" s="48"/>
      <c r="AA26" s="48"/>
      <c r="AB26" s="93"/>
      <c r="AC26" s="48"/>
      <c r="AD26" s="127"/>
      <c r="AE26" s="132"/>
      <c r="AF26" s="48"/>
      <c r="AG26" s="48"/>
      <c r="AH26" s="48"/>
      <c r="AI26" s="48"/>
      <c r="AJ26" s="48"/>
      <c r="AK26" s="48"/>
      <c r="AL26" s="48"/>
      <c r="AM26" s="48"/>
      <c r="AN26" s="132"/>
      <c r="AO26" s="133"/>
      <c r="AP26" s="132"/>
      <c r="AQ26" s="132"/>
      <c r="AR26" s="133"/>
      <c r="AS26" s="132"/>
      <c r="AT26" s="132"/>
      <c r="AU26" s="139"/>
      <c r="AV26" s="139"/>
      <c r="AW26" s="132"/>
      <c r="AX26" s="139"/>
      <c r="AY26" s="139"/>
      <c r="AZ26" s="132"/>
      <c r="BA26" s="139"/>
      <c r="BB26" s="139"/>
      <c r="BC26" s="139"/>
      <c r="BD26" s="139"/>
      <c r="BE26" s="133" t="s">
        <v>68</v>
      </c>
      <c r="BF26" s="47"/>
      <c r="BG26" s="93"/>
      <c r="BH26" s="96">
        <f t="shared" si="0"/>
        <v>42002</v>
      </c>
      <c r="BI26" s="117" t="s">
        <v>23</v>
      </c>
      <c r="BJ26" s="119">
        <f t="shared" si="1"/>
        <v>42058</v>
      </c>
      <c r="BK26" s="117"/>
      <c r="BL26" s="121">
        <f t="shared" si="2"/>
        <v>42047</v>
      </c>
      <c r="BM26" s="121">
        <f>IF(G26=0,0,IF('Suivi livrables'!BE26="ZSFR",IF(G26-F26&lt;90,F26+7,G26-90),"N/A"))</f>
        <v>42048</v>
      </c>
      <c r="BN26" s="117"/>
      <c r="BO26" s="121">
        <f>IF(G26=0,0,IF('Suivi livrables'!BE26="ZSFR",IF(L26=0,I26-45,L26-4),"N/A"))</f>
        <v>42106</v>
      </c>
      <c r="BP26" s="117"/>
      <c r="BQ26" s="121" t="str">
        <f t="shared" si="3"/>
        <v>N/A</v>
      </c>
      <c r="BR26" s="121" t="str">
        <f t="shared" si="4"/>
        <v>N/A</v>
      </c>
      <c r="BS26" s="117"/>
      <c r="BT26" s="121" t="str">
        <f>IF(G26=0,0,IF(AND('Suivi livrables'!P26=0,'Suivi livrables'!R26=0,'Suivi livrables'!T26=0,'Suivi livrables'!V26=0,'Suivi livrables'!X26=0,'Suivi livrables'!AD26=0),"N/A",#REF!-77))</f>
        <v>N/A</v>
      </c>
      <c r="BU26" s="121" t="str">
        <f>IF(G26=0,0,IF(AND('Suivi livrables'!P26=0,'Suivi livrables'!R26=0,'Suivi livrables'!T26=0,'Suivi livrables'!V26=0,'Suivi livrables'!X26=0,'Suivi livrables'!AD26=0),"N/A",#REF!-21))</f>
        <v>N/A</v>
      </c>
      <c r="BV26" s="117"/>
      <c r="BW26" s="97"/>
      <c r="BX26" s="102"/>
      <c r="BY26" s="117" t="str">
        <f t="shared" si="19"/>
        <v>Franklin</v>
      </c>
      <c r="BZ26" s="117" t="str">
        <f t="shared" si="20"/>
        <v/>
      </c>
      <c r="CA26" s="117" t="str">
        <f t="shared" si="21"/>
        <v>Franklin</v>
      </c>
      <c r="CB26" s="117" t="str">
        <f t="shared" si="22"/>
        <v/>
      </c>
      <c r="CC26" s="117" t="str">
        <f t="shared" si="23"/>
        <v/>
      </c>
      <c r="CD26" s="117" t="str">
        <f t="shared" si="24"/>
        <v/>
      </c>
      <c r="CE26" s="117" t="str">
        <f t="shared" si="25"/>
        <v/>
      </c>
      <c r="CF26" s="117" t="str">
        <f t="shared" si="26"/>
        <v/>
      </c>
      <c r="CG26" s="117" t="str">
        <f t="shared" si="27"/>
        <v/>
      </c>
      <c r="CH26" s="117" t="str">
        <f t="shared" si="28"/>
        <v/>
      </c>
      <c r="CI26" s="117" t="str">
        <f t="shared" si="29"/>
        <v/>
      </c>
      <c r="CJ26" s="117" t="str">
        <f t="shared" si="30"/>
        <v/>
      </c>
      <c r="CK26" s="117" t="str">
        <f t="shared" si="31"/>
        <v/>
      </c>
      <c r="CL26" s="117" t="str">
        <f t="shared" si="32"/>
        <v/>
      </c>
      <c r="CM26" s="117" t="str">
        <f t="shared" si="33"/>
        <v/>
      </c>
      <c r="CN26" s="117" t="str">
        <f t="shared" si="34"/>
        <v/>
      </c>
      <c r="CO26" s="121">
        <f t="shared" si="6"/>
        <v>42002</v>
      </c>
      <c r="CP26" s="117"/>
      <c r="CQ26" s="121">
        <f t="shared" si="7"/>
        <v>42002</v>
      </c>
      <c r="CR26" s="117"/>
      <c r="CS26" s="121">
        <f t="shared" si="8"/>
        <v>42044</v>
      </c>
      <c r="CT26" s="121">
        <f t="shared" si="9"/>
        <v>42058</v>
      </c>
      <c r="CU26" s="121">
        <f t="shared" si="10"/>
        <v>42030</v>
      </c>
      <c r="CV26" s="117"/>
      <c r="CW26" s="121">
        <f t="shared" si="11"/>
        <v>42044</v>
      </c>
      <c r="CX26" s="117"/>
      <c r="CY26" s="121">
        <f t="shared" si="12"/>
        <v>42051</v>
      </c>
      <c r="CZ26" s="117"/>
      <c r="DA26" s="121">
        <f t="shared" si="13"/>
        <v>42058</v>
      </c>
      <c r="DB26" s="121">
        <f t="shared" si="14"/>
        <v>42107</v>
      </c>
      <c r="DC26" s="121">
        <f t="shared" si="15"/>
        <v>42107</v>
      </c>
      <c r="DD26" s="117"/>
      <c r="DE26" s="125">
        <f t="shared" si="16"/>
        <v>41996</v>
      </c>
      <c r="DF26" s="124"/>
      <c r="DG26" s="125">
        <f t="shared" si="35"/>
        <v>41996</v>
      </c>
      <c r="DH26" s="124"/>
      <c r="DI26" s="125">
        <f t="shared" si="17"/>
        <v>42056</v>
      </c>
      <c r="DJ26" s="124"/>
      <c r="DK26" s="125">
        <f t="shared" si="18"/>
        <v>42041</v>
      </c>
      <c r="DL26" s="124"/>
      <c r="DM26" s="117"/>
      <c r="DN26" s="124"/>
      <c r="DO26" s="117"/>
    </row>
    <row r="27" spans="1:119" ht="15.75" thickBot="1">
      <c r="A27" s="25" t="s">
        <v>117</v>
      </c>
      <c r="B27" s="57" t="str">
        <f>jalons!B27</f>
        <v>Safair</v>
      </c>
      <c r="C27" s="57" t="str">
        <f>jalons!C27</f>
        <v>B737</v>
      </c>
      <c r="D27" s="82" t="s">
        <v>252</v>
      </c>
      <c r="E27" s="9">
        <f>IF($A27="","",INDEX(jalons!$A$7:$K$125,MATCH('Suivi livrables'!$A27,jalons!$A$7:$A$125,0),4))</f>
        <v>41955</v>
      </c>
      <c r="F27" s="10">
        <f>IF($A27="","",INDEX(jalons!$A$7:$K$125,MATCH('Suivi livrables'!$A27,jalons!$A$7:$A$125,0),5))</f>
        <v>41992</v>
      </c>
      <c r="G27" s="10">
        <f>IF($A27="","",INDEX(jalons!$A$7:$K$125,MATCH('Suivi livrables'!$A27,jalons!$A$7:$A$125,0),6))</f>
        <v>41992</v>
      </c>
      <c r="H27" s="10">
        <f>IF($A27="","",INDEX(jalons!$A$7:$K$125,MATCH('Suivi livrables'!$A27,jalons!$A$7:$A$125,0),7))</f>
        <v>42036</v>
      </c>
      <c r="I27" s="10">
        <f>IF($A27="","",INDEX(jalons!$A$7:$K$125,MATCH('Suivi livrables'!$A27,jalons!$A$7:$A$125,0),8))</f>
        <v>42053</v>
      </c>
      <c r="J27" s="10">
        <f>IF($A27="","",INDEX(jalons!$A$7:$K$125,MATCH('Suivi livrables'!$A27,jalons!$A$7:$A$125,0),9))</f>
        <v>42094</v>
      </c>
      <c r="K27" s="10">
        <f>IF($A27="","",INDEX(jalons!$A$7:$K$125,MATCH('Suivi livrables'!$A27,jalons!$A$7:$A$125,0),10))</f>
        <v>41996</v>
      </c>
      <c r="L27" s="10" t="str">
        <f>IF($A27="","",INDEX(jalons!$A$7:$K$125,MATCH('Suivi livrables'!$A27,jalons!$A$7:$A$125,0),11))</f>
        <v>manque date</v>
      </c>
      <c r="M27" s="14"/>
      <c r="N27" s="47" t="s">
        <v>201</v>
      </c>
      <c r="O27" s="47" t="s">
        <v>67</v>
      </c>
      <c r="P27" s="48"/>
      <c r="Q27" s="48" t="s">
        <v>67</v>
      </c>
      <c r="R27" s="48"/>
      <c r="S27" s="48"/>
      <c r="T27" s="48"/>
      <c r="U27" s="48" t="s">
        <v>67</v>
      </c>
      <c r="V27" s="48"/>
      <c r="W27" s="48"/>
      <c r="X27" s="48"/>
      <c r="Y27" s="48"/>
      <c r="Z27" s="48"/>
      <c r="AA27" s="48"/>
      <c r="AB27" s="93"/>
      <c r="AC27" s="48"/>
      <c r="AD27" s="127"/>
      <c r="AE27" s="132"/>
      <c r="AF27" s="48"/>
      <c r="AG27" s="48"/>
      <c r="AH27" s="48"/>
      <c r="AI27" s="48"/>
      <c r="AJ27" s="48"/>
      <c r="AK27" s="48"/>
      <c r="AL27" s="48"/>
      <c r="AM27" s="48"/>
      <c r="AN27" s="132"/>
      <c r="AO27" s="133"/>
      <c r="AP27" s="132"/>
      <c r="AQ27" s="132"/>
      <c r="AR27" s="133"/>
      <c r="AS27" s="132"/>
      <c r="AT27" s="132"/>
      <c r="AU27" s="139"/>
      <c r="AV27" s="139"/>
      <c r="AW27" s="132"/>
      <c r="AX27" s="139"/>
      <c r="AY27" s="139"/>
      <c r="AZ27" s="132"/>
      <c r="BA27" s="139"/>
      <c r="BB27" s="139"/>
      <c r="BC27" s="139"/>
      <c r="BD27" s="139"/>
      <c r="BE27" s="133" t="s">
        <v>68</v>
      </c>
      <c r="BF27" s="47"/>
      <c r="BG27" s="93"/>
      <c r="BH27" s="96">
        <f t="shared" si="0"/>
        <v>41915</v>
      </c>
      <c r="BI27" s="117" t="s">
        <v>23</v>
      </c>
      <c r="BJ27" s="119">
        <f t="shared" si="1"/>
        <v>41971</v>
      </c>
      <c r="BK27" s="117"/>
      <c r="BL27" s="121">
        <f t="shared" si="2"/>
        <v>41970</v>
      </c>
      <c r="BM27" s="121">
        <f>IF(G27=0,0,IF('Suivi livrables'!BE27="ZSFR",IF(G27-F27&lt;90,F27+7,G27-90),"N/A"))</f>
        <v>41999</v>
      </c>
      <c r="BN27" s="117"/>
      <c r="BO27" s="121" t="e">
        <f>IF(G27=0,0,IF('Suivi livrables'!BE27="ZSFR",IF(L27=0,I27-45,L27-4),"N/A"))</f>
        <v>#VALUE!</v>
      </c>
      <c r="BP27" s="117"/>
      <c r="BQ27" s="121" t="str">
        <f t="shared" si="3"/>
        <v>N/A</v>
      </c>
      <c r="BR27" s="121" t="str">
        <f t="shared" si="4"/>
        <v>N/A</v>
      </c>
      <c r="BS27" s="117"/>
      <c r="BT27" s="121" t="str">
        <f>IF(G27=0,0,IF(AND('Suivi livrables'!P27=0,'Suivi livrables'!R27=0,'Suivi livrables'!T27=0,'Suivi livrables'!V27=0,'Suivi livrables'!X27=0,'Suivi livrables'!AD27=0),"N/A",#REF!-77))</f>
        <v>N/A</v>
      </c>
      <c r="BU27" s="121" t="str">
        <f>IF(G27=0,0,IF(AND('Suivi livrables'!P27=0,'Suivi livrables'!R27=0,'Suivi livrables'!T27=0,'Suivi livrables'!V27=0,'Suivi livrables'!X27=0,'Suivi livrables'!AD27=0),"N/A",#REF!-21))</f>
        <v>N/A</v>
      </c>
      <c r="BV27" s="117"/>
      <c r="BW27" s="97"/>
      <c r="BX27" s="102"/>
      <c r="BY27" s="117" t="str">
        <f t="shared" si="19"/>
        <v>Franklin</v>
      </c>
      <c r="BZ27" s="117" t="str">
        <f t="shared" si="20"/>
        <v/>
      </c>
      <c r="CA27" s="117" t="str">
        <f t="shared" si="21"/>
        <v>Franklin</v>
      </c>
      <c r="CB27" s="117" t="str">
        <f t="shared" si="22"/>
        <v/>
      </c>
      <c r="CC27" s="117" t="str">
        <f t="shared" si="23"/>
        <v/>
      </c>
      <c r="CD27" s="117" t="str">
        <f t="shared" si="24"/>
        <v/>
      </c>
      <c r="CE27" s="117" t="str">
        <f t="shared" si="25"/>
        <v>Franklin</v>
      </c>
      <c r="CF27" s="117" t="str">
        <f t="shared" si="26"/>
        <v/>
      </c>
      <c r="CG27" s="117" t="str">
        <f t="shared" si="27"/>
        <v/>
      </c>
      <c r="CH27" s="117" t="str">
        <f t="shared" si="28"/>
        <v/>
      </c>
      <c r="CI27" s="117" t="str">
        <f t="shared" si="29"/>
        <v/>
      </c>
      <c r="CJ27" s="117" t="str">
        <f t="shared" si="30"/>
        <v/>
      </c>
      <c r="CK27" s="117" t="str">
        <f t="shared" si="31"/>
        <v/>
      </c>
      <c r="CL27" s="117" t="str">
        <f t="shared" si="32"/>
        <v/>
      </c>
      <c r="CM27" s="117" t="str">
        <f t="shared" si="33"/>
        <v/>
      </c>
      <c r="CN27" s="117" t="str">
        <f t="shared" si="34"/>
        <v/>
      </c>
      <c r="CO27" s="121">
        <f t="shared" si="6"/>
        <v>41915</v>
      </c>
      <c r="CP27" s="117"/>
      <c r="CQ27" s="121">
        <f t="shared" si="7"/>
        <v>41915</v>
      </c>
      <c r="CR27" s="117"/>
      <c r="CS27" s="121">
        <f t="shared" si="8"/>
        <v>41957</v>
      </c>
      <c r="CT27" s="121">
        <f t="shared" si="9"/>
        <v>41971</v>
      </c>
      <c r="CU27" s="121">
        <f t="shared" si="10"/>
        <v>41943</v>
      </c>
      <c r="CV27" s="117"/>
      <c r="CW27" s="121">
        <f t="shared" si="11"/>
        <v>41957</v>
      </c>
      <c r="CX27" s="117"/>
      <c r="CY27" s="121">
        <f t="shared" si="12"/>
        <v>41964</v>
      </c>
      <c r="CZ27" s="117"/>
      <c r="DA27" s="121">
        <f t="shared" si="13"/>
        <v>41971</v>
      </c>
      <c r="DB27" s="121">
        <f t="shared" si="14"/>
        <v>42020</v>
      </c>
      <c r="DC27" s="121">
        <f t="shared" si="15"/>
        <v>42020</v>
      </c>
      <c r="DD27" s="117"/>
      <c r="DE27" s="125">
        <f t="shared" si="16"/>
        <v>41947</v>
      </c>
      <c r="DF27" s="124"/>
      <c r="DG27" s="125">
        <f t="shared" si="35"/>
        <v>41947</v>
      </c>
      <c r="DH27" s="124"/>
      <c r="DI27" s="125">
        <f t="shared" si="17"/>
        <v>42007</v>
      </c>
      <c r="DJ27" s="124"/>
      <c r="DK27" s="125">
        <f t="shared" si="18"/>
        <v>41992</v>
      </c>
      <c r="DL27" s="124"/>
      <c r="DM27" s="117"/>
      <c r="DN27" s="124"/>
      <c r="DO27" s="117"/>
    </row>
    <row r="28" spans="1:119" ht="15.75" thickBot="1">
      <c r="A28" s="25" t="s">
        <v>118</v>
      </c>
      <c r="B28" s="57" t="str">
        <f>jalons!B28</f>
        <v>Safair</v>
      </c>
      <c r="C28" s="57">
        <f>jalons!C28</f>
        <v>0</v>
      </c>
      <c r="D28" s="82" t="s">
        <v>252</v>
      </c>
      <c r="E28" s="9">
        <f>IF($A28="","",INDEX(jalons!$A$7:$K$125,MATCH('Suivi livrables'!$A28,jalons!$A$7:$A$125,0),4))</f>
        <v>41967</v>
      </c>
      <c r="F28" s="10">
        <f>IF($A28="","",INDEX(jalons!$A$7:$K$125,MATCH('Suivi livrables'!$A28,jalons!$A$7:$A$125,0),5))</f>
        <v>42019</v>
      </c>
      <c r="G28" s="10">
        <f>IF($A28="","",INDEX(jalons!$A$7:$K$125,MATCH('Suivi livrables'!$A28,jalons!$A$7:$A$125,0),6))</f>
        <v>42019</v>
      </c>
      <c r="H28" s="10">
        <f>IF($A28="","",INDEX(jalons!$A$7:$K$125,MATCH('Suivi livrables'!$A28,jalons!$A$7:$A$125,0),7))</f>
        <v>42076</v>
      </c>
      <c r="I28" s="10">
        <f>IF($A28="","",INDEX(jalons!$A$7:$K$125,MATCH('Suivi livrables'!$A28,jalons!$A$7:$A$125,0),8))</f>
        <v>42089</v>
      </c>
      <c r="J28" s="10">
        <f>IF($A28="","",INDEX(jalons!$A$7:$K$125,MATCH('Suivi livrables'!$A28,jalons!$A$7:$A$125,0),9))</f>
        <v>42124</v>
      </c>
      <c r="K28" s="10">
        <f>IF($A28="","",INDEX(jalons!$A$7:$K$125,MATCH('Suivi livrables'!$A28,jalons!$A$7:$A$125,0),10))</f>
        <v>42115</v>
      </c>
      <c r="L28" s="10" t="str">
        <f>IF($A28="","",INDEX(jalons!$A$7:$K$125,MATCH('Suivi livrables'!$A28,jalons!$A$7:$A$125,0),11))</f>
        <v>manque date</v>
      </c>
      <c r="M28" s="14"/>
      <c r="N28" s="47" t="s">
        <v>202</v>
      </c>
      <c r="O28" s="47" t="s">
        <v>67</v>
      </c>
      <c r="P28" s="48"/>
      <c r="Q28" s="48" t="s">
        <v>67</v>
      </c>
      <c r="R28" s="48"/>
      <c r="S28" s="48"/>
      <c r="T28" s="48"/>
      <c r="U28" s="48"/>
      <c r="V28" s="48"/>
      <c r="W28" s="48"/>
      <c r="X28" s="48"/>
      <c r="Y28" s="48"/>
      <c r="Z28" s="48"/>
      <c r="AA28" s="48"/>
      <c r="AB28" s="93"/>
      <c r="AC28" s="48"/>
      <c r="AD28" s="127"/>
      <c r="AE28" s="132"/>
      <c r="AF28" s="48"/>
      <c r="AG28" s="48"/>
      <c r="AH28" s="48"/>
      <c r="AI28" s="48"/>
      <c r="AJ28" s="48"/>
      <c r="AK28" s="48"/>
      <c r="AL28" s="48"/>
      <c r="AM28" s="48"/>
      <c r="AN28" s="132"/>
      <c r="AO28" s="133"/>
      <c r="AP28" s="132"/>
      <c r="AQ28" s="132"/>
      <c r="AR28" s="133"/>
      <c r="AS28" s="132"/>
      <c r="AT28" s="132"/>
      <c r="AU28" s="139"/>
      <c r="AV28" s="139"/>
      <c r="AW28" s="132"/>
      <c r="AX28" s="139"/>
      <c r="AY28" s="139"/>
      <c r="AZ28" s="132"/>
      <c r="BA28" s="139"/>
      <c r="BB28" s="139"/>
      <c r="BC28" s="139"/>
      <c r="BD28" s="139"/>
      <c r="BE28" s="133" t="s">
        <v>68</v>
      </c>
      <c r="BF28" s="47"/>
      <c r="BG28" s="93"/>
      <c r="BH28" s="96">
        <f t="shared" si="0"/>
        <v>41942</v>
      </c>
      <c r="BI28" s="117"/>
      <c r="BJ28" s="119">
        <f t="shared" si="1"/>
        <v>41998</v>
      </c>
      <c r="BK28" s="117"/>
      <c r="BL28" s="121">
        <f t="shared" si="2"/>
        <v>41982</v>
      </c>
      <c r="BM28" s="121">
        <f>IF(G28=0,0,IF('Suivi livrables'!BE28="ZSFR",IF(G28-F28&lt;90,F28+7,G28-90),"N/A"))</f>
        <v>42026</v>
      </c>
      <c r="BN28" s="117"/>
      <c r="BO28" s="121" t="e">
        <f>IF(G28=0,0,IF('Suivi livrables'!BE28="ZSFR",IF(L28=0,I28-45,L28-4),"N/A"))</f>
        <v>#VALUE!</v>
      </c>
      <c r="BP28" s="117"/>
      <c r="BQ28" s="121" t="str">
        <f t="shared" si="3"/>
        <v>N/A</v>
      </c>
      <c r="BR28" s="121" t="str">
        <f t="shared" si="4"/>
        <v>N/A</v>
      </c>
      <c r="BS28" s="117"/>
      <c r="BT28" s="121" t="str">
        <f>IF(G28=0,0,IF(AND('Suivi livrables'!P28=0,'Suivi livrables'!R28=0,'Suivi livrables'!T28=0,'Suivi livrables'!V28=0,'Suivi livrables'!X28=0,'Suivi livrables'!AD28=0),"N/A",#REF!-77))</f>
        <v>N/A</v>
      </c>
      <c r="BU28" s="121" t="str">
        <f>IF(G28=0,0,IF(AND('Suivi livrables'!P28=0,'Suivi livrables'!R28=0,'Suivi livrables'!T28=0,'Suivi livrables'!V28=0,'Suivi livrables'!X28=0,'Suivi livrables'!AD28=0),"N/A",#REF!-21))</f>
        <v>N/A</v>
      </c>
      <c r="BV28" s="117"/>
      <c r="BW28" s="97"/>
      <c r="BX28" s="102"/>
      <c r="BY28" s="117" t="str">
        <f t="shared" si="19"/>
        <v>Franklin</v>
      </c>
      <c r="BZ28" s="117" t="str">
        <f t="shared" si="20"/>
        <v/>
      </c>
      <c r="CA28" s="117" t="str">
        <f t="shared" si="21"/>
        <v>Franklin</v>
      </c>
      <c r="CB28" s="117" t="str">
        <f t="shared" si="22"/>
        <v/>
      </c>
      <c r="CC28" s="117" t="str">
        <f t="shared" si="23"/>
        <v/>
      </c>
      <c r="CD28" s="117" t="str">
        <f t="shared" si="24"/>
        <v/>
      </c>
      <c r="CE28" s="117" t="str">
        <f t="shared" si="25"/>
        <v/>
      </c>
      <c r="CF28" s="117" t="str">
        <f t="shared" si="26"/>
        <v/>
      </c>
      <c r="CG28" s="117" t="str">
        <f t="shared" si="27"/>
        <v/>
      </c>
      <c r="CH28" s="117" t="str">
        <f t="shared" si="28"/>
        <v/>
      </c>
      <c r="CI28" s="117" t="str">
        <f t="shared" si="29"/>
        <v/>
      </c>
      <c r="CJ28" s="117" t="str">
        <f t="shared" si="30"/>
        <v/>
      </c>
      <c r="CK28" s="117" t="str">
        <f t="shared" si="31"/>
        <v/>
      </c>
      <c r="CL28" s="117" t="str">
        <f t="shared" si="32"/>
        <v/>
      </c>
      <c r="CM28" s="117" t="str">
        <f t="shared" si="33"/>
        <v/>
      </c>
      <c r="CN28" s="117" t="str">
        <f t="shared" si="34"/>
        <v/>
      </c>
      <c r="CO28" s="121">
        <f t="shared" si="6"/>
        <v>41942</v>
      </c>
      <c r="CP28" s="117"/>
      <c r="CQ28" s="121">
        <f t="shared" si="7"/>
        <v>41942</v>
      </c>
      <c r="CR28" s="117"/>
      <c r="CS28" s="121">
        <f t="shared" si="8"/>
        <v>41984</v>
      </c>
      <c r="CT28" s="121">
        <f t="shared" si="9"/>
        <v>41998</v>
      </c>
      <c r="CU28" s="121">
        <f t="shared" si="10"/>
        <v>41970</v>
      </c>
      <c r="CV28" s="117"/>
      <c r="CW28" s="121">
        <f t="shared" si="11"/>
        <v>41984</v>
      </c>
      <c r="CX28" s="117"/>
      <c r="CY28" s="121">
        <f t="shared" si="12"/>
        <v>41991</v>
      </c>
      <c r="CZ28" s="117"/>
      <c r="DA28" s="121">
        <f t="shared" si="13"/>
        <v>41998</v>
      </c>
      <c r="DB28" s="121">
        <f t="shared" si="14"/>
        <v>42047</v>
      </c>
      <c r="DC28" s="121">
        <f t="shared" si="15"/>
        <v>42047</v>
      </c>
      <c r="DD28" s="117"/>
      <c r="DE28" s="125">
        <f t="shared" si="16"/>
        <v>41974</v>
      </c>
      <c r="DF28" s="124"/>
      <c r="DG28" s="125">
        <f t="shared" si="35"/>
        <v>41974</v>
      </c>
      <c r="DH28" s="124"/>
      <c r="DI28" s="125">
        <f t="shared" si="17"/>
        <v>42034</v>
      </c>
      <c r="DJ28" s="124"/>
      <c r="DK28" s="125">
        <f t="shared" si="18"/>
        <v>42019</v>
      </c>
      <c r="DL28" s="124"/>
      <c r="DM28" s="117"/>
      <c r="DN28" s="124"/>
      <c r="DO28" s="117"/>
    </row>
    <row r="29" spans="1:119" ht="15.75" thickBot="1">
      <c r="A29" s="13" t="s">
        <v>223</v>
      </c>
      <c r="B29" s="57" t="str">
        <f>jalons!B29</f>
        <v>Viet Nam</v>
      </c>
      <c r="C29" s="57" t="str">
        <f>jalons!C29</f>
        <v>A321</v>
      </c>
      <c r="D29" s="83" t="s">
        <v>252</v>
      </c>
      <c r="E29" s="9">
        <f>IF($A29="","",INDEX(jalons!$A$7:$K$125,MATCH('Suivi livrables'!$A29,jalons!$A$7:$A$125,0),4))</f>
        <v>42125</v>
      </c>
      <c r="F29" s="10">
        <f>IF($A29="","",INDEX(jalons!$A$7:$K$125,MATCH('Suivi livrables'!$A29,jalons!$A$7:$A$125,0),5))</f>
        <v>42156</v>
      </c>
      <c r="G29" s="10">
        <f>IF($A29="","",INDEX(jalons!$A$7:$K$125,MATCH('Suivi livrables'!$A29,jalons!$A$7:$A$125,0),6))</f>
        <v>42200</v>
      </c>
      <c r="H29" s="10">
        <f>IF($A29="","",INDEX(jalons!$A$7:$K$125,MATCH('Suivi livrables'!$A29,jalons!$A$7:$A$125,0),7))</f>
        <v>42232</v>
      </c>
      <c r="I29" s="10">
        <f>IF($A29="","",INDEX(jalons!$A$7:$K$125,MATCH('Suivi livrables'!$A29,jalons!$A$7:$A$125,0),8))</f>
        <v>42262</v>
      </c>
      <c r="J29" s="10">
        <f>IF($A29="","",INDEX(jalons!$A$7:$K$125,MATCH('Suivi livrables'!$A29,jalons!$A$7:$A$125,0),9))</f>
        <v>42333</v>
      </c>
      <c r="K29" s="10">
        <f>IF($A29="","",INDEX(jalons!$A$7:$K$125,MATCH('Suivi livrables'!$A29,jalons!$A$7:$A$125,0),10))</f>
        <v>42229</v>
      </c>
      <c r="L29" s="10">
        <f>IF($A29="","",INDEX(jalons!$A$7:$K$125,MATCH('Suivi livrables'!$A29,jalons!$A$7:$A$125,0),11))</f>
        <v>42202</v>
      </c>
      <c r="M29" s="14"/>
      <c r="N29" s="47"/>
      <c r="O29" s="47"/>
      <c r="P29" s="48"/>
      <c r="Q29" s="48"/>
      <c r="R29" s="48"/>
      <c r="S29" s="48"/>
      <c r="T29" s="48"/>
      <c r="U29" s="48"/>
      <c r="V29" s="48"/>
      <c r="W29" s="48"/>
      <c r="X29" s="48"/>
      <c r="Y29" s="48"/>
      <c r="Z29" s="48"/>
      <c r="AA29" s="48"/>
      <c r="AB29" s="93"/>
      <c r="AC29" s="48"/>
      <c r="AD29" s="127"/>
      <c r="AE29" s="132"/>
      <c r="AF29" s="48"/>
      <c r="AG29" s="48"/>
      <c r="AH29" s="48"/>
      <c r="AI29" s="48"/>
      <c r="AJ29" s="48"/>
      <c r="AK29" s="48"/>
      <c r="AL29" s="48"/>
      <c r="AM29" s="48"/>
      <c r="AN29" s="132"/>
      <c r="AO29" s="133"/>
      <c r="AP29" s="132"/>
      <c r="AQ29" s="132"/>
      <c r="AR29" s="133"/>
      <c r="AS29" s="132"/>
      <c r="AT29" s="132"/>
      <c r="AU29" s="139"/>
      <c r="AV29" s="139"/>
      <c r="AW29" s="132"/>
      <c r="AX29" s="139"/>
      <c r="AY29" s="139"/>
      <c r="AZ29" s="132"/>
      <c r="BA29" s="139"/>
      <c r="BB29" s="139"/>
      <c r="BC29" s="139"/>
      <c r="BD29" s="139"/>
      <c r="BE29" s="133"/>
      <c r="BF29" s="47"/>
      <c r="BG29" s="93"/>
      <c r="BH29" s="96">
        <f t="shared" si="0"/>
        <v>42123</v>
      </c>
      <c r="BI29" s="117"/>
      <c r="BJ29" s="119">
        <f t="shared" si="1"/>
        <v>42179</v>
      </c>
      <c r="BK29" s="117"/>
      <c r="BL29" s="121" t="str">
        <f t="shared" si="2"/>
        <v>N/A</v>
      </c>
      <c r="BM29" s="121" t="str">
        <f>IF(G29=0,0,IF('Suivi livrables'!BE29="ZSFR",IF(G29-F29&lt;90,F29+7,G29-90),"N/A"))</f>
        <v>N/A</v>
      </c>
      <c r="BN29" s="117"/>
      <c r="BO29" s="121" t="str">
        <f>IF(G29=0,0,IF('Suivi livrables'!BE29="ZSFR",IF(L29=0,I29-45,L29-4),"N/A"))</f>
        <v>N/A</v>
      </c>
      <c r="BP29" s="117"/>
      <c r="BQ29" s="121">
        <f t="shared" si="3"/>
        <v>42123</v>
      </c>
      <c r="BR29" s="121">
        <f t="shared" si="4"/>
        <v>42193</v>
      </c>
      <c r="BS29" s="117"/>
      <c r="BT29" s="121" t="str">
        <f>IF(G29=0,0,IF(AND('Suivi livrables'!P29=0,'Suivi livrables'!R29=0,'Suivi livrables'!T29=0,'Suivi livrables'!V29=0,'Suivi livrables'!X29=0,'Suivi livrables'!AD29=0),"N/A",#REF!-77))</f>
        <v>N/A</v>
      </c>
      <c r="BU29" s="121" t="str">
        <f>IF(G29=0,0,IF(AND('Suivi livrables'!P29=0,'Suivi livrables'!R29=0,'Suivi livrables'!T29=0,'Suivi livrables'!V29=0,'Suivi livrables'!X29=0,'Suivi livrables'!AD29=0),"N/A",#REF!-21))</f>
        <v>N/A</v>
      </c>
      <c r="BV29" s="117"/>
      <c r="BW29" s="97"/>
      <c r="BX29" s="102"/>
      <c r="BY29" s="117" t="str">
        <f t="shared" si="19"/>
        <v/>
      </c>
      <c r="BZ29" s="117" t="str">
        <f t="shared" si="20"/>
        <v/>
      </c>
      <c r="CA29" s="117" t="str">
        <f t="shared" si="21"/>
        <v/>
      </c>
      <c r="CB29" s="117" t="str">
        <f t="shared" si="22"/>
        <v/>
      </c>
      <c r="CC29" s="117" t="str">
        <f t="shared" si="23"/>
        <v/>
      </c>
      <c r="CD29" s="117" t="str">
        <f t="shared" si="24"/>
        <v/>
      </c>
      <c r="CE29" s="117" t="str">
        <f t="shared" si="25"/>
        <v/>
      </c>
      <c r="CF29" s="117" t="str">
        <f t="shared" si="26"/>
        <v/>
      </c>
      <c r="CG29" s="117" t="str">
        <f t="shared" si="27"/>
        <v/>
      </c>
      <c r="CH29" s="117" t="str">
        <f t="shared" si="28"/>
        <v/>
      </c>
      <c r="CI29" s="117" t="str">
        <f t="shared" si="29"/>
        <v/>
      </c>
      <c r="CJ29" s="117" t="str">
        <f t="shared" si="30"/>
        <v/>
      </c>
      <c r="CK29" s="117" t="str">
        <f t="shared" si="31"/>
        <v/>
      </c>
      <c r="CL29" s="117" t="str">
        <f t="shared" si="32"/>
        <v/>
      </c>
      <c r="CM29" s="117" t="str">
        <f t="shared" si="33"/>
        <v/>
      </c>
      <c r="CN29" s="117" t="str">
        <f t="shared" si="34"/>
        <v/>
      </c>
      <c r="CO29" s="121">
        <f t="shared" si="6"/>
        <v>42123</v>
      </c>
      <c r="CP29" s="117"/>
      <c r="CQ29" s="121">
        <f t="shared" si="7"/>
        <v>42123</v>
      </c>
      <c r="CR29" s="117"/>
      <c r="CS29" s="121">
        <f t="shared" si="8"/>
        <v>42165</v>
      </c>
      <c r="CT29" s="121">
        <f t="shared" si="9"/>
        <v>42179</v>
      </c>
      <c r="CU29" s="121">
        <f t="shared" si="10"/>
        <v>42151</v>
      </c>
      <c r="CV29" s="117"/>
      <c r="CW29" s="121">
        <f t="shared" si="11"/>
        <v>42165</v>
      </c>
      <c r="CX29" s="117"/>
      <c r="CY29" s="121">
        <f t="shared" si="12"/>
        <v>42172</v>
      </c>
      <c r="CZ29" s="117"/>
      <c r="DA29" s="121">
        <f t="shared" si="13"/>
        <v>42179</v>
      </c>
      <c r="DB29" s="121">
        <f t="shared" si="14"/>
        <v>42228</v>
      </c>
      <c r="DC29" s="121">
        <f t="shared" si="15"/>
        <v>42228</v>
      </c>
      <c r="DD29" s="117"/>
      <c r="DE29" s="125">
        <f t="shared" si="16"/>
        <v>42111</v>
      </c>
      <c r="DF29" s="124"/>
      <c r="DG29" s="125">
        <f t="shared" si="35"/>
        <v>42111</v>
      </c>
      <c r="DH29" s="124"/>
      <c r="DI29" s="125">
        <f t="shared" si="17"/>
        <v>42171</v>
      </c>
      <c r="DJ29" s="124"/>
      <c r="DK29" s="125">
        <f t="shared" si="18"/>
        <v>42156</v>
      </c>
      <c r="DL29" s="124"/>
      <c r="DM29" s="117"/>
      <c r="DN29" s="124"/>
      <c r="DO29" s="117"/>
    </row>
    <row r="30" spans="1:119" ht="15.75" thickBot="1">
      <c r="A30" s="25" t="s">
        <v>119</v>
      </c>
      <c r="B30" s="57" t="str">
        <f>jalons!B30</f>
        <v>GoAIr</v>
      </c>
      <c r="C30" s="57" t="str">
        <f>jalons!C30</f>
        <v>A320-neo</v>
      </c>
      <c r="D30" s="82" t="s">
        <v>252</v>
      </c>
      <c r="E30" s="9">
        <f>IF($A30="","",INDEX(jalons!$A$7:$K$125,MATCH('Suivi livrables'!$A30,jalons!$A$7:$A$125,0),4))</f>
        <v>42013</v>
      </c>
      <c r="F30" s="10">
        <f>IF($A30="","",INDEX(jalons!$A$7:$K$125,MATCH('Suivi livrables'!$A30,jalons!$A$7:$A$125,0),5))</f>
        <v>42037</v>
      </c>
      <c r="G30" s="10">
        <f>IF($A30="","",INDEX(jalons!$A$7:$K$125,MATCH('Suivi livrables'!$A30,jalons!$A$7:$A$125,0),6))</f>
        <v>42075</v>
      </c>
      <c r="H30" s="10">
        <f>IF($A30="","",INDEX(jalons!$A$7:$K$125,MATCH('Suivi livrables'!$A30,jalons!$A$7:$A$125,0),7))</f>
        <v>42133</v>
      </c>
      <c r="I30" s="10">
        <f>IF($A30="","",INDEX(jalons!$A$7:$K$125,MATCH('Suivi livrables'!$A30,jalons!$A$7:$A$125,0),8))</f>
        <v>42163</v>
      </c>
      <c r="J30" s="10">
        <f>IF($A30="","",INDEX(jalons!$A$7:$K$125,MATCH('Suivi livrables'!$A30,jalons!$A$7:$A$125,0),9))</f>
        <v>42202</v>
      </c>
      <c r="K30" s="10">
        <f>IF($A30="","",INDEX(jalons!$A$7:$K$125,MATCH('Suivi livrables'!$A30,jalons!$A$7:$A$125,0),10))</f>
        <v>42123</v>
      </c>
      <c r="L30" s="10">
        <f>IF($A30="","",INDEX(jalons!$A$7:$K$125,MATCH('Suivi livrables'!$A30,jalons!$A$7:$A$125,0),11))</f>
        <v>42083</v>
      </c>
      <c r="M30" s="14"/>
      <c r="N30" s="47" t="s">
        <v>203</v>
      </c>
      <c r="O30" s="47" t="s">
        <v>67</v>
      </c>
      <c r="P30" s="48"/>
      <c r="Q30" s="48" t="s">
        <v>67</v>
      </c>
      <c r="R30" s="48"/>
      <c r="S30" s="48"/>
      <c r="T30" s="48"/>
      <c r="U30" s="48"/>
      <c r="V30" s="48"/>
      <c r="W30" s="48"/>
      <c r="X30" s="48"/>
      <c r="Y30" s="48"/>
      <c r="Z30" s="48"/>
      <c r="AA30" s="48"/>
      <c r="AB30" s="93"/>
      <c r="AC30" s="48"/>
      <c r="AD30" s="127"/>
      <c r="AE30" s="132"/>
      <c r="AF30" s="48"/>
      <c r="AG30" s="48"/>
      <c r="AH30" s="48"/>
      <c r="AI30" s="48"/>
      <c r="AJ30" s="48"/>
      <c r="AK30" s="48"/>
      <c r="AL30" s="48"/>
      <c r="AM30" s="48"/>
      <c r="AN30" s="132"/>
      <c r="AO30" s="133"/>
      <c r="AP30" s="132"/>
      <c r="AQ30" s="132"/>
      <c r="AR30" s="133"/>
      <c r="AS30" s="132"/>
      <c r="AT30" s="132"/>
      <c r="AU30" s="139"/>
      <c r="AV30" s="139"/>
      <c r="AW30" s="132"/>
      <c r="AX30" s="139"/>
      <c r="AY30" s="139"/>
      <c r="AZ30" s="132"/>
      <c r="BA30" s="139"/>
      <c r="BB30" s="139"/>
      <c r="BC30" s="139"/>
      <c r="BD30" s="139"/>
      <c r="BE30" s="133" t="s">
        <v>68</v>
      </c>
      <c r="BF30" s="47"/>
      <c r="BG30" s="93"/>
      <c r="BH30" s="96">
        <f t="shared" si="0"/>
        <v>41998</v>
      </c>
      <c r="BI30" s="117"/>
      <c r="BJ30" s="119">
        <f t="shared" si="1"/>
        <v>42054</v>
      </c>
      <c r="BK30" s="117"/>
      <c r="BL30" s="121">
        <f t="shared" si="2"/>
        <v>42028</v>
      </c>
      <c r="BM30" s="121">
        <f>IF(G30=0,0,IF('Suivi livrables'!BE30="ZSFR",IF(G30-F30&lt;90,F30+7,G30-90),"N/A"))</f>
        <v>42044</v>
      </c>
      <c r="BN30" s="117"/>
      <c r="BO30" s="121">
        <f>IF(G30=0,0,IF('Suivi livrables'!BE30="ZSFR",IF(L30=0,I30-45,L30-4),"N/A"))</f>
        <v>42079</v>
      </c>
      <c r="BP30" s="117"/>
      <c r="BQ30" s="121" t="str">
        <f t="shared" si="3"/>
        <v>N/A</v>
      </c>
      <c r="BR30" s="121" t="str">
        <f t="shared" si="4"/>
        <v>N/A</v>
      </c>
      <c r="BS30" s="117"/>
      <c r="BT30" s="121" t="str">
        <f>IF(G30=0,0,IF(AND('Suivi livrables'!P30=0,'Suivi livrables'!R30=0,'Suivi livrables'!T30=0,'Suivi livrables'!V30=0,'Suivi livrables'!X30=0,'Suivi livrables'!AD30=0),"N/A",#REF!-77))</f>
        <v>N/A</v>
      </c>
      <c r="BU30" s="121" t="str">
        <f>IF(G30=0,0,IF(AND('Suivi livrables'!P30=0,'Suivi livrables'!R30=0,'Suivi livrables'!T30=0,'Suivi livrables'!V30=0,'Suivi livrables'!X30=0,'Suivi livrables'!AD30=0),"N/A",#REF!-21))</f>
        <v>N/A</v>
      </c>
      <c r="BV30" s="117"/>
      <c r="BW30" s="97"/>
      <c r="BX30" s="102"/>
      <c r="BY30" s="117" t="str">
        <f t="shared" si="19"/>
        <v>Franklin</v>
      </c>
      <c r="BZ30" s="117" t="str">
        <f t="shared" si="20"/>
        <v/>
      </c>
      <c r="CA30" s="117" t="str">
        <f t="shared" si="21"/>
        <v>Franklin</v>
      </c>
      <c r="CB30" s="117" t="str">
        <f t="shared" si="22"/>
        <v/>
      </c>
      <c r="CC30" s="117" t="str">
        <f t="shared" si="23"/>
        <v/>
      </c>
      <c r="CD30" s="117" t="str">
        <f t="shared" si="24"/>
        <v/>
      </c>
      <c r="CE30" s="117" t="str">
        <f t="shared" si="25"/>
        <v/>
      </c>
      <c r="CF30" s="117" t="str">
        <f t="shared" si="26"/>
        <v/>
      </c>
      <c r="CG30" s="117" t="str">
        <f t="shared" si="27"/>
        <v/>
      </c>
      <c r="CH30" s="117" t="str">
        <f t="shared" si="28"/>
        <v/>
      </c>
      <c r="CI30" s="117" t="str">
        <f t="shared" si="29"/>
        <v/>
      </c>
      <c r="CJ30" s="117" t="str">
        <f t="shared" si="30"/>
        <v/>
      </c>
      <c r="CK30" s="117" t="str">
        <f t="shared" si="31"/>
        <v/>
      </c>
      <c r="CL30" s="117" t="str">
        <f t="shared" si="32"/>
        <v/>
      </c>
      <c r="CM30" s="117" t="str">
        <f t="shared" si="33"/>
        <v/>
      </c>
      <c r="CN30" s="117" t="str">
        <f t="shared" si="34"/>
        <v/>
      </c>
      <c r="CO30" s="121">
        <f t="shared" si="6"/>
        <v>41998</v>
      </c>
      <c r="CP30" s="117"/>
      <c r="CQ30" s="121">
        <f t="shared" si="7"/>
        <v>41998</v>
      </c>
      <c r="CR30" s="117"/>
      <c r="CS30" s="121">
        <f t="shared" si="8"/>
        <v>42040</v>
      </c>
      <c r="CT30" s="121">
        <f t="shared" si="9"/>
        <v>42054</v>
      </c>
      <c r="CU30" s="121">
        <f t="shared" si="10"/>
        <v>42026</v>
      </c>
      <c r="CV30" s="117"/>
      <c r="CW30" s="121">
        <f t="shared" si="11"/>
        <v>42040</v>
      </c>
      <c r="CX30" s="117"/>
      <c r="CY30" s="121">
        <f t="shared" si="12"/>
        <v>42047</v>
      </c>
      <c r="CZ30" s="117"/>
      <c r="DA30" s="121">
        <f t="shared" si="13"/>
        <v>42054</v>
      </c>
      <c r="DB30" s="121">
        <f t="shared" si="14"/>
        <v>42103</v>
      </c>
      <c r="DC30" s="121">
        <f t="shared" si="15"/>
        <v>42103</v>
      </c>
      <c r="DD30" s="117"/>
      <c r="DE30" s="125">
        <f t="shared" si="16"/>
        <v>41992</v>
      </c>
      <c r="DF30" s="124"/>
      <c r="DG30" s="125">
        <f t="shared" si="35"/>
        <v>41992</v>
      </c>
      <c r="DH30" s="124"/>
      <c r="DI30" s="125">
        <f t="shared" si="17"/>
        <v>42052</v>
      </c>
      <c r="DJ30" s="124"/>
      <c r="DK30" s="125">
        <f t="shared" si="18"/>
        <v>42037</v>
      </c>
      <c r="DL30" s="124"/>
      <c r="DM30" s="117"/>
      <c r="DN30" s="124"/>
      <c r="DO30" s="117"/>
    </row>
    <row r="31" spans="1:119" ht="15.75" thickBot="1">
      <c r="A31" s="25" t="s">
        <v>120</v>
      </c>
      <c r="B31" s="57">
        <f>jalons!B31</f>
        <v>0</v>
      </c>
      <c r="C31" s="57">
        <f>jalons!C31</f>
        <v>0</v>
      </c>
      <c r="D31" s="82" t="s">
        <v>252</v>
      </c>
      <c r="E31" s="9">
        <f>IF($A31="","",INDEX(jalons!$A$7:$K$125,MATCH('Suivi livrables'!$A31,jalons!$A$7:$A$125,0),4))</f>
        <v>42088</v>
      </c>
      <c r="F31" s="10">
        <f>IF($A31="","",INDEX(jalons!$A$7:$K$125,MATCH('Suivi livrables'!$A31,jalons!$A$7:$A$125,0),5))</f>
        <v>42128</v>
      </c>
      <c r="G31" s="10">
        <f>IF($A31="","",INDEX(jalons!$A$7:$K$125,MATCH('Suivi livrables'!$A31,jalons!$A$7:$A$125,0),6))</f>
        <v>42186</v>
      </c>
      <c r="H31" s="10">
        <f>IF($A31="","",INDEX(jalons!$A$7:$K$125,MATCH('Suivi livrables'!$A31,jalons!$A$7:$A$125,0),7))</f>
        <v>42309</v>
      </c>
      <c r="I31" s="10">
        <f>IF($A31="","",INDEX(jalons!$A$7:$K$125,MATCH('Suivi livrables'!$A31,jalons!$A$7:$A$125,0),8))</f>
        <v>42339</v>
      </c>
      <c r="J31" s="10">
        <f>IF($A31="","",INDEX(jalons!$A$7:$K$125,MATCH('Suivi livrables'!$A31,jalons!$A$7:$A$125,0),9))</f>
        <v>42415</v>
      </c>
      <c r="K31" s="10">
        <f>IF($A31="","",INDEX(jalons!$A$7:$K$125,MATCH('Suivi livrables'!$A31,jalons!$A$7:$A$125,0),10))</f>
        <v>42282</v>
      </c>
      <c r="L31" s="10">
        <f>IF($A31="","",INDEX(jalons!$A$7:$K$125,MATCH('Suivi livrables'!$A31,jalons!$A$7:$A$125,0),11))</f>
        <v>42219</v>
      </c>
      <c r="M31" s="14"/>
      <c r="N31" s="47" t="s">
        <v>204</v>
      </c>
      <c r="O31" s="47" t="s">
        <v>67</v>
      </c>
      <c r="P31" s="48"/>
      <c r="Q31" s="48" t="s">
        <v>67</v>
      </c>
      <c r="R31" s="48"/>
      <c r="S31" s="48"/>
      <c r="T31" s="48"/>
      <c r="U31" s="48"/>
      <c r="V31" s="48"/>
      <c r="W31" s="48"/>
      <c r="X31" s="48"/>
      <c r="Y31" s="48"/>
      <c r="Z31" s="48"/>
      <c r="AA31" s="48"/>
      <c r="AB31" s="93"/>
      <c r="AC31" s="48"/>
      <c r="AD31" s="127"/>
      <c r="AE31" s="132"/>
      <c r="AF31" s="48"/>
      <c r="AG31" s="48"/>
      <c r="AH31" s="48"/>
      <c r="AI31" s="48"/>
      <c r="AJ31" s="48"/>
      <c r="AK31" s="48"/>
      <c r="AL31" s="48"/>
      <c r="AM31" s="48"/>
      <c r="AN31" s="132"/>
      <c r="AO31" s="133"/>
      <c r="AP31" s="132"/>
      <c r="AQ31" s="132"/>
      <c r="AR31" s="133"/>
      <c r="AS31" s="132"/>
      <c r="AT31" s="132"/>
      <c r="AU31" s="139"/>
      <c r="AV31" s="139"/>
      <c r="AW31" s="132"/>
      <c r="AX31" s="139"/>
      <c r="AY31" s="139"/>
      <c r="AZ31" s="132"/>
      <c r="BA31" s="139"/>
      <c r="BB31" s="139"/>
      <c r="BC31" s="139"/>
      <c r="BD31" s="139"/>
      <c r="BE31" s="133" t="s">
        <v>68</v>
      </c>
      <c r="BF31" s="47"/>
      <c r="BG31" s="93"/>
      <c r="BH31" s="96">
        <f t="shared" si="0"/>
        <v>42109</v>
      </c>
      <c r="BI31" s="117"/>
      <c r="BJ31" s="119">
        <f t="shared" si="1"/>
        <v>42165</v>
      </c>
      <c r="BK31" s="117"/>
      <c r="BL31" s="121">
        <f t="shared" si="2"/>
        <v>42103</v>
      </c>
      <c r="BM31" s="121">
        <f>IF(G31=0,0,IF('Suivi livrables'!BE31="ZSFR",IF(G31-F31&lt;90,F31+7,G31-90),"N/A"))</f>
        <v>42135</v>
      </c>
      <c r="BN31" s="117"/>
      <c r="BO31" s="121">
        <f>IF(G31=0,0,IF('Suivi livrables'!BE31="ZSFR",IF(L31=0,I31-45,L31-4),"N/A"))</f>
        <v>42215</v>
      </c>
      <c r="BP31" s="117"/>
      <c r="BQ31" s="121" t="str">
        <f t="shared" si="3"/>
        <v>N/A</v>
      </c>
      <c r="BR31" s="121" t="str">
        <f t="shared" si="4"/>
        <v>N/A</v>
      </c>
      <c r="BS31" s="117"/>
      <c r="BT31" s="121" t="str">
        <f>IF(G31=0,0,IF(AND('Suivi livrables'!P31=0,'Suivi livrables'!R31=0,'Suivi livrables'!T31=0,'Suivi livrables'!V31=0,'Suivi livrables'!X31=0,'Suivi livrables'!AD31=0),"N/A",#REF!-77))</f>
        <v>N/A</v>
      </c>
      <c r="BU31" s="121" t="str">
        <f>IF(G31=0,0,IF(AND('Suivi livrables'!P31=0,'Suivi livrables'!R31=0,'Suivi livrables'!T31=0,'Suivi livrables'!V31=0,'Suivi livrables'!X31=0,'Suivi livrables'!AD31=0),"N/A",#REF!-21))</f>
        <v>N/A</v>
      </c>
      <c r="BV31" s="117"/>
      <c r="BW31" s="97"/>
      <c r="BX31" s="102"/>
      <c r="BY31" s="117" t="str">
        <f t="shared" si="19"/>
        <v>Franklin</v>
      </c>
      <c r="BZ31" s="117" t="str">
        <f t="shared" si="20"/>
        <v/>
      </c>
      <c r="CA31" s="117" t="str">
        <f t="shared" si="21"/>
        <v>Franklin</v>
      </c>
      <c r="CB31" s="117" t="str">
        <f t="shared" si="22"/>
        <v/>
      </c>
      <c r="CC31" s="117" t="str">
        <f t="shared" si="23"/>
        <v/>
      </c>
      <c r="CD31" s="117" t="str">
        <f t="shared" si="24"/>
        <v/>
      </c>
      <c r="CE31" s="117" t="str">
        <f t="shared" si="25"/>
        <v/>
      </c>
      <c r="CF31" s="117" t="str">
        <f t="shared" si="26"/>
        <v/>
      </c>
      <c r="CG31" s="117" t="str">
        <f t="shared" si="27"/>
        <v/>
      </c>
      <c r="CH31" s="117" t="str">
        <f t="shared" si="28"/>
        <v/>
      </c>
      <c r="CI31" s="117" t="str">
        <f t="shared" si="29"/>
        <v/>
      </c>
      <c r="CJ31" s="117" t="str">
        <f t="shared" si="30"/>
        <v/>
      </c>
      <c r="CK31" s="117" t="str">
        <f t="shared" si="31"/>
        <v/>
      </c>
      <c r="CL31" s="117" t="str">
        <f t="shared" si="32"/>
        <v/>
      </c>
      <c r="CM31" s="117" t="str">
        <f t="shared" si="33"/>
        <v/>
      </c>
      <c r="CN31" s="117" t="str">
        <f t="shared" si="34"/>
        <v/>
      </c>
      <c r="CO31" s="121">
        <f t="shared" si="6"/>
        <v>42109</v>
      </c>
      <c r="CP31" s="117"/>
      <c r="CQ31" s="121">
        <f t="shared" si="7"/>
        <v>42109</v>
      </c>
      <c r="CR31" s="117"/>
      <c r="CS31" s="121">
        <f t="shared" si="8"/>
        <v>42151</v>
      </c>
      <c r="CT31" s="121">
        <f t="shared" si="9"/>
        <v>42165</v>
      </c>
      <c r="CU31" s="121">
        <f t="shared" si="10"/>
        <v>42137</v>
      </c>
      <c r="CV31" s="117"/>
      <c r="CW31" s="121">
        <f t="shared" si="11"/>
        <v>42151</v>
      </c>
      <c r="CX31" s="117"/>
      <c r="CY31" s="121">
        <f t="shared" si="12"/>
        <v>42158</v>
      </c>
      <c r="CZ31" s="117"/>
      <c r="DA31" s="121">
        <f t="shared" si="13"/>
        <v>42165</v>
      </c>
      <c r="DB31" s="121">
        <f t="shared" si="14"/>
        <v>42214</v>
      </c>
      <c r="DC31" s="121">
        <f t="shared" si="15"/>
        <v>42214</v>
      </c>
      <c r="DD31" s="117"/>
      <c r="DE31" s="125">
        <f t="shared" si="16"/>
        <v>42083</v>
      </c>
      <c r="DF31" s="124"/>
      <c r="DG31" s="125">
        <f t="shared" si="35"/>
        <v>42083</v>
      </c>
      <c r="DH31" s="124"/>
      <c r="DI31" s="125">
        <f t="shared" si="17"/>
        <v>42143</v>
      </c>
      <c r="DJ31" s="124"/>
      <c r="DK31" s="125">
        <f t="shared" si="18"/>
        <v>42128</v>
      </c>
      <c r="DL31" s="124"/>
      <c r="DM31" s="117"/>
      <c r="DN31" s="124"/>
      <c r="DO31" s="117"/>
    </row>
    <row r="32" spans="1:119" ht="15.75" thickBot="1">
      <c r="A32" s="25" t="s">
        <v>151</v>
      </c>
      <c r="B32" s="57">
        <f>jalons!B32</f>
        <v>0</v>
      </c>
      <c r="C32" s="57">
        <f>jalons!C32</f>
        <v>0</v>
      </c>
      <c r="D32" s="82" t="s">
        <v>252</v>
      </c>
      <c r="E32" s="9">
        <f>IF($A32="","",INDEX(jalons!$A$7:$K$125,MATCH('Suivi livrables'!$A32,jalons!$A$7:$A$125,0),4))</f>
        <v>42307</v>
      </c>
      <c r="F32" s="10">
        <f>IF($A32="","",INDEX(jalons!$A$7:$K$125,MATCH('Suivi livrables'!$A32,jalons!$A$7:$A$125,0),5))</f>
        <v>42353</v>
      </c>
      <c r="G32" s="10">
        <f>IF($A32="","",INDEX(jalons!$A$7:$K$125,MATCH('Suivi livrables'!$A32,jalons!$A$7:$A$125,0),6))</f>
        <v>42430</v>
      </c>
      <c r="H32" s="10">
        <f>IF($A32="","",INDEX(jalons!$A$7:$K$125,MATCH('Suivi livrables'!$A32,jalons!$A$7:$A$125,0),7))</f>
        <v>42511</v>
      </c>
      <c r="I32" s="10">
        <f>IF($A32="","",INDEX(jalons!$A$7:$K$125,MATCH('Suivi livrables'!$A32,jalons!$A$7:$A$125,0),8))</f>
        <v>42541</v>
      </c>
      <c r="J32" s="10">
        <f>IF($A32="","",INDEX(jalons!$A$7:$K$125,MATCH('Suivi livrables'!$A32,jalons!$A$7:$A$125,0),9))</f>
        <v>42688</v>
      </c>
      <c r="K32" s="10">
        <f>IF($A32="","",INDEX(jalons!$A$7:$K$125,MATCH('Suivi livrables'!$A32,jalons!$A$7:$A$125,0),10))</f>
        <v>42506</v>
      </c>
      <c r="L32" s="10">
        <f>IF($A32="","",INDEX(jalons!$A$7:$K$125,MATCH('Suivi livrables'!$A32,jalons!$A$7:$A$125,0),11))</f>
        <v>42466</v>
      </c>
      <c r="M32" s="14"/>
      <c r="N32" s="47"/>
      <c r="O32" s="47"/>
      <c r="P32" s="48"/>
      <c r="Q32" s="48"/>
      <c r="R32" s="48"/>
      <c r="S32" s="48"/>
      <c r="T32" s="48"/>
      <c r="U32" s="48"/>
      <c r="V32" s="48"/>
      <c r="W32" s="48"/>
      <c r="X32" s="48"/>
      <c r="Y32" s="48"/>
      <c r="Z32" s="48"/>
      <c r="AA32" s="48"/>
      <c r="AB32" s="93"/>
      <c r="AC32" s="48"/>
      <c r="AD32" s="127"/>
      <c r="AE32" s="132"/>
      <c r="AF32" s="48"/>
      <c r="AG32" s="48"/>
      <c r="AH32" s="48"/>
      <c r="AI32" s="48"/>
      <c r="AJ32" s="48"/>
      <c r="AK32" s="48"/>
      <c r="AL32" s="48"/>
      <c r="AM32" s="48"/>
      <c r="AN32" s="132"/>
      <c r="AO32" s="133"/>
      <c r="AP32" s="132"/>
      <c r="AQ32" s="132"/>
      <c r="AR32" s="133"/>
      <c r="AS32" s="132"/>
      <c r="AT32" s="132"/>
      <c r="AU32" s="139"/>
      <c r="AV32" s="139"/>
      <c r="AW32" s="132"/>
      <c r="AX32" s="139"/>
      <c r="AY32" s="139"/>
      <c r="AZ32" s="132"/>
      <c r="BA32" s="139"/>
      <c r="BB32" s="139"/>
      <c r="BC32" s="139"/>
      <c r="BD32" s="139"/>
      <c r="BE32" s="133" t="s">
        <v>68</v>
      </c>
      <c r="BF32" s="47"/>
      <c r="BG32" s="93"/>
      <c r="BH32" s="96">
        <f t="shared" si="0"/>
        <v>42353</v>
      </c>
      <c r="BI32" s="117"/>
      <c r="BJ32" s="119">
        <f t="shared" si="1"/>
        <v>42409</v>
      </c>
      <c r="BK32" s="117"/>
      <c r="BL32" s="121">
        <f t="shared" si="2"/>
        <v>42322</v>
      </c>
      <c r="BM32" s="121">
        <f>IF(G32=0,0,IF('Suivi livrables'!BE32="ZSFR",IF(G32-F32&lt;90,F32+7,G32-90),"N/A"))</f>
        <v>42360</v>
      </c>
      <c r="BN32" s="117"/>
      <c r="BO32" s="121">
        <f>IF(G32=0,0,IF('Suivi livrables'!BE32="ZSFR",IF(L32=0,I32-45,L32-4),"N/A"))</f>
        <v>42462</v>
      </c>
      <c r="BP32" s="117"/>
      <c r="BQ32" s="121" t="str">
        <f t="shared" si="3"/>
        <v>N/A</v>
      </c>
      <c r="BR32" s="121" t="str">
        <f t="shared" si="4"/>
        <v>N/A</v>
      </c>
      <c r="BS32" s="117"/>
      <c r="BT32" s="121" t="str">
        <f>IF(G32=0,0,IF(AND('Suivi livrables'!P32=0,'Suivi livrables'!R32=0,'Suivi livrables'!T32=0,'Suivi livrables'!V32=0,'Suivi livrables'!X32=0,'Suivi livrables'!AD32=0),"N/A",#REF!-77))</f>
        <v>N/A</v>
      </c>
      <c r="BU32" s="121" t="str">
        <f>IF(G32=0,0,IF(AND('Suivi livrables'!P32=0,'Suivi livrables'!R32=0,'Suivi livrables'!T32=0,'Suivi livrables'!V32=0,'Suivi livrables'!X32=0,'Suivi livrables'!AD32=0),"N/A",#REF!-21))</f>
        <v>N/A</v>
      </c>
      <c r="BV32" s="117"/>
      <c r="BW32" s="97"/>
      <c r="BX32" s="102"/>
      <c r="BY32" s="117" t="str">
        <f t="shared" si="19"/>
        <v/>
      </c>
      <c r="BZ32" s="117" t="str">
        <f t="shared" si="20"/>
        <v/>
      </c>
      <c r="CA32" s="117" t="str">
        <f t="shared" si="21"/>
        <v/>
      </c>
      <c r="CB32" s="117" t="str">
        <f t="shared" si="22"/>
        <v/>
      </c>
      <c r="CC32" s="117" t="str">
        <f t="shared" si="23"/>
        <v/>
      </c>
      <c r="CD32" s="117" t="str">
        <f t="shared" si="24"/>
        <v/>
      </c>
      <c r="CE32" s="117" t="str">
        <f t="shared" si="25"/>
        <v/>
      </c>
      <c r="CF32" s="117" t="str">
        <f t="shared" si="26"/>
        <v/>
      </c>
      <c r="CG32" s="117" t="str">
        <f t="shared" si="27"/>
        <v/>
      </c>
      <c r="CH32" s="117" t="str">
        <f t="shared" si="28"/>
        <v/>
      </c>
      <c r="CI32" s="117" t="str">
        <f t="shared" si="29"/>
        <v/>
      </c>
      <c r="CJ32" s="117" t="str">
        <f t="shared" si="30"/>
        <v/>
      </c>
      <c r="CK32" s="117" t="str">
        <f t="shared" si="31"/>
        <v/>
      </c>
      <c r="CL32" s="117" t="str">
        <f t="shared" si="32"/>
        <v/>
      </c>
      <c r="CM32" s="117" t="str">
        <f t="shared" si="33"/>
        <v/>
      </c>
      <c r="CN32" s="117" t="str">
        <f t="shared" si="34"/>
        <v/>
      </c>
      <c r="CO32" s="121">
        <f t="shared" si="6"/>
        <v>42353</v>
      </c>
      <c r="CP32" s="117"/>
      <c r="CQ32" s="121">
        <f t="shared" si="7"/>
        <v>42353</v>
      </c>
      <c r="CR32" s="117"/>
      <c r="CS32" s="121">
        <f t="shared" si="8"/>
        <v>42395</v>
      </c>
      <c r="CT32" s="121">
        <f t="shared" si="9"/>
        <v>42409</v>
      </c>
      <c r="CU32" s="121">
        <f t="shared" si="10"/>
        <v>42381</v>
      </c>
      <c r="CV32" s="117"/>
      <c r="CW32" s="121">
        <f t="shared" si="11"/>
        <v>42395</v>
      </c>
      <c r="CX32" s="117"/>
      <c r="CY32" s="121">
        <f t="shared" si="12"/>
        <v>42402</v>
      </c>
      <c r="CZ32" s="117"/>
      <c r="DA32" s="121">
        <f t="shared" si="13"/>
        <v>42409</v>
      </c>
      <c r="DB32" s="121">
        <f t="shared" si="14"/>
        <v>42458</v>
      </c>
      <c r="DC32" s="121">
        <f t="shared" si="15"/>
        <v>42458</v>
      </c>
      <c r="DD32" s="117"/>
      <c r="DE32" s="125">
        <f t="shared" si="16"/>
        <v>42308</v>
      </c>
      <c r="DF32" s="124"/>
      <c r="DG32" s="125">
        <f t="shared" si="35"/>
        <v>42308</v>
      </c>
      <c r="DH32" s="124"/>
      <c r="DI32" s="125">
        <f t="shared" si="17"/>
        <v>42368</v>
      </c>
      <c r="DJ32" s="124"/>
      <c r="DK32" s="125">
        <f t="shared" si="18"/>
        <v>42353</v>
      </c>
      <c r="DL32" s="124"/>
      <c r="DM32" s="117"/>
      <c r="DN32" s="124"/>
      <c r="DO32" s="117"/>
    </row>
    <row r="33" spans="1:141" ht="15" customHeight="1" thickBot="1">
      <c r="A33" s="25" t="s">
        <v>153</v>
      </c>
      <c r="B33" s="57">
        <f>jalons!B33</f>
        <v>0</v>
      </c>
      <c r="C33" s="57">
        <f>jalons!C33</f>
        <v>0</v>
      </c>
      <c r="D33" s="82" t="s">
        <v>253</v>
      </c>
      <c r="E33" s="9">
        <f>IF($A33="","",INDEX(jalons!$A$7:$K$125,MATCH('Suivi livrables'!$A33,jalons!$A$7:$A$125,0),4))</f>
        <v>42233</v>
      </c>
      <c r="F33" s="10" t="str">
        <f>IF($A33="","",INDEX(jalons!$A$7:$K$125,MATCH('Suivi livrables'!$A33,jalons!$A$7:$A$125,0),5))</f>
        <v>manque date</v>
      </c>
      <c r="G33" s="10">
        <f>IF($A33="","",INDEX(jalons!$A$7:$K$125,MATCH('Suivi livrables'!$A33,jalons!$A$7:$A$125,0),6))</f>
        <v>42282</v>
      </c>
      <c r="H33" s="10" t="str">
        <f>IF($A33="","",INDEX(jalons!$A$7:$K$125,MATCH('Suivi livrables'!$A33,jalons!$A$7:$A$125,0),7))</f>
        <v>manque date</v>
      </c>
      <c r="I33" s="10">
        <f>IF($A33="","",INDEX(jalons!$A$7:$K$125,MATCH('Suivi livrables'!$A33,jalons!$A$7:$A$125,0),8))</f>
        <v>42331</v>
      </c>
      <c r="J33" s="10">
        <f>IF($A33="","",INDEX(jalons!$A$7:$K$125,MATCH('Suivi livrables'!$A33,jalons!$A$7:$A$125,0),9))</f>
        <v>42352</v>
      </c>
      <c r="K33" s="10" t="str">
        <f>IF($A33="","",INDEX(jalons!$A$7:$K$125,MATCH('Suivi livrables'!$A33,jalons!$A$7:$A$125,0),10))</f>
        <v>manque date</v>
      </c>
      <c r="L33" s="10" t="str">
        <f>IF($A33="","",INDEX(jalons!$A$7:$K$125,MATCH('Suivi livrables'!$A33,jalons!$A$7:$A$125,0),11))</f>
        <v>manque date</v>
      </c>
      <c r="M33" s="14"/>
      <c r="N33" s="47"/>
      <c r="O33" s="47" t="s">
        <v>67</v>
      </c>
      <c r="P33" s="48"/>
      <c r="Q33" s="48" t="s">
        <v>67</v>
      </c>
      <c r="R33" s="48"/>
      <c r="S33" s="48" t="s">
        <v>67</v>
      </c>
      <c r="T33" s="48"/>
      <c r="U33" s="48" t="s">
        <v>41</v>
      </c>
      <c r="V33" s="48"/>
      <c r="W33" s="48" t="s">
        <v>41</v>
      </c>
      <c r="X33" s="48"/>
      <c r="Y33" s="48"/>
      <c r="Z33" s="48"/>
      <c r="AA33" s="48"/>
      <c r="AB33" s="93"/>
      <c r="AC33" s="48"/>
      <c r="AD33" s="127"/>
      <c r="AE33" s="132"/>
      <c r="AF33" s="48"/>
      <c r="AG33" s="48"/>
      <c r="AH33" s="48"/>
      <c r="AI33" s="48"/>
      <c r="AJ33" s="48"/>
      <c r="AK33" s="48"/>
      <c r="AL33" s="48"/>
      <c r="AM33" s="48"/>
      <c r="AN33" s="132"/>
      <c r="AO33" s="133"/>
      <c r="AP33" s="132"/>
      <c r="AQ33" s="132"/>
      <c r="AR33" s="133"/>
      <c r="AS33" s="132"/>
      <c r="AT33" s="132"/>
      <c r="AU33" s="139"/>
      <c r="AV33" s="139"/>
      <c r="AW33" s="132"/>
      <c r="AX33" s="139"/>
      <c r="AY33" s="139"/>
      <c r="AZ33" s="132"/>
      <c r="BA33" s="139"/>
      <c r="BB33" s="139"/>
      <c r="BC33" s="139"/>
      <c r="BD33" s="139"/>
      <c r="BE33" s="133" t="s">
        <v>68</v>
      </c>
      <c r="BF33" s="47" t="s">
        <v>41</v>
      </c>
      <c r="BG33" s="93"/>
      <c r="BH33" s="96">
        <f t="shared" si="0"/>
        <v>42205</v>
      </c>
      <c r="BI33" s="117"/>
      <c r="BJ33" s="119">
        <f t="shared" si="1"/>
        <v>42261</v>
      </c>
      <c r="BK33" s="117"/>
      <c r="BL33" s="121">
        <f t="shared" si="2"/>
        <v>42248</v>
      </c>
      <c r="BM33" s="121" t="e">
        <f>IF(G33=0,0,IF('Suivi livrables'!BE33="ZSFR",IF(G33-F33&lt;90,F33+7,G33-90),"N/A"))</f>
        <v>#VALUE!</v>
      </c>
      <c r="BN33" s="117"/>
      <c r="BO33" s="121" t="e">
        <f>IF(G33=0,0,IF('Suivi livrables'!BE33="ZSFR",IF(L33=0,I33-45,L33-4),"N/A"))</f>
        <v>#VALUE!</v>
      </c>
      <c r="BP33" s="117"/>
      <c r="BQ33" s="121" t="str">
        <f t="shared" si="3"/>
        <v>N/A</v>
      </c>
      <c r="BR33" s="121" t="str">
        <f t="shared" si="4"/>
        <v>N/A</v>
      </c>
      <c r="BS33" s="117"/>
      <c r="BT33" s="121" t="str">
        <f>IF(G33=0,0,IF(AND('Suivi livrables'!P33=0,'Suivi livrables'!R33=0,'Suivi livrables'!T33=0,'Suivi livrables'!V33=0,'Suivi livrables'!X33=0,'Suivi livrables'!AD33=0),"N/A",#REF!-77))</f>
        <v>N/A</v>
      </c>
      <c r="BU33" s="121" t="str">
        <f>IF(G33=0,0,IF(AND('Suivi livrables'!P33=0,'Suivi livrables'!R33=0,'Suivi livrables'!T33=0,'Suivi livrables'!V33=0,'Suivi livrables'!X33=0,'Suivi livrables'!AD33=0),"N/A",#REF!-21))</f>
        <v>N/A</v>
      </c>
      <c r="BV33" s="117"/>
      <c r="BW33" s="97"/>
      <c r="BX33" s="102"/>
      <c r="BY33" s="117" t="str">
        <f t="shared" si="19"/>
        <v>Franklin</v>
      </c>
      <c r="BZ33" s="117" t="str">
        <f t="shared" si="20"/>
        <v/>
      </c>
      <c r="CA33" s="117" t="str">
        <f t="shared" si="21"/>
        <v>Franklin</v>
      </c>
      <c r="CB33" s="117" t="str">
        <f t="shared" si="22"/>
        <v/>
      </c>
      <c r="CC33" s="117" t="str">
        <f t="shared" si="23"/>
        <v>Franklin</v>
      </c>
      <c r="CD33" s="117" t="str">
        <f t="shared" si="24"/>
        <v/>
      </c>
      <c r="CE33" s="117" t="str">
        <f t="shared" si="25"/>
        <v>N/A</v>
      </c>
      <c r="CF33" s="117" t="str">
        <f t="shared" si="26"/>
        <v/>
      </c>
      <c r="CG33" s="117" t="str">
        <f t="shared" si="27"/>
        <v>N/A</v>
      </c>
      <c r="CH33" s="117" t="str">
        <f t="shared" si="28"/>
        <v/>
      </c>
      <c r="CI33" s="117" t="str">
        <f t="shared" si="29"/>
        <v/>
      </c>
      <c r="CJ33" s="117" t="str">
        <f t="shared" si="30"/>
        <v/>
      </c>
      <c r="CK33" s="117" t="str">
        <f t="shared" si="31"/>
        <v/>
      </c>
      <c r="CL33" s="117" t="str">
        <f t="shared" si="32"/>
        <v/>
      </c>
      <c r="CM33" s="117" t="str">
        <f t="shared" si="33"/>
        <v/>
      </c>
      <c r="CN33" s="117" t="str">
        <f t="shared" si="34"/>
        <v/>
      </c>
      <c r="CO33" s="121">
        <f t="shared" si="6"/>
        <v>42205</v>
      </c>
      <c r="CP33" s="117"/>
      <c r="CQ33" s="121">
        <f t="shared" si="7"/>
        <v>42205</v>
      </c>
      <c r="CR33" s="117"/>
      <c r="CS33" s="121">
        <f t="shared" si="8"/>
        <v>42247</v>
      </c>
      <c r="CT33" s="121">
        <f t="shared" si="9"/>
        <v>42261</v>
      </c>
      <c r="CU33" s="121">
        <f t="shared" si="10"/>
        <v>42233</v>
      </c>
      <c r="CV33" s="117"/>
      <c r="CW33" s="121">
        <f t="shared" si="11"/>
        <v>42247</v>
      </c>
      <c r="CX33" s="117"/>
      <c r="CY33" s="121">
        <f t="shared" si="12"/>
        <v>42254</v>
      </c>
      <c r="CZ33" s="117"/>
      <c r="DA33" s="121">
        <f t="shared" si="13"/>
        <v>42261</v>
      </c>
      <c r="DB33" s="121">
        <f t="shared" si="14"/>
        <v>42310</v>
      </c>
      <c r="DC33" s="121">
        <f t="shared" si="15"/>
        <v>42310</v>
      </c>
      <c r="DD33" s="117"/>
      <c r="DE33" s="125" t="e">
        <f t="shared" si="16"/>
        <v>#VALUE!</v>
      </c>
      <c r="DF33" s="124"/>
      <c r="DG33" s="125" t="e">
        <f t="shared" si="35"/>
        <v>#VALUE!</v>
      </c>
      <c r="DH33" s="124"/>
      <c r="DI33" s="125" t="e">
        <f t="shared" si="17"/>
        <v>#VALUE!</v>
      </c>
      <c r="DJ33" s="124"/>
      <c r="DK33" s="125" t="e">
        <f t="shared" si="18"/>
        <v>#VALUE!</v>
      </c>
      <c r="DL33" s="124"/>
      <c r="DM33" s="117"/>
      <c r="DN33" s="124"/>
      <c r="DO33" s="117"/>
    </row>
    <row r="34" spans="1:141" ht="15.75" thickBot="1">
      <c r="A34" s="25" t="s">
        <v>154</v>
      </c>
      <c r="B34" s="57" t="str">
        <f>jalons!B34</f>
        <v xml:space="preserve">Juneyao </v>
      </c>
      <c r="C34" s="57" t="str">
        <f>jalons!C34</f>
        <v>A320-A321</v>
      </c>
      <c r="D34" s="82" t="s">
        <v>253</v>
      </c>
      <c r="E34" s="9">
        <f>IF($A34="","",INDEX(jalons!$A$7:$K$125,MATCH('Suivi livrables'!$A34,jalons!$A$7:$A$125,0),4))</f>
        <v>42233</v>
      </c>
      <c r="F34" s="10" t="str">
        <f>IF($A34="","",INDEX(jalons!$A$7:$K$125,MATCH('Suivi livrables'!$A34,jalons!$A$7:$A$125,0),5))</f>
        <v>manque date</v>
      </c>
      <c r="G34" s="10">
        <f>IF($A34="","",INDEX(jalons!$A$7:$K$125,MATCH('Suivi livrables'!$A34,jalons!$A$7:$A$125,0),6))</f>
        <v>42282</v>
      </c>
      <c r="H34" s="10" t="str">
        <f>IF($A34="","",INDEX(jalons!$A$7:$K$125,MATCH('Suivi livrables'!$A34,jalons!$A$7:$A$125,0),7))</f>
        <v>manque date</v>
      </c>
      <c r="I34" s="10">
        <f>IF($A34="","",INDEX(jalons!$A$7:$K$125,MATCH('Suivi livrables'!$A34,jalons!$A$7:$A$125,0),8))</f>
        <v>42331</v>
      </c>
      <c r="J34" s="10">
        <f>IF($A34="","",INDEX(jalons!$A$7:$K$125,MATCH('Suivi livrables'!$A34,jalons!$A$7:$A$125,0),9))</f>
        <v>42352</v>
      </c>
      <c r="K34" s="10" t="str">
        <f>IF($A34="","",INDEX(jalons!$A$7:$K$125,MATCH('Suivi livrables'!$A34,jalons!$A$7:$A$125,0),10))</f>
        <v>manque date</v>
      </c>
      <c r="L34" s="10" t="str">
        <f>IF($A34="","",INDEX(jalons!$A$7:$K$125,MATCH('Suivi livrables'!$A34,jalons!$A$7:$A$125,0),11))</f>
        <v>manque date</v>
      </c>
      <c r="M34" s="14"/>
      <c r="N34" s="47"/>
      <c r="O34" s="47" t="s">
        <v>67</v>
      </c>
      <c r="P34" s="48"/>
      <c r="Q34" s="48" t="s">
        <v>67</v>
      </c>
      <c r="R34" s="48"/>
      <c r="S34" s="48" t="s">
        <v>67</v>
      </c>
      <c r="T34" s="48"/>
      <c r="U34" s="48" t="s">
        <v>41</v>
      </c>
      <c r="V34" s="48"/>
      <c r="W34" s="48" t="s">
        <v>41</v>
      </c>
      <c r="X34" s="48"/>
      <c r="Y34" s="48"/>
      <c r="Z34" s="48"/>
      <c r="AA34" s="48"/>
      <c r="AB34" s="93"/>
      <c r="AC34" s="48"/>
      <c r="AD34" s="127"/>
      <c r="AE34" s="132"/>
      <c r="AF34" s="48"/>
      <c r="AG34" s="48"/>
      <c r="AH34" s="48"/>
      <c r="AI34" s="48"/>
      <c r="AJ34" s="48"/>
      <c r="AK34" s="48"/>
      <c r="AL34" s="48"/>
      <c r="AM34" s="48"/>
      <c r="AN34" s="132"/>
      <c r="AO34" s="133"/>
      <c r="AP34" s="132"/>
      <c r="AQ34" s="132"/>
      <c r="AR34" s="133"/>
      <c r="AS34" s="132"/>
      <c r="AT34" s="132"/>
      <c r="AU34" s="139"/>
      <c r="AV34" s="139"/>
      <c r="AW34" s="132"/>
      <c r="AX34" s="139"/>
      <c r="AY34" s="139"/>
      <c r="AZ34" s="132"/>
      <c r="BA34" s="139"/>
      <c r="BB34" s="139"/>
      <c r="BC34" s="139"/>
      <c r="BD34" s="139"/>
      <c r="BE34" s="133"/>
      <c r="BF34" s="47"/>
      <c r="BG34" s="93"/>
      <c r="BH34" s="96">
        <f t="shared" si="0"/>
        <v>42205</v>
      </c>
      <c r="BI34" s="117"/>
      <c r="BJ34" s="119">
        <f t="shared" si="1"/>
        <v>42261</v>
      </c>
      <c r="BK34" s="117"/>
      <c r="BL34" s="121" t="str">
        <f t="shared" si="2"/>
        <v>N/A</v>
      </c>
      <c r="BM34" s="121" t="str">
        <f>IF(G34=0,0,IF('Suivi livrables'!BE34="ZSFR",IF(G34-F34&lt;90,F34+7,G34-90),"N/A"))</f>
        <v>N/A</v>
      </c>
      <c r="BN34" s="117"/>
      <c r="BO34" s="121" t="str">
        <f>IF(G34=0,0,IF('Suivi livrables'!BE34="ZSFR",IF(L34=0,I34-45,L34-4),"N/A"))</f>
        <v>N/A</v>
      </c>
      <c r="BP34" s="117"/>
      <c r="BQ34" s="121">
        <f t="shared" si="3"/>
        <v>42205</v>
      </c>
      <c r="BR34" s="121">
        <f t="shared" si="4"/>
        <v>42275</v>
      </c>
      <c r="BS34" s="117"/>
      <c r="BT34" s="121" t="str">
        <f>IF(G34=0,0,IF(AND('Suivi livrables'!P34=0,'Suivi livrables'!R34=0,'Suivi livrables'!T34=0,'Suivi livrables'!V34=0,'Suivi livrables'!X34=0,'Suivi livrables'!AD34=0),"N/A",#REF!-77))</f>
        <v>N/A</v>
      </c>
      <c r="BU34" s="121" t="str">
        <f>IF(G34=0,0,IF(AND('Suivi livrables'!P34=0,'Suivi livrables'!R34=0,'Suivi livrables'!T34=0,'Suivi livrables'!V34=0,'Suivi livrables'!X34=0,'Suivi livrables'!AD34=0),"N/A",#REF!-21))</f>
        <v>N/A</v>
      </c>
      <c r="BV34" s="117"/>
      <c r="BW34" s="97"/>
      <c r="BX34" s="102"/>
      <c r="BY34" s="117" t="str">
        <f t="shared" si="19"/>
        <v>Franklin</v>
      </c>
      <c r="BZ34" s="117" t="str">
        <f t="shared" si="20"/>
        <v/>
      </c>
      <c r="CA34" s="117" t="str">
        <f t="shared" si="21"/>
        <v>Franklin</v>
      </c>
      <c r="CB34" s="117" t="str">
        <f t="shared" si="22"/>
        <v/>
      </c>
      <c r="CC34" s="117" t="str">
        <f t="shared" si="23"/>
        <v>Franklin</v>
      </c>
      <c r="CD34" s="117" t="str">
        <f t="shared" si="24"/>
        <v/>
      </c>
      <c r="CE34" s="117" t="str">
        <f t="shared" si="25"/>
        <v>N/A</v>
      </c>
      <c r="CF34" s="117" t="str">
        <f t="shared" si="26"/>
        <v/>
      </c>
      <c r="CG34" s="117" t="str">
        <f t="shared" si="27"/>
        <v>N/A</v>
      </c>
      <c r="CH34" s="117" t="str">
        <f t="shared" si="28"/>
        <v/>
      </c>
      <c r="CI34" s="117" t="str">
        <f t="shared" si="29"/>
        <v/>
      </c>
      <c r="CJ34" s="117" t="str">
        <f t="shared" si="30"/>
        <v/>
      </c>
      <c r="CK34" s="117" t="str">
        <f t="shared" si="31"/>
        <v/>
      </c>
      <c r="CL34" s="117" t="str">
        <f t="shared" si="32"/>
        <v/>
      </c>
      <c r="CM34" s="117" t="str">
        <f t="shared" si="33"/>
        <v/>
      </c>
      <c r="CN34" s="117" t="str">
        <f t="shared" si="34"/>
        <v/>
      </c>
      <c r="CO34" s="121">
        <f t="shared" si="6"/>
        <v>42205</v>
      </c>
      <c r="CP34" s="117"/>
      <c r="CQ34" s="121">
        <f t="shared" si="7"/>
        <v>42205</v>
      </c>
      <c r="CR34" s="117"/>
      <c r="CS34" s="121">
        <f t="shared" si="8"/>
        <v>42247</v>
      </c>
      <c r="CT34" s="121">
        <f t="shared" si="9"/>
        <v>42261</v>
      </c>
      <c r="CU34" s="121">
        <f t="shared" si="10"/>
        <v>42233</v>
      </c>
      <c r="CV34" s="117"/>
      <c r="CW34" s="121">
        <f t="shared" si="11"/>
        <v>42247</v>
      </c>
      <c r="CX34" s="117"/>
      <c r="CY34" s="121">
        <f t="shared" si="12"/>
        <v>42254</v>
      </c>
      <c r="CZ34" s="117"/>
      <c r="DA34" s="121">
        <f t="shared" si="13"/>
        <v>42261</v>
      </c>
      <c r="DB34" s="121">
        <f t="shared" si="14"/>
        <v>42310</v>
      </c>
      <c r="DC34" s="121">
        <f t="shared" si="15"/>
        <v>42310</v>
      </c>
      <c r="DD34" s="117"/>
      <c r="DE34" s="125" t="e">
        <f t="shared" si="16"/>
        <v>#VALUE!</v>
      </c>
      <c r="DF34" s="124"/>
      <c r="DG34" s="125" t="e">
        <f t="shared" si="35"/>
        <v>#VALUE!</v>
      </c>
      <c r="DH34" s="124"/>
      <c r="DI34" s="125" t="e">
        <f t="shared" si="17"/>
        <v>#VALUE!</v>
      </c>
      <c r="DJ34" s="124"/>
      <c r="DK34" s="125" t="e">
        <f t="shared" si="18"/>
        <v>#VALUE!</v>
      </c>
      <c r="DL34" s="124"/>
      <c r="DM34" s="117"/>
      <c r="DN34" s="124"/>
      <c r="DO34" s="117"/>
    </row>
    <row r="35" spans="1:141" ht="15.75" thickBot="1">
      <c r="A35" s="25" t="s">
        <v>155</v>
      </c>
      <c r="B35" s="57" t="str">
        <f>jalons!B35</f>
        <v>PEGASUS</v>
      </c>
      <c r="C35" s="57" t="str">
        <f>jalons!C35</f>
        <v>A320 CEO/NEO</v>
      </c>
      <c r="D35" s="82" t="s">
        <v>252</v>
      </c>
      <c r="E35" s="9">
        <f>IF($A35="","",INDEX(jalons!$A$7:$K$125,MATCH('Suivi livrables'!$A35,jalons!$A$7:$A$125,0),4))</f>
        <v>42193</v>
      </c>
      <c r="F35" s="10">
        <f>IF($A35="","",INDEX(jalons!$A$7:$K$125,MATCH('Suivi livrables'!$A35,jalons!$A$7:$A$125,0),5))</f>
        <v>42244</v>
      </c>
      <c r="G35" s="10">
        <f>IF($A35="","",INDEX(jalons!$A$7:$K$125,MATCH('Suivi livrables'!$A35,jalons!$A$7:$A$125,0),6))</f>
        <v>42277</v>
      </c>
      <c r="H35" s="10">
        <f>IF($A35="","",INDEX(jalons!$A$7:$K$125,MATCH('Suivi livrables'!$A35,jalons!$A$7:$A$125,0),7))</f>
        <v>42323</v>
      </c>
      <c r="I35" s="10">
        <f>IF($A35="","",INDEX(jalons!$A$7:$K$125,MATCH('Suivi livrables'!$A35,jalons!$A$7:$A$125,0),8))</f>
        <v>42353</v>
      </c>
      <c r="J35" s="10">
        <f>IF($A35="","",INDEX(jalons!$A$7:$K$125,MATCH('Suivi livrables'!$A35,jalons!$A$7:$A$125,0),9))</f>
        <v>42415</v>
      </c>
      <c r="K35" s="10" t="str">
        <f>IF($A35="","",INDEX(jalons!$A$7:$K$125,MATCH('Suivi livrables'!$A35,jalons!$A$7:$A$125,0),10))</f>
        <v>manque date</v>
      </c>
      <c r="L35" s="10" t="str">
        <f>IF($A35="","",INDEX(jalons!$A$7:$K$125,MATCH('Suivi livrables'!$A35,jalons!$A$7:$A$125,0),11))</f>
        <v>manque date</v>
      </c>
      <c r="M35" s="14"/>
      <c r="N35" s="47" t="s">
        <v>205</v>
      </c>
      <c r="O35" s="47" t="s">
        <v>67</v>
      </c>
      <c r="P35" s="48"/>
      <c r="Q35" s="48" t="s">
        <v>67</v>
      </c>
      <c r="R35" s="48"/>
      <c r="S35" s="48"/>
      <c r="T35" s="48"/>
      <c r="U35" s="48" t="s">
        <v>67</v>
      </c>
      <c r="V35" s="48"/>
      <c r="W35" s="48"/>
      <c r="X35" s="48"/>
      <c r="Y35" s="48"/>
      <c r="Z35" s="48"/>
      <c r="AA35" s="48"/>
      <c r="AB35" s="93"/>
      <c r="AC35" s="48"/>
      <c r="AD35" s="127"/>
      <c r="AE35" s="132"/>
      <c r="AF35" s="48"/>
      <c r="AG35" s="48"/>
      <c r="AH35" s="48"/>
      <c r="AI35" s="48"/>
      <c r="AJ35" s="48"/>
      <c r="AK35" s="48"/>
      <c r="AL35" s="48"/>
      <c r="AM35" s="48"/>
      <c r="AN35" s="132"/>
      <c r="AO35" s="133"/>
      <c r="AP35" s="132"/>
      <c r="AQ35" s="132"/>
      <c r="AR35" s="133"/>
      <c r="AS35" s="132"/>
      <c r="AT35" s="132"/>
      <c r="AU35" s="139"/>
      <c r="AV35" s="139"/>
      <c r="AW35" s="132"/>
      <c r="AX35" s="139"/>
      <c r="AY35" s="139"/>
      <c r="AZ35" s="132"/>
      <c r="BA35" s="139"/>
      <c r="BB35" s="139"/>
      <c r="BC35" s="139"/>
      <c r="BD35" s="139"/>
      <c r="BE35" s="133" t="s">
        <v>68</v>
      </c>
      <c r="BF35" s="47"/>
      <c r="BG35" s="93"/>
      <c r="BH35" s="96">
        <f t="shared" si="0"/>
        <v>42200</v>
      </c>
      <c r="BI35" s="117"/>
      <c r="BJ35" s="119">
        <f t="shared" si="1"/>
        <v>42256</v>
      </c>
      <c r="BK35" s="117"/>
      <c r="BL35" s="121">
        <f t="shared" si="2"/>
        <v>42208</v>
      </c>
      <c r="BM35" s="121">
        <f>IF(G35=0,0,IF('Suivi livrables'!BE35="ZSFR",IF(G35-F35&lt;90,F35+7,G35-90),"N/A"))</f>
        <v>42251</v>
      </c>
      <c r="BN35" s="117"/>
      <c r="BO35" s="121" t="e">
        <f>IF(G35=0,0,IF('Suivi livrables'!BE35="ZSFR",IF(L35=0,I35-45,L35-4),"N/A"))</f>
        <v>#VALUE!</v>
      </c>
      <c r="BP35" s="117"/>
      <c r="BQ35" s="121" t="str">
        <f t="shared" si="3"/>
        <v>N/A</v>
      </c>
      <c r="BR35" s="121" t="str">
        <f t="shared" si="4"/>
        <v>N/A</v>
      </c>
      <c r="BS35" s="117"/>
      <c r="BT35" s="121" t="str">
        <f>IF(G35=0,0,IF(AND('Suivi livrables'!P35=0,'Suivi livrables'!R35=0,'Suivi livrables'!T35=0,'Suivi livrables'!V35=0,'Suivi livrables'!X35=0,'Suivi livrables'!AD35=0),"N/A",#REF!-77))</f>
        <v>N/A</v>
      </c>
      <c r="BU35" s="121" t="str">
        <f>IF(G35=0,0,IF(AND('Suivi livrables'!P35=0,'Suivi livrables'!R35=0,'Suivi livrables'!T35=0,'Suivi livrables'!V35=0,'Suivi livrables'!X35=0,'Suivi livrables'!AD35=0),"N/A",#REF!-21))</f>
        <v>N/A</v>
      </c>
      <c r="BV35" s="117"/>
      <c r="BW35" s="97"/>
      <c r="BX35" s="102"/>
      <c r="BY35" s="117" t="str">
        <f t="shared" si="19"/>
        <v>Franklin</v>
      </c>
      <c r="BZ35" s="117" t="str">
        <f t="shared" si="20"/>
        <v/>
      </c>
      <c r="CA35" s="117" t="str">
        <f t="shared" si="21"/>
        <v>Franklin</v>
      </c>
      <c r="CB35" s="117" t="str">
        <f t="shared" si="22"/>
        <v/>
      </c>
      <c r="CC35" s="117" t="str">
        <f t="shared" si="23"/>
        <v/>
      </c>
      <c r="CD35" s="117" t="str">
        <f t="shared" si="24"/>
        <v/>
      </c>
      <c r="CE35" s="117" t="str">
        <f t="shared" si="25"/>
        <v>Franklin</v>
      </c>
      <c r="CF35" s="117" t="str">
        <f t="shared" si="26"/>
        <v/>
      </c>
      <c r="CG35" s="117" t="str">
        <f t="shared" si="27"/>
        <v/>
      </c>
      <c r="CH35" s="117" t="str">
        <f t="shared" si="28"/>
        <v/>
      </c>
      <c r="CI35" s="117" t="str">
        <f t="shared" si="29"/>
        <v/>
      </c>
      <c r="CJ35" s="117" t="str">
        <f t="shared" si="30"/>
        <v/>
      </c>
      <c r="CK35" s="117" t="str">
        <f t="shared" si="31"/>
        <v/>
      </c>
      <c r="CL35" s="117" t="str">
        <f t="shared" si="32"/>
        <v/>
      </c>
      <c r="CM35" s="117" t="str">
        <f t="shared" si="33"/>
        <v/>
      </c>
      <c r="CN35" s="117" t="str">
        <f t="shared" si="34"/>
        <v/>
      </c>
      <c r="CO35" s="121">
        <f t="shared" si="6"/>
        <v>42200</v>
      </c>
      <c r="CP35" s="117"/>
      <c r="CQ35" s="121">
        <f t="shared" si="7"/>
        <v>42200</v>
      </c>
      <c r="CR35" s="117"/>
      <c r="CS35" s="121">
        <f t="shared" si="8"/>
        <v>42242</v>
      </c>
      <c r="CT35" s="121">
        <f t="shared" si="9"/>
        <v>42256</v>
      </c>
      <c r="CU35" s="121">
        <f t="shared" si="10"/>
        <v>42228</v>
      </c>
      <c r="CV35" s="117"/>
      <c r="CW35" s="121">
        <f t="shared" si="11"/>
        <v>42242</v>
      </c>
      <c r="CX35" s="117"/>
      <c r="CY35" s="121">
        <f t="shared" si="12"/>
        <v>42249</v>
      </c>
      <c r="CZ35" s="117"/>
      <c r="DA35" s="121">
        <f t="shared" si="13"/>
        <v>42256</v>
      </c>
      <c r="DB35" s="121">
        <f t="shared" si="14"/>
        <v>42305</v>
      </c>
      <c r="DC35" s="121">
        <f t="shared" si="15"/>
        <v>42305</v>
      </c>
      <c r="DD35" s="117"/>
      <c r="DE35" s="125">
        <f t="shared" si="16"/>
        <v>42199</v>
      </c>
      <c r="DF35" s="124"/>
      <c r="DG35" s="125">
        <f t="shared" si="35"/>
        <v>42199</v>
      </c>
      <c r="DH35" s="124"/>
      <c r="DI35" s="125">
        <f t="shared" si="17"/>
        <v>42259</v>
      </c>
      <c r="DJ35" s="124"/>
      <c r="DK35" s="125">
        <f t="shared" si="18"/>
        <v>42244</v>
      </c>
      <c r="DL35" s="124"/>
      <c r="DM35" s="117"/>
      <c r="DN35" s="124"/>
      <c r="DO35" s="117"/>
    </row>
    <row r="36" spans="1:141" ht="15.75" thickBot="1">
      <c r="A36" s="25" t="s">
        <v>156</v>
      </c>
      <c r="B36" s="57" t="str">
        <f>jalons!B36</f>
        <v>PEGASUS</v>
      </c>
      <c r="C36" s="57" t="str">
        <f>jalons!C36</f>
        <v>B737</v>
      </c>
      <c r="D36" s="82" t="s">
        <v>252</v>
      </c>
      <c r="E36" s="9">
        <f>IF($A36="","",INDEX(jalons!$A$7:$K$125,MATCH('Suivi livrables'!$A36,jalons!$A$7:$A$125,0),4))</f>
        <v>42255</v>
      </c>
      <c r="F36" s="38">
        <f>IF($A36="","",INDEX(jalons!$A$7:$K$125,MATCH('Suivi livrables'!$A36,jalons!$A$7:$A$125,0),5))</f>
        <v>42290</v>
      </c>
      <c r="G36" s="11">
        <f>IF($A36="","",INDEX(jalons!$A$7:$K$125,MATCH('Suivi livrables'!$A36,jalons!$A$7:$A$125,0),6))</f>
        <v>42325</v>
      </c>
      <c r="H36" s="11">
        <f>IF($A36="","",INDEX(jalons!$A$7:$K$125,MATCH('Suivi livrables'!$A36,jalons!$A$7:$A$125,0),7))</f>
        <v>42427</v>
      </c>
      <c r="I36" s="11">
        <f>IF($A36="","",INDEX(jalons!$A$7:$K$125,MATCH('Suivi livrables'!$A36,jalons!$A$7:$A$125,0),8))</f>
        <v>42410</v>
      </c>
      <c r="J36" s="11">
        <f>IF($A36="","",INDEX(jalons!$A$7:$K$125,MATCH('Suivi livrables'!$A36,jalons!$A$7:$A$125,0),9))</f>
        <v>42487</v>
      </c>
      <c r="K36" s="10" t="str">
        <f>IF($A36="","",INDEX(jalons!$A$7:$K$125,MATCH('Suivi livrables'!$A36,jalons!$A$7:$A$125,0),10))</f>
        <v>manque date</v>
      </c>
      <c r="L36" s="10" t="str">
        <f>IF($A36="","",INDEX(jalons!$A$7:$K$125,MATCH('Suivi livrables'!$A36,jalons!$A$7:$A$125,0),11))</f>
        <v>manque date</v>
      </c>
      <c r="M36" s="14"/>
      <c r="N36" s="47" t="s">
        <v>207</v>
      </c>
      <c r="O36" s="47" t="s">
        <v>67</v>
      </c>
      <c r="P36" s="48"/>
      <c r="Q36" s="48" t="s">
        <v>67</v>
      </c>
      <c r="R36" s="48">
        <v>2</v>
      </c>
      <c r="S36" s="48"/>
      <c r="T36" s="48"/>
      <c r="U36" s="48"/>
      <c r="V36" s="48"/>
      <c r="W36" s="48"/>
      <c r="X36" s="48"/>
      <c r="Y36" s="48"/>
      <c r="Z36" s="48"/>
      <c r="AA36" s="48"/>
      <c r="AB36" s="93"/>
      <c r="AC36" s="48"/>
      <c r="AD36" s="127"/>
      <c r="AE36" s="132"/>
      <c r="AF36" s="48"/>
      <c r="AG36" s="48"/>
      <c r="AH36" s="48"/>
      <c r="AI36" s="48"/>
      <c r="AJ36" s="48"/>
      <c r="AK36" s="48"/>
      <c r="AL36" s="48"/>
      <c r="AM36" s="48"/>
      <c r="AN36" s="132"/>
      <c r="AO36" s="133"/>
      <c r="AP36" s="132"/>
      <c r="AQ36" s="132"/>
      <c r="AR36" s="133"/>
      <c r="AS36" s="132"/>
      <c r="AT36" s="132"/>
      <c r="AU36" s="139"/>
      <c r="AV36" s="139"/>
      <c r="AW36" s="132"/>
      <c r="AX36" s="139"/>
      <c r="AY36" s="139"/>
      <c r="AZ36" s="132"/>
      <c r="BA36" s="139"/>
      <c r="BB36" s="139"/>
      <c r="BC36" s="139"/>
      <c r="BD36" s="139"/>
      <c r="BE36" s="133" t="s">
        <v>68</v>
      </c>
      <c r="BF36" s="47"/>
      <c r="BG36" s="93"/>
      <c r="BH36" s="96">
        <f t="shared" si="0"/>
        <v>42248</v>
      </c>
      <c r="BI36" s="117"/>
      <c r="BJ36" s="119">
        <f t="shared" si="1"/>
        <v>42304</v>
      </c>
      <c r="BK36" s="117"/>
      <c r="BL36" s="121">
        <f t="shared" si="2"/>
        <v>42270</v>
      </c>
      <c r="BM36" s="121">
        <f>IF(G36=0,0,IF('Suivi livrables'!BE36="ZSFR",IF(G36-F36&lt;90,F36+7,G36-90),"N/A"))</f>
        <v>42297</v>
      </c>
      <c r="BN36" s="117"/>
      <c r="BO36" s="121" t="e">
        <f>IF(G36=0,0,IF('Suivi livrables'!BE36="ZSFR",IF(L36=0,I36-45,L36-4),"N/A"))</f>
        <v>#VALUE!</v>
      </c>
      <c r="BP36" s="117"/>
      <c r="BQ36" s="121" t="str">
        <f t="shared" si="3"/>
        <v>N/A</v>
      </c>
      <c r="BR36" s="121" t="str">
        <f t="shared" si="4"/>
        <v>N/A</v>
      </c>
      <c r="BS36" s="117"/>
      <c r="BT36" s="121" t="e">
        <f>IF(G36=0,0,IF(AND('Suivi livrables'!P36=0,'Suivi livrables'!R36=0,'Suivi livrables'!T36=0,'Suivi livrables'!V36=0,'Suivi livrables'!X36=0,'Suivi livrables'!AD36=0),"N/A",#REF!-77))</f>
        <v>#REF!</v>
      </c>
      <c r="BU36" s="121" t="e">
        <f>IF(G36=0,0,IF(AND('Suivi livrables'!P36=0,'Suivi livrables'!R36=0,'Suivi livrables'!T36=0,'Suivi livrables'!V36=0,'Suivi livrables'!X36=0,'Suivi livrables'!AD36=0),"N/A",#REF!-21))</f>
        <v>#REF!</v>
      </c>
      <c r="BV36" s="117"/>
      <c r="BW36" s="97"/>
      <c r="BX36" s="102"/>
      <c r="BY36" s="117" t="str">
        <f t="shared" si="19"/>
        <v>Franklin</v>
      </c>
      <c r="BZ36" s="117" t="str">
        <f t="shared" si="20"/>
        <v/>
      </c>
      <c r="CA36" s="117" t="str">
        <f t="shared" si="21"/>
        <v>Franklin</v>
      </c>
      <c r="CB36" s="117">
        <f t="shared" si="22"/>
        <v>2</v>
      </c>
      <c r="CC36" s="117" t="str">
        <f t="shared" si="23"/>
        <v/>
      </c>
      <c r="CD36" s="117" t="str">
        <f t="shared" si="24"/>
        <v/>
      </c>
      <c r="CE36" s="117" t="str">
        <f t="shared" si="25"/>
        <v/>
      </c>
      <c r="CF36" s="117" t="str">
        <f t="shared" si="26"/>
        <v/>
      </c>
      <c r="CG36" s="117" t="str">
        <f t="shared" si="27"/>
        <v/>
      </c>
      <c r="CH36" s="117" t="str">
        <f t="shared" si="28"/>
        <v/>
      </c>
      <c r="CI36" s="117" t="str">
        <f t="shared" si="29"/>
        <v/>
      </c>
      <c r="CJ36" s="117" t="str">
        <f t="shared" si="30"/>
        <v/>
      </c>
      <c r="CK36" s="117" t="str">
        <f t="shared" si="31"/>
        <v/>
      </c>
      <c r="CL36" s="117" t="str">
        <f t="shared" si="32"/>
        <v/>
      </c>
      <c r="CM36" s="117" t="str">
        <f t="shared" si="33"/>
        <v/>
      </c>
      <c r="CN36" s="117" t="str">
        <f t="shared" si="34"/>
        <v/>
      </c>
      <c r="CO36" s="121">
        <f t="shared" si="6"/>
        <v>42248</v>
      </c>
      <c r="CP36" s="117"/>
      <c r="CQ36" s="121">
        <f t="shared" si="7"/>
        <v>42248</v>
      </c>
      <c r="CR36" s="117"/>
      <c r="CS36" s="121">
        <f t="shared" si="8"/>
        <v>42290</v>
      </c>
      <c r="CT36" s="121">
        <f t="shared" si="9"/>
        <v>42304</v>
      </c>
      <c r="CU36" s="121">
        <f t="shared" si="10"/>
        <v>42276</v>
      </c>
      <c r="CV36" s="117"/>
      <c r="CW36" s="121">
        <f t="shared" si="11"/>
        <v>42290</v>
      </c>
      <c r="CX36" s="117"/>
      <c r="CY36" s="121">
        <f t="shared" si="12"/>
        <v>42297</v>
      </c>
      <c r="CZ36" s="117"/>
      <c r="DA36" s="121">
        <f t="shared" si="13"/>
        <v>42304</v>
      </c>
      <c r="DB36" s="121">
        <f t="shared" si="14"/>
        <v>42353</v>
      </c>
      <c r="DC36" s="121">
        <f t="shared" si="15"/>
        <v>42353</v>
      </c>
      <c r="DD36" s="117"/>
      <c r="DE36" s="125">
        <f t="shared" si="16"/>
        <v>42245</v>
      </c>
      <c r="DF36" s="124"/>
      <c r="DG36" s="125">
        <f t="shared" si="35"/>
        <v>42245</v>
      </c>
      <c r="DH36" s="124"/>
      <c r="DI36" s="125">
        <f t="shared" si="17"/>
        <v>42305</v>
      </c>
      <c r="DJ36" s="124"/>
      <c r="DK36" s="125">
        <f t="shared" si="18"/>
        <v>42290</v>
      </c>
      <c r="DL36" s="124"/>
      <c r="DM36" s="117"/>
      <c r="DN36" s="124"/>
      <c r="DO36" s="117"/>
    </row>
    <row r="37" spans="1:141" ht="16.5" thickBot="1">
      <c r="A37" s="25" t="s">
        <v>157</v>
      </c>
      <c r="B37" s="57" t="str">
        <f>jalons!B37</f>
        <v>Honk Kong Express</v>
      </c>
      <c r="C37" s="57" t="str">
        <f>jalons!C37</f>
        <v>A320-A321</v>
      </c>
      <c r="D37" s="82" t="s">
        <v>252</v>
      </c>
      <c r="E37" s="9">
        <f>IF($A37="","",INDEX(jalons!$A$7:$K$125,MATCH('Suivi livrables'!$A37,jalons!$A$7:$A$125,0),4))</f>
        <v>42278</v>
      </c>
      <c r="F37" s="38">
        <f>IF($A37="","",INDEX(jalons!$A$7:$K$125,MATCH('Suivi livrables'!$A37,jalons!$A$7:$A$125,0),5))</f>
        <v>42322</v>
      </c>
      <c r="G37" s="11">
        <f>IF($A37="","",INDEX(jalons!$A$7:$K$125,MATCH('Suivi livrables'!$A37,jalons!$A$7:$A$125,0),6))</f>
        <v>42354</v>
      </c>
      <c r="H37" s="11">
        <f>IF($A37="","",INDEX(jalons!$A$7:$K$125,MATCH('Suivi livrables'!$A37,jalons!$A$7:$A$125,0),7))</f>
        <v>42427</v>
      </c>
      <c r="I37" s="11">
        <f>IF($A37="","",INDEX(jalons!$A$7:$K$125,MATCH('Suivi livrables'!$A37,jalons!$A$7:$A$125,0),8))</f>
        <v>42447</v>
      </c>
      <c r="J37" s="11">
        <f>IF($A37="","",INDEX(jalons!$A$7:$K$125,MATCH('Suivi livrables'!$A37,jalons!$A$7:$A$125,0),9))</f>
        <v>42487</v>
      </c>
      <c r="K37" s="10" t="str">
        <f>IF($A37="","",INDEX(jalons!$A$7:$K$125,MATCH('Suivi livrables'!$A37,jalons!$A$7:$A$125,0),10))</f>
        <v>manque date</v>
      </c>
      <c r="L37" s="10" t="str">
        <f>IF($A37="","",INDEX(jalons!$A$7:$K$125,MATCH('Suivi livrables'!$A37,jalons!$A$7:$A$125,0),11))</f>
        <v>manque date</v>
      </c>
      <c r="M37" s="14"/>
      <c r="N37" s="47" t="s">
        <v>207</v>
      </c>
      <c r="O37" s="47"/>
      <c r="P37" s="48"/>
      <c r="Q37" s="48"/>
      <c r="R37" s="48"/>
      <c r="S37" s="48"/>
      <c r="T37" s="48"/>
      <c r="U37" s="48"/>
      <c r="V37" s="48"/>
      <c r="W37" s="48"/>
      <c r="X37" s="48"/>
      <c r="Y37" s="48"/>
      <c r="Z37" s="48"/>
      <c r="AA37" s="48"/>
      <c r="AB37" s="93"/>
      <c r="AC37" s="48"/>
      <c r="AD37" s="127"/>
      <c r="AE37" s="132"/>
      <c r="AF37" s="48"/>
      <c r="AG37" s="48"/>
      <c r="AH37" s="48"/>
      <c r="AI37" s="48"/>
      <c r="AJ37" s="48"/>
      <c r="AK37" s="48"/>
      <c r="AL37" s="48"/>
      <c r="AM37" s="48"/>
      <c r="AN37" s="132"/>
      <c r="AO37" s="133"/>
      <c r="AP37" s="132"/>
      <c r="AQ37" s="132"/>
      <c r="AR37" s="133"/>
      <c r="AS37" s="132"/>
      <c r="AT37" s="132"/>
      <c r="AU37" s="139"/>
      <c r="AV37" s="139"/>
      <c r="AW37" s="132"/>
      <c r="AX37" s="139"/>
      <c r="AY37" s="139"/>
      <c r="AZ37" s="132"/>
      <c r="BA37" s="139"/>
      <c r="BB37" s="139"/>
      <c r="BC37" s="139"/>
      <c r="BD37" s="139"/>
      <c r="BE37" s="133" t="s">
        <v>68</v>
      </c>
      <c r="BF37" s="47"/>
      <c r="BG37" s="93"/>
      <c r="BH37" s="96">
        <f t="shared" si="0"/>
        <v>42277</v>
      </c>
      <c r="BI37" s="117"/>
      <c r="BJ37" s="119">
        <f t="shared" si="1"/>
        <v>42333</v>
      </c>
      <c r="BK37" s="117"/>
      <c r="BL37" s="121">
        <f t="shared" si="2"/>
        <v>42293</v>
      </c>
      <c r="BM37" s="121">
        <f>IF(G37=0,0,IF('Suivi livrables'!BE37="ZSFR",IF(G37-F37&lt;90,F37+7,G37-90),"N/A"))</f>
        <v>42329</v>
      </c>
      <c r="BN37" s="117"/>
      <c r="BO37" s="121" t="e">
        <f>IF(G37=0,0,IF('Suivi livrables'!BE37="ZSFR",IF(L37=0,I37-45,L37-4),"N/A"))</f>
        <v>#VALUE!</v>
      </c>
      <c r="BP37" s="117"/>
      <c r="BQ37" s="121" t="str">
        <f t="shared" si="3"/>
        <v>N/A</v>
      </c>
      <c r="BR37" s="121" t="str">
        <f t="shared" si="4"/>
        <v>N/A</v>
      </c>
      <c r="BS37" s="117"/>
      <c r="BT37" s="121" t="str">
        <f>IF(G37=0,0,IF(AND('Suivi livrables'!P37=0,'Suivi livrables'!R37=0,'Suivi livrables'!T37=0,'Suivi livrables'!V37=0,'Suivi livrables'!X37=0,'Suivi livrables'!AD37=0),"N/A",#REF!-77))</f>
        <v>N/A</v>
      </c>
      <c r="BU37" s="121" t="str">
        <f>IF(G37=0,0,IF(AND('Suivi livrables'!P37=0,'Suivi livrables'!R37=0,'Suivi livrables'!T37=0,'Suivi livrables'!V37=0,'Suivi livrables'!X37=0,'Suivi livrables'!AD37=0),"N/A",#REF!-21))</f>
        <v>N/A</v>
      </c>
      <c r="BV37" s="117"/>
      <c r="BW37" s="97"/>
      <c r="BX37" s="102"/>
      <c r="BY37" s="117" t="str">
        <f t="shared" si="19"/>
        <v/>
      </c>
      <c r="BZ37" s="117" t="str">
        <f t="shared" si="20"/>
        <v/>
      </c>
      <c r="CA37" s="117" t="str">
        <f t="shared" si="21"/>
        <v/>
      </c>
      <c r="CB37" s="117" t="str">
        <f t="shared" si="22"/>
        <v/>
      </c>
      <c r="CC37" s="117" t="str">
        <f t="shared" si="23"/>
        <v/>
      </c>
      <c r="CD37" s="117" t="str">
        <f t="shared" si="24"/>
        <v/>
      </c>
      <c r="CE37" s="117" t="str">
        <f t="shared" si="25"/>
        <v/>
      </c>
      <c r="CF37" s="117" t="str">
        <f t="shared" si="26"/>
        <v/>
      </c>
      <c r="CG37" s="117" t="str">
        <f t="shared" si="27"/>
        <v/>
      </c>
      <c r="CH37" s="117" t="str">
        <f t="shared" si="28"/>
        <v/>
      </c>
      <c r="CI37" s="117" t="str">
        <f t="shared" si="29"/>
        <v/>
      </c>
      <c r="CJ37" s="117" t="str">
        <f t="shared" si="30"/>
        <v/>
      </c>
      <c r="CK37" s="117" t="str">
        <f t="shared" si="31"/>
        <v/>
      </c>
      <c r="CL37" s="117" t="str">
        <f t="shared" si="32"/>
        <v/>
      </c>
      <c r="CM37" s="117" t="str">
        <f t="shared" si="33"/>
        <v/>
      </c>
      <c r="CN37" s="117" t="str">
        <f t="shared" si="34"/>
        <v/>
      </c>
      <c r="CO37" s="121">
        <f t="shared" si="6"/>
        <v>42277</v>
      </c>
      <c r="CP37" s="117"/>
      <c r="CQ37" s="121">
        <f t="shared" si="7"/>
        <v>42277</v>
      </c>
      <c r="CR37" s="117"/>
      <c r="CS37" s="121">
        <f t="shared" si="8"/>
        <v>42319</v>
      </c>
      <c r="CT37" s="121">
        <f t="shared" si="9"/>
        <v>42333</v>
      </c>
      <c r="CU37" s="121">
        <f t="shared" si="10"/>
        <v>42305</v>
      </c>
      <c r="CV37" s="117"/>
      <c r="CW37" s="121">
        <f t="shared" si="11"/>
        <v>42319</v>
      </c>
      <c r="CX37" s="117"/>
      <c r="CY37" s="121">
        <f t="shared" si="12"/>
        <v>42326</v>
      </c>
      <c r="CZ37" s="117"/>
      <c r="DA37" s="121">
        <f t="shared" si="13"/>
        <v>42333</v>
      </c>
      <c r="DB37" s="121">
        <f t="shared" si="14"/>
        <v>42382</v>
      </c>
      <c r="DC37" s="121">
        <f t="shared" si="15"/>
        <v>42382</v>
      </c>
      <c r="DD37" s="117"/>
      <c r="DE37" s="125">
        <f t="shared" si="16"/>
        <v>42277</v>
      </c>
      <c r="DF37" s="124"/>
      <c r="DG37" s="125">
        <f t="shared" si="35"/>
        <v>42277</v>
      </c>
      <c r="DH37" s="124"/>
      <c r="DI37" s="125">
        <f t="shared" si="17"/>
        <v>42337</v>
      </c>
      <c r="DJ37" s="124"/>
      <c r="DK37" s="125">
        <f t="shared" si="18"/>
        <v>42322</v>
      </c>
      <c r="DL37" s="124"/>
      <c r="DM37" s="117"/>
      <c r="DN37" s="124"/>
      <c r="DO37" s="117"/>
      <c r="DX37" s="41" t="s">
        <v>13</v>
      </c>
      <c r="DY37" s="41" t="s">
        <v>18</v>
      </c>
      <c r="DZ37" s="41" t="s">
        <v>19</v>
      </c>
      <c r="EA37" s="41"/>
      <c r="EB37" s="41" t="s">
        <v>72</v>
      </c>
      <c r="EC37" s="41"/>
      <c r="ED37" s="41"/>
      <c r="EE37" s="41"/>
    </row>
    <row r="38" spans="1:141" ht="16.5" thickBot="1">
      <c r="A38" s="13" t="s">
        <v>193</v>
      </c>
      <c r="B38" s="57">
        <f>jalons!B38</f>
        <v>0</v>
      </c>
      <c r="C38" s="57">
        <f>jalons!C38</f>
        <v>0</v>
      </c>
      <c r="D38" s="83" t="s">
        <v>252</v>
      </c>
      <c r="E38" s="9">
        <f>IF($A38="","",INDEX(jalons!$A$7:$K$125,MATCH('Suivi livrables'!$A38,jalons!$A$7:$A$125,0),4))</f>
        <v>42269</v>
      </c>
      <c r="F38" s="10">
        <f>IF($A38="","",INDEX(jalons!$A$7:$K$125,MATCH('Suivi livrables'!$A38,jalons!$A$7:$A$125,0),5))</f>
        <v>42325</v>
      </c>
      <c r="G38" s="10">
        <f>IF($A38="","",INDEX(jalons!$A$7:$K$125,MATCH('Suivi livrables'!$A38,jalons!$A$7:$A$125,0),6))</f>
        <v>42381</v>
      </c>
      <c r="H38" s="10">
        <f>IF($A38="","",INDEX(jalons!$A$7:$K$125,MATCH('Suivi livrables'!$A38,jalons!$A$7:$A$125,0),7))</f>
        <v>42480</v>
      </c>
      <c r="I38" s="10">
        <f>IF($A38="","",INDEX(jalons!$A$7:$K$125,MATCH('Suivi livrables'!$A38,jalons!$A$7:$A$125,0),8))</f>
        <v>42452</v>
      </c>
      <c r="J38" s="10">
        <f>IF($A38="","",INDEX(jalons!$A$7:$K$125,MATCH('Suivi livrables'!$A38,jalons!$A$7:$A$125,0),9))</f>
        <v>42566</v>
      </c>
      <c r="K38" s="10" t="str">
        <f>IF($A38="","",INDEX(jalons!$A$7:$K$125,MATCH('Suivi livrables'!$A38,jalons!$A$7:$A$125,0),10))</f>
        <v>manque date</v>
      </c>
      <c r="L38" s="10" t="str">
        <f>IF($A38="","",INDEX(jalons!$A$7:$K$125,MATCH('Suivi livrables'!$A38,jalons!$A$7:$A$125,0),11))</f>
        <v>manque date</v>
      </c>
      <c r="M38" s="14"/>
      <c r="N38" s="47"/>
      <c r="O38" s="47" t="s">
        <v>67</v>
      </c>
      <c r="P38" s="50"/>
      <c r="Q38" s="48" t="s">
        <v>67</v>
      </c>
      <c r="R38" s="50"/>
      <c r="S38" s="50" t="s">
        <v>41</v>
      </c>
      <c r="T38" s="50"/>
      <c r="U38" s="50" t="s">
        <v>67</v>
      </c>
      <c r="V38" s="50"/>
      <c r="W38" s="50" t="s">
        <v>41</v>
      </c>
      <c r="X38" s="50"/>
      <c r="Y38" s="48"/>
      <c r="Z38" s="48"/>
      <c r="AA38" s="50"/>
      <c r="AB38" s="94"/>
      <c r="AC38" s="48"/>
      <c r="AD38" s="128"/>
      <c r="AE38" s="132"/>
      <c r="AF38" s="50"/>
      <c r="AG38" s="48"/>
      <c r="AH38" s="50"/>
      <c r="AI38" s="48"/>
      <c r="AJ38" s="50"/>
      <c r="AK38" s="48"/>
      <c r="AL38" s="50"/>
      <c r="AM38" s="48"/>
      <c r="AN38" s="140"/>
      <c r="AO38" s="133"/>
      <c r="AP38" s="140"/>
      <c r="AQ38" s="132"/>
      <c r="AR38" s="133"/>
      <c r="AS38" s="140"/>
      <c r="AT38" s="132"/>
      <c r="AU38" s="149"/>
      <c r="AV38" s="149"/>
      <c r="AW38" s="132"/>
      <c r="AX38" s="149"/>
      <c r="AY38" s="149"/>
      <c r="AZ38" s="132"/>
      <c r="BA38" s="149"/>
      <c r="BB38" s="149"/>
      <c r="BC38" s="149"/>
      <c r="BD38" s="149"/>
      <c r="BE38" s="133" t="s">
        <v>68</v>
      </c>
      <c r="BF38" s="49"/>
      <c r="BG38" s="94"/>
      <c r="BH38" s="96">
        <f t="shared" si="0"/>
        <v>42304</v>
      </c>
      <c r="BI38" s="117"/>
      <c r="BJ38" s="119">
        <f t="shared" si="1"/>
        <v>42360</v>
      </c>
      <c r="BK38" s="117"/>
      <c r="BL38" s="121">
        <f t="shared" si="2"/>
        <v>42284</v>
      </c>
      <c r="BM38" s="121">
        <f>IF(G38=0,0,IF('Suivi livrables'!BE38="ZSFR",IF(G38-F38&lt;90,F38+7,G38-90),"N/A"))</f>
        <v>42332</v>
      </c>
      <c r="BN38" s="117"/>
      <c r="BO38" s="121" t="e">
        <f>IF(G38=0,0,IF('Suivi livrables'!BE38="ZSFR",IF(L38=0,I38-45,L38-4),"N/A"))</f>
        <v>#VALUE!</v>
      </c>
      <c r="BP38" s="117"/>
      <c r="BQ38" s="121" t="str">
        <f t="shared" si="3"/>
        <v>N/A</v>
      </c>
      <c r="BR38" s="121" t="str">
        <f t="shared" si="4"/>
        <v>N/A</v>
      </c>
      <c r="BS38" s="117"/>
      <c r="BT38" s="121" t="str">
        <f>IF(G38=0,0,IF(AND('Suivi livrables'!P38=0,'Suivi livrables'!R38=0,'Suivi livrables'!T38=0,'Suivi livrables'!V38=0,'Suivi livrables'!X38=0,'Suivi livrables'!AD38=0),"N/A",#REF!-77))</f>
        <v>N/A</v>
      </c>
      <c r="BU38" s="121" t="str">
        <f>IF(G38=0,0,IF(AND('Suivi livrables'!P38=0,'Suivi livrables'!R38=0,'Suivi livrables'!T38=0,'Suivi livrables'!V38=0,'Suivi livrables'!X38=0,'Suivi livrables'!AD38=0),"N/A",#REF!-21))</f>
        <v>N/A</v>
      </c>
      <c r="BV38" s="117"/>
      <c r="BW38" s="97"/>
      <c r="BX38" s="102"/>
      <c r="BY38" s="117" t="str">
        <f t="shared" si="19"/>
        <v>Franklin</v>
      </c>
      <c r="BZ38" s="117" t="str">
        <f t="shared" si="20"/>
        <v/>
      </c>
      <c r="CA38" s="117" t="str">
        <f t="shared" si="21"/>
        <v>Franklin</v>
      </c>
      <c r="CB38" s="117" t="str">
        <f t="shared" si="22"/>
        <v/>
      </c>
      <c r="CC38" s="117" t="str">
        <f t="shared" si="23"/>
        <v>N/A</v>
      </c>
      <c r="CD38" s="117" t="str">
        <f t="shared" si="24"/>
        <v/>
      </c>
      <c r="CE38" s="117" t="str">
        <f t="shared" si="25"/>
        <v>Franklin</v>
      </c>
      <c r="CF38" s="117" t="str">
        <f t="shared" si="26"/>
        <v/>
      </c>
      <c r="CG38" s="117" t="str">
        <f t="shared" si="27"/>
        <v>N/A</v>
      </c>
      <c r="CH38" s="117" t="str">
        <f t="shared" si="28"/>
        <v/>
      </c>
      <c r="CI38" s="117" t="str">
        <f t="shared" si="29"/>
        <v/>
      </c>
      <c r="CJ38" s="117" t="str">
        <f t="shared" si="30"/>
        <v/>
      </c>
      <c r="CK38" s="117" t="str">
        <f t="shared" si="31"/>
        <v/>
      </c>
      <c r="CL38" s="117" t="str">
        <f t="shared" si="32"/>
        <v/>
      </c>
      <c r="CM38" s="117" t="str">
        <f t="shared" si="33"/>
        <v/>
      </c>
      <c r="CN38" s="117" t="str">
        <f t="shared" si="34"/>
        <v/>
      </c>
      <c r="CO38" s="121">
        <f t="shared" si="6"/>
        <v>42304</v>
      </c>
      <c r="CP38" s="117"/>
      <c r="CQ38" s="121">
        <f t="shared" si="7"/>
        <v>42304</v>
      </c>
      <c r="CR38" s="117"/>
      <c r="CS38" s="121">
        <f t="shared" si="8"/>
        <v>42346</v>
      </c>
      <c r="CT38" s="121">
        <f t="shared" si="9"/>
        <v>42360</v>
      </c>
      <c r="CU38" s="121">
        <f t="shared" si="10"/>
        <v>42332</v>
      </c>
      <c r="CV38" s="117"/>
      <c r="CW38" s="121">
        <f t="shared" si="11"/>
        <v>42346</v>
      </c>
      <c r="CX38" s="117"/>
      <c r="CY38" s="121">
        <f t="shared" si="12"/>
        <v>42353</v>
      </c>
      <c r="CZ38" s="117"/>
      <c r="DA38" s="121">
        <f t="shared" si="13"/>
        <v>42360</v>
      </c>
      <c r="DB38" s="121">
        <f t="shared" si="14"/>
        <v>42409</v>
      </c>
      <c r="DC38" s="121">
        <f t="shared" si="15"/>
        <v>42409</v>
      </c>
      <c r="DD38" s="117"/>
      <c r="DE38" s="125">
        <f t="shared" si="16"/>
        <v>42280</v>
      </c>
      <c r="DF38" s="124"/>
      <c r="DG38" s="125">
        <f t="shared" si="35"/>
        <v>42280</v>
      </c>
      <c r="DH38" s="124"/>
      <c r="DI38" s="125">
        <f t="shared" si="17"/>
        <v>42340</v>
      </c>
      <c r="DJ38" s="124"/>
      <c r="DK38" s="125">
        <f t="shared" si="18"/>
        <v>42325</v>
      </c>
      <c r="DL38" s="124"/>
      <c r="DM38" s="117"/>
      <c r="DN38" s="124"/>
      <c r="DO38" s="117"/>
      <c r="DX38" s="41" t="s">
        <v>14</v>
      </c>
      <c r="DY38" s="41" t="s">
        <v>100</v>
      </c>
      <c r="DZ38" s="41" t="s">
        <v>20</v>
      </c>
      <c r="EA38" s="41"/>
      <c r="EB38" s="41" t="s">
        <v>73</v>
      </c>
      <c r="EC38" s="41"/>
      <c r="ED38" s="41"/>
      <c r="EE38" s="41"/>
    </row>
    <row r="39" spans="1:141" ht="16.5" thickBot="1">
      <c r="A39" s="13" t="s">
        <v>233</v>
      </c>
      <c r="B39" s="57" t="str">
        <f>jalons!B39</f>
        <v>Jal</v>
      </c>
      <c r="C39" s="57" t="str">
        <f>jalons!C39</f>
        <v>B787-8</v>
      </c>
      <c r="D39" s="83" t="s">
        <v>253</v>
      </c>
      <c r="E39" s="9">
        <f>IF($A39="","",INDEX(jalons!$A$7:$K$125,MATCH('Suivi livrables'!$A39,jalons!$A$7:$A$125,0),4))</f>
        <v>42262</v>
      </c>
      <c r="F39" s="10">
        <f>IF($A39="","",INDEX(jalons!$A$7:$K$125,MATCH('Suivi livrables'!$A39,jalons!$A$7:$A$125,0),5))</f>
        <v>42327</v>
      </c>
      <c r="G39" s="10">
        <f>IF($A39="","",INDEX(jalons!$A$7:$K$125,MATCH('Suivi livrables'!$A39,jalons!$A$7:$A$125,0),6))</f>
        <v>42327</v>
      </c>
      <c r="H39" s="10" t="str">
        <f>IF($A39="","",INDEX(jalons!$A$7:$K$125,MATCH('Suivi livrables'!$A39,jalons!$A$7:$A$125,0),7))</f>
        <v>manque date</v>
      </c>
      <c r="I39" s="10">
        <f>IF($A39="","",INDEX(jalons!$A$7:$K$125,MATCH('Suivi livrables'!$A39,jalons!$A$7:$A$125,0),8))</f>
        <v>42472</v>
      </c>
      <c r="J39" s="10">
        <f>IF($A39="","",INDEX(jalons!$A$7:$K$125,MATCH('Suivi livrables'!$A39,jalons!$A$7:$A$125,0),9))</f>
        <v>42522</v>
      </c>
      <c r="K39" s="10" t="str">
        <f>IF($A39="","",INDEX(jalons!$A$7:$K$125,MATCH('Suivi livrables'!$A39,jalons!$A$7:$A$125,0),10))</f>
        <v>manque date</v>
      </c>
      <c r="L39" s="10" t="str">
        <f>IF($A39="","",INDEX(jalons!$A$7:$K$125,MATCH('Suivi livrables'!$A39,jalons!$A$7:$A$125,0),11))</f>
        <v>manque date</v>
      </c>
      <c r="M39" s="14"/>
      <c r="N39" s="47"/>
      <c r="O39" s="49"/>
      <c r="P39" s="50"/>
      <c r="Q39" s="50"/>
      <c r="R39" s="50"/>
      <c r="S39" s="50"/>
      <c r="T39" s="50"/>
      <c r="U39" s="50"/>
      <c r="V39" s="50"/>
      <c r="W39" s="50"/>
      <c r="X39" s="50"/>
      <c r="Y39" s="48"/>
      <c r="Z39" s="48"/>
      <c r="AA39" s="50"/>
      <c r="AB39" s="94"/>
      <c r="AC39" s="48"/>
      <c r="AD39" s="128"/>
      <c r="AE39" s="132"/>
      <c r="AF39" s="50"/>
      <c r="AG39" s="48"/>
      <c r="AH39" s="50"/>
      <c r="AI39" s="48"/>
      <c r="AJ39" s="50"/>
      <c r="AK39" s="48"/>
      <c r="AL39" s="50"/>
      <c r="AM39" s="48"/>
      <c r="AN39" s="140"/>
      <c r="AO39" s="133"/>
      <c r="AP39" s="140"/>
      <c r="AQ39" s="132"/>
      <c r="AR39" s="133"/>
      <c r="AS39" s="140"/>
      <c r="AT39" s="132"/>
      <c r="AU39" s="149"/>
      <c r="AV39" s="149"/>
      <c r="AW39" s="132"/>
      <c r="AX39" s="149"/>
      <c r="AY39" s="149"/>
      <c r="AZ39" s="132"/>
      <c r="BA39" s="149"/>
      <c r="BB39" s="149"/>
      <c r="BC39" s="149"/>
      <c r="BD39" s="149"/>
      <c r="BE39" s="133"/>
      <c r="BF39" s="49"/>
      <c r="BG39" s="94"/>
      <c r="BH39" s="96">
        <f t="shared" ref="BH39:BH70" si="36">IF(A39=0,0,IF(G39=0,0,G39-77))</f>
        <v>42250</v>
      </c>
      <c r="BI39" s="117"/>
      <c r="BJ39" s="119">
        <f t="shared" ref="BJ39:BJ70" si="37">IF(A39=0,0,IF(G39=0,0,G39-21))</f>
        <v>42306</v>
      </c>
      <c r="BK39" s="117"/>
      <c r="BL39" s="121" t="str">
        <f t="shared" ref="BL39:BL70" si="38">IF(E39=0,0,IF(BE39="ZSFR",E39+15,"N/A"))</f>
        <v>N/A</v>
      </c>
      <c r="BM39" s="121" t="str">
        <f>IF(G39=0,0,IF('Suivi livrables'!BE39="ZSFR",IF(G39-F39&lt;90,F39+7,G39-90),"N/A"))</f>
        <v>N/A</v>
      </c>
      <c r="BN39" s="117"/>
      <c r="BO39" s="121" t="str">
        <f>IF(G39=0,0,IF('Suivi livrables'!BE39="ZSFR",IF(L39=0,I39-45,L39-4),"N/A"))</f>
        <v>N/A</v>
      </c>
      <c r="BP39" s="117"/>
      <c r="BQ39" s="121">
        <f t="shared" ref="BQ39:BQ70" si="39">IF(G39=0,0,IF(BE39="ZSFR","N/A",G39-77))</f>
        <v>42250</v>
      </c>
      <c r="BR39" s="121">
        <f t="shared" ref="BR39:BR70" si="40">IF(G39=0,0,IF(BE39="ZSFR","N/A",G39-7))</f>
        <v>42320</v>
      </c>
      <c r="BS39" s="117"/>
      <c r="BT39" s="121" t="str">
        <f>IF(G39=0,0,IF(AND('Suivi livrables'!P39=0,'Suivi livrables'!R39=0,'Suivi livrables'!T39=0,'Suivi livrables'!V39=0,'Suivi livrables'!X39=0,'Suivi livrables'!AD39=0),"N/A",#REF!-77))</f>
        <v>N/A</v>
      </c>
      <c r="BU39" s="121" t="str">
        <f>IF(G39=0,0,IF(AND('Suivi livrables'!P39=0,'Suivi livrables'!R39=0,'Suivi livrables'!T39=0,'Suivi livrables'!V39=0,'Suivi livrables'!X39=0,'Suivi livrables'!AD39=0),"N/A",#REF!-21))</f>
        <v>N/A</v>
      </c>
      <c r="BV39" s="117"/>
      <c r="BW39" s="97"/>
      <c r="BX39" s="102"/>
      <c r="BY39" s="117" t="str">
        <f t="shared" si="19"/>
        <v/>
      </c>
      <c r="BZ39" s="117" t="str">
        <f t="shared" si="20"/>
        <v/>
      </c>
      <c r="CA39" s="117" t="str">
        <f t="shared" si="21"/>
        <v/>
      </c>
      <c r="CB39" s="117" t="str">
        <f t="shared" si="22"/>
        <v/>
      </c>
      <c r="CC39" s="117" t="str">
        <f t="shared" si="23"/>
        <v/>
      </c>
      <c r="CD39" s="117" t="str">
        <f t="shared" si="24"/>
        <v/>
      </c>
      <c r="CE39" s="117" t="str">
        <f t="shared" si="25"/>
        <v/>
      </c>
      <c r="CF39" s="117" t="str">
        <f t="shared" si="26"/>
        <v/>
      </c>
      <c r="CG39" s="117" t="str">
        <f t="shared" si="27"/>
        <v/>
      </c>
      <c r="CH39" s="117" t="str">
        <f t="shared" si="28"/>
        <v/>
      </c>
      <c r="CI39" s="117" t="str">
        <f t="shared" si="29"/>
        <v/>
      </c>
      <c r="CJ39" s="117" t="str">
        <f t="shared" si="30"/>
        <v/>
      </c>
      <c r="CK39" s="117" t="str">
        <f t="shared" si="31"/>
        <v/>
      </c>
      <c r="CL39" s="117" t="str">
        <f t="shared" si="32"/>
        <v/>
      </c>
      <c r="CM39" s="117" t="str">
        <f t="shared" si="33"/>
        <v/>
      </c>
      <c r="CN39" s="117" t="str">
        <f t="shared" si="34"/>
        <v/>
      </c>
      <c r="CO39" s="121">
        <f t="shared" ref="CO39:CO70" si="41">IF(A39=0,"",IF(G39=0,"TBD",IF(OR(BZ39&lt;&gt;0,CB39&lt;&gt;0,CD39&lt;&gt;0,CF39&lt;&gt;0,CH39&lt;&gt;0,CN39&lt;&gt;0),G39-77,"N/A")))</f>
        <v>42250</v>
      </c>
      <c r="CP39" s="117"/>
      <c r="CQ39" s="121">
        <f t="shared" ref="CQ39:CQ70" si="42">IF(A39=0,"",IF(G39=0,"TBD",IF(OR(BZ39&lt;&gt;0,CB39&lt;&gt;0,CD39&lt;&gt;0,CF39&lt;&gt;0,CH39&lt;&gt;0,CN39&lt;&gt;0),G39-77,"N/A")))</f>
        <v>42250</v>
      </c>
      <c r="CR39" s="117"/>
      <c r="CS39" s="121">
        <f t="shared" ref="CS39:CS70" si="43">IF(A39=0,"",IF(G39=0,"TBD",IF(OR(BZ39&lt;&gt;0,CB39&lt;&gt;0,CD39&lt;&gt;0,CF39&lt;&gt;0,CH39&lt;&gt;0,CN39&lt;&gt;0),G39-35,"N/A")))</f>
        <v>42292</v>
      </c>
      <c r="CT39" s="121">
        <f t="shared" ref="CT39:CT70" si="44">IF(A39=0,"",IF(G39=0,"TBD",IF(OR(BZ39&lt;&gt;0,CB39&lt;&gt;0,CD39&lt;&gt;0,CF39&lt;&gt;0,CH39&lt;&gt;0,CN39&lt;&gt;0),G39-21,"N/A")))</f>
        <v>42306</v>
      </c>
      <c r="CU39" s="121">
        <f t="shared" ref="CU39:CU70" si="45">IF(A39=0,"",IF(G39=0,"TBD",IF(OR(BZ39&lt;&gt;0,CB39&lt;&gt;0,CD39&lt;&gt;0,CF39&lt;&gt;0,CH39&lt;&gt;0,CN39&lt;&gt;0),G39-49,"N/A")))</f>
        <v>42278</v>
      </c>
      <c r="CV39" s="117"/>
      <c r="CW39" s="121">
        <f t="shared" ref="CW39:CW70" si="46">IF(A39=0,"",IF(G39=0,"TBD",IF(OR(BZ39&lt;&gt;0,CB39&lt;&gt;0,CD39&lt;&gt;0,CF39&lt;&gt;0,CH39&lt;&gt;0,CN39&lt;&gt;0),G39-35,"N/A")))</f>
        <v>42292</v>
      </c>
      <c r="CX39" s="117"/>
      <c r="CY39" s="121">
        <f t="shared" ref="CY39:CY70" si="47">IF(A39=0,"",IF(G39=0,"TBD",IF(OR(BZ39&lt;&gt;0,CB39&lt;&gt;0,CD39&lt;&gt;0,CF39&lt;&gt;0,CH39&lt;&gt;0,CN39&lt;&gt;0),G39-28,"N/A")))</f>
        <v>42299</v>
      </c>
      <c r="CZ39" s="117"/>
      <c r="DA39" s="121">
        <f t="shared" ref="DA39:DA70" si="48">IF(A39=0,"",IF(G39=0,"TBD",IF(OR(BZ39&lt;&gt;0,CB39&lt;&gt;0,CD39&lt;&gt;0,CF39&lt;&gt;0,CH39&lt;&gt;0,CN39&lt;&gt;0),G39-21,"N/A")))</f>
        <v>42306</v>
      </c>
      <c r="DB39" s="121">
        <f t="shared" ref="DB39:DB70" si="49">IF(A39=0,"",IF(G39=0,"TBD",IF(OR(BZ39&lt;&gt;0,CB39&lt;&gt;0,CD39&lt;&gt;0,CF39&lt;&gt;0,CH39&lt;&gt;0,CN39&lt;&gt;0),G39+28,"N/A")))</f>
        <v>42355</v>
      </c>
      <c r="DC39" s="121">
        <f t="shared" ref="DC39:DC70" si="50">IF(A39=0,"",IF(G39=0,"TBD",IF(OR(BZ39&lt;&gt;0,CB39&lt;&gt;0,CD39&lt;&gt;0,CF39&lt;&gt;0,CH39&lt;&gt;0,CN39&lt;&gt;0),G39+28,"N/A")))</f>
        <v>42355</v>
      </c>
      <c r="DD39" s="117"/>
      <c r="DE39" s="125">
        <f t="shared" ref="DE39:DE70" si="51">IF(A39=0,0,IF(OR(F39=0,G39=0),"Missing date",DK39-45))</f>
        <v>42282</v>
      </c>
      <c r="DF39" s="124"/>
      <c r="DG39" s="125">
        <f t="shared" si="35"/>
        <v>42282</v>
      </c>
      <c r="DH39" s="124"/>
      <c r="DI39" s="125">
        <f t="shared" ref="DI39:DI70" si="52">IF(A39=0,0,IF(OR(F39=0,G39=0),"Missing date",IF(G39-F39&lt;90,F39+15,G39-90)))</f>
        <v>42342</v>
      </c>
      <c r="DJ39" s="124"/>
      <c r="DK39" s="125">
        <f t="shared" ref="DK39:DK70" si="53">IF(A39=0,0,IF(OR(F39=0,G39=0),"Missing date",DI39-15))</f>
        <v>42327</v>
      </c>
      <c r="DL39" s="124"/>
      <c r="DM39" s="117"/>
      <c r="DN39" s="124"/>
      <c r="DO39" s="117"/>
      <c r="DX39" s="41" t="s">
        <v>15</v>
      </c>
      <c r="DY39" s="41" t="s">
        <v>21</v>
      </c>
      <c r="DZ39" s="41" t="s">
        <v>24</v>
      </c>
      <c r="EA39" s="41"/>
      <c r="EB39" s="41" t="s">
        <v>36</v>
      </c>
      <c r="EC39" s="41"/>
      <c r="ED39" s="41"/>
      <c r="EE39" s="41"/>
    </row>
    <row r="40" spans="1:141" ht="16.5" thickBot="1">
      <c r="A40" s="13" t="s">
        <v>121</v>
      </c>
      <c r="B40" s="57" t="str">
        <f>jalons!B40</f>
        <v>Japan Airlines</v>
      </c>
      <c r="C40" s="57" t="str">
        <f>jalons!C40</f>
        <v>B777-200E</v>
      </c>
      <c r="D40" s="83" t="s">
        <v>253</v>
      </c>
      <c r="E40" s="9">
        <f>IF($A40="","",INDEX(jalons!$A$7:$K$125,MATCH('Suivi livrables'!$A40,jalons!$A$7:$A$125,0),4))</f>
        <v>41163</v>
      </c>
      <c r="F40" s="10">
        <f>IF($A40="","",INDEX(jalons!$A$7:$K$125,MATCH('Suivi livrables'!$A40,jalons!$A$7:$A$125,0),5))</f>
        <v>41283</v>
      </c>
      <c r="G40" s="10">
        <f>IF($A40="","",INDEX(jalons!$A$7:$K$125,MATCH('Suivi livrables'!$A40,jalons!$A$7:$A$125,0),6))</f>
        <v>41450</v>
      </c>
      <c r="H40" s="10">
        <f>IF($A40="","",INDEX(jalons!$A$7:$K$125,MATCH('Suivi livrables'!$A40,jalons!$A$7:$A$125,0),7))</f>
        <v>42455</v>
      </c>
      <c r="I40" s="10">
        <f>IF($A40="","",INDEX(jalons!$A$7:$K$125,MATCH('Suivi livrables'!$A40,jalons!$A$7:$A$125,0),8))</f>
        <v>41669</v>
      </c>
      <c r="J40" s="10">
        <f>IF($A40="","",INDEX(jalons!$A$7:$K$125,MATCH('Suivi livrables'!$A40,jalons!$A$7:$A$125,0),9))</f>
        <v>41831</v>
      </c>
      <c r="K40" s="10">
        <f>IF($A40="","",INDEX(jalons!$A$7:$K$125,MATCH('Suivi livrables'!$A40,jalons!$A$7:$A$125,0),10))</f>
        <v>42450</v>
      </c>
      <c r="L40" s="10">
        <f>IF($A40="","",INDEX(jalons!$A$7:$K$125,MATCH('Suivi livrables'!$A40,jalons!$A$7:$A$125,0),11))</f>
        <v>42420</v>
      </c>
      <c r="M40" s="14"/>
      <c r="N40" s="47"/>
      <c r="O40" s="49"/>
      <c r="P40" s="50"/>
      <c r="Q40" s="50"/>
      <c r="R40" s="50"/>
      <c r="S40" s="50"/>
      <c r="T40" s="50"/>
      <c r="U40" s="50"/>
      <c r="V40" s="50"/>
      <c r="W40" s="50"/>
      <c r="X40" s="50"/>
      <c r="Y40" s="48"/>
      <c r="Z40" s="48"/>
      <c r="AA40" s="50"/>
      <c r="AB40" s="94"/>
      <c r="AC40" s="48"/>
      <c r="AD40" s="128"/>
      <c r="AE40" s="132"/>
      <c r="AF40" s="50"/>
      <c r="AG40" s="48"/>
      <c r="AH40" s="50"/>
      <c r="AI40" s="48"/>
      <c r="AJ40" s="50"/>
      <c r="AK40" s="48"/>
      <c r="AL40" s="50"/>
      <c r="AM40" s="48"/>
      <c r="AN40" s="140"/>
      <c r="AO40" s="133"/>
      <c r="AP40" s="140"/>
      <c r="AQ40" s="132"/>
      <c r="AR40" s="133"/>
      <c r="AS40" s="140"/>
      <c r="AT40" s="132"/>
      <c r="AU40" s="149"/>
      <c r="AV40" s="149"/>
      <c r="AW40" s="132"/>
      <c r="AX40" s="149"/>
      <c r="AY40" s="149"/>
      <c r="AZ40" s="132"/>
      <c r="BA40" s="149"/>
      <c r="BB40" s="149"/>
      <c r="BC40" s="149"/>
      <c r="BD40" s="149"/>
      <c r="BE40" s="133"/>
      <c r="BF40" s="49"/>
      <c r="BG40" s="94"/>
      <c r="BH40" s="96">
        <f t="shared" si="36"/>
        <v>41373</v>
      </c>
      <c r="BI40" s="117"/>
      <c r="BJ40" s="119">
        <f t="shared" si="37"/>
        <v>41429</v>
      </c>
      <c r="BK40" s="117"/>
      <c r="BL40" s="121" t="str">
        <f t="shared" si="38"/>
        <v>N/A</v>
      </c>
      <c r="BM40" s="121" t="str">
        <f>IF(G40=0,0,IF('Suivi livrables'!BE40="ZSFR",IF(G40-F40&lt;90,F40+7,G40-90),"N/A"))</f>
        <v>N/A</v>
      </c>
      <c r="BN40" s="117"/>
      <c r="BO40" s="121" t="str">
        <f>IF(G40=0,0,IF('Suivi livrables'!BE40="ZSFR",IF(L40=0,I40-45,L40-4),"N/A"))</f>
        <v>N/A</v>
      </c>
      <c r="BP40" s="117"/>
      <c r="BQ40" s="121">
        <f t="shared" si="39"/>
        <v>41373</v>
      </c>
      <c r="BR40" s="121">
        <f t="shared" si="40"/>
        <v>41443</v>
      </c>
      <c r="BS40" s="117"/>
      <c r="BT40" s="121" t="str">
        <f>IF(G40=0,0,IF(AND('Suivi livrables'!P40=0,'Suivi livrables'!R40=0,'Suivi livrables'!T40=0,'Suivi livrables'!V40=0,'Suivi livrables'!X40=0,'Suivi livrables'!AD40=0),"N/A",#REF!-77))</f>
        <v>N/A</v>
      </c>
      <c r="BU40" s="121" t="str">
        <f>IF(G40=0,0,IF(AND('Suivi livrables'!P40=0,'Suivi livrables'!R40=0,'Suivi livrables'!T40=0,'Suivi livrables'!V40=0,'Suivi livrables'!X40=0,'Suivi livrables'!AD40=0),"N/A",#REF!-21))</f>
        <v>N/A</v>
      </c>
      <c r="BV40" s="117"/>
      <c r="BW40" s="97"/>
      <c r="BX40" s="102"/>
      <c r="BY40" s="117" t="str">
        <f t="shared" ref="BY40:BY71" si="54">IF(O40="","",O40)</f>
        <v/>
      </c>
      <c r="BZ40" s="117" t="str">
        <f t="shared" ref="BZ40:BZ71" si="55">IF(P40="","",P40)</f>
        <v/>
      </c>
      <c r="CA40" s="117" t="str">
        <f t="shared" ref="CA40:CA71" si="56">IF(Q40="","",Q40)</f>
        <v/>
      </c>
      <c r="CB40" s="117" t="str">
        <f t="shared" ref="CB40:CB71" si="57">IF(R40="","",R40)</f>
        <v/>
      </c>
      <c r="CC40" s="117" t="str">
        <f t="shared" ref="CC40:CC71" si="58">IF(S40="","",S40)</f>
        <v/>
      </c>
      <c r="CD40" s="117" t="str">
        <f t="shared" ref="CD40:CD71" si="59">IF(T40="","",T40)</f>
        <v/>
      </c>
      <c r="CE40" s="117" t="str">
        <f t="shared" ref="CE40:CE71" si="60">IF(U40="","",U40)</f>
        <v/>
      </c>
      <c r="CF40" s="117" t="str">
        <f t="shared" ref="CF40:CF71" si="61">IF(V40="","",V40)</f>
        <v/>
      </c>
      <c r="CG40" s="117" t="str">
        <f t="shared" ref="CG40:CG71" si="62">IF(W40="","",W40)</f>
        <v/>
      </c>
      <c r="CH40" s="117" t="str">
        <f t="shared" ref="CH40:CH71" si="63">IF(X40="","",X40)</f>
        <v/>
      </c>
      <c r="CI40" s="117" t="str">
        <f t="shared" si="29"/>
        <v/>
      </c>
      <c r="CJ40" s="117" t="str">
        <f t="shared" si="30"/>
        <v/>
      </c>
      <c r="CK40" s="117" t="str">
        <f t="shared" si="31"/>
        <v/>
      </c>
      <c r="CL40" s="117" t="str">
        <f t="shared" ref="CL40:CL71" si="64">IF(AB40="","",AB40)</f>
        <v/>
      </c>
      <c r="CM40" s="117" t="str">
        <f t="shared" ref="CM40:CM71" si="65">IF(AC40="","",AC40)</f>
        <v/>
      </c>
      <c r="CN40" s="117" t="str">
        <f t="shared" ref="CN40:CN71" si="66">IF(AD40="","",AD40)</f>
        <v/>
      </c>
      <c r="CO40" s="121">
        <f t="shared" si="41"/>
        <v>41373</v>
      </c>
      <c r="CP40" s="117"/>
      <c r="CQ40" s="121">
        <f t="shared" si="42"/>
        <v>41373</v>
      </c>
      <c r="CR40" s="117"/>
      <c r="CS40" s="121">
        <f t="shared" si="43"/>
        <v>41415</v>
      </c>
      <c r="CT40" s="121">
        <f t="shared" si="44"/>
        <v>41429</v>
      </c>
      <c r="CU40" s="121">
        <f t="shared" si="45"/>
        <v>41401</v>
      </c>
      <c r="CV40" s="117"/>
      <c r="CW40" s="121">
        <f t="shared" si="46"/>
        <v>41415</v>
      </c>
      <c r="CX40" s="117"/>
      <c r="CY40" s="121">
        <f t="shared" si="47"/>
        <v>41422</v>
      </c>
      <c r="CZ40" s="117"/>
      <c r="DA40" s="121">
        <f t="shared" si="48"/>
        <v>41429</v>
      </c>
      <c r="DB40" s="121">
        <f t="shared" si="49"/>
        <v>41478</v>
      </c>
      <c r="DC40" s="121">
        <f t="shared" si="50"/>
        <v>41478</v>
      </c>
      <c r="DD40" s="117"/>
      <c r="DE40" s="125">
        <f t="shared" si="51"/>
        <v>41300</v>
      </c>
      <c r="DF40" s="124"/>
      <c r="DG40" s="125">
        <f t="shared" si="35"/>
        <v>41300</v>
      </c>
      <c r="DH40" s="124"/>
      <c r="DI40" s="125">
        <f t="shared" si="52"/>
        <v>41360</v>
      </c>
      <c r="DJ40" s="124"/>
      <c r="DK40" s="125">
        <f t="shared" si="53"/>
        <v>41345</v>
      </c>
      <c r="DL40" s="124"/>
      <c r="DM40" s="117"/>
      <c r="DN40" s="124"/>
      <c r="DO40" s="117"/>
      <c r="DX40" s="41" t="s">
        <v>16</v>
      </c>
      <c r="DY40" s="41" t="s">
        <v>86</v>
      </c>
      <c r="DZ40" s="41" t="s">
        <v>25</v>
      </c>
      <c r="EA40" s="41"/>
      <c r="EB40" s="41" t="s">
        <v>41</v>
      </c>
      <c r="EC40" s="41"/>
      <c r="ED40" s="41"/>
      <c r="EE40" s="41" t="s">
        <v>138</v>
      </c>
      <c r="EG40" s="41" t="s">
        <v>130</v>
      </c>
      <c r="EI40" t="s">
        <v>149</v>
      </c>
      <c r="EJ40" t="s">
        <v>278</v>
      </c>
      <c r="EK40" t="s">
        <v>293</v>
      </c>
    </row>
    <row r="41" spans="1:141" ht="16.5" thickBot="1">
      <c r="A41" s="25" t="s">
        <v>96</v>
      </c>
      <c r="B41" s="57" t="str">
        <f>jalons!B41</f>
        <v>China Airlines</v>
      </c>
      <c r="C41" s="57" t="str">
        <f>jalons!C41</f>
        <v>A350</v>
      </c>
      <c r="D41" s="82" t="s">
        <v>253</v>
      </c>
      <c r="E41" s="9">
        <f>IF($A41="","",INDEX(jalons!$A$7:$K$125,MATCH('Suivi livrables'!$A41,jalons!$A$7:$A$125,0),4))</f>
        <v>41659</v>
      </c>
      <c r="F41" s="10">
        <f>IF($A41="","",INDEX(jalons!$A$7:$K$125,MATCH('Suivi livrables'!$A41,jalons!$A$7:$A$125,0),5))</f>
        <v>41739</v>
      </c>
      <c r="G41" s="10">
        <f>IF($A41="","",INDEX(jalons!$A$7:$K$125,MATCH('Suivi livrables'!$A41,jalons!$A$7:$A$125,0),6))</f>
        <v>41913</v>
      </c>
      <c r="H41" s="10">
        <f>IF($A41="","",INDEX(jalons!$A$7:$K$125,MATCH('Suivi livrables'!$A41,jalons!$A$7:$A$125,0),7))</f>
        <v>42200</v>
      </c>
      <c r="I41" s="10">
        <f>IF($A41="","",INDEX(jalons!$A$7:$K$125,MATCH('Suivi livrables'!$A41,jalons!$A$7:$A$125,0),8))</f>
        <v>42283</v>
      </c>
      <c r="J41" s="10">
        <f>IF($A41="","",INDEX(jalons!$A$7:$K$125,MATCH('Suivi livrables'!$A41,jalons!$A$7:$A$125,0),9))</f>
        <v>42265</v>
      </c>
      <c r="K41" s="10">
        <f>IF($A41="","",INDEX(jalons!$A$7:$K$125,MATCH('Suivi livrables'!$A41,jalons!$A$7:$A$125,0),10))</f>
        <v>42009</v>
      </c>
      <c r="L41" s="10">
        <f>IF($A41="","",INDEX(jalons!$A$7:$K$125,MATCH('Suivi livrables'!$A41,jalons!$A$7:$A$125,0),11))</f>
        <v>42110</v>
      </c>
      <c r="M41" s="14"/>
      <c r="N41" s="47"/>
      <c r="O41" s="47"/>
      <c r="P41" s="48"/>
      <c r="Q41" s="48"/>
      <c r="R41" s="48"/>
      <c r="S41" s="48"/>
      <c r="T41" s="48"/>
      <c r="U41" s="48"/>
      <c r="V41" s="48"/>
      <c r="W41" s="48"/>
      <c r="X41" s="48"/>
      <c r="Y41" s="48"/>
      <c r="Z41" s="48"/>
      <c r="AA41" s="48"/>
      <c r="AB41" s="93"/>
      <c r="AC41" s="48"/>
      <c r="AD41" s="127"/>
      <c r="AE41" s="132"/>
      <c r="AF41" s="48"/>
      <c r="AG41" s="48"/>
      <c r="AH41" s="48"/>
      <c r="AI41" s="48"/>
      <c r="AJ41" s="48"/>
      <c r="AK41" s="48"/>
      <c r="AL41" s="48"/>
      <c r="AM41" s="48"/>
      <c r="AN41" s="132"/>
      <c r="AO41" s="133"/>
      <c r="AP41" s="132"/>
      <c r="AQ41" s="132"/>
      <c r="AR41" s="133"/>
      <c r="AS41" s="132"/>
      <c r="AT41" s="132"/>
      <c r="AU41" s="139"/>
      <c r="AV41" s="139"/>
      <c r="AW41" s="132"/>
      <c r="AX41" s="139"/>
      <c r="AY41" s="139"/>
      <c r="AZ41" s="132"/>
      <c r="BA41" s="139"/>
      <c r="BB41" s="139"/>
      <c r="BC41" s="139"/>
      <c r="BD41" s="139"/>
      <c r="BE41" s="133"/>
      <c r="BF41" s="47"/>
      <c r="BG41" s="93"/>
      <c r="BH41" s="96">
        <f t="shared" si="36"/>
        <v>41836</v>
      </c>
      <c r="BI41" s="117"/>
      <c r="BJ41" s="119">
        <f t="shared" si="37"/>
        <v>41892</v>
      </c>
      <c r="BK41" s="117"/>
      <c r="BL41" s="121" t="str">
        <f t="shared" si="38"/>
        <v>N/A</v>
      </c>
      <c r="BM41" s="121" t="str">
        <f>IF(G41=0,0,IF('Suivi livrables'!BE41="ZSFR",IF(G41-F41&lt;90,F41+7,G41-90),"N/A"))</f>
        <v>N/A</v>
      </c>
      <c r="BN41" s="117"/>
      <c r="BO41" s="121" t="str">
        <f>IF(G41=0,0,IF('Suivi livrables'!BE41="ZSFR",IF(L41=0,I41-45,L41-4),"N/A"))</f>
        <v>N/A</v>
      </c>
      <c r="BP41" s="117"/>
      <c r="BQ41" s="121">
        <f t="shared" si="39"/>
        <v>41836</v>
      </c>
      <c r="BR41" s="121">
        <f t="shared" si="40"/>
        <v>41906</v>
      </c>
      <c r="BS41" s="117"/>
      <c r="BT41" s="121" t="str">
        <f>IF(G41=0,0,IF(AND('Suivi livrables'!P41=0,'Suivi livrables'!R41=0,'Suivi livrables'!T41=0,'Suivi livrables'!V41=0,'Suivi livrables'!X41=0,'Suivi livrables'!AD41=0),"N/A",#REF!-77))</f>
        <v>N/A</v>
      </c>
      <c r="BU41" s="121" t="str">
        <f>IF(G41=0,0,IF(AND('Suivi livrables'!P41=0,'Suivi livrables'!R41=0,'Suivi livrables'!T41=0,'Suivi livrables'!V41=0,'Suivi livrables'!X41=0,'Suivi livrables'!AD41=0),"N/A",#REF!-21))</f>
        <v>N/A</v>
      </c>
      <c r="BV41" s="117"/>
      <c r="BW41" s="97"/>
      <c r="BX41" s="102"/>
      <c r="BY41" s="117" t="str">
        <f t="shared" si="54"/>
        <v/>
      </c>
      <c r="BZ41" s="117" t="str">
        <f t="shared" si="55"/>
        <v/>
      </c>
      <c r="CA41" s="117" t="str">
        <f t="shared" si="56"/>
        <v/>
      </c>
      <c r="CB41" s="117" t="str">
        <f t="shared" si="57"/>
        <v/>
      </c>
      <c r="CC41" s="117" t="str">
        <f t="shared" si="58"/>
        <v/>
      </c>
      <c r="CD41" s="117" t="str">
        <f t="shared" si="59"/>
        <v/>
      </c>
      <c r="CE41" s="117" t="str">
        <f t="shared" si="60"/>
        <v/>
      </c>
      <c r="CF41" s="117" t="str">
        <f t="shared" si="61"/>
        <v/>
      </c>
      <c r="CG41" s="117" t="str">
        <f t="shared" si="62"/>
        <v/>
      </c>
      <c r="CH41" s="117" t="str">
        <f t="shared" si="63"/>
        <v/>
      </c>
      <c r="CI41" s="117" t="str">
        <f t="shared" si="29"/>
        <v/>
      </c>
      <c r="CJ41" s="117" t="str">
        <f t="shared" si="30"/>
        <v/>
      </c>
      <c r="CK41" s="117" t="str">
        <f t="shared" si="31"/>
        <v/>
      </c>
      <c r="CL41" s="117" t="str">
        <f t="shared" si="64"/>
        <v/>
      </c>
      <c r="CM41" s="117" t="str">
        <f t="shared" si="65"/>
        <v/>
      </c>
      <c r="CN41" s="117" t="str">
        <f t="shared" si="66"/>
        <v/>
      </c>
      <c r="CO41" s="121">
        <f t="shared" si="41"/>
        <v>41836</v>
      </c>
      <c r="CP41" s="117"/>
      <c r="CQ41" s="121">
        <f t="shared" si="42"/>
        <v>41836</v>
      </c>
      <c r="CR41" s="117"/>
      <c r="CS41" s="121">
        <f t="shared" si="43"/>
        <v>41878</v>
      </c>
      <c r="CT41" s="121">
        <f t="shared" si="44"/>
        <v>41892</v>
      </c>
      <c r="CU41" s="121">
        <f t="shared" si="45"/>
        <v>41864</v>
      </c>
      <c r="CV41" s="117"/>
      <c r="CW41" s="121">
        <f t="shared" si="46"/>
        <v>41878</v>
      </c>
      <c r="CX41" s="117"/>
      <c r="CY41" s="121">
        <f t="shared" si="47"/>
        <v>41885</v>
      </c>
      <c r="CZ41" s="117"/>
      <c r="DA41" s="121">
        <f t="shared" si="48"/>
        <v>41892</v>
      </c>
      <c r="DB41" s="121">
        <f t="shared" si="49"/>
        <v>41941</v>
      </c>
      <c r="DC41" s="121">
        <f t="shared" si="50"/>
        <v>41941</v>
      </c>
      <c r="DD41" s="117"/>
      <c r="DE41" s="125">
        <f t="shared" si="51"/>
        <v>41763</v>
      </c>
      <c r="DF41" s="124"/>
      <c r="DG41" s="125">
        <f t="shared" si="35"/>
        <v>41763</v>
      </c>
      <c r="DH41" s="124"/>
      <c r="DI41" s="125">
        <f t="shared" si="52"/>
        <v>41823</v>
      </c>
      <c r="DJ41" s="124"/>
      <c r="DK41" s="125">
        <f t="shared" si="53"/>
        <v>41808</v>
      </c>
      <c r="DL41" s="124"/>
      <c r="DM41" s="117"/>
      <c r="DN41" s="124"/>
      <c r="DO41" s="117"/>
      <c r="DX41" s="41"/>
      <c r="DY41" s="41" t="s">
        <v>20</v>
      </c>
      <c r="DZ41" s="41" t="s">
        <v>26</v>
      </c>
      <c r="EA41" s="41"/>
      <c r="EB41" s="41" t="s">
        <v>74</v>
      </c>
      <c r="EC41" s="41"/>
      <c r="ED41" s="41"/>
      <c r="EE41" s="41" t="s">
        <v>247</v>
      </c>
      <c r="EG41" s="41" t="s">
        <v>147</v>
      </c>
      <c r="EI41" t="s">
        <v>150</v>
      </c>
      <c r="EJ41" t="s">
        <v>279</v>
      </c>
      <c r="EK41" t="s">
        <v>294</v>
      </c>
    </row>
    <row r="42" spans="1:141" ht="16.5" thickBot="1">
      <c r="A42" s="25" t="s">
        <v>97</v>
      </c>
      <c r="B42" s="57" t="str">
        <f>jalons!B42</f>
        <v>Air France</v>
      </c>
      <c r="C42" s="57" t="str">
        <f>jalons!C42</f>
        <v>B787</v>
      </c>
      <c r="D42" s="82" t="s">
        <v>252</v>
      </c>
      <c r="E42" s="9">
        <f>IF($A42="","",INDEX(jalons!$A$7:$K$125,MATCH('Suivi livrables'!$A42,jalons!$A$7:$A$125,0),4))</f>
        <v>41779</v>
      </c>
      <c r="F42" s="10">
        <f>IF($A42="","",INDEX(jalons!$A$7:$K$125,MATCH('Suivi livrables'!$A42,jalons!$A$7:$A$125,0),5))</f>
        <v>41877</v>
      </c>
      <c r="G42" s="10">
        <f>IF($A42="","",INDEX(jalons!$A$7:$K$125,MATCH('Suivi livrables'!$A42,jalons!$A$7:$A$125,0),6))</f>
        <v>42093</v>
      </c>
      <c r="H42" s="10">
        <f>IF($A42="","",INDEX(jalons!$A$7:$K$125,MATCH('Suivi livrables'!$A42,jalons!$A$7:$A$125,0),7))</f>
        <v>42277</v>
      </c>
      <c r="I42" s="10">
        <f>IF($A42="","",INDEX(jalons!$A$7:$K$125,MATCH('Suivi livrables'!$A42,jalons!$A$7:$A$125,0),8))</f>
        <v>42317</v>
      </c>
      <c r="J42" s="10">
        <f>IF($A42="","",INDEX(jalons!$A$7:$K$125,MATCH('Suivi livrables'!$A42,jalons!$A$7:$A$125,0),9))</f>
        <v>42396</v>
      </c>
      <c r="K42" s="10">
        <f>IF($A42="","",INDEX(jalons!$A$7:$K$125,MATCH('Suivi livrables'!$A42,jalons!$A$7:$A$125,0),10))</f>
        <v>42189</v>
      </c>
      <c r="L42" s="10">
        <f>IF($A42="","",INDEX(jalons!$A$7:$K$125,MATCH('Suivi livrables'!$A42,jalons!$A$7:$A$125,0),11))</f>
        <v>42197</v>
      </c>
      <c r="M42" s="14"/>
      <c r="N42" s="47" t="s">
        <v>206</v>
      </c>
      <c r="O42" s="47" t="s">
        <v>71</v>
      </c>
      <c r="P42" s="48"/>
      <c r="Q42" s="48" t="s">
        <v>71</v>
      </c>
      <c r="R42" s="48"/>
      <c r="S42" s="48"/>
      <c r="T42" s="48"/>
      <c r="U42" s="48" t="s">
        <v>71</v>
      </c>
      <c r="V42" s="48"/>
      <c r="W42" s="48" t="s">
        <v>71</v>
      </c>
      <c r="X42" s="48"/>
      <c r="Y42" s="48"/>
      <c r="Z42" s="48"/>
      <c r="AA42" s="48"/>
      <c r="AB42" s="93"/>
      <c r="AC42" s="48"/>
      <c r="AD42" s="127"/>
      <c r="AE42" s="132"/>
      <c r="AF42" s="48"/>
      <c r="AG42" s="48"/>
      <c r="AH42" s="48"/>
      <c r="AI42" s="48"/>
      <c r="AJ42" s="48"/>
      <c r="AK42" s="48"/>
      <c r="AL42" s="48"/>
      <c r="AM42" s="48"/>
      <c r="AN42" s="132"/>
      <c r="AO42" s="133"/>
      <c r="AP42" s="132"/>
      <c r="AQ42" s="132"/>
      <c r="AR42" s="133"/>
      <c r="AS42" s="132"/>
      <c r="AT42" s="132"/>
      <c r="AU42" s="139"/>
      <c r="AV42" s="139"/>
      <c r="AW42" s="132"/>
      <c r="AX42" s="139"/>
      <c r="AY42" s="139"/>
      <c r="AZ42" s="132"/>
      <c r="BA42" s="139"/>
      <c r="BB42" s="139"/>
      <c r="BC42" s="139"/>
      <c r="BD42" s="139"/>
      <c r="BE42" s="133" t="s">
        <v>68</v>
      </c>
      <c r="BF42" s="47"/>
      <c r="BG42" s="93"/>
      <c r="BH42" s="96">
        <f t="shared" si="36"/>
        <v>42016</v>
      </c>
      <c r="BI42" s="117"/>
      <c r="BJ42" s="119">
        <f t="shared" si="37"/>
        <v>42072</v>
      </c>
      <c r="BK42" s="117"/>
      <c r="BL42" s="121">
        <f t="shared" si="38"/>
        <v>41794</v>
      </c>
      <c r="BM42" s="121">
        <f>IF(G42=0,0,IF('Suivi livrables'!BE42="ZSFR",IF(G42-F42&lt;90,F42+7,G42-90),"N/A"))</f>
        <v>42003</v>
      </c>
      <c r="BN42" s="117"/>
      <c r="BO42" s="121">
        <f>IF(G42=0,0,IF('Suivi livrables'!BE42="ZSFR",IF(L42=0,I42-45,L42-4),"N/A"))</f>
        <v>42193</v>
      </c>
      <c r="BP42" s="117"/>
      <c r="BQ42" s="121" t="str">
        <f t="shared" si="39"/>
        <v>N/A</v>
      </c>
      <c r="BR42" s="121" t="str">
        <f t="shared" si="40"/>
        <v>N/A</v>
      </c>
      <c r="BS42" s="117"/>
      <c r="BT42" s="121" t="str">
        <f>IF(G42=0,0,IF(AND('Suivi livrables'!P42=0,'Suivi livrables'!R42=0,'Suivi livrables'!T42=0,'Suivi livrables'!V42=0,'Suivi livrables'!X42=0,'Suivi livrables'!AD42=0),"N/A",#REF!-77))</f>
        <v>N/A</v>
      </c>
      <c r="BU42" s="121" t="str">
        <f>IF(G42=0,0,IF(AND('Suivi livrables'!P42=0,'Suivi livrables'!R42=0,'Suivi livrables'!T42=0,'Suivi livrables'!V42=0,'Suivi livrables'!X42=0,'Suivi livrables'!AD42=0),"N/A",#REF!-21))</f>
        <v>N/A</v>
      </c>
      <c r="BV42" s="117"/>
      <c r="BW42" s="97"/>
      <c r="BX42" s="102"/>
      <c r="BY42" s="117" t="str">
        <f t="shared" si="54"/>
        <v>Greiner</v>
      </c>
      <c r="BZ42" s="117" t="str">
        <f t="shared" si="55"/>
        <v/>
      </c>
      <c r="CA42" s="117" t="str">
        <f t="shared" si="56"/>
        <v>Greiner</v>
      </c>
      <c r="CB42" s="117" t="str">
        <f t="shared" si="57"/>
        <v/>
      </c>
      <c r="CC42" s="117" t="str">
        <f t="shared" si="58"/>
        <v/>
      </c>
      <c r="CD42" s="117" t="str">
        <f t="shared" si="59"/>
        <v/>
      </c>
      <c r="CE42" s="117" t="str">
        <f t="shared" si="60"/>
        <v>Greiner</v>
      </c>
      <c r="CF42" s="117" t="str">
        <f t="shared" si="61"/>
        <v/>
      </c>
      <c r="CG42" s="117" t="str">
        <f t="shared" si="62"/>
        <v>Greiner</v>
      </c>
      <c r="CH42" s="117" t="str">
        <f t="shared" si="63"/>
        <v/>
      </c>
      <c r="CI42" s="117" t="str">
        <f t="shared" si="29"/>
        <v/>
      </c>
      <c r="CJ42" s="117" t="str">
        <f t="shared" si="30"/>
        <v/>
      </c>
      <c r="CK42" s="117" t="str">
        <f t="shared" si="31"/>
        <v/>
      </c>
      <c r="CL42" s="117" t="str">
        <f t="shared" si="64"/>
        <v/>
      </c>
      <c r="CM42" s="117" t="str">
        <f t="shared" si="65"/>
        <v/>
      </c>
      <c r="CN42" s="117" t="str">
        <f t="shared" si="66"/>
        <v/>
      </c>
      <c r="CO42" s="121">
        <f t="shared" si="41"/>
        <v>42016</v>
      </c>
      <c r="CP42" s="117"/>
      <c r="CQ42" s="121">
        <f t="shared" si="42"/>
        <v>42016</v>
      </c>
      <c r="CR42" s="117"/>
      <c r="CS42" s="121">
        <f t="shared" si="43"/>
        <v>42058</v>
      </c>
      <c r="CT42" s="121">
        <f t="shared" si="44"/>
        <v>42072</v>
      </c>
      <c r="CU42" s="121">
        <f t="shared" si="45"/>
        <v>42044</v>
      </c>
      <c r="CV42" s="117"/>
      <c r="CW42" s="121">
        <f t="shared" si="46"/>
        <v>42058</v>
      </c>
      <c r="CX42" s="117"/>
      <c r="CY42" s="121">
        <f t="shared" si="47"/>
        <v>42065</v>
      </c>
      <c r="CZ42" s="117"/>
      <c r="DA42" s="121">
        <f t="shared" si="48"/>
        <v>42072</v>
      </c>
      <c r="DB42" s="121">
        <f t="shared" si="49"/>
        <v>42121</v>
      </c>
      <c r="DC42" s="121">
        <f t="shared" si="50"/>
        <v>42121</v>
      </c>
      <c r="DD42" s="117"/>
      <c r="DE42" s="125">
        <f t="shared" si="51"/>
        <v>41943</v>
      </c>
      <c r="DF42" s="124"/>
      <c r="DG42" s="125">
        <f t="shared" si="35"/>
        <v>41943</v>
      </c>
      <c r="DH42" s="124"/>
      <c r="DI42" s="125">
        <f t="shared" si="52"/>
        <v>42003</v>
      </c>
      <c r="DJ42" s="124"/>
      <c r="DK42" s="125">
        <f t="shared" si="53"/>
        <v>41988</v>
      </c>
      <c r="DL42" s="124"/>
      <c r="DM42" s="117"/>
      <c r="DN42" s="124"/>
      <c r="DO42" s="117"/>
      <c r="DX42" s="41"/>
      <c r="DY42" s="41" t="s">
        <v>22</v>
      </c>
      <c r="DZ42" s="41" t="s">
        <v>41</v>
      </c>
      <c r="EA42" s="41"/>
      <c r="EB42" s="41"/>
      <c r="EC42" s="41"/>
      <c r="ED42" s="41"/>
      <c r="EE42" s="41" t="s">
        <v>246</v>
      </c>
      <c r="EG42" s="41" t="s">
        <v>131</v>
      </c>
      <c r="EI42" t="s">
        <v>277</v>
      </c>
      <c r="EJ42" t="s">
        <v>280</v>
      </c>
      <c r="EK42" t="s">
        <v>282</v>
      </c>
    </row>
    <row r="43" spans="1:141" ht="16.5" thickBot="1">
      <c r="A43" s="25" t="s">
        <v>98</v>
      </c>
      <c r="B43" s="57">
        <f>jalons!B43</f>
        <v>0</v>
      </c>
      <c r="C43" s="57">
        <f>jalons!C43</f>
        <v>0</v>
      </c>
      <c r="D43" s="82" t="s">
        <v>253</v>
      </c>
      <c r="E43" s="9">
        <f>IF($A43="","",INDEX(jalons!$A$7:$K$125,MATCH('Suivi livrables'!$A43,jalons!$A$7:$A$125,0),4))</f>
        <v>41918</v>
      </c>
      <c r="F43" s="10">
        <f>IF($A43="","",INDEX(jalons!$A$7:$K$125,MATCH('Suivi livrables'!$A43,jalons!$A$7:$A$125,0),5))</f>
        <v>42067</v>
      </c>
      <c r="G43" s="10">
        <f>IF($A43="","",INDEX(jalons!$A$7:$K$125,MATCH('Suivi livrables'!$A43,jalons!$A$7:$A$125,0),6))</f>
        <v>42269</v>
      </c>
      <c r="H43" s="10">
        <f>IF($A43="","",INDEX(jalons!$A$7:$K$125,MATCH('Suivi livrables'!$A43,jalons!$A$7:$A$125,0),7))</f>
        <v>42454</v>
      </c>
      <c r="I43" s="10">
        <f>IF($A43="","",INDEX(jalons!$A$7:$K$125,MATCH('Suivi livrables'!$A43,jalons!$A$7:$A$125,0),8))</f>
        <v>42500</v>
      </c>
      <c r="J43" s="10">
        <f>IF($A43="","",INDEX(jalons!$A$7:$K$125,MATCH('Suivi livrables'!$A43,jalons!$A$7:$A$125,0),9))</f>
        <v>42538</v>
      </c>
      <c r="K43" s="10">
        <f>IF($A43="","",INDEX(jalons!$A$7:$K$125,MATCH('Suivi livrables'!$A43,jalons!$A$7:$A$125,0),10))</f>
        <v>42365</v>
      </c>
      <c r="L43" s="10">
        <f>IF($A43="","",INDEX(jalons!$A$7:$K$125,MATCH('Suivi livrables'!$A43,jalons!$A$7:$A$125,0),11))</f>
        <v>42341</v>
      </c>
      <c r="M43" s="14"/>
      <c r="N43" s="47"/>
      <c r="O43" s="47" t="s">
        <v>71</v>
      </c>
      <c r="P43" s="48"/>
      <c r="Q43" s="48" t="s">
        <v>71</v>
      </c>
      <c r="R43" s="48"/>
      <c r="S43" s="48"/>
      <c r="T43" s="48"/>
      <c r="U43" s="48" t="s">
        <v>71</v>
      </c>
      <c r="V43" s="48"/>
      <c r="W43" s="48"/>
      <c r="X43" s="48"/>
      <c r="Y43" s="48"/>
      <c r="Z43" s="48"/>
      <c r="AA43" s="48"/>
      <c r="AB43" s="93"/>
      <c r="AC43" s="48"/>
      <c r="AD43" s="127"/>
      <c r="AE43" s="132"/>
      <c r="AF43" s="48"/>
      <c r="AG43" s="48"/>
      <c r="AH43" s="48"/>
      <c r="AI43" s="48"/>
      <c r="AJ43" s="48"/>
      <c r="AK43" s="48"/>
      <c r="AL43" s="48"/>
      <c r="AM43" s="48"/>
      <c r="AN43" s="132"/>
      <c r="AO43" s="133"/>
      <c r="AP43" s="132"/>
      <c r="AQ43" s="132"/>
      <c r="AR43" s="133"/>
      <c r="AS43" s="132"/>
      <c r="AT43" s="132"/>
      <c r="AU43" s="139"/>
      <c r="AV43" s="139"/>
      <c r="AW43" s="132"/>
      <c r="AX43" s="139"/>
      <c r="AY43" s="139"/>
      <c r="AZ43" s="132"/>
      <c r="BA43" s="139"/>
      <c r="BB43" s="139"/>
      <c r="BC43" s="139"/>
      <c r="BD43" s="139"/>
      <c r="BE43" s="133"/>
      <c r="BF43" s="47"/>
      <c r="BG43" s="93"/>
      <c r="BH43" s="96">
        <f t="shared" si="36"/>
        <v>42192</v>
      </c>
      <c r="BI43" s="117"/>
      <c r="BJ43" s="119">
        <f t="shared" si="37"/>
        <v>42248</v>
      </c>
      <c r="BK43" s="117"/>
      <c r="BL43" s="121" t="str">
        <f t="shared" si="38"/>
        <v>N/A</v>
      </c>
      <c r="BM43" s="121" t="str">
        <f>IF(G43=0,0,IF('Suivi livrables'!BE43="ZSFR",IF(G43-F43&lt;90,F43+7,G43-90),"N/A"))</f>
        <v>N/A</v>
      </c>
      <c r="BN43" s="117"/>
      <c r="BO43" s="121" t="str">
        <f>IF(G43=0,0,IF('Suivi livrables'!BE43="ZSFR",IF(L43=0,I43-45,L43-4),"N/A"))</f>
        <v>N/A</v>
      </c>
      <c r="BP43" s="117"/>
      <c r="BQ43" s="121">
        <f t="shared" si="39"/>
        <v>42192</v>
      </c>
      <c r="BR43" s="121">
        <f t="shared" si="40"/>
        <v>42262</v>
      </c>
      <c r="BS43" s="117"/>
      <c r="BT43" s="121" t="str">
        <f>IF(G43=0,0,IF(AND('Suivi livrables'!P43=0,'Suivi livrables'!R43=0,'Suivi livrables'!T43=0,'Suivi livrables'!V43=0,'Suivi livrables'!X43=0,'Suivi livrables'!AD43=0),"N/A",#REF!-77))</f>
        <v>N/A</v>
      </c>
      <c r="BU43" s="121" t="str">
        <f>IF(G43=0,0,IF(AND('Suivi livrables'!P43=0,'Suivi livrables'!R43=0,'Suivi livrables'!T43=0,'Suivi livrables'!V43=0,'Suivi livrables'!X43=0,'Suivi livrables'!AD43=0),"N/A",#REF!-21))</f>
        <v>N/A</v>
      </c>
      <c r="BV43" s="117"/>
      <c r="BW43" s="97"/>
      <c r="BX43" s="102"/>
      <c r="BY43" s="117" t="str">
        <f t="shared" si="54"/>
        <v>Greiner</v>
      </c>
      <c r="BZ43" s="117" t="str">
        <f t="shared" si="55"/>
        <v/>
      </c>
      <c r="CA43" s="117" t="str">
        <f t="shared" si="56"/>
        <v>Greiner</v>
      </c>
      <c r="CB43" s="117" t="str">
        <f t="shared" si="57"/>
        <v/>
      </c>
      <c r="CC43" s="117" t="str">
        <f t="shared" si="58"/>
        <v/>
      </c>
      <c r="CD43" s="117" t="str">
        <f t="shared" si="59"/>
        <v/>
      </c>
      <c r="CE43" s="117" t="str">
        <f t="shared" si="60"/>
        <v>Greiner</v>
      </c>
      <c r="CF43" s="117" t="str">
        <f t="shared" si="61"/>
        <v/>
      </c>
      <c r="CG43" s="117" t="str">
        <f t="shared" si="62"/>
        <v/>
      </c>
      <c r="CH43" s="117" t="str">
        <f t="shared" si="63"/>
        <v/>
      </c>
      <c r="CI43" s="117" t="str">
        <f t="shared" si="29"/>
        <v/>
      </c>
      <c r="CJ43" s="117" t="str">
        <f t="shared" si="30"/>
        <v/>
      </c>
      <c r="CK43" s="117" t="str">
        <f t="shared" si="31"/>
        <v/>
      </c>
      <c r="CL43" s="117" t="str">
        <f t="shared" si="64"/>
        <v/>
      </c>
      <c r="CM43" s="117" t="str">
        <f t="shared" si="65"/>
        <v/>
      </c>
      <c r="CN43" s="117" t="str">
        <f t="shared" si="66"/>
        <v/>
      </c>
      <c r="CO43" s="121">
        <f t="shared" si="41"/>
        <v>42192</v>
      </c>
      <c r="CP43" s="117"/>
      <c r="CQ43" s="121">
        <f t="shared" si="42"/>
        <v>42192</v>
      </c>
      <c r="CR43" s="117"/>
      <c r="CS43" s="121">
        <f t="shared" si="43"/>
        <v>42234</v>
      </c>
      <c r="CT43" s="121">
        <f t="shared" si="44"/>
        <v>42248</v>
      </c>
      <c r="CU43" s="121">
        <f t="shared" si="45"/>
        <v>42220</v>
      </c>
      <c r="CV43" s="117"/>
      <c r="CW43" s="121">
        <f t="shared" si="46"/>
        <v>42234</v>
      </c>
      <c r="CX43" s="117"/>
      <c r="CY43" s="121">
        <f t="shared" si="47"/>
        <v>42241</v>
      </c>
      <c r="CZ43" s="117"/>
      <c r="DA43" s="121">
        <f t="shared" si="48"/>
        <v>42248</v>
      </c>
      <c r="DB43" s="121">
        <f t="shared" si="49"/>
        <v>42297</v>
      </c>
      <c r="DC43" s="121">
        <f t="shared" si="50"/>
        <v>42297</v>
      </c>
      <c r="DD43" s="117"/>
      <c r="DE43" s="125">
        <f t="shared" si="51"/>
        <v>42119</v>
      </c>
      <c r="DF43" s="124"/>
      <c r="DG43" s="125">
        <f t="shared" si="35"/>
        <v>42119</v>
      </c>
      <c r="DH43" s="124"/>
      <c r="DI43" s="125">
        <f t="shared" si="52"/>
        <v>42179</v>
      </c>
      <c r="DJ43" s="124"/>
      <c r="DK43" s="125">
        <f t="shared" si="53"/>
        <v>42164</v>
      </c>
      <c r="DL43" s="124"/>
      <c r="DM43" s="117"/>
      <c r="DN43" s="124"/>
      <c r="DO43" s="117"/>
      <c r="DX43" s="41"/>
      <c r="DY43" s="41" t="s">
        <v>37</v>
      </c>
      <c r="DZ43" s="41"/>
      <c r="EA43" s="41"/>
      <c r="EB43" s="41"/>
      <c r="EC43" s="41"/>
      <c r="ED43" s="41"/>
      <c r="EE43" s="41" t="s">
        <v>210</v>
      </c>
      <c r="EG43" s="41" t="s">
        <v>132</v>
      </c>
      <c r="EI43" t="s">
        <v>41</v>
      </c>
      <c r="EJ43" t="s">
        <v>281</v>
      </c>
      <c r="EK43" t="s">
        <v>279</v>
      </c>
    </row>
    <row r="44" spans="1:141" ht="16.5" thickBot="1">
      <c r="A44" s="13" t="s">
        <v>188</v>
      </c>
      <c r="B44" s="57">
        <f>jalons!B44</f>
        <v>0</v>
      </c>
      <c r="C44" s="57">
        <f>jalons!C44</f>
        <v>0</v>
      </c>
      <c r="D44" s="83" t="s">
        <v>253</v>
      </c>
      <c r="E44" s="9">
        <f>IF($A44="","",INDEX(jalons!$A$7:$K$125,MATCH('Suivi livrables'!$A44,jalons!$A$7:$A$125,0),4))</f>
        <v>42171</v>
      </c>
      <c r="F44" s="10">
        <f>IF($A44="","",INDEX(jalons!$A$7:$K$125,MATCH('Suivi livrables'!$A44,jalons!$A$7:$A$125,0),5))</f>
        <v>42277</v>
      </c>
      <c r="G44" s="10">
        <f>IF($A44="","",INDEX(jalons!$A$7:$K$125,MATCH('Suivi livrables'!$A44,jalons!$A$7:$A$125,0),6))</f>
        <v>42352</v>
      </c>
      <c r="H44" s="10">
        <f>IF($A44="","",INDEX(jalons!$A$7:$K$125,MATCH('Suivi livrables'!$A44,jalons!$A$7:$A$125,0),7))</f>
        <v>42431</v>
      </c>
      <c r="I44" s="10">
        <f>IF($A44="","",INDEX(jalons!$A$7:$K$125,MATCH('Suivi livrables'!$A44,jalons!$A$7:$A$125,0),8))</f>
        <v>42461</v>
      </c>
      <c r="J44" s="10">
        <f>IF($A44="","",INDEX(jalons!$A$7:$K$125,MATCH('Suivi livrables'!$A44,jalons!$A$7:$A$125,0),9))</f>
        <v>42551</v>
      </c>
      <c r="K44" s="10">
        <f>IF($A44="","",INDEX(jalons!$A$7:$K$125,MATCH('Suivi livrables'!$A44,jalons!$A$7:$A$125,0),10))</f>
        <v>42416</v>
      </c>
      <c r="L44" s="10">
        <f>IF($A44="","",INDEX(jalons!$A$7:$K$125,MATCH('Suivi livrables'!$A44,jalons!$A$7:$A$125,0),11))</f>
        <v>42371</v>
      </c>
      <c r="M44" s="14"/>
      <c r="N44" s="47"/>
      <c r="O44" s="47"/>
      <c r="P44" s="48"/>
      <c r="Q44" s="48"/>
      <c r="R44" s="48"/>
      <c r="S44" s="48"/>
      <c r="T44" s="48"/>
      <c r="U44" s="48"/>
      <c r="V44" s="48"/>
      <c r="W44" s="48"/>
      <c r="X44" s="48"/>
      <c r="Y44" s="48"/>
      <c r="Z44" s="48"/>
      <c r="AA44" s="48"/>
      <c r="AB44" s="93"/>
      <c r="AC44" s="48"/>
      <c r="AD44" s="127"/>
      <c r="AE44" s="132"/>
      <c r="AF44" s="48"/>
      <c r="AG44" s="48"/>
      <c r="AH44" s="48"/>
      <c r="AI44" s="48"/>
      <c r="AJ44" s="48"/>
      <c r="AK44" s="48"/>
      <c r="AL44" s="48"/>
      <c r="AM44" s="48"/>
      <c r="AN44" s="132"/>
      <c r="AO44" s="133"/>
      <c r="AP44" s="132"/>
      <c r="AQ44" s="132"/>
      <c r="AR44" s="133"/>
      <c r="AS44" s="132"/>
      <c r="AT44" s="132"/>
      <c r="AU44" s="139"/>
      <c r="AV44" s="139"/>
      <c r="AW44" s="132"/>
      <c r="AX44" s="139"/>
      <c r="AY44" s="139"/>
      <c r="AZ44" s="132"/>
      <c r="BA44" s="139"/>
      <c r="BB44" s="139"/>
      <c r="BC44" s="139"/>
      <c r="BD44" s="139"/>
      <c r="BE44" s="133"/>
      <c r="BF44" s="47"/>
      <c r="BG44" s="93"/>
      <c r="BH44" s="96">
        <f t="shared" si="36"/>
        <v>42275</v>
      </c>
      <c r="BI44" s="117"/>
      <c r="BJ44" s="119">
        <f t="shared" si="37"/>
        <v>42331</v>
      </c>
      <c r="BK44" s="117"/>
      <c r="BL44" s="121" t="str">
        <f t="shared" si="38"/>
        <v>N/A</v>
      </c>
      <c r="BM44" s="121" t="str">
        <f>IF(G44=0,0,IF('Suivi livrables'!BE44="ZSFR",IF(G44-F44&lt;90,F44+7,G44-90),"N/A"))</f>
        <v>N/A</v>
      </c>
      <c r="BN44" s="117"/>
      <c r="BO44" s="121" t="str">
        <f>IF(G44=0,0,IF('Suivi livrables'!BE44="ZSFR",IF(L44=0,I44-45,L44-4),"N/A"))</f>
        <v>N/A</v>
      </c>
      <c r="BP44" s="117"/>
      <c r="BQ44" s="121">
        <f t="shared" si="39"/>
        <v>42275</v>
      </c>
      <c r="BR44" s="121">
        <f t="shared" si="40"/>
        <v>42345</v>
      </c>
      <c r="BS44" s="117"/>
      <c r="BT44" s="121" t="str">
        <f>IF(G44=0,0,IF(AND('Suivi livrables'!P44=0,'Suivi livrables'!R44=0,'Suivi livrables'!T44=0,'Suivi livrables'!V44=0,'Suivi livrables'!X44=0,'Suivi livrables'!AD44=0),"N/A",#REF!-77))</f>
        <v>N/A</v>
      </c>
      <c r="BU44" s="121" t="str">
        <f>IF(G44=0,0,IF(AND('Suivi livrables'!P44=0,'Suivi livrables'!R44=0,'Suivi livrables'!T44=0,'Suivi livrables'!V44=0,'Suivi livrables'!X44=0,'Suivi livrables'!AD44=0),"N/A",#REF!-21))</f>
        <v>N/A</v>
      </c>
      <c r="BV44" s="117"/>
      <c r="BW44" s="97"/>
      <c r="BX44" s="102"/>
      <c r="BY44" s="117" t="str">
        <f t="shared" si="54"/>
        <v/>
      </c>
      <c r="BZ44" s="117" t="str">
        <f t="shared" si="55"/>
        <v/>
      </c>
      <c r="CA44" s="117" t="str">
        <f t="shared" si="56"/>
        <v/>
      </c>
      <c r="CB44" s="117" t="str">
        <f t="shared" si="57"/>
        <v/>
      </c>
      <c r="CC44" s="117" t="str">
        <f t="shared" si="58"/>
        <v/>
      </c>
      <c r="CD44" s="117" t="str">
        <f t="shared" si="59"/>
        <v/>
      </c>
      <c r="CE44" s="117" t="str">
        <f t="shared" si="60"/>
        <v/>
      </c>
      <c r="CF44" s="117" t="str">
        <f t="shared" si="61"/>
        <v/>
      </c>
      <c r="CG44" s="117" t="str">
        <f t="shared" si="62"/>
        <v/>
      </c>
      <c r="CH44" s="117" t="str">
        <f t="shared" si="63"/>
        <v/>
      </c>
      <c r="CI44" s="117" t="str">
        <f t="shared" si="29"/>
        <v/>
      </c>
      <c r="CJ44" s="117" t="str">
        <f t="shared" si="30"/>
        <v/>
      </c>
      <c r="CK44" s="117" t="str">
        <f t="shared" si="31"/>
        <v/>
      </c>
      <c r="CL44" s="117" t="str">
        <f t="shared" si="64"/>
        <v/>
      </c>
      <c r="CM44" s="117" t="str">
        <f t="shared" si="65"/>
        <v/>
      </c>
      <c r="CN44" s="117" t="str">
        <f t="shared" si="66"/>
        <v/>
      </c>
      <c r="CO44" s="121">
        <f t="shared" si="41"/>
        <v>42275</v>
      </c>
      <c r="CP44" s="117"/>
      <c r="CQ44" s="121">
        <f t="shared" si="42"/>
        <v>42275</v>
      </c>
      <c r="CR44" s="117"/>
      <c r="CS44" s="121">
        <f t="shared" si="43"/>
        <v>42317</v>
      </c>
      <c r="CT44" s="121">
        <f t="shared" si="44"/>
        <v>42331</v>
      </c>
      <c r="CU44" s="121">
        <f t="shared" si="45"/>
        <v>42303</v>
      </c>
      <c r="CV44" s="117"/>
      <c r="CW44" s="121">
        <f t="shared" si="46"/>
        <v>42317</v>
      </c>
      <c r="CX44" s="117"/>
      <c r="CY44" s="121">
        <f t="shared" si="47"/>
        <v>42324</v>
      </c>
      <c r="CZ44" s="117"/>
      <c r="DA44" s="121">
        <f t="shared" si="48"/>
        <v>42331</v>
      </c>
      <c r="DB44" s="121">
        <f t="shared" si="49"/>
        <v>42380</v>
      </c>
      <c r="DC44" s="121">
        <f t="shared" si="50"/>
        <v>42380</v>
      </c>
      <c r="DD44" s="117"/>
      <c r="DE44" s="125">
        <f t="shared" si="51"/>
        <v>42232</v>
      </c>
      <c r="DF44" s="124"/>
      <c r="DG44" s="125">
        <f t="shared" si="35"/>
        <v>42232</v>
      </c>
      <c r="DH44" s="124"/>
      <c r="DI44" s="125">
        <f t="shared" si="52"/>
        <v>42292</v>
      </c>
      <c r="DJ44" s="124"/>
      <c r="DK44" s="125">
        <f t="shared" si="53"/>
        <v>42277</v>
      </c>
      <c r="DL44" s="124"/>
      <c r="DM44" s="117"/>
      <c r="DN44" s="124"/>
      <c r="DO44" s="117"/>
      <c r="DX44" s="41"/>
      <c r="DY44" s="41" t="s">
        <v>41</v>
      </c>
      <c r="DZ44" s="41"/>
      <c r="EA44" s="41"/>
      <c r="EB44" s="41"/>
      <c r="EC44" s="41"/>
      <c r="ED44" s="41"/>
      <c r="EE44" s="41" t="s">
        <v>182</v>
      </c>
      <c r="EG44" s="41" t="s">
        <v>41</v>
      </c>
      <c r="EJ44" t="s">
        <v>282</v>
      </c>
      <c r="EK44" t="s">
        <v>295</v>
      </c>
    </row>
    <row r="45" spans="1:141" ht="16.5" thickBot="1">
      <c r="A45" s="25" t="s">
        <v>34</v>
      </c>
      <c r="B45" s="57" t="str">
        <f>jalons!B45</f>
        <v>SAS</v>
      </c>
      <c r="C45" s="57" t="str">
        <f>jalons!C45</f>
        <v>A330/A340</v>
      </c>
      <c r="D45" s="82" t="s">
        <v>253</v>
      </c>
      <c r="E45" s="9">
        <f>IF($A45="","",INDEX(jalons!$A$7:$K$125,MATCH('Suivi livrables'!$A45,jalons!$A$7:$A$125,0),4))</f>
        <v>41591</v>
      </c>
      <c r="F45" s="10">
        <f>IF($A45="","",INDEX(jalons!$A$7:$K$125,MATCH('Suivi livrables'!$A45,jalons!$A$7:$A$125,0),5))</f>
        <v>41702</v>
      </c>
      <c r="G45" s="10">
        <f>IF($A45="","",INDEX(jalons!$A$7:$K$125,MATCH('Suivi livrables'!$A45,jalons!$A$7:$A$125,0),6))</f>
        <v>41787</v>
      </c>
      <c r="H45" s="10">
        <f>IF($A45="","",INDEX(jalons!$A$7:$K$125,MATCH('Suivi livrables'!$A45,jalons!$A$7:$A$125,0),7))</f>
        <v>42051</v>
      </c>
      <c r="I45" s="10">
        <f>IF($A45="","",INDEX(jalons!$A$7:$K$125,MATCH('Suivi livrables'!$A45,jalons!$A$7:$A$125,0),8))</f>
        <v>42058</v>
      </c>
      <c r="J45" s="10">
        <f>IF($A45="","",INDEX(jalons!$A$7:$K$125,MATCH('Suivi livrables'!$A45,jalons!$A$7:$A$125,0),9))</f>
        <v>42128</v>
      </c>
      <c r="K45" s="10">
        <f>IF($A45="","",INDEX(jalons!$A$7:$K$125,MATCH('Suivi livrables'!$A45,jalons!$A$7:$A$125,0),10))</f>
        <v>42019</v>
      </c>
      <c r="L45" s="10">
        <f>IF($A45="","",INDEX(jalons!$A$7:$K$125,MATCH('Suivi livrables'!$A45,jalons!$A$7:$A$125,0),11))</f>
        <v>41844</v>
      </c>
      <c r="M45" s="14"/>
      <c r="N45" s="47" t="s">
        <v>41</v>
      </c>
      <c r="O45" s="47"/>
      <c r="P45" s="48"/>
      <c r="Q45" s="48"/>
      <c r="R45" s="48"/>
      <c r="S45" s="48"/>
      <c r="T45" s="48"/>
      <c r="U45" s="48"/>
      <c r="V45" s="48"/>
      <c r="W45" s="48"/>
      <c r="X45" s="48"/>
      <c r="Y45" s="48"/>
      <c r="Z45" s="48"/>
      <c r="AA45" s="48"/>
      <c r="AB45" s="93"/>
      <c r="AC45" s="48"/>
      <c r="AD45" s="127"/>
      <c r="AE45" s="132"/>
      <c r="AF45" s="48"/>
      <c r="AG45" s="48"/>
      <c r="AH45" s="48"/>
      <c r="AI45" s="48"/>
      <c r="AJ45" s="48"/>
      <c r="AK45" s="48"/>
      <c r="AL45" s="48"/>
      <c r="AM45" s="48"/>
      <c r="AN45" s="132"/>
      <c r="AO45" s="133"/>
      <c r="AP45" s="132"/>
      <c r="AQ45" s="132"/>
      <c r="AR45" s="133"/>
      <c r="AS45" s="132"/>
      <c r="AT45" s="132"/>
      <c r="AU45" s="139"/>
      <c r="AV45" s="139"/>
      <c r="AW45" s="132"/>
      <c r="AX45" s="139"/>
      <c r="AY45" s="139"/>
      <c r="AZ45" s="132"/>
      <c r="BA45" s="139"/>
      <c r="BB45" s="139"/>
      <c r="BC45" s="139"/>
      <c r="BD45" s="139"/>
      <c r="BE45" s="133"/>
      <c r="BF45" s="47"/>
      <c r="BG45" s="93"/>
      <c r="BH45" s="96">
        <f t="shared" si="36"/>
        <v>41710</v>
      </c>
      <c r="BI45" s="117"/>
      <c r="BJ45" s="119">
        <f t="shared" si="37"/>
        <v>41766</v>
      </c>
      <c r="BK45" s="117"/>
      <c r="BL45" s="121" t="str">
        <f t="shared" si="38"/>
        <v>N/A</v>
      </c>
      <c r="BM45" s="121" t="str">
        <f>IF(G45=0,0,IF('Suivi livrables'!BE45="ZSFR",IF(G45-F45&lt;90,F45+7,G45-90),"N/A"))</f>
        <v>N/A</v>
      </c>
      <c r="BN45" s="117"/>
      <c r="BO45" s="121" t="str">
        <f>IF(G45=0,0,IF('Suivi livrables'!BE45="ZSFR",IF(L45=0,I45-45,L45-4),"N/A"))</f>
        <v>N/A</v>
      </c>
      <c r="BP45" s="117"/>
      <c r="BQ45" s="121">
        <f t="shared" si="39"/>
        <v>41710</v>
      </c>
      <c r="BR45" s="121">
        <f t="shared" si="40"/>
        <v>41780</v>
      </c>
      <c r="BS45" s="117"/>
      <c r="BT45" s="121" t="str">
        <f>IF(G45=0,0,IF(AND('Suivi livrables'!P45=0,'Suivi livrables'!R45=0,'Suivi livrables'!T45=0,'Suivi livrables'!V45=0,'Suivi livrables'!X45=0,'Suivi livrables'!AD45=0),"N/A",#REF!-77))</f>
        <v>N/A</v>
      </c>
      <c r="BU45" s="121" t="str">
        <f>IF(G45=0,0,IF(AND('Suivi livrables'!P45=0,'Suivi livrables'!R45=0,'Suivi livrables'!T45=0,'Suivi livrables'!V45=0,'Suivi livrables'!X45=0,'Suivi livrables'!AD45=0),"N/A",#REF!-21))</f>
        <v>N/A</v>
      </c>
      <c r="BV45" s="117"/>
      <c r="BW45" s="97"/>
      <c r="BX45" s="102"/>
      <c r="BY45" s="117" t="str">
        <f t="shared" si="54"/>
        <v/>
      </c>
      <c r="BZ45" s="117" t="str">
        <f t="shared" si="55"/>
        <v/>
      </c>
      <c r="CA45" s="117" t="str">
        <f t="shared" si="56"/>
        <v/>
      </c>
      <c r="CB45" s="117" t="str">
        <f t="shared" si="57"/>
        <v/>
      </c>
      <c r="CC45" s="117" t="str">
        <f t="shared" si="58"/>
        <v/>
      </c>
      <c r="CD45" s="117" t="str">
        <f t="shared" si="59"/>
        <v/>
      </c>
      <c r="CE45" s="117" t="str">
        <f t="shared" si="60"/>
        <v/>
      </c>
      <c r="CF45" s="117" t="str">
        <f t="shared" si="61"/>
        <v/>
      </c>
      <c r="CG45" s="117" t="str">
        <f t="shared" si="62"/>
        <v/>
      </c>
      <c r="CH45" s="117" t="str">
        <f t="shared" si="63"/>
        <v/>
      </c>
      <c r="CI45" s="117" t="str">
        <f t="shared" si="29"/>
        <v/>
      </c>
      <c r="CJ45" s="117" t="str">
        <f t="shared" si="30"/>
        <v/>
      </c>
      <c r="CK45" s="117" t="str">
        <f t="shared" si="31"/>
        <v/>
      </c>
      <c r="CL45" s="117" t="str">
        <f t="shared" si="64"/>
        <v/>
      </c>
      <c r="CM45" s="117" t="str">
        <f t="shared" si="65"/>
        <v/>
      </c>
      <c r="CN45" s="117" t="str">
        <f t="shared" si="66"/>
        <v/>
      </c>
      <c r="CO45" s="121">
        <f t="shared" si="41"/>
        <v>41710</v>
      </c>
      <c r="CP45" s="117"/>
      <c r="CQ45" s="121">
        <f t="shared" si="42"/>
        <v>41710</v>
      </c>
      <c r="CR45" s="117"/>
      <c r="CS45" s="121">
        <f t="shared" si="43"/>
        <v>41752</v>
      </c>
      <c r="CT45" s="121">
        <f t="shared" si="44"/>
        <v>41766</v>
      </c>
      <c r="CU45" s="121">
        <f t="shared" si="45"/>
        <v>41738</v>
      </c>
      <c r="CV45" s="117"/>
      <c r="CW45" s="121">
        <f t="shared" si="46"/>
        <v>41752</v>
      </c>
      <c r="CX45" s="117"/>
      <c r="CY45" s="121">
        <f t="shared" si="47"/>
        <v>41759</v>
      </c>
      <c r="CZ45" s="117"/>
      <c r="DA45" s="121">
        <f t="shared" si="48"/>
        <v>41766</v>
      </c>
      <c r="DB45" s="121">
        <f t="shared" si="49"/>
        <v>41815</v>
      </c>
      <c r="DC45" s="121">
        <f t="shared" si="50"/>
        <v>41815</v>
      </c>
      <c r="DD45" s="117"/>
      <c r="DE45" s="125">
        <f t="shared" si="51"/>
        <v>41657</v>
      </c>
      <c r="DF45" s="124"/>
      <c r="DG45" s="125">
        <f t="shared" si="35"/>
        <v>41657</v>
      </c>
      <c r="DH45" s="124"/>
      <c r="DI45" s="125">
        <f t="shared" si="52"/>
        <v>41717</v>
      </c>
      <c r="DJ45" s="124"/>
      <c r="DK45" s="125">
        <f t="shared" si="53"/>
        <v>41702</v>
      </c>
      <c r="DL45" s="124"/>
      <c r="DM45" s="117"/>
      <c r="DN45" s="124"/>
      <c r="DO45" s="117"/>
      <c r="DX45" s="41"/>
      <c r="DY45" s="41" t="s">
        <v>36</v>
      </c>
      <c r="DZ45" s="41"/>
      <c r="EA45" s="41"/>
      <c r="EB45" s="41"/>
      <c r="EC45" s="41"/>
      <c r="ED45" s="41"/>
      <c r="EE45" s="41" t="s">
        <v>249</v>
      </c>
      <c r="EG45" s="41" t="s">
        <v>148</v>
      </c>
      <c r="EJ45" t="s">
        <v>283</v>
      </c>
      <c r="EK45" t="s">
        <v>283</v>
      </c>
    </row>
    <row r="46" spans="1:141" ht="16.5" thickBot="1">
      <c r="A46" s="25" t="s">
        <v>82</v>
      </c>
      <c r="B46" s="57" t="str">
        <f>jalons!B46</f>
        <v>Air Algérie</v>
      </c>
      <c r="C46" s="57" t="str">
        <f>jalons!C46</f>
        <v>A330-200</v>
      </c>
      <c r="D46" s="82" t="s">
        <v>253</v>
      </c>
      <c r="E46" s="9">
        <f>IF($A46="","",INDEX(jalons!$A$7:$K$125,MATCH('Suivi livrables'!$A46,jalons!$A$7:$A$125,0),4))</f>
        <v>41661</v>
      </c>
      <c r="F46" s="10">
        <f>IF($A46="","",INDEX(jalons!$A$7:$K$125,MATCH('Suivi livrables'!$A46,jalons!$A$7:$A$125,0),5))</f>
        <v>41732</v>
      </c>
      <c r="G46" s="10">
        <f>IF($A46="","",INDEX(jalons!$A$7:$K$125,MATCH('Suivi livrables'!$A46,jalons!$A$7:$A$125,0),6))</f>
        <v>41779</v>
      </c>
      <c r="H46" s="10">
        <f>IF($A46="","",INDEX(jalons!$A$7:$K$125,MATCH('Suivi livrables'!$A46,jalons!$A$7:$A$125,0),7))</f>
        <v>41915</v>
      </c>
      <c r="I46" s="10">
        <f>IF($A46="","",INDEX(jalons!$A$7:$K$125,MATCH('Suivi livrables'!$A46,jalons!$A$7:$A$125,0),8))</f>
        <v>41919</v>
      </c>
      <c r="J46" s="10">
        <f>IF($A46="","",INDEX(jalons!$A$7:$K$125,MATCH('Suivi livrables'!$A46,jalons!$A$7:$A$125,0),9))</f>
        <v>41976</v>
      </c>
      <c r="K46" s="10">
        <f>IF($A46="","",INDEX(jalons!$A$7:$K$125,MATCH('Suivi livrables'!$A46,jalons!$A$7:$A$125,0),10))</f>
        <v>41850</v>
      </c>
      <c r="L46" s="10" t="str">
        <f>IF($A46="","",INDEX(jalons!$A$7:$K$125,MATCH('Suivi livrables'!$A46,jalons!$A$7:$A$125,0),11))</f>
        <v>manque date</v>
      </c>
      <c r="M46" s="14"/>
      <c r="N46" s="47" t="s">
        <v>41</v>
      </c>
      <c r="O46" s="51"/>
      <c r="P46" s="48"/>
      <c r="Q46" s="48"/>
      <c r="R46" s="52"/>
      <c r="S46" s="48"/>
      <c r="T46" s="48"/>
      <c r="U46" s="48"/>
      <c r="V46" s="48"/>
      <c r="W46" s="48"/>
      <c r="X46" s="48"/>
      <c r="Y46" s="48"/>
      <c r="Z46" s="48"/>
      <c r="AA46" s="48"/>
      <c r="AB46" s="93"/>
      <c r="AC46" s="48"/>
      <c r="AD46" s="127"/>
      <c r="AE46" s="132"/>
      <c r="AF46" s="48"/>
      <c r="AG46" s="48"/>
      <c r="AH46" s="48"/>
      <c r="AI46" s="48"/>
      <c r="AJ46" s="48"/>
      <c r="AK46" s="48"/>
      <c r="AL46" s="48"/>
      <c r="AM46" s="48"/>
      <c r="AN46" s="132"/>
      <c r="AO46" s="133"/>
      <c r="AP46" s="132"/>
      <c r="AQ46" s="132"/>
      <c r="AR46" s="133"/>
      <c r="AS46" s="132"/>
      <c r="AT46" s="132"/>
      <c r="AU46" s="139"/>
      <c r="AV46" s="139"/>
      <c r="AW46" s="132"/>
      <c r="AX46" s="139"/>
      <c r="AY46" s="139"/>
      <c r="AZ46" s="132"/>
      <c r="BA46" s="139"/>
      <c r="BB46" s="139"/>
      <c r="BC46" s="139"/>
      <c r="BD46" s="139"/>
      <c r="BE46" s="133"/>
      <c r="BF46" s="51"/>
      <c r="BG46" s="93"/>
      <c r="BH46" s="96">
        <f t="shared" si="36"/>
        <v>41702</v>
      </c>
      <c r="BI46" s="117"/>
      <c r="BJ46" s="119">
        <f t="shared" si="37"/>
        <v>41758</v>
      </c>
      <c r="BK46" s="117"/>
      <c r="BL46" s="121" t="str">
        <f t="shared" si="38"/>
        <v>N/A</v>
      </c>
      <c r="BM46" s="121" t="str">
        <f>IF(G46=0,0,IF('Suivi livrables'!BE46="ZSFR",IF(G46-F46&lt;90,F46+7,G46-90),"N/A"))</f>
        <v>N/A</v>
      </c>
      <c r="BN46" s="117"/>
      <c r="BO46" s="121" t="str">
        <f>IF(G46=0,0,IF('Suivi livrables'!BE46="ZSFR",IF(L46=0,I46-45,L46-4),"N/A"))</f>
        <v>N/A</v>
      </c>
      <c r="BP46" s="117"/>
      <c r="BQ46" s="121">
        <f t="shared" si="39"/>
        <v>41702</v>
      </c>
      <c r="BR46" s="121">
        <f t="shared" si="40"/>
        <v>41772</v>
      </c>
      <c r="BS46" s="117"/>
      <c r="BT46" s="121" t="str">
        <f>IF(G46=0,0,IF(AND('Suivi livrables'!P46=0,'Suivi livrables'!R46=0,'Suivi livrables'!T46=0,'Suivi livrables'!V46=0,'Suivi livrables'!X46=0,'Suivi livrables'!AD46=0),"N/A",#REF!-77))</f>
        <v>N/A</v>
      </c>
      <c r="BU46" s="121" t="str">
        <f>IF(G46=0,0,IF(AND('Suivi livrables'!P46=0,'Suivi livrables'!R46=0,'Suivi livrables'!T46=0,'Suivi livrables'!V46=0,'Suivi livrables'!X46=0,'Suivi livrables'!AD46=0),"N/A",#REF!-21))</f>
        <v>N/A</v>
      </c>
      <c r="BV46" s="117"/>
      <c r="BW46" s="97"/>
      <c r="BX46" s="102"/>
      <c r="BY46" s="117" t="str">
        <f t="shared" si="54"/>
        <v/>
      </c>
      <c r="BZ46" s="117" t="str">
        <f t="shared" si="55"/>
        <v/>
      </c>
      <c r="CA46" s="117" t="str">
        <f t="shared" si="56"/>
        <v/>
      </c>
      <c r="CB46" s="117" t="str">
        <f t="shared" si="57"/>
        <v/>
      </c>
      <c r="CC46" s="117" t="str">
        <f t="shared" si="58"/>
        <v/>
      </c>
      <c r="CD46" s="117" t="str">
        <f t="shared" si="59"/>
        <v/>
      </c>
      <c r="CE46" s="117" t="str">
        <f t="shared" si="60"/>
        <v/>
      </c>
      <c r="CF46" s="117" t="str">
        <f t="shared" si="61"/>
        <v/>
      </c>
      <c r="CG46" s="117" t="str">
        <f t="shared" si="62"/>
        <v/>
      </c>
      <c r="CH46" s="117" t="str">
        <f t="shared" si="63"/>
        <v/>
      </c>
      <c r="CI46" s="117" t="str">
        <f t="shared" si="29"/>
        <v/>
      </c>
      <c r="CJ46" s="117" t="str">
        <f t="shared" si="30"/>
        <v/>
      </c>
      <c r="CK46" s="117" t="str">
        <f t="shared" si="31"/>
        <v/>
      </c>
      <c r="CL46" s="117" t="str">
        <f t="shared" si="64"/>
        <v/>
      </c>
      <c r="CM46" s="117" t="str">
        <f t="shared" si="65"/>
        <v/>
      </c>
      <c r="CN46" s="117" t="str">
        <f t="shared" si="66"/>
        <v/>
      </c>
      <c r="CO46" s="121">
        <f t="shared" si="41"/>
        <v>41702</v>
      </c>
      <c r="CP46" s="117"/>
      <c r="CQ46" s="121">
        <f t="shared" si="42"/>
        <v>41702</v>
      </c>
      <c r="CR46" s="117"/>
      <c r="CS46" s="121">
        <f t="shared" si="43"/>
        <v>41744</v>
      </c>
      <c r="CT46" s="121">
        <f t="shared" si="44"/>
        <v>41758</v>
      </c>
      <c r="CU46" s="121">
        <f t="shared" si="45"/>
        <v>41730</v>
      </c>
      <c r="CV46" s="117"/>
      <c r="CW46" s="121">
        <f t="shared" si="46"/>
        <v>41744</v>
      </c>
      <c r="CX46" s="117"/>
      <c r="CY46" s="121">
        <f t="shared" si="47"/>
        <v>41751</v>
      </c>
      <c r="CZ46" s="117"/>
      <c r="DA46" s="121">
        <f t="shared" si="48"/>
        <v>41758</v>
      </c>
      <c r="DB46" s="121">
        <f t="shared" si="49"/>
        <v>41807</v>
      </c>
      <c r="DC46" s="121">
        <f t="shared" si="50"/>
        <v>41807</v>
      </c>
      <c r="DD46" s="117"/>
      <c r="DE46" s="125">
        <f t="shared" si="51"/>
        <v>41687</v>
      </c>
      <c r="DF46" s="124"/>
      <c r="DG46" s="125">
        <f t="shared" si="35"/>
        <v>41687</v>
      </c>
      <c r="DH46" s="124"/>
      <c r="DI46" s="125">
        <f t="shared" si="52"/>
        <v>41747</v>
      </c>
      <c r="DJ46" s="124"/>
      <c r="DK46" s="125">
        <f t="shared" si="53"/>
        <v>41732</v>
      </c>
      <c r="DL46" s="124"/>
      <c r="DM46" s="117"/>
      <c r="DN46" s="124"/>
      <c r="DO46" s="117"/>
      <c r="DX46" s="41"/>
      <c r="DY46" s="41" t="s">
        <v>23</v>
      </c>
      <c r="DZ46" s="41"/>
      <c r="EA46" s="41"/>
      <c r="EB46" s="41"/>
      <c r="EC46" s="41"/>
      <c r="ED46" s="41"/>
      <c r="EE46" s="41" t="s">
        <v>139</v>
      </c>
      <c r="EG46" s="41"/>
      <c r="EK46" t="s">
        <v>296</v>
      </c>
    </row>
    <row r="47" spans="1:141" ht="16.5" thickBot="1">
      <c r="A47" s="25" t="s">
        <v>83</v>
      </c>
      <c r="B47" s="57" t="str">
        <f>jalons!B47</f>
        <v>Kuwait</v>
      </c>
      <c r="C47" s="57" t="str">
        <f>jalons!C47</f>
        <v>A330-200</v>
      </c>
      <c r="D47" s="82" t="s">
        <v>253</v>
      </c>
      <c r="E47" s="9">
        <f>IF($A47="","",INDEX(jalons!$A$7:$K$125,MATCH('Suivi livrables'!$A47,jalons!$A$7:$A$125,0),4))</f>
        <v>41709</v>
      </c>
      <c r="F47" s="10">
        <f>IF($A47="","",INDEX(jalons!$A$7:$K$125,MATCH('Suivi livrables'!$A47,jalons!$A$7:$A$125,0),5))</f>
        <v>41764</v>
      </c>
      <c r="G47" s="10">
        <f>IF($A47="","",INDEX(jalons!$A$7:$K$125,MATCH('Suivi livrables'!$A47,jalons!$A$7:$A$125,0),6))</f>
        <v>41813</v>
      </c>
      <c r="H47" s="10">
        <f>IF($A47="","",INDEX(jalons!$A$7:$K$125,MATCH('Suivi livrables'!$A47,jalons!$A$7:$A$125,0),7))</f>
        <v>41936</v>
      </c>
      <c r="I47" s="10">
        <f>IF($A47="","",INDEX(jalons!$A$7:$K$125,MATCH('Suivi livrables'!$A47,jalons!$A$7:$A$125,0),8))</f>
        <v>41967</v>
      </c>
      <c r="J47" s="10">
        <f>IF($A47="","",INDEX(jalons!$A$7:$K$125,MATCH('Suivi livrables'!$A47,jalons!$A$7:$A$125,0),9))</f>
        <v>42038</v>
      </c>
      <c r="K47" s="10">
        <f>IF($A47="","",INDEX(jalons!$A$7:$K$125,MATCH('Suivi livrables'!$A47,jalons!$A$7:$A$125,0),10))</f>
        <v>41880</v>
      </c>
      <c r="L47" s="10" t="str">
        <f>IF($A47="","",INDEX(jalons!$A$7:$K$125,MATCH('Suivi livrables'!$A47,jalons!$A$7:$A$125,0),11))</f>
        <v>manque date</v>
      </c>
      <c r="M47" s="14"/>
      <c r="N47" s="47"/>
      <c r="O47" s="47"/>
      <c r="P47" s="48"/>
      <c r="Q47" s="48"/>
      <c r="R47" s="48"/>
      <c r="S47" s="48"/>
      <c r="T47" s="48"/>
      <c r="U47" s="48"/>
      <c r="V47" s="48"/>
      <c r="W47" s="48"/>
      <c r="X47" s="48"/>
      <c r="Y47" s="48"/>
      <c r="Z47" s="48"/>
      <c r="AA47" s="48"/>
      <c r="AB47" s="93"/>
      <c r="AC47" s="48"/>
      <c r="AD47" s="127"/>
      <c r="AE47" s="132"/>
      <c r="AF47" s="48"/>
      <c r="AG47" s="48"/>
      <c r="AH47" s="48"/>
      <c r="AI47" s="48"/>
      <c r="AJ47" s="48"/>
      <c r="AK47" s="48"/>
      <c r="AL47" s="48"/>
      <c r="AM47" s="48"/>
      <c r="AN47" s="132"/>
      <c r="AO47" s="133"/>
      <c r="AP47" s="132"/>
      <c r="AQ47" s="132"/>
      <c r="AR47" s="133"/>
      <c r="AS47" s="132"/>
      <c r="AT47" s="132"/>
      <c r="AU47" s="139"/>
      <c r="AV47" s="139"/>
      <c r="AW47" s="132"/>
      <c r="AX47" s="139"/>
      <c r="AY47" s="139"/>
      <c r="AZ47" s="132"/>
      <c r="BA47" s="139"/>
      <c r="BB47" s="139"/>
      <c r="BC47" s="139"/>
      <c r="BD47" s="139"/>
      <c r="BE47" s="133"/>
      <c r="BF47" s="47"/>
      <c r="BG47" s="93"/>
      <c r="BH47" s="96">
        <f t="shared" si="36"/>
        <v>41736</v>
      </c>
      <c r="BI47" s="117"/>
      <c r="BJ47" s="119">
        <f t="shared" si="37"/>
        <v>41792</v>
      </c>
      <c r="BK47" s="117"/>
      <c r="BL47" s="121" t="str">
        <f t="shared" si="38"/>
        <v>N/A</v>
      </c>
      <c r="BM47" s="121" t="str">
        <f>IF(G47=0,0,IF('Suivi livrables'!BE47="ZSFR",IF(G47-F47&lt;90,F47+7,G47-90),"N/A"))</f>
        <v>N/A</v>
      </c>
      <c r="BN47" s="117"/>
      <c r="BO47" s="121" t="str">
        <f>IF(G47=0,0,IF('Suivi livrables'!BE47="ZSFR",IF(L47=0,I47-45,L47-4),"N/A"))</f>
        <v>N/A</v>
      </c>
      <c r="BP47" s="117"/>
      <c r="BQ47" s="121">
        <f t="shared" si="39"/>
        <v>41736</v>
      </c>
      <c r="BR47" s="121">
        <f t="shared" si="40"/>
        <v>41806</v>
      </c>
      <c r="BS47" s="117"/>
      <c r="BT47" s="121" t="str">
        <f>IF(G47=0,0,IF(AND('Suivi livrables'!P47=0,'Suivi livrables'!R47=0,'Suivi livrables'!T47=0,'Suivi livrables'!V47=0,'Suivi livrables'!X47=0,'Suivi livrables'!AD47=0),"N/A",#REF!-77))</f>
        <v>N/A</v>
      </c>
      <c r="BU47" s="121" t="str">
        <f>IF(G47=0,0,IF(AND('Suivi livrables'!P47=0,'Suivi livrables'!R47=0,'Suivi livrables'!T47=0,'Suivi livrables'!V47=0,'Suivi livrables'!X47=0,'Suivi livrables'!AD47=0),"N/A",#REF!-21))</f>
        <v>N/A</v>
      </c>
      <c r="BV47" s="117"/>
      <c r="BW47" s="97"/>
      <c r="BX47" s="102"/>
      <c r="BY47" s="117" t="str">
        <f t="shared" si="54"/>
        <v/>
      </c>
      <c r="BZ47" s="117" t="str">
        <f t="shared" si="55"/>
        <v/>
      </c>
      <c r="CA47" s="117" t="str">
        <f t="shared" si="56"/>
        <v/>
      </c>
      <c r="CB47" s="117" t="str">
        <f t="shared" si="57"/>
        <v/>
      </c>
      <c r="CC47" s="117" t="str">
        <f t="shared" si="58"/>
        <v/>
      </c>
      <c r="CD47" s="117" t="str">
        <f t="shared" si="59"/>
        <v/>
      </c>
      <c r="CE47" s="117" t="str">
        <f t="shared" si="60"/>
        <v/>
      </c>
      <c r="CF47" s="117" t="str">
        <f t="shared" si="61"/>
        <v/>
      </c>
      <c r="CG47" s="117" t="str">
        <f t="shared" si="62"/>
        <v/>
      </c>
      <c r="CH47" s="117" t="str">
        <f t="shared" si="63"/>
        <v/>
      </c>
      <c r="CI47" s="117" t="str">
        <f t="shared" si="29"/>
        <v/>
      </c>
      <c r="CJ47" s="117" t="str">
        <f t="shared" si="30"/>
        <v/>
      </c>
      <c r="CK47" s="117" t="str">
        <f t="shared" si="31"/>
        <v/>
      </c>
      <c r="CL47" s="117" t="str">
        <f t="shared" si="64"/>
        <v/>
      </c>
      <c r="CM47" s="117" t="str">
        <f t="shared" si="65"/>
        <v/>
      </c>
      <c r="CN47" s="117" t="str">
        <f t="shared" si="66"/>
        <v/>
      </c>
      <c r="CO47" s="121">
        <f t="shared" si="41"/>
        <v>41736</v>
      </c>
      <c r="CP47" s="117"/>
      <c r="CQ47" s="121">
        <f t="shared" si="42"/>
        <v>41736</v>
      </c>
      <c r="CR47" s="117"/>
      <c r="CS47" s="121">
        <f t="shared" si="43"/>
        <v>41778</v>
      </c>
      <c r="CT47" s="121">
        <f t="shared" si="44"/>
        <v>41792</v>
      </c>
      <c r="CU47" s="121">
        <f t="shared" si="45"/>
        <v>41764</v>
      </c>
      <c r="CV47" s="117"/>
      <c r="CW47" s="121">
        <f t="shared" si="46"/>
        <v>41778</v>
      </c>
      <c r="CX47" s="117"/>
      <c r="CY47" s="121">
        <f t="shared" si="47"/>
        <v>41785</v>
      </c>
      <c r="CZ47" s="117"/>
      <c r="DA47" s="121">
        <f t="shared" si="48"/>
        <v>41792</v>
      </c>
      <c r="DB47" s="121">
        <f t="shared" si="49"/>
        <v>41841</v>
      </c>
      <c r="DC47" s="121">
        <f t="shared" si="50"/>
        <v>41841</v>
      </c>
      <c r="DD47" s="117"/>
      <c r="DE47" s="125">
        <f t="shared" si="51"/>
        <v>41719</v>
      </c>
      <c r="DF47" s="124"/>
      <c r="DG47" s="125">
        <f t="shared" si="35"/>
        <v>41719</v>
      </c>
      <c r="DH47" s="124"/>
      <c r="DI47" s="125">
        <f t="shared" si="52"/>
        <v>41779</v>
      </c>
      <c r="DJ47" s="124"/>
      <c r="DK47" s="125">
        <f t="shared" si="53"/>
        <v>41764</v>
      </c>
      <c r="DL47" s="124"/>
      <c r="DM47" s="117"/>
      <c r="DN47" s="124"/>
      <c r="DO47" s="117"/>
      <c r="DX47" s="41"/>
      <c r="DY47" s="41"/>
      <c r="DZ47" s="41"/>
      <c r="EA47" s="41"/>
      <c r="EB47" s="41"/>
      <c r="EC47" s="41"/>
      <c r="ED47" s="41"/>
      <c r="EE47" s="41" t="s">
        <v>67</v>
      </c>
      <c r="EK47" t="s">
        <v>297</v>
      </c>
    </row>
    <row r="48" spans="1:141" ht="16.5" thickBot="1">
      <c r="A48" s="25" t="s">
        <v>42</v>
      </c>
      <c r="B48" s="57" t="str">
        <f>jalons!B48</f>
        <v>Airbus Military</v>
      </c>
      <c r="C48" s="57" t="str">
        <f>jalons!C48</f>
        <v>A330</v>
      </c>
      <c r="D48" s="82" t="s">
        <v>253</v>
      </c>
      <c r="E48" s="9">
        <f>IF($A48="","",INDEX(jalons!$A$7:$K$125,MATCH('Suivi livrables'!$A48,jalons!$A$7:$A$125,0),4))</f>
        <v>41816</v>
      </c>
      <c r="F48" s="10">
        <f>IF($A48="","",INDEX(jalons!$A$7:$K$125,MATCH('Suivi livrables'!$A48,jalons!$A$7:$A$125,0),5))</f>
        <v>41906</v>
      </c>
      <c r="G48" s="10">
        <f>IF($A48="","",INDEX(jalons!$A$7:$K$125,MATCH('Suivi livrables'!$A48,jalons!$A$7:$A$125,0),6))</f>
        <v>41963</v>
      </c>
      <c r="H48" s="10">
        <f>IF($A48="","",INDEX(jalons!$A$7:$K$125,MATCH('Suivi livrables'!$A48,jalons!$A$7:$A$125,0),7))</f>
        <v>42077</v>
      </c>
      <c r="I48" s="10">
        <f>IF($A48="","",INDEX(jalons!$A$7:$K$125,MATCH('Suivi livrables'!$A48,jalons!$A$7:$A$125,0),8))</f>
        <v>42143</v>
      </c>
      <c r="J48" s="10">
        <f>IF($A48="","",INDEX(jalons!$A$7:$K$125,MATCH('Suivi livrables'!$A48,jalons!$A$7:$A$125,0),9))</f>
        <v>42170</v>
      </c>
      <c r="K48" s="10">
        <f>IF($A48="","",INDEX(jalons!$A$7:$K$125,MATCH('Suivi livrables'!$A48,jalons!$A$7:$A$125,0),10))</f>
        <v>42059</v>
      </c>
      <c r="L48" s="10">
        <f>IF($A48="","",INDEX(jalons!$A$7:$K$125,MATCH('Suivi livrables'!$A48,jalons!$A$7:$A$125,0),11))</f>
        <v>42034</v>
      </c>
      <c r="M48" s="14"/>
      <c r="N48" s="47"/>
      <c r="O48" s="51"/>
      <c r="P48" s="48"/>
      <c r="Q48" s="48"/>
      <c r="R48" s="52"/>
      <c r="S48" s="48"/>
      <c r="T48" s="48"/>
      <c r="U48" s="48"/>
      <c r="V48" s="48"/>
      <c r="W48" s="48"/>
      <c r="X48" s="48"/>
      <c r="Y48" s="48"/>
      <c r="Z48" s="48"/>
      <c r="AA48" s="48"/>
      <c r="AB48" s="93"/>
      <c r="AC48" s="48"/>
      <c r="AD48" s="127"/>
      <c r="AE48" s="132"/>
      <c r="AF48" s="48"/>
      <c r="AG48" s="48"/>
      <c r="AH48" s="48"/>
      <c r="AI48" s="48"/>
      <c r="AJ48" s="48"/>
      <c r="AK48" s="48"/>
      <c r="AL48" s="48"/>
      <c r="AM48" s="48"/>
      <c r="AN48" s="132"/>
      <c r="AO48" s="133"/>
      <c r="AP48" s="132"/>
      <c r="AQ48" s="132"/>
      <c r="AR48" s="133"/>
      <c r="AS48" s="132"/>
      <c r="AT48" s="132"/>
      <c r="AU48" s="139"/>
      <c r="AV48" s="139"/>
      <c r="AW48" s="132"/>
      <c r="AX48" s="139"/>
      <c r="AY48" s="139"/>
      <c r="AZ48" s="132"/>
      <c r="BA48" s="139"/>
      <c r="BB48" s="139"/>
      <c r="BC48" s="139"/>
      <c r="BD48" s="139"/>
      <c r="BE48" s="133"/>
      <c r="BF48" s="51"/>
      <c r="BG48" s="93"/>
      <c r="BH48" s="96">
        <f t="shared" si="36"/>
        <v>41886</v>
      </c>
      <c r="BI48" s="117"/>
      <c r="BJ48" s="119">
        <f t="shared" si="37"/>
        <v>41942</v>
      </c>
      <c r="BK48" s="117"/>
      <c r="BL48" s="121" t="str">
        <f t="shared" si="38"/>
        <v>N/A</v>
      </c>
      <c r="BM48" s="121" t="str">
        <f>IF(G48=0,0,IF('Suivi livrables'!BE48="ZSFR",IF(G48-F48&lt;90,F48+7,G48-90),"N/A"))</f>
        <v>N/A</v>
      </c>
      <c r="BN48" s="117"/>
      <c r="BO48" s="121" t="str">
        <f>IF(G48=0,0,IF('Suivi livrables'!BE48="ZSFR",IF(L48=0,I48-45,L48-4),"N/A"))</f>
        <v>N/A</v>
      </c>
      <c r="BP48" s="117"/>
      <c r="BQ48" s="121">
        <f t="shared" si="39"/>
        <v>41886</v>
      </c>
      <c r="BR48" s="121">
        <f t="shared" si="40"/>
        <v>41956</v>
      </c>
      <c r="BS48" s="117"/>
      <c r="BT48" s="121" t="str">
        <f>IF(G48=0,0,IF(AND('Suivi livrables'!P48=0,'Suivi livrables'!R48=0,'Suivi livrables'!T48=0,'Suivi livrables'!V48=0,'Suivi livrables'!X48=0,'Suivi livrables'!AD48=0),"N/A",#REF!-77))</f>
        <v>N/A</v>
      </c>
      <c r="BU48" s="121" t="str">
        <f>IF(G48=0,0,IF(AND('Suivi livrables'!P48=0,'Suivi livrables'!R48=0,'Suivi livrables'!T48=0,'Suivi livrables'!V48=0,'Suivi livrables'!X48=0,'Suivi livrables'!AD48=0),"N/A",#REF!-21))</f>
        <v>N/A</v>
      </c>
      <c r="BV48" s="117"/>
      <c r="BW48" s="97"/>
      <c r="BX48" s="102"/>
      <c r="BY48" s="117" t="str">
        <f t="shared" si="54"/>
        <v/>
      </c>
      <c r="BZ48" s="117" t="str">
        <f t="shared" si="55"/>
        <v/>
      </c>
      <c r="CA48" s="117" t="str">
        <f t="shared" si="56"/>
        <v/>
      </c>
      <c r="CB48" s="117" t="str">
        <f t="shared" si="57"/>
        <v/>
      </c>
      <c r="CC48" s="117" t="str">
        <f t="shared" si="58"/>
        <v/>
      </c>
      <c r="CD48" s="117" t="str">
        <f t="shared" si="59"/>
        <v/>
      </c>
      <c r="CE48" s="117" t="str">
        <f t="shared" si="60"/>
        <v/>
      </c>
      <c r="CF48" s="117" t="str">
        <f t="shared" si="61"/>
        <v/>
      </c>
      <c r="CG48" s="117" t="str">
        <f t="shared" si="62"/>
        <v/>
      </c>
      <c r="CH48" s="117" t="str">
        <f t="shared" si="63"/>
        <v/>
      </c>
      <c r="CI48" s="117" t="str">
        <f t="shared" si="29"/>
        <v/>
      </c>
      <c r="CJ48" s="117" t="str">
        <f t="shared" si="30"/>
        <v/>
      </c>
      <c r="CK48" s="117" t="str">
        <f t="shared" si="31"/>
        <v/>
      </c>
      <c r="CL48" s="117" t="str">
        <f t="shared" si="64"/>
        <v/>
      </c>
      <c r="CM48" s="117" t="str">
        <f t="shared" si="65"/>
        <v/>
      </c>
      <c r="CN48" s="117" t="str">
        <f t="shared" si="66"/>
        <v/>
      </c>
      <c r="CO48" s="121">
        <f t="shared" si="41"/>
        <v>41886</v>
      </c>
      <c r="CP48" s="117"/>
      <c r="CQ48" s="121">
        <f t="shared" si="42"/>
        <v>41886</v>
      </c>
      <c r="CR48" s="117"/>
      <c r="CS48" s="121">
        <f t="shared" si="43"/>
        <v>41928</v>
      </c>
      <c r="CT48" s="121">
        <f t="shared" si="44"/>
        <v>41942</v>
      </c>
      <c r="CU48" s="121">
        <f t="shared" si="45"/>
        <v>41914</v>
      </c>
      <c r="CV48" s="117"/>
      <c r="CW48" s="121">
        <f t="shared" si="46"/>
        <v>41928</v>
      </c>
      <c r="CX48" s="117"/>
      <c r="CY48" s="121">
        <f t="shared" si="47"/>
        <v>41935</v>
      </c>
      <c r="CZ48" s="117"/>
      <c r="DA48" s="121">
        <f t="shared" si="48"/>
        <v>41942</v>
      </c>
      <c r="DB48" s="121">
        <f t="shared" si="49"/>
        <v>41991</v>
      </c>
      <c r="DC48" s="121">
        <f t="shared" si="50"/>
        <v>41991</v>
      </c>
      <c r="DD48" s="117"/>
      <c r="DE48" s="125">
        <f t="shared" si="51"/>
        <v>41861</v>
      </c>
      <c r="DF48" s="124"/>
      <c r="DG48" s="125">
        <f t="shared" si="35"/>
        <v>41861</v>
      </c>
      <c r="DH48" s="124"/>
      <c r="DI48" s="125">
        <f t="shared" si="52"/>
        <v>41921</v>
      </c>
      <c r="DJ48" s="124"/>
      <c r="DK48" s="125">
        <f t="shared" si="53"/>
        <v>41906</v>
      </c>
      <c r="DL48" s="124"/>
      <c r="DM48" s="117"/>
      <c r="DN48" s="124"/>
      <c r="DO48" s="117"/>
      <c r="DX48" s="41"/>
      <c r="DY48" s="41"/>
      <c r="DZ48" s="41"/>
      <c r="EA48" s="41"/>
      <c r="EB48" s="41"/>
      <c r="EC48" s="41"/>
      <c r="ED48" s="41"/>
      <c r="EE48" s="41" t="s">
        <v>71</v>
      </c>
      <c r="EK48" t="s">
        <v>298</v>
      </c>
    </row>
    <row r="49" spans="1:141" ht="16.5" thickBot="1">
      <c r="A49" s="25" t="s">
        <v>152</v>
      </c>
      <c r="B49" s="57" t="str">
        <f>jalons!B49</f>
        <v>Airbus Military</v>
      </c>
      <c r="C49" s="57" t="str">
        <f>jalons!C49</f>
        <v>A330</v>
      </c>
      <c r="D49" s="82" t="s">
        <v>253</v>
      </c>
      <c r="E49" s="9">
        <f>IF($A49="","",INDEX(jalons!$A$7:$K$125,MATCH('Suivi livrables'!$A49,jalons!$A$7:$A$125,0),4))</f>
        <v>42128</v>
      </c>
      <c r="F49" s="10">
        <f>IF($A49="","",INDEX(jalons!$A$7:$K$125,MATCH('Suivi livrables'!$A49,jalons!$A$7:$A$125,0),5))</f>
        <v>42187</v>
      </c>
      <c r="G49" s="10">
        <f>IF($A49="","",INDEX(jalons!$A$7:$K$125,MATCH('Suivi livrables'!$A49,jalons!$A$7:$A$125,0),6))</f>
        <v>42269</v>
      </c>
      <c r="H49" s="10">
        <f>IF($A49="","",INDEX(jalons!$A$7:$K$125,MATCH('Suivi livrables'!$A49,jalons!$A$7:$A$125,0),7))</f>
        <v>42361</v>
      </c>
      <c r="I49" s="10">
        <f>IF($A49="","",INDEX(jalons!$A$7:$K$125,MATCH('Suivi livrables'!$A49,jalons!$A$7:$A$125,0),8))</f>
        <v>42423</v>
      </c>
      <c r="J49" s="10">
        <f>IF($A49="","",INDEX(jalons!$A$7:$K$125,MATCH('Suivi livrables'!$A49,jalons!$A$7:$A$125,0),9))</f>
        <v>42459</v>
      </c>
      <c r="K49" s="10">
        <f>IF($A49="","",INDEX(jalons!$A$7:$K$125,MATCH('Suivi livrables'!$A49,jalons!$A$7:$A$125,0),10))</f>
        <v>42365</v>
      </c>
      <c r="L49" s="10">
        <f>IF($A49="","",INDEX(jalons!$A$7:$K$125,MATCH('Suivi livrables'!$A49,jalons!$A$7:$A$125,0),11))</f>
        <v>42346</v>
      </c>
      <c r="M49" s="14"/>
      <c r="N49" s="47"/>
      <c r="O49" s="47"/>
      <c r="P49" s="48"/>
      <c r="Q49" s="48"/>
      <c r="R49" s="48"/>
      <c r="S49" s="48"/>
      <c r="T49" s="48"/>
      <c r="U49" s="48"/>
      <c r="V49" s="48"/>
      <c r="W49" s="48"/>
      <c r="X49" s="48"/>
      <c r="Y49" s="48"/>
      <c r="Z49" s="48"/>
      <c r="AA49" s="48"/>
      <c r="AB49" s="93"/>
      <c r="AC49" s="48"/>
      <c r="AD49" s="127"/>
      <c r="AE49" s="132"/>
      <c r="AF49" s="48"/>
      <c r="AG49" s="48"/>
      <c r="AH49" s="48"/>
      <c r="AI49" s="48"/>
      <c r="AJ49" s="48"/>
      <c r="AK49" s="48"/>
      <c r="AL49" s="48"/>
      <c r="AM49" s="48"/>
      <c r="AN49" s="132"/>
      <c r="AO49" s="133"/>
      <c r="AP49" s="132"/>
      <c r="AQ49" s="132"/>
      <c r="AR49" s="133"/>
      <c r="AS49" s="132"/>
      <c r="AT49" s="132"/>
      <c r="AU49" s="139"/>
      <c r="AV49" s="139"/>
      <c r="AW49" s="132"/>
      <c r="AX49" s="139"/>
      <c r="AY49" s="139"/>
      <c r="AZ49" s="132"/>
      <c r="BA49" s="139"/>
      <c r="BB49" s="139"/>
      <c r="BC49" s="139"/>
      <c r="BD49" s="139"/>
      <c r="BE49" s="133"/>
      <c r="BF49" s="47"/>
      <c r="BG49" s="93"/>
      <c r="BH49" s="96">
        <f t="shared" si="36"/>
        <v>42192</v>
      </c>
      <c r="BI49" s="117"/>
      <c r="BJ49" s="119">
        <f t="shared" si="37"/>
        <v>42248</v>
      </c>
      <c r="BK49" s="117"/>
      <c r="BL49" s="121" t="str">
        <f t="shared" si="38"/>
        <v>N/A</v>
      </c>
      <c r="BM49" s="121" t="str">
        <f>IF(G49=0,0,IF('Suivi livrables'!BE49="ZSFR",IF(G49-F49&lt;90,F49+7,G49-90),"N/A"))</f>
        <v>N/A</v>
      </c>
      <c r="BN49" s="117"/>
      <c r="BO49" s="121" t="str">
        <f>IF(G49=0,0,IF('Suivi livrables'!BE49="ZSFR",IF(L49=0,I49-45,L49-4),"N/A"))</f>
        <v>N/A</v>
      </c>
      <c r="BP49" s="117"/>
      <c r="BQ49" s="121">
        <f t="shared" si="39"/>
        <v>42192</v>
      </c>
      <c r="BR49" s="121">
        <f t="shared" si="40"/>
        <v>42262</v>
      </c>
      <c r="BS49" s="117"/>
      <c r="BT49" s="121" t="str">
        <f>IF(G49=0,0,IF(AND('Suivi livrables'!P49=0,'Suivi livrables'!R49=0,'Suivi livrables'!T49=0,'Suivi livrables'!V49=0,'Suivi livrables'!X49=0,'Suivi livrables'!AD49=0),"N/A",#REF!-77))</f>
        <v>N/A</v>
      </c>
      <c r="BU49" s="121" t="str">
        <f>IF(G49=0,0,IF(AND('Suivi livrables'!P49=0,'Suivi livrables'!R49=0,'Suivi livrables'!T49=0,'Suivi livrables'!V49=0,'Suivi livrables'!X49=0,'Suivi livrables'!AD49=0),"N/A",#REF!-21))</f>
        <v>N/A</v>
      </c>
      <c r="BV49" s="117"/>
      <c r="BW49" s="97"/>
      <c r="BX49" s="102"/>
      <c r="BY49" s="117" t="str">
        <f t="shared" si="54"/>
        <v/>
      </c>
      <c r="BZ49" s="117" t="str">
        <f t="shared" si="55"/>
        <v/>
      </c>
      <c r="CA49" s="117" t="str">
        <f t="shared" si="56"/>
        <v/>
      </c>
      <c r="CB49" s="117" t="str">
        <f t="shared" si="57"/>
        <v/>
      </c>
      <c r="CC49" s="117" t="str">
        <f t="shared" si="58"/>
        <v/>
      </c>
      <c r="CD49" s="117" t="str">
        <f t="shared" si="59"/>
        <v/>
      </c>
      <c r="CE49" s="117" t="str">
        <f t="shared" si="60"/>
        <v/>
      </c>
      <c r="CF49" s="117" t="str">
        <f t="shared" si="61"/>
        <v/>
      </c>
      <c r="CG49" s="117" t="str">
        <f t="shared" si="62"/>
        <v/>
      </c>
      <c r="CH49" s="117" t="str">
        <f t="shared" si="63"/>
        <v/>
      </c>
      <c r="CI49" s="117" t="str">
        <f t="shared" si="29"/>
        <v/>
      </c>
      <c r="CJ49" s="117" t="str">
        <f t="shared" si="30"/>
        <v/>
      </c>
      <c r="CK49" s="117" t="str">
        <f t="shared" si="31"/>
        <v/>
      </c>
      <c r="CL49" s="117" t="str">
        <f t="shared" si="64"/>
        <v/>
      </c>
      <c r="CM49" s="117" t="str">
        <f t="shared" si="65"/>
        <v/>
      </c>
      <c r="CN49" s="117" t="str">
        <f t="shared" si="66"/>
        <v/>
      </c>
      <c r="CO49" s="121">
        <f t="shared" si="41"/>
        <v>42192</v>
      </c>
      <c r="CP49" s="117"/>
      <c r="CQ49" s="121">
        <f t="shared" si="42"/>
        <v>42192</v>
      </c>
      <c r="CR49" s="117"/>
      <c r="CS49" s="121">
        <f t="shared" si="43"/>
        <v>42234</v>
      </c>
      <c r="CT49" s="121">
        <f t="shared" si="44"/>
        <v>42248</v>
      </c>
      <c r="CU49" s="121">
        <f t="shared" si="45"/>
        <v>42220</v>
      </c>
      <c r="CV49" s="117"/>
      <c r="CW49" s="121">
        <f t="shared" si="46"/>
        <v>42234</v>
      </c>
      <c r="CX49" s="117"/>
      <c r="CY49" s="121">
        <f t="shared" si="47"/>
        <v>42241</v>
      </c>
      <c r="CZ49" s="117"/>
      <c r="DA49" s="121">
        <f t="shared" si="48"/>
        <v>42248</v>
      </c>
      <c r="DB49" s="121">
        <f t="shared" si="49"/>
        <v>42297</v>
      </c>
      <c r="DC49" s="121">
        <f t="shared" si="50"/>
        <v>42297</v>
      </c>
      <c r="DD49" s="117"/>
      <c r="DE49" s="125">
        <f t="shared" si="51"/>
        <v>42142</v>
      </c>
      <c r="DF49" s="124"/>
      <c r="DG49" s="125">
        <f t="shared" si="35"/>
        <v>42142</v>
      </c>
      <c r="DH49" s="124"/>
      <c r="DI49" s="125">
        <f t="shared" si="52"/>
        <v>42202</v>
      </c>
      <c r="DJ49" s="124"/>
      <c r="DK49" s="125">
        <f t="shared" si="53"/>
        <v>42187</v>
      </c>
      <c r="DL49" s="124"/>
      <c r="DM49" s="117"/>
      <c r="DN49" s="124"/>
      <c r="DO49" s="117"/>
      <c r="EE49" s="41" t="s">
        <v>129</v>
      </c>
      <c r="EK49" t="s">
        <v>299</v>
      </c>
    </row>
    <row r="50" spans="1:141" ht="16.5" thickBot="1">
      <c r="A50" s="25" t="s">
        <v>158</v>
      </c>
      <c r="B50" s="57" t="str">
        <f>jalons!B50</f>
        <v>Middle East Airlines</v>
      </c>
      <c r="C50" s="57" t="str">
        <f>jalons!C50</f>
        <v>A330</v>
      </c>
      <c r="D50" s="82" t="s">
        <v>252</v>
      </c>
      <c r="E50" s="9">
        <f>IF($A50="","",INDEX(jalons!$A$7:$K$125,MATCH('Suivi livrables'!$A50,jalons!$A$7:$A$125,0),4))</f>
        <v>42159</v>
      </c>
      <c r="F50" s="10">
        <f>IF($A50="","",INDEX(jalons!$A$7:$K$125,MATCH('Suivi livrables'!$A50,jalons!$A$7:$A$125,0),5))</f>
        <v>42192</v>
      </c>
      <c r="G50" s="10">
        <f>IF($A50="","",INDEX(jalons!$A$7:$K$125,MATCH('Suivi livrables'!$A50,jalons!$A$7:$A$125,0),6))</f>
        <v>42223</v>
      </c>
      <c r="H50" s="10">
        <f>IF($A50="","",INDEX(jalons!$A$7:$K$125,MATCH('Suivi livrables'!$A50,jalons!$A$7:$A$125,0),7))</f>
        <v>42310</v>
      </c>
      <c r="I50" s="10">
        <f>IF($A50="","",INDEX(jalons!$A$7:$K$125,MATCH('Suivi livrables'!$A50,jalons!$A$7:$A$125,0),8))</f>
        <v>42340</v>
      </c>
      <c r="J50" s="10">
        <f>IF($A50="","",INDEX(jalons!$A$7:$K$125,MATCH('Suivi livrables'!$A50,jalons!$A$7:$A$125,0),9))</f>
        <v>42415</v>
      </c>
      <c r="K50" s="10">
        <f>IF($A50="","",INDEX(jalons!$A$7:$K$125,MATCH('Suivi livrables'!$A50,jalons!$A$7:$A$125,0),10))</f>
        <v>42295</v>
      </c>
      <c r="L50" s="10">
        <f>IF($A50="","",INDEX(jalons!$A$7:$K$125,MATCH('Suivi livrables'!$A50,jalons!$A$7:$A$125,0),11))</f>
        <v>42240</v>
      </c>
      <c r="M50" s="14"/>
      <c r="N50" s="47" t="s">
        <v>41</v>
      </c>
      <c r="O50" s="47" t="s">
        <v>67</v>
      </c>
      <c r="P50" s="48"/>
      <c r="Q50" s="48" t="s">
        <v>67</v>
      </c>
      <c r="R50" s="48"/>
      <c r="S50" s="48" t="s">
        <v>67</v>
      </c>
      <c r="T50" s="48"/>
      <c r="U50" s="48" t="s">
        <v>67</v>
      </c>
      <c r="V50" s="48"/>
      <c r="W50" s="48"/>
      <c r="X50" s="48"/>
      <c r="Y50" s="48"/>
      <c r="Z50" s="48"/>
      <c r="AA50" s="48"/>
      <c r="AB50" s="93"/>
      <c r="AC50" s="48"/>
      <c r="AD50" s="127"/>
      <c r="AE50" s="132"/>
      <c r="AF50" s="48"/>
      <c r="AG50" s="48"/>
      <c r="AH50" s="48"/>
      <c r="AI50" s="48"/>
      <c r="AJ50" s="48"/>
      <c r="AK50" s="48"/>
      <c r="AL50" s="48"/>
      <c r="AM50" s="48"/>
      <c r="AN50" s="132"/>
      <c r="AO50" s="133"/>
      <c r="AP50" s="132"/>
      <c r="AQ50" s="132"/>
      <c r="AR50" s="133"/>
      <c r="AS50" s="132"/>
      <c r="AT50" s="132"/>
      <c r="AU50" s="139"/>
      <c r="AV50" s="139"/>
      <c r="AW50" s="132"/>
      <c r="AX50" s="139"/>
      <c r="AY50" s="139"/>
      <c r="AZ50" s="132"/>
      <c r="BA50" s="139"/>
      <c r="BB50" s="139"/>
      <c r="BC50" s="139"/>
      <c r="BD50" s="139"/>
      <c r="BE50" s="133" t="s">
        <v>68</v>
      </c>
      <c r="BF50" s="47"/>
      <c r="BG50" s="93"/>
      <c r="BH50" s="96">
        <f t="shared" si="36"/>
        <v>42146</v>
      </c>
      <c r="BI50" s="117"/>
      <c r="BJ50" s="119">
        <f t="shared" si="37"/>
        <v>42202</v>
      </c>
      <c r="BK50" s="117"/>
      <c r="BL50" s="121">
        <f t="shared" si="38"/>
        <v>42174</v>
      </c>
      <c r="BM50" s="121">
        <f>IF(G50=0,0,IF('Suivi livrables'!BE50="ZSFR",IF(G50-F50&lt;90,F50+7,G50-90),"N/A"))</f>
        <v>42199</v>
      </c>
      <c r="BN50" s="117"/>
      <c r="BO50" s="121">
        <f>IF(G50=0,0,IF('Suivi livrables'!BE50="ZSFR",IF(L50=0,I50-45,L50-4),"N/A"))</f>
        <v>42236</v>
      </c>
      <c r="BP50" s="117"/>
      <c r="BQ50" s="121" t="str">
        <f t="shared" si="39"/>
        <v>N/A</v>
      </c>
      <c r="BR50" s="121" t="str">
        <f t="shared" si="40"/>
        <v>N/A</v>
      </c>
      <c r="BS50" s="117"/>
      <c r="BT50" s="121" t="str">
        <f>IF(G50=0,0,IF(AND('Suivi livrables'!P50=0,'Suivi livrables'!R50=0,'Suivi livrables'!T50=0,'Suivi livrables'!V50=0,'Suivi livrables'!X50=0,'Suivi livrables'!AD50=0),"N/A",#REF!-77))</f>
        <v>N/A</v>
      </c>
      <c r="BU50" s="121" t="str">
        <f>IF(G50=0,0,IF(AND('Suivi livrables'!P50=0,'Suivi livrables'!R50=0,'Suivi livrables'!T50=0,'Suivi livrables'!V50=0,'Suivi livrables'!X50=0,'Suivi livrables'!AD50=0),"N/A",#REF!-21))</f>
        <v>N/A</v>
      </c>
      <c r="BV50" s="117"/>
      <c r="BW50" s="97"/>
      <c r="BX50" s="102"/>
      <c r="BY50" s="117" t="str">
        <f t="shared" si="54"/>
        <v>Franklin</v>
      </c>
      <c r="BZ50" s="117" t="str">
        <f t="shared" si="55"/>
        <v/>
      </c>
      <c r="CA50" s="117" t="str">
        <f t="shared" si="56"/>
        <v>Franklin</v>
      </c>
      <c r="CB50" s="117" t="str">
        <f t="shared" si="57"/>
        <v/>
      </c>
      <c r="CC50" s="117" t="str">
        <f t="shared" si="58"/>
        <v>Franklin</v>
      </c>
      <c r="CD50" s="117" t="str">
        <f t="shared" si="59"/>
        <v/>
      </c>
      <c r="CE50" s="117" t="str">
        <f t="shared" si="60"/>
        <v>Franklin</v>
      </c>
      <c r="CF50" s="117" t="str">
        <f t="shared" si="61"/>
        <v/>
      </c>
      <c r="CG50" s="117" t="str">
        <f t="shared" si="62"/>
        <v/>
      </c>
      <c r="CH50" s="117" t="str">
        <f t="shared" si="63"/>
        <v/>
      </c>
      <c r="CI50" s="117" t="str">
        <f t="shared" si="29"/>
        <v/>
      </c>
      <c r="CJ50" s="117" t="str">
        <f t="shared" si="30"/>
        <v/>
      </c>
      <c r="CK50" s="117" t="str">
        <f t="shared" si="31"/>
        <v/>
      </c>
      <c r="CL50" s="117" t="str">
        <f t="shared" si="64"/>
        <v/>
      </c>
      <c r="CM50" s="117" t="str">
        <f t="shared" si="65"/>
        <v/>
      </c>
      <c r="CN50" s="117" t="str">
        <f t="shared" si="66"/>
        <v/>
      </c>
      <c r="CO50" s="121">
        <f t="shared" si="41"/>
        <v>42146</v>
      </c>
      <c r="CP50" s="117"/>
      <c r="CQ50" s="121">
        <f t="shared" si="42"/>
        <v>42146</v>
      </c>
      <c r="CR50" s="117"/>
      <c r="CS50" s="121">
        <f t="shared" si="43"/>
        <v>42188</v>
      </c>
      <c r="CT50" s="121">
        <f t="shared" si="44"/>
        <v>42202</v>
      </c>
      <c r="CU50" s="121">
        <f t="shared" si="45"/>
        <v>42174</v>
      </c>
      <c r="CV50" s="117"/>
      <c r="CW50" s="121">
        <f t="shared" si="46"/>
        <v>42188</v>
      </c>
      <c r="CX50" s="117"/>
      <c r="CY50" s="121">
        <f t="shared" si="47"/>
        <v>42195</v>
      </c>
      <c r="CZ50" s="117"/>
      <c r="DA50" s="121">
        <f t="shared" si="48"/>
        <v>42202</v>
      </c>
      <c r="DB50" s="121">
        <f t="shared" si="49"/>
        <v>42251</v>
      </c>
      <c r="DC50" s="121">
        <f t="shared" si="50"/>
        <v>42251</v>
      </c>
      <c r="DD50" s="117"/>
      <c r="DE50" s="125">
        <f t="shared" si="51"/>
        <v>42147</v>
      </c>
      <c r="DF50" s="124"/>
      <c r="DG50" s="125">
        <f t="shared" si="35"/>
        <v>42147</v>
      </c>
      <c r="DH50" s="124"/>
      <c r="DI50" s="125">
        <f t="shared" si="52"/>
        <v>42207</v>
      </c>
      <c r="DJ50" s="124"/>
      <c r="DK50" s="125">
        <f t="shared" si="53"/>
        <v>42192</v>
      </c>
      <c r="DL50" s="124"/>
      <c r="DM50" s="117"/>
      <c r="DN50" s="124"/>
      <c r="DO50" s="117"/>
      <c r="EE50" s="41" t="s">
        <v>94</v>
      </c>
    </row>
    <row r="51" spans="1:141" ht="16.5" thickBot="1">
      <c r="A51" s="13" t="s">
        <v>189</v>
      </c>
      <c r="B51" s="57" t="str">
        <f>jalons!B51</f>
        <v xml:space="preserve">RwandAir </v>
      </c>
      <c r="C51" s="57" t="str">
        <f>jalons!C51</f>
        <v>A330</v>
      </c>
      <c r="D51" s="83" t="s">
        <v>252</v>
      </c>
      <c r="E51" s="9">
        <f>IF($A51="","",INDEX(jalons!$A$7:$K$125,MATCH('Suivi livrables'!$A51,jalons!$A$7:$A$125,0),4))</f>
        <v>42242</v>
      </c>
      <c r="F51" s="10">
        <f>IF($A51="","",INDEX(jalons!$A$7:$K$125,MATCH('Suivi livrables'!$A51,jalons!$A$7:$A$125,0),5))</f>
        <v>42285</v>
      </c>
      <c r="G51" s="10">
        <f>IF($A51="","",INDEX(jalons!$A$7:$K$125,MATCH('Suivi livrables'!$A51,jalons!$A$7:$A$125,0),6))</f>
        <v>42382</v>
      </c>
      <c r="H51" s="10">
        <f>IF($A51="","",INDEX(jalons!$A$7:$K$125,MATCH('Suivi livrables'!$A51,jalons!$A$7:$A$125,0),7))</f>
        <v>42475</v>
      </c>
      <c r="I51" s="10">
        <f>IF($A51="","",INDEX(jalons!$A$7:$K$125,MATCH('Suivi livrables'!$A51,jalons!$A$7:$A$125,0),8))</f>
        <v>42495</v>
      </c>
      <c r="J51" s="10">
        <f>IF($A51="","",INDEX(jalons!$A$7:$K$125,MATCH('Suivi livrables'!$A51,jalons!$A$7:$A$125,0),9))</f>
        <v>42551</v>
      </c>
      <c r="K51" s="10">
        <f>IF($A51="","",INDEX(jalons!$A$7:$K$125,MATCH('Suivi livrables'!$A51,jalons!$A$7:$A$125,0),10))</f>
        <v>42497</v>
      </c>
      <c r="L51" s="10">
        <f>IF($A51="","",INDEX(jalons!$A$7:$K$125,MATCH('Suivi livrables'!$A51,jalons!$A$7:$A$125,0),11))</f>
        <v>42467</v>
      </c>
      <c r="M51" s="14"/>
      <c r="N51" s="47"/>
      <c r="O51" s="49"/>
      <c r="P51" s="50"/>
      <c r="Q51" s="50"/>
      <c r="R51" s="50"/>
      <c r="S51" s="50"/>
      <c r="T51" s="50"/>
      <c r="U51" s="50"/>
      <c r="V51" s="50"/>
      <c r="W51" s="50"/>
      <c r="X51" s="50"/>
      <c r="Y51" s="48"/>
      <c r="Z51" s="48"/>
      <c r="AA51" s="50"/>
      <c r="AB51" s="94"/>
      <c r="AC51" s="48"/>
      <c r="AD51" s="128"/>
      <c r="AE51" s="132"/>
      <c r="AF51" s="50"/>
      <c r="AG51" s="48"/>
      <c r="AH51" s="50"/>
      <c r="AI51" s="48"/>
      <c r="AJ51" s="50"/>
      <c r="AK51" s="48"/>
      <c r="AL51" s="50"/>
      <c r="AM51" s="48"/>
      <c r="AN51" s="140"/>
      <c r="AO51" s="133"/>
      <c r="AP51" s="140"/>
      <c r="AQ51" s="132"/>
      <c r="AR51" s="133"/>
      <c r="AS51" s="140"/>
      <c r="AT51" s="132"/>
      <c r="AU51" s="149"/>
      <c r="AV51" s="149"/>
      <c r="AW51" s="132"/>
      <c r="AX51" s="149"/>
      <c r="AY51" s="149"/>
      <c r="AZ51" s="132"/>
      <c r="BA51" s="149"/>
      <c r="BB51" s="149"/>
      <c r="BC51" s="149"/>
      <c r="BD51" s="149"/>
      <c r="BE51" s="133" t="s">
        <v>68</v>
      </c>
      <c r="BF51" s="49"/>
      <c r="BG51" s="94"/>
      <c r="BH51" s="96">
        <f t="shared" si="36"/>
        <v>42305</v>
      </c>
      <c r="BI51" s="117"/>
      <c r="BJ51" s="119">
        <f t="shared" si="37"/>
        <v>42361</v>
      </c>
      <c r="BK51" s="117"/>
      <c r="BL51" s="121">
        <f t="shared" si="38"/>
        <v>42257</v>
      </c>
      <c r="BM51" s="121">
        <f>IF(G51=0,0,IF('Suivi livrables'!BE51="ZSFR",IF(G51-F51&lt;90,F51+7,G51-90),"N/A"))</f>
        <v>42292</v>
      </c>
      <c r="BN51" s="117"/>
      <c r="BO51" s="121">
        <f>IF(G51=0,0,IF('Suivi livrables'!BE51="ZSFR",IF(L51=0,I51-45,L51-4),"N/A"))</f>
        <v>42463</v>
      </c>
      <c r="BP51" s="117"/>
      <c r="BQ51" s="121" t="str">
        <f t="shared" si="39"/>
        <v>N/A</v>
      </c>
      <c r="BR51" s="121" t="str">
        <f t="shared" si="40"/>
        <v>N/A</v>
      </c>
      <c r="BS51" s="117"/>
      <c r="BT51" s="121" t="str">
        <f>IF(G51=0,0,IF(AND('Suivi livrables'!P51=0,'Suivi livrables'!R51=0,'Suivi livrables'!T51=0,'Suivi livrables'!V51=0,'Suivi livrables'!X51=0,'Suivi livrables'!AD51=0),"N/A",#REF!-77))</f>
        <v>N/A</v>
      </c>
      <c r="BU51" s="121" t="str">
        <f>IF(G51=0,0,IF(AND('Suivi livrables'!P51=0,'Suivi livrables'!R51=0,'Suivi livrables'!T51=0,'Suivi livrables'!V51=0,'Suivi livrables'!X51=0,'Suivi livrables'!AD51=0),"N/A",#REF!-21))</f>
        <v>N/A</v>
      </c>
      <c r="BV51" s="117"/>
      <c r="BW51" s="97"/>
      <c r="BX51" s="102"/>
      <c r="BY51" s="117" t="str">
        <f t="shared" si="54"/>
        <v/>
      </c>
      <c r="BZ51" s="117" t="str">
        <f t="shared" si="55"/>
        <v/>
      </c>
      <c r="CA51" s="117" t="str">
        <f t="shared" si="56"/>
        <v/>
      </c>
      <c r="CB51" s="117" t="str">
        <f t="shared" si="57"/>
        <v/>
      </c>
      <c r="CC51" s="117" t="str">
        <f t="shared" si="58"/>
        <v/>
      </c>
      <c r="CD51" s="117" t="str">
        <f t="shared" si="59"/>
        <v/>
      </c>
      <c r="CE51" s="117" t="str">
        <f t="shared" si="60"/>
        <v/>
      </c>
      <c r="CF51" s="117" t="str">
        <f t="shared" si="61"/>
        <v/>
      </c>
      <c r="CG51" s="117" t="str">
        <f t="shared" si="62"/>
        <v/>
      </c>
      <c r="CH51" s="117" t="str">
        <f t="shared" si="63"/>
        <v/>
      </c>
      <c r="CI51" s="117" t="str">
        <f t="shared" si="29"/>
        <v/>
      </c>
      <c r="CJ51" s="117" t="str">
        <f t="shared" si="30"/>
        <v/>
      </c>
      <c r="CK51" s="117" t="str">
        <f t="shared" si="31"/>
        <v/>
      </c>
      <c r="CL51" s="117" t="str">
        <f t="shared" si="64"/>
        <v/>
      </c>
      <c r="CM51" s="117" t="str">
        <f t="shared" si="65"/>
        <v/>
      </c>
      <c r="CN51" s="117" t="str">
        <f t="shared" si="66"/>
        <v/>
      </c>
      <c r="CO51" s="121">
        <f t="shared" si="41"/>
        <v>42305</v>
      </c>
      <c r="CP51" s="117"/>
      <c r="CQ51" s="121">
        <f t="shared" si="42"/>
        <v>42305</v>
      </c>
      <c r="CR51" s="117"/>
      <c r="CS51" s="121">
        <f t="shared" si="43"/>
        <v>42347</v>
      </c>
      <c r="CT51" s="121">
        <f t="shared" si="44"/>
        <v>42361</v>
      </c>
      <c r="CU51" s="121">
        <f t="shared" si="45"/>
        <v>42333</v>
      </c>
      <c r="CV51" s="117"/>
      <c r="CW51" s="121">
        <f t="shared" si="46"/>
        <v>42347</v>
      </c>
      <c r="CX51" s="117"/>
      <c r="CY51" s="121">
        <f t="shared" si="47"/>
        <v>42354</v>
      </c>
      <c r="CZ51" s="117"/>
      <c r="DA51" s="121">
        <f t="shared" si="48"/>
        <v>42361</v>
      </c>
      <c r="DB51" s="121">
        <f t="shared" si="49"/>
        <v>42410</v>
      </c>
      <c r="DC51" s="121">
        <f t="shared" si="50"/>
        <v>42410</v>
      </c>
      <c r="DD51" s="117"/>
      <c r="DE51" s="125">
        <f t="shared" si="51"/>
        <v>42232</v>
      </c>
      <c r="DF51" s="124"/>
      <c r="DG51" s="125">
        <f t="shared" si="35"/>
        <v>42232</v>
      </c>
      <c r="DH51" s="124"/>
      <c r="DI51" s="125">
        <f t="shared" si="52"/>
        <v>42292</v>
      </c>
      <c r="DJ51" s="124"/>
      <c r="DK51" s="125">
        <f t="shared" si="53"/>
        <v>42277</v>
      </c>
      <c r="DL51" s="124"/>
      <c r="DM51" s="117"/>
      <c r="DN51" s="124"/>
      <c r="DO51" s="117"/>
      <c r="EE51" s="41" t="s">
        <v>41</v>
      </c>
    </row>
    <row r="52" spans="1:141" ht="16.5" thickBot="1">
      <c r="A52" s="25" t="s">
        <v>38</v>
      </c>
      <c r="B52" s="57" t="str">
        <f>jalons!B52</f>
        <v>Sri Lanka</v>
      </c>
      <c r="C52" s="57" t="str">
        <f>jalons!C52</f>
        <v>A330-200</v>
      </c>
      <c r="D52" s="82" t="s">
        <v>253</v>
      </c>
      <c r="E52" s="9">
        <f>IF($A52="","",INDEX(jalons!$A$7:$K$125,MATCH('Suivi livrables'!$A52,jalons!$A$7:$A$125,0),4))</f>
        <v>0</v>
      </c>
      <c r="F52" s="10">
        <f>IF($A52="","",INDEX(jalons!$A$7:$K$125,MATCH('Suivi livrables'!$A52,jalons!$A$7:$A$125,0),5))</f>
        <v>41597</v>
      </c>
      <c r="G52" s="10">
        <f>IF($A52="","",INDEX(jalons!$A$7:$K$125,MATCH('Suivi livrables'!$A52,jalons!$A$7:$A$125,0),6))</f>
        <v>41718</v>
      </c>
      <c r="H52" s="10">
        <f>IF($A52="","",INDEX(jalons!$A$7:$K$125,MATCH('Suivi livrables'!$A52,jalons!$A$7:$A$125,0),7))</f>
        <v>42163</v>
      </c>
      <c r="I52" s="10">
        <f>IF($A52="","",INDEX(jalons!$A$7:$K$125,MATCH('Suivi livrables'!$A52,jalons!$A$7:$A$125,0),8))</f>
        <v>42171</v>
      </c>
      <c r="J52" s="10">
        <f>IF($A52="","",INDEX(jalons!$A$7:$K$125,MATCH('Suivi livrables'!$A52,jalons!$A$7:$A$125,0),9))</f>
        <v>42200</v>
      </c>
      <c r="K52" s="10">
        <f>IF($A52="","",INDEX(jalons!$A$7:$K$125,MATCH('Suivi livrables'!$A52,jalons!$A$7:$A$125,0),10))</f>
        <v>41704</v>
      </c>
      <c r="L52" s="10" t="str">
        <f>IF($A52="","",INDEX(jalons!$A$7:$K$125,MATCH('Suivi livrables'!$A52,jalons!$A$7:$A$125,0),11))</f>
        <v>manque date</v>
      </c>
      <c r="M52" s="14"/>
      <c r="N52" s="47"/>
      <c r="O52" s="47"/>
      <c r="P52" s="48"/>
      <c r="Q52" s="48"/>
      <c r="R52" s="48"/>
      <c r="S52" s="48"/>
      <c r="T52" s="48"/>
      <c r="U52" s="48"/>
      <c r="V52" s="48"/>
      <c r="W52" s="48"/>
      <c r="X52" s="48"/>
      <c r="Y52" s="48"/>
      <c r="Z52" s="48"/>
      <c r="AA52" s="48"/>
      <c r="AB52" s="93"/>
      <c r="AC52" s="48"/>
      <c r="AD52" s="127"/>
      <c r="AE52" s="132"/>
      <c r="AF52" s="48"/>
      <c r="AG52" s="48"/>
      <c r="AH52" s="48"/>
      <c r="AI52" s="48"/>
      <c r="AJ52" s="48"/>
      <c r="AK52" s="48"/>
      <c r="AL52" s="48"/>
      <c r="AM52" s="48"/>
      <c r="AN52" s="132"/>
      <c r="AO52" s="133"/>
      <c r="AP52" s="132"/>
      <c r="AQ52" s="132"/>
      <c r="AR52" s="133"/>
      <c r="AS52" s="132"/>
      <c r="AT52" s="132"/>
      <c r="AU52" s="139"/>
      <c r="AV52" s="139"/>
      <c r="AW52" s="132"/>
      <c r="AX52" s="139"/>
      <c r="AY52" s="139"/>
      <c r="AZ52" s="132"/>
      <c r="BA52" s="139"/>
      <c r="BB52" s="139"/>
      <c r="BC52" s="139"/>
      <c r="BD52" s="139"/>
      <c r="BE52" s="133"/>
      <c r="BF52" s="47"/>
      <c r="BG52" s="93"/>
      <c r="BH52" s="96">
        <f t="shared" si="36"/>
        <v>41641</v>
      </c>
      <c r="BI52" s="117"/>
      <c r="BJ52" s="119">
        <f t="shared" si="37"/>
        <v>41697</v>
      </c>
      <c r="BK52" s="117"/>
      <c r="BL52" s="121">
        <f t="shared" si="38"/>
        <v>0</v>
      </c>
      <c r="BM52" s="121" t="str">
        <f>IF(G52=0,0,IF('Suivi livrables'!BE52="ZSFR",IF(G52-F52&lt;90,F52+7,G52-90),"N/A"))</f>
        <v>N/A</v>
      </c>
      <c r="BN52" s="117"/>
      <c r="BO52" s="121" t="str">
        <f>IF(G52=0,0,IF('Suivi livrables'!BE52="ZSFR",IF(L52=0,I52-45,L52-4),"N/A"))</f>
        <v>N/A</v>
      </c>
      <c r="BP52" s="117"/>
      <c r="BQ52" s="121">
        <f t="shared" si="39"/>
        <v>41641</v>
      </c>
      <c r="BR52" s="121">
        <f t="shared" si="40"/>
        <v>41711</v>
      </c>
      <c r="BS52" s="117"/>
      <c r="BT52" s="121" t="str">
        <f>IF(G52=0,0,IF(AND('Suivi livrables'!P52=0,'Suivi livrables'!R52=0,'Suivi livrables'!T52=0,'Suivi livrables'!V52=0,'Suivi livrables'!X52=0,'Suivi livrables'!AD52=0),"N/A",#REF!-77))</f>
        <v>N/A</v>
      </c>
      <c r="BU52" s="121" t="str">
        <f>IF(G52=0,0,IF(AND('Suivi livrables'!P52=0,'Suivi livrables'!R52=0,'Suivi livrables'!T52=0,'Suivi livrables'!V52=0,'Suivi livrables'!X52=0,'Suivi livrables'!AD52=0),"N/A",#REF!-21))</f>
        <v>N/A</v>
      </c>
      <c r="BV52" s="117"/>
      <c r="BW52" s="97"/>
      <c r="BX52" s="102"/>
      <c r="BY52" s="117" t="str">
        <f t="shared" si="54"/>
        <v/>
      </c>
      <c r="BZ52" s="117" t="str">
        <f t="shared" si="55"/>
        <v/>
      </c>
      <c r="CA52" s="117" t="str">
        <f t="shared" si="56"/>
        <v/>
      </c>
      <c r="CB52" s="117" t="str">
        <f t="shared" si="57"/>
        <v/>
      </c>
      <c r="CC52" s="117" t="str">
        <f t="shared" si="58"/>
        <v/>
      </c>
      <c r="CD52" s="117" t="str">
        <f t="shared" si="59"/>
        <v/>
      </c>
      <c r="CE52" s="117" t="str">
        <f t="shared" si="60"/>
        <v/>
      </c>
      <c r="CF52" s="117" t="str">
        <f t="shared" si="61"/>
        <v/>
      </c>
      <c r="CG52" s="117" t="str">
        <f t="shared" si="62"/>
        <v/>
      </c>
      <c r="CH52" s="117" t="str">
        <f t="shared" si="63"/>
        <v/>
      </c>
      <c r="CI52" s="117" t="str">
        <f t="shared" si="29"/>
        <v/>
      </c>
      <c r="CJ52" s="117" t="str">
        <f t="shared" si="30"/>
        <v/>
      </c>
      <c r="CK52" s="117" t="str">
        <f t="shared" si="31"/>
        <v/>
      </c>
      <c r="CL52" s="117" t="str">
        <f t="shared" si="64"/>
        <v/>
      </c>
      <c r="CM52" s="117" t="str">
        <f t="shared" si="65"/>
        <v/>
      </c>
      <c r="CN52" s="117" t="str">
        <f t="shared" si="66"/>
        <v/>
      </c>
      <c r="CO52" s="121">
        <f t="shared" si="41"/>
        <v>41641</v>
      </c>
      <c r="CP52" s="117"/>
      <c r="CQ52" s="121">
        <f t="shared" si="42"/>
        <v>41641</v>
      </c>
      <c r="CR52" s="117"/>
      <c r="CS52" s="121">
        <f t="shared" si="43"/>
        <v>41683</v>
      </c>
      <c r="CT52" s="121">
        <f t="shared" si="44"/>
        <v>41697</v>
      </c>
      <c r="CU52" s="121">
        <f t="shared" si="45"/>
        <v>41669</v>
      </c>
      <c r="CV52" s="117"/>
      <c r="CW52" s="121">
        <f t="shared" si="46"/>
        <v>41683</v>
      </c>
      <c r="CX52" s="117"/>
      <c r="CY52" s="121">
        <f t="shared" si="47"/>
        <v>41690</v>
      </c>
      <c r="CZ52" s="117"/>
      <c r="DA52" s="121">
        <f t="shared" si="48"/>
        <v>41697</v>
      </c>
      <c r="DB52" s="121">
        <f t="shared" si="49"/>
        <v>41746</v>
      </c>
      <c r="DC52" s="121">
        <f t="shared" si="50"/>
        <v>41746</v>
      </c>
      <c r="DD52" s="117"/>
      <c r="DE52" s="125">
        <f t="shared" si="51"/>
        <v>41568</v>
      </c>
      <c r="DF52" s="124"/>
      <c r="DG52" s="125">
        <f t="shared" si="35"/>
        <v>41568</v>
      </c>
      <c r="DH52" s="124"/>
      <c r="DI52" s="125">
        <f t="shared" si="52"/>
        <v>41628</v>
      </c>
      <c r="DJ52" s="124"/>
      <c r="DK52" s="125">
        <f t="shared" si="53"/>
        <v>41613</v>
      </c>
      <c r="DL52" s="124"/>
      <c r="DM52" s="117"/>
      <c r="DN52" s="124"/>
      <c r="DO52" s="117"/>
      <c r="EE52" s="41" t="s">
        <v>76</v>
      </c>
    </row>
    <row r="53" spans="1:141" ht="16.5" thickBot="1">
      <c r="A53" s="13" t="s">
        <v>225</v>
      </c>
      <c r="B53" s="57">
        <f>jalons!B53</f>
        <v>0</v>
      </c>
      <c r="C53" s="57">
        <f>jalons!C53</f>
        <v>0</v>
      </c>
      <c r="D53" s="83" t="s">
        <v>253</v>
      </c>
      <c r="E53" s="9">
        <f>IF($A53="","",INDEX(jalons!$A$7:$K$125,MATCH('Suivi livrables'!$A53,jalons!$A$7:$A$125,0),4))</f>
        <v>41687</v>
      </c>
      <c r="F53" s="10">
        <f>IF($A53="","",INDEX(jalons!$A$7:$K$125,MATCH('Suivi livrables'!$A53,jalons!$A$7:$A$125,0),5))</f>
        <v>41739</v>
      </c>
      <c r="G53" s="10">
        <f>IF($A53="","",INDEX(jalons!$A$7:$K$125,MATCH('Suivi livrables'!$A53,jalons!$A$7:$A$125,0),6))</f>
        <v>41801</v>
      </c>
      <c r="H53" s="10">
        <f>IF($A53="","",INDEX(jalons!$A$7:$K$125,MATCH('Suivi livrables'!$A53,jalons!$A$7:$A$125,0),7))</f>
        <v>42058</v>
      </c>
      <c r="I53" s="10">
        <f>IF($A53="","",INDEX(jalons!$A$7:$K$125,MATCH('Suivi livrables'!$A53,jalons!$A$7:$A$125,0),8))</f>
        <v>42088</v>
      </c>
      <c r="J53" s="10">
        <f>IF($A53="","",INDEX(jalons!$A$7:$K$125,MATCH('Suivi livrables'!$A53,jalons!$A$7:$A$125,0),9))</f>
        <v>42219</v>
      </c>
      <c r="K53" s="10">
        <f>IF($A53="","",INDEX(jalons!$A$7:$K$125,MATCH('Suivi livrables'!$A53,jalons!$A$7:$A$125,0),10))</f>
        <v>42043</v>
      </c>
      <c r="L53" s="10">
        <f>IF($A53="","",INDEX(jalons!$A$7:$K$125,MATCH('Suivi livrables'!$A53,jalons!$A$7:$A$125,0),11))</f>
        <v>41968</v>
      </c>
      <c r="M53" s="14"/>
      <c r="N53" s="47"/>
      <c r="O53" s="47" t="s">
        <v>71</v>
      </c>
      <c r="P53" s="48"/>
      <c r="Q53" s="48" t="s">
        <v>71</v>
      </c>
      <c r="R53" s="48"/>
      <c r="S53" s="48" t="s">
        <v>71</v>
      </c>
      <c r="T53" s="48"/>
      <c r="U53" s="48" t="s">
        <v>71</v>
      </c>
      <c r="V53" s="50"/>
      <c r="W53" s="50"/>
      <c r="X53" s="50"/>
      <c r="Y53" s="48"/>
      <c r="Z53" s="48"/>
      <c r="AA53" s="50"/>
      <c r="AB53" s="94"/>
      <c r="AC53" s="48"/>
      <c r="AD53" s="128"/>
      <c r="AE53" s="132"/>
      <c r="AF53" s="50"/>
      <c r="AG53" s="48"/>
      <c r="AH53" s="50"/>
      <c r="AI53" s="48"/>
      <c r="AJ53" s="50"/>
      <c r="AK53" s="48"/>
      <c r="AL53" s="50"/>
      <c r="AM53" s="48"/>
      <c r="AN53" s="140"/>
      <c r="AO53" s="133"/>
      <c r="AP53" s="140"/>
      <c r="AQ53" s="132"/>
      <c r="AR53" s="133"/>
      <c r="AS53" s="140"/>
      <c r="AT53" s="132"/>
      <c r="AU53" s="149"/>
      <c r="AV53" s="149"/>
      <c r="AW53" s="132"/>
      <c r="AX53" s="149"/>
      <c r="AY53" s="149"/>
      <c r="AZ53" s="132"/>
      <c r="BA53" s="149"/>
      <c r="BB53" s="149"/>
      <c r="BC53" s="149"/>
      <c r="BD53" s="149"/>
      <c r="BE53" s="133" t="s">
        <v>246</v>
      </c>
      <c r="BF53" s="49"/>
      <c r="BG53" s="94"/>
      <c r="BH53" s="96">
        <f t="shared" si="36"/>
        <v>41724</v>
      </c>
      <c r="BI53" s="117"/>
      <c r="BJ53" s="119">
        <f t="shared" si="37"/>
        <v>41780</v>
      </c>
      <c r="BK53" s="117"/>
      <c r="BL53" s="121" t="str">
        <f t="shared" si="38"/>
        <v>N/A</v>
      </c>
      <c r="BM53" s="121" t="str">
        <f>IF(G53=0,0,IF('Suivi livrables'!BE53="ZSFR",IF(G53-F53&lt;90,F53+7,G53-90),"N/A"))</f>
        <v>N/A</v>
      </c>
      <c r="BN53" s="117"/>
      <c r="BO53" s="121" t="str">
        <f>IF(G53=0,0,IF('Suivi livrables'!BE53="ZSFR",IF(L53=0,I53-45,L53-4),"N/A"))</f>
        <v>N/A</v>
      </c>
      <c r="BP53" s="117"/>
      <c r="BQ53" s="121">
        <f t="shared" si="39"/>
        <v>41724</v>
      </c>
      <c r="BR53" s="121">
        <f t="shared" si="40"/>
        <v>41794</v>
      </c>
      <c r="BS53" s="117"/>
      <c r="BT53" s="121" t="str">
        <f>IF(G53=0,0,IF(AND('Suivi livrables'!P53=0,'Suivi livrables'!R53=0,'Suivi livrables'!T53=0,'Suivi livrables'!V53=0,'Suivi livrables'!X53=0,'Suivi livrables'!AD53=0),"N/A",#REF!-77))</f>
        <v>N/A</v>
      </c>
      <c r="BU53" s="121" t="str">
        <f>IF(G53=0,0,IF(AND('Suivi livrables'!P53=0,'Suivi livrables'!R53=0,'Suivi livrables'!T53=0,'Suivi livrables'!V53=0,'Suivi livrables'!X53=0,'Suivi livrables'!AD53=0),"N/A",#REF!-21))</f>
        <v>N/A</v>
      </c>
      <c r="BV53" s="117"/>
      <c r="BW53" s="97"/>
      <c r="BX53" s="102"/>
      <c r="BY53" s="117" t="str">
        <f t="shared" si="54"/>
        <v>Greiner</v>
      </c>
      <c r="BZ53" s="117" t="str">
        <f t="shared" si="55"/>
        <v/>
      </c>
      <c r="CA53" s="117" t="str">
        <f t="shared" si="56"/>
        <v>Greiner</v>
      </c>
      <c r="CB53" s="117" t="str">
        <f t="shared" si="57"/>
        <v/>
      </c>
      <c r="CC53" s="117" t="str">
        <f t="shared" si="58"/>
        <v>Greiner</v>
      </c>
      <c r="CD53" s="117" t="str">
        <f t="shared" si="59"/>
        <v/>
      </c>
      <c r="CE53" s="117" t="str">
        <f t="shared" si="60"/>
        <v>Greiner</v>
      </c>
      <c r="CF53" s="117" t="str">
        <f t="shared" si="61"/>
        <v/>
      </c>
      <c r="CG53" s="117" t="str">
        <f t="shared" si="62"/>
        <v/>
      </c>
      <c r="CH53" s="117" t="str">
        <f t="shared" si="63"/>
        <v/>
      </c>
      <c r="CI53" s="117" t="str">
        <f t="shared" si="29"/>
        <v/>
      </c>
      <c r="CJ53" s="117" t="str">
        <f t="shared" si="30"/>
        <v/>
      </c>
      <c r="CK53" s="117" t="str">
        <f t="shared" si="31"/>
        <v/>
      </c>
      <c r="CL53" s="117" t="str">
        <f t="shared" si="64"/>
        <v/>
      </c>
      <c r="CM53" s="117" t="str">
        <f t="shared" si="65"/>
        <v/>
      </c>
      <c r="CN53" s="117" t="str">
        <f t="shared" si="66"/>
        <v/>
      </c>
      <c r="CO53" s="121">
        <f t="shared" si="41"/>
        <v>41724</v>
      </c>
      <c r="CP53" s="117"/>
      <c r="CQ53" s="121">
        <f t="shared" si="42"/>
        <v>41724</v>
      </c>
      <c r="CR53" s="117"/>
      <c r="CS53" s="121">
        <f t="shared" si="43"/>
        <v>41766</v>
      </c>
      <c r="CT53" s="121">
        <f t="shared" si="44"/>
        <v>41780</v>
      </c>
      <c r="CU53" s="121">
        <f t="shared" si="45"/>
        <v>41752</v>
      </c>
      <c r="CV53" s="117"/>
      <c r="CW53" s="121">
        <f t="shared" si="46"/>
        <v>41766</v>
      </c>
      <c r="CX53" s="117"/>
      <c r="CY53" s="121">
        <f t="shared" si="47"/>
        <v>41773</v>
      </c>
      <c r="CZ53" s="117"/>
      <c r="DA53" s="121">
        <f t="shared" si="48"/>
        <v>41780</v>
      </c>
      <c r="DB53" s="121">
        <f t="shared" si="49"/>
        <v>41829</v>
      </c>
      <c r="DC53" s="121">
        <f t="shared" si="50"/>
        <v>41829</v>
      </c>
      <c r="DD53" s="117"/>
      <c r="DE53" s="125">
        <f t="shared" si="51"/>
        <v>41694</v>
      </c>
      <c r="DF53" s="124"/>
      <c r="DG53" s="125">
        <f t="shared" si="35"/>
        <v>41694</v>
      </c>
      <c r="DH53" s="124"/>
      <c r="DI53" s="125">
        <f t="shared" si="52"/>
        <v>41754</v>
      </c>
      <c r="DJ53" s="124"/>
      <c r="DK53" s="125">
        <f t="shared" si="53"/>
        <v>41739</v>
      </c>
      <c r="DL53" s="124"/>
      <c r="DM53" s="117"/>
      <c r="DN53" s="124"/>
      <c r="DO53" s="117"/>
      <c r="EE53" s="41" t="s">
        <v>245</v>
      </c>
    </row>
    <row r="54" spans="1:141" ht="16.5" thickBot="1">
      <c r="A54" s="25" t="s">
        <v>56</v>
      </c>
      <c r="B54" s="57" t="str">
        <f>jalons!B54</f>
        <v>KLM</v>
      </c>
      <c r="C54" s="57" t="str">
        <f>jalons!C54</f>
        <v>B787</v>
      </c>
      <c r="D54" s="82" t="s">
        <v>253</v>
      </c>
      <c r="E54" s="9">
        <f>IF($A54="","",INDEX(jalons!$A$7:$K$125,MATCH('Suivi livrables'!$A54,jalons!$A$7:$A$125,0),4))</f>
        <v>41585</v>
      </c>
      <c r="F54" s="10">
        <f>IF($A54="","",INDEX(jalons!$A$7:$K$125,MATCH('Suivi livrables'!$A54,jalons!$A$7:$A$125,0),5))</f>
        <v>41704</v>
      </c>
      <c r="G54" s="10">
        <f>IF($A54="","",INDEX(jalons!$A$7:$K$125,MATCH('Suivi livrables'!$A54,jalons!$A$7:$A$125,0),6))</f>
        <v>41802</v>
      </c>
      <c r="H54" s="10">
        <f>IF($A54="","",INDEX(jalons!$A$7:$K$125,MATCH('Suivi livrables'!$A54,jalons!$A$7:$A$125,0),7))</f>
        <v>42114</v>
      </c>
      <c r="I54" s="10">
        <f>IF($A54="","",INDEX(jalons!$A$7:$K$125,MATCH('Suivi livrables'!$A54,jalons!$A$7:$A$125,0),8))</f>
        <v>42165</v>
      </c>
      <c r="J54" s="10">
        <f>IF($A54="","",INDEX(jalons!$A$7:$K$125,MATCH('Suivi livrables'!$A54,jalons!$A$7:$A$125,0),9))</f>
        <v>42180</v>
      </c>
      <c r="K54" s="10">
        <f>IF($A54="","",INDEX(jalons!$A$7:$K$125,MATCH('Suivi livrables'!$A54,jalons!$A$7:$A$125,0),10))</f>
        <v>41898</v>
      </c>
      <c r="L54" s="10">
        <f>IF($A54="","",INDEX(jalons!$A$7:$K$125,MATCH('Suivi livrables'!$A54,jalons!$A$7:$A$125,0),11))</f>
        <v>42079</v>
      </c>
      <c r="M54" s="14"/>
      <c r="N54" s="47"/>
      <c r="O54" s="47" t="s">
        <v>71</v>
      </c>
      <c r="P54" s="48"/>
      <c r="Q54" s="48" t="s">
        <v>71</v>
      </c>
      <c r="R54" s="48"/>
      <c r="S54" s="48" t="s">
        <v>71</v>
      </c>
      <c r="T54" s="48"/>
      <c r="U54" s="48" t="s">
        <v>71</v>
      </c>
      <c r="V54" s="48"/>
      <c r="W54" s="48"/>
      <c r="X54" s="48"/>
      <c r="Y54" s="48"/>
      <c r="Z54" s="48"/>
      <c r="AA54" s="48"/>
      <c r="AB54" s="93"/>
      <c r="AC54" s="48"/>
      <c r="AD54" s="127"/>
      <c r="AE54" s="132"/>
      <c r="AF54" s="48"/>
      <c r="AG54" s="48"/>
      <c r="AH54" s="48"/>
      <c r="AI54" s="48"/>
      <c r="AJ54" s="48"/>
      <c r="AK54" s="48"/>
      <c r="AL54" s="48"/>
      <c r="AM54" s="48"/>
      <c r="AN54" s="132"/>
      <c r="AO54" s="133"/>
      <c r="AP54" s="132"/>
      <c r="AQ54" s="132"/>
      <c r="AR54" s="133"/>
      <c r="AS54" s="132"/>
      <c r="AT54" s="132"/>
      <c r="AU54" s="139"/>
      <c r="AV54" s="139"/>
      <c r="AW54" s="132"/>
      <c r="AX54" s="139"/>
      <c r="AY54" s="139"/>
      <c r="AZ54" s="132"/>
      <c r="BA54" s="139"/>
      <c r="BB54" s="139"/>
      <c r="BC54" s="139"/>
      <c r="BD54" s="139"/>
      <c r="BE54" s="133" t="s">
        <v>210</v>
      </c>
      <c r="BF54" s="47"/>
      <c r="BG54" s="93"/>
      <c r="BH54" s="96">
        <f t="shared" si="36"/>
        <v>41725</v>
      </c>
      <c r="BI54" s="117"/>
      <c r="BJ54" s="119">
        <f t="shared" si="37"/>
        <v>41781</v>
      </c>
      <c r="BK54" s="117"/>
      <c r="BL54" s="121" t="str">
        <f t="shared" si="38"/>
        <v>N/A</v>
      </c>
      <c r="BM54" s="121" t="str">
        <f>IF(G54=0,0,IF('Suivi livrables'!BE54="ZSFR",IF(G54-F54&lt;90,F54+7,G54-90),"N/A"))</f>
        <v>N/A</v>
      </c>
      <c r="BN54" s="117"/>
      <c r="BO54" s="121" t="str">
        <f>IF(G54=0,0,IF('Suivi livrables'!BE54="ZSFR",IF(L54=0,I54-45,L54-4),"N/A"))</f>
        <v>N/A</v>
      </c>
      <c r="BP54" s="117"/>
      <c r="BQ54" s="121">
        <f t="shared" si="39"/>
        <v>41725</v>
      </c>
      <c r="BR54" s="121">
        <f t="shared" si="40"/>
        <v>41795</v>
      </c>
      <c r="BS54" s="117"/>
      <c r="BT54" s="121" t="str">
        <f>IF(G54=0,0,IF(AND('Suivi livrables'!P54=0,'Suivi livrables'!R54=0,'Suivi livrables'!T54=0,'Suivi livrables'!V54=0,'Suivi livrables'!X54=0,'Suivi livrables'!AD54=0),"N/A",#REF!-77))</f>
        <v>N/A</v>
      </c>
      <c r="BU54" s="121" t="str">
        <f>IF(G54=0,0,IF(AND('Suivi livrables'!P54=0,'Suivi livrables'!R54=0,'Suivi livrables'!T54=0,'Suivi livrables'!V54=0,'Suivi livrables'!X54=0,'Suivi livrables'!AD54=0),"N/A",#REF!-21))</f>
        <v>N/A</v>
      </c>
      <c r="BV54" s="117"/>
      <c r="BW54" s="97"/>
      <c r="BX54" s="102"/>
      <c r="BY54" s="117" t="str">
        <f t="shared" si="54"/>
        <v>Greiner</v>
      </c>
      <c r="BZ54" s="117" t="str">
        <f t="shared" si="55"/>
        <v/>
      </c>
      <c r="CA54" s="117" t="str">
        <f t="shared" si="56"/>
        <v>Greiner</v>
      </c>
      <c r="CB54" s="117" t="str">
        <f t="shared" si="57"/>
        <v/>
      </c>
      <c r="CC54" s="117" t="str">
        <f t="shared" si="58"/>
        <v>Greiner</v>
      </c>
      <c r="CD54" s="117" t="str">
        <f t="shared" si="59"/>
        <v/>
      </c>
      <c r="CE54" s="117" t="str">
        <f t="shared" si="60"/>
        <v>Greiner</v>
      </c>
      <c r="CF54" s="117" t="str">
        <f t="shared" si="61"/>
        <v/>
      </c>
      <c r="CG54" s="117" t="str">
        <f t="shared" si="62"/>
        <v/>
      </c>
      <c r="CH54" s="117" t="str">
        <f t="shared" si="63"/>
        <v/>
      </c>
      <c r="CI54" s="117" t="str">
        <f t="shared" si="29"/>
        <v/>
      </c>
      <c r="CJ54" s="117" t="str">
        <f t="shared" si="30"/>
        <v/>
      </c>
      <c r="CK54" s="117" t="str">
        <f t="shared" si="31"/>
        <v/>
      </c>
      <c r="CL54" s="117" t="str">
        <f t="shared" si="64"/>
        <v/>
      </c>
      <c r="CM54" s="117" t="str">
        <f t="shared" si="65"/>
        <v/>
      </c>
      <c r="CN54" s="117" t="str">
        <f t="shared" si="66"/>
        <v/>
      </c>
      <c r="CO54" s="121">
        <f t="shared" si="41"/>
        <v>41725</v>
      </c>
      <c r="CP54" s="117"/>
      <c r="CQ54" s="121">
        <f t="shared" si="42"/>
        <v>41725</v>
      </c>
      <c r="CR54" s="117"/>
      <c r="CS54" s="121">
        <f t="shared" si="43"/>
        <v>41767</v>
      </c>
      <c r="CT54" s="121">
        <f t="shared" si="44"/>
        <v>41781</v>
      </c>
      <c r="CU54" s="121">
        <f t="shared" si="45"/>
        <v>41753</v>
      </c>
      <c r="CV54" s="117"/>
      <c r="CW54" s="121">
        <f t="shared" si="46"/>
        <v>41767</v>
      </c>
      <c r="CX54" s="117"/>
      <c r="CY54" s="121">
        <f t="shared" si="47"/>
        <v>41774</v>
      </c>
      <c r="CZ54" s="117"/>
      <c r="DA54" s="121">
        <f t="shared" si="48"/>
        <v>41781</v>
      </c>
      <c r="DB54" s="121">
        <f t="shared" si="49"/>
        <v>41830</v>
      </c>
      <c r="DC54" s="121">
        <f t="shared" si="50"/>
        <v>41830</v>
      </c>
      <c r="DD54" s="117"/>
      <c r="DE54" s="125">
        <f t="shared" si="51"/>
        <v>41652</v>
      </c>
      <c r="DF54" s="124"/>
      <c r="DG54" s="125">
        <f t="shared" si="35"/>
        <v>41652</v>
      </c>
      <c r="DH54" s="124"/>
      <c r="DI54" s="125">
        <f t="shared" si="52"/>
        <v>41712</v>
      </c>
      <c r="DJ54" s="124"/>
      <c r="DK54" s="125">
        <f t="shared" si="53"/>
        <v>41697</v>
      </c>
      <c r="DL54" s="124"/>
      <c r="DM54" s="117"/>
      <c r="DN54" s="124"/>
      <c r="DO54" s="117"/>
      <c r="EE54" s="41" t="s">
        <v>140</v>
      </c>
    </row>
    <row r="55" spans="1:141" ht="16.5" thickBot="1">
      <c r="A55" s="25" t="s">
        <v>59</v>
      </c>
      <c r="B55" s="57" t="str">
        <f>jalons!B55</f>
        <v>Air France</v>
      </c>
      <c r="C55" s="57" t="str">
        <f>jalons!C55</f>
        <v>B787</v>
      </c>
      <c r="D55" s="82" t="s">
        <v>253</v>
      </c>
      <c r="E55" s="9">
        <f>IF($A55="","",INDEX(jalons!$A$7:$K$125,MATCH('Suivi livrables'!$A55,jalons!$A$7:$A$125,0),4))</f>
        <v>41990</v>
      </c>
      <c r="F55" s="10">
        <f>IF($A55="","",INDEX(jalons!$A$7:$K$125,MATCH('Suivi livrables'!$A55,jalons!$A$7:$A$125,0),5))</f>
        <v>42079</v>
      </c>
      <c r="G55" s="10">
        <f>IF($A55="","",INDEX(jalons!$A$7:$K$125,MATCH('Suivi livrables'!$A55,jalons!$A$7:$A$125,0),6))</f>
        <v>42279</v>
      </c>
      <c r="H55" s="10">
        <f>IF($A55="","",INDEX(jalons!$A$7:$K$125,MATCH('Suivi livrables'!$A55,jalons!$A$7:$A$125,0),7))</f>
        <v>42419</v>
      </c>
      <c r="I55" s="10">
        <f>IF($A55="","",INDEX(jalons!$A$7:$K$125,MATCH('Suivi livrables'!$A55,jalons!$A$7:$A$125,0),8))</f>
        <v>42478</v>
      </c>
      <c r="J55" s="10">
        <f>IF($A55="","",INDEX(jalons!$A$7:$K$125,MATCH('Suivi livrables'!$A55,jalons!$A$7:$A$125,0),9))</f>
        <v>42524</v>
      </c>
      <c r="K55" s="10">
        <f>IF($A55="","",INDEX(jalons!$A$7:$K$125,MATCH('Suivi livrables'!$A55,jalons!$A$7:$A$125,0),10))</f>
        <v>42273</v>
      </c>
      <c r="L55" s="10">
        <f>IF($A55="","",INDEX(jalons!$A$7:$K$125,MATCH('Suivi livrables'!$A55,jalons!$A$7:$A$125,0),11))</f>
        <v>42329</v>
      </c>
      <c r="M55" s="14"/>
      <c r="N55" s="47"/>
      <c r="O55" s="47" t="s">
        <v>71</v>
      </c>
      <c r="P55" s="48"/>
      <c r="Q55" s="48" t="s">
        <v>71</v>
      </c>
      <c r="R55" s="48"/>
      <c r="S55" s="48" t="s">
        <v>71</v>
      </c>
      <c r="T55" s="48"/>
      <c r="U55" s="48" t="s">
        <v>71</v>
      </c>
      <c r="V55" s="48"/>
      <c r="W55" s="48"/>
      <c r="X55" s="48"/>
      <c r="Y55" s="48"/>
      <c r="Z55" s="48"/>
      <c r="AA55" s="48"/>
      <c r="AB55" s="93"/>
      <c r="AC55" s="48"/>
      <c r="AD55" s="127"/>
      <c r="AE55" s="132"/>
      <c r="AF55" s="48"/>
      <c r="AG55" s="48"/>
      <c r="AH55" s="48"/>
      <c r="AI55" s="48"/>
      <c r="AJ55" s="48"/>
      <c r="AK55" s="48"/>
      <c r="AL55" s="48"/>
      <c r="AM55" s="48"/>
      <c r="AN55" s="132"/>
      <c r="AO55" s="133"/>
      <c r="AP55" s="132"/>
      <c r="AQ55" s="132"/>
      <c r="AR55" s="133"/>
      <c r="AS55" s="132"/>
      <c r="AT55" s="132"/>
      <c r="AU55" s="139"/>
      <c r="AV55" s="139"/>
      <c r="AW55" s="132"/>
      <c r="AX55" s="139"/>
      <c r="AY55" s="139"/>
      <c r="AZ55" s="132"/>
      <c r="BA55" s="139"/>
      <c r="BB55" s="139"/>
      <c r="BC55" s="139"/>
      <c r="BD55" s="139"/>
      <c r="BE55" s="133"/>
      <c r="BF55" s="47"/>
      <c r="BG55" s="93"/>
      <c r="BH55" s="96">
        <f t="shared" si="36"/>
        <v>42202</v>
      </c>
      <c r="BI55" s="117"/>
      <c r="BJ55" s="119">
        <f t="shared" si="37"/>
        <v>42258</v>
      </c>
      <c r="BK55" s="117"/>
      <c r="BL55" s="121" t="str">
        <f t="shared" si="38"/>
        <v>N/A</v>
      </c>
      <c r="BM55" s="121" t="str">
        <f>IF(G55=0,0,IF('Suivi livrables'!BE55="ZSFR",IF(G55-F55&lt;90,F55+7,G55-90),"N/A"))</f>
        <v>N/A</v>
      </c>
      <c r="BN55" s="117"/>
      <c r="BO55" s="121" t="str">
        <f>IF(G55=0,0,IF('Suivi livrables'!BE55="ZSFR",IF(L55=0,I55-45,L55-4),"N/A"))</f>
        <v>N/A</v>
      </c>
      <c r="BP55" s="117"/>
      <c r="BQ55" s="121">
        <f t="shared" si="39"/>
        <v>42202</v>
      </c>
      <c r="BR55" s="121">
        <f t="shared" si="40"/>
        <v>42272</v>
      </c>
      <c r="BS55" s="117"/>
      <c r="BT55" s="121" t="str">
        <f>IF(G55=0,0,IF(AND('Suivi livrables'!P55=0,'Suivi livrables'!R55=0,'Suivi livrables'!T55=0,'Suivi livrables'!V55=0,'Suivi livrables'!X55=0,'Suivi livrables'!AD55=0),"N/A",#REF!-77))</f>
        <v>N/A</v>
      </c>
      <c r="BU55" s="121" t="str">
        <f>IF(G55=0,0,IF(AND('Suivi livrables'!P55=0,'Suivi livrables'!R55=0,'Suivi livrables'!T55=0,'Suivi livrables'!V55=0,'Suivi livrables'!X55=0,'Suivi livrables'!AD55=0),"N/A",#REF!-21))</f>
        <v>N/A</v>
      </c>
      <c r="BV55" s="117"/>
      <c r="BW55" s="97"/>
      <c r="BX55" s="102"/>
      <c r="BY55" s="117" t="str">
        <f t="shared" si="54"/>
        <v>Greiner</v>
      </c>
      <c r="BZ55" s="117" t="str">
        <f t="shared" si="55"/>
        <v/>
      </c>
      <c r="CA55" s="117" t="str">
        <f t="shared" si="56"/>
        <v>Greiner</v>
      </c>
      <c r="CB55" s="117" t="str">
        <f t="shared" si="57"/>
        <v/>
      </c>
      <c r="CC55" s="117" t="str">
        <f t="shared" si="58"/>
        <v>Greiner</v>
      </c>
      <c r="CD55" s="117" t="str">
        <f t="shared" si="59"/>
        <v/>
      </c>
      <c r="CE55" s="117" t="str">
        <f t="shared" si="60"/>
        <v>Greiner</v>
      </c>
      <c r="CF55" s="117" t="str">
        <f t="shared" si="61"/>
        <v/>
      </c>
      <c r="CG55" s="117" t="str">
        <f t="shared" si="62"/>
        <v/>
      </c>
      <c r="CH55" s="117" t="str">
        <f t="shared" si="63"/>
        <v/>
      </c>
      <c r="CI55" s="117" t="str">
        <f t="shared" si="29"/>
        <v/>
      </c>
      <c r="CJ55" s="117" t="str">
        <f t="shared" si="30"/>
        <v/>
      </c>
      <c r="CK55" s="117" t="str">
        <f t="shared" si="31"/>
        <v/>
      </c>
      <c r="CL55" s="117" t="str">
        <f t="shared" si="64"/>
        <v/>
      </c>
      <c r="CM55" s="117" t="str">
        <f t="shared" si="65"/>
        <v/>
      </c>
      <c r="CN55" s="117" t="str">
        <f t="shared" si="66"/>
        <v/>
      </c>
      <c r="CO55" s="121">
        <f t="shared" si="41"/>
        <v>42202</v>
      </c>
      <c r="CP55" s="117"/>
      <c r="CQ55" s="121">
        <f t="shared" si="42"/>
        <v>42202</v>
      </c>
      <c r="CR55" s="117"/>
      <c r="CS55" s="121">
        <f t="shared" si="43"/>
        <v>42244</v>
      </c>
      <c r="CT55" s="121">
        <f t="shared" si="44"/>
        <v>42258</v>
      </c>
      <c r="CU55" s="121">
        <f t="shared" si="45"/>
        <v>42230</v>
      </c>
      <c r="CV55" s="117"/>
      <c r="CW55" s="121">
        <f t="shared" si="46"/>
        <v>42244</v>
      </c>
      <c r="CX55" s="117"/>
      <c r="CY55" s="121">
        <f t="shared" si="47"/>
        <v>42251</v>
      </c>
      <c r="CZ55" s="117"/>
      <c r="DA55" s="121">
        <f t="shared" si="48"/>
        <v>42258</v>
      </c>
      <c r="DB55" s="121">
        <f t="shared" si="49"/>
        <v>42307</v>
      </c>
      <c r="DC55" s="121">
        <f t="shared" si="50"/>
        <v>42307</v>
      </c>
      <c r="DD55" s="117"/>
      <c r="DE55" s="125">
        <f t="shared" si="51"/>
        <v>42129</v>
      </c>
      <c r="DF55" s="124"/>
      <c r="DG55" s="125">
        <f t="shared" si="35"/>
        <v>42129</v>
      </c>
      <c r="DH55" s="124"/>
      <c r="DI55" s="125">
        <f t="shared" si="52"/>
        <v>42189</v>
      </c>
      <c r="DJ55" s="124"/>
      <c r="DK55" s="125">
        <f t="shared" si="53"/>
        <v>42174</v>
      </c>
      <c r="DL55" s="124"/>
      <c r="DM55" s="117"/>
      <c r="DN55" s="124"/>
      <c r="DO55" s="117"/>
      <c r="EE55" s="41" t="s">
        <v>244</v>
      </c>
    </row>
    <row r="56" spans="1:141" ht="16.5" thickBot="1">
      <c r="A56" s="25" t="s">
        <v>60</v>
      </c>
      <c r="B56" s="57" t="str">
        <f>jalons!B56</f>
        <v>Swiss Air</v>
      </c>
      <c r="C56" s="57" t="str">
        <f>jalons!C56</f>
        <v>B777</v>
      </c>
      <c r="D56" s="82" t="s">
        <v>252</v>
      </c>
      <c r="E56" s="9">
        <f>IF($A56="","",INDEX(jalons!$A$7:$K$125,MATCH('Suivi livrables'!$A56,jalons!$A$7:$A$125,0),4))</f>
        <v>41891</v>
      </c>
      <c r="F56" s="10">
        <f>IF($A56="","",INDEX(jalons!$A$7:$K$125,MATCH('Suivi livrables'!$A56,jalons!$A$7:$A$125,0),5))</f>
        <v>41948</v>
      </c>
      <c r="G56" s="10">
        <f>IF($A56="","",INDEX(jalons!$A$7:$K$125,MATCH('Suivi livrables'!$A56,jalons!$A$7:$A$125,0),6))</f>
        <v>42041</v>
      </c>
      <c r="H56" s="10">
        <f>IF($A56="","",INDEX(jalons!$A$7:$K$125,MATCH('Suivi livrables'!$A56,jalons!$A$7:$A$125,0),7))</f>
        <v>42167</v>
      </c>
      <c r="I56" s="10">
        <f>IF($A56="","",INDEX(jalons!$A$7:$K$125,MATCH('Suivi livrables'!$A56,jalons!$A$7:$A$125,0),8))</f>
        <v>42268</v>
      </c>
      <c r="J56" s="10">
        <f>IF($A56="","",INDEX(jalons!$A$7:$K$125,MATCH('Suivi livrables'!$A56,jalons!$A$7:$A$125,0),9))</f>
        <v>42304</v>
      </c>
      <c r="K56" s="10">
        <f>IF($A56="","",INDEX(jalons!$A$7:$K$125,MATCH('Suivi livrables'!$A56,jalons!$A$7:$A$125,0),10))</f>
        <v>42137</v>
      </c>
      <c r="L56" s="10">
        <f>IF($A56="","",INDEX(jalons!$A$7:$K$125,MATCH('Suivi livrables'!$A56,jalons!$A$7:$A$125,0),11))</f>
        <v>42161</v>
      </c>
      <c r="M56" s="14"/>
      <c r="N56" s="47" t="s">
        <v>103</v>
      </c>
      <c r="O56" s="47" t="s">
        <v>244</v>
      </c>
      <c r="P56" s="48">
        <v>5</v>
      </c>
      <c r="Q56" s="48" t="s">
        <v>71</v>
      </c>
      <c r="R56" s="48">
        <v>2</v>
      </c>
      <c r="S56" s="48" t="s">
        <v>71</v>
      </c>
      <c r="T56" s="48">
        <v>2</v>
      </c>
      <c r="U56" s="48" t="s">
        <v>71</v>
      </c>
      <c r="V56" s="48">
        <v>2</v>
      </c>
      <c r="W56" s="48"/>
      <c r="X56" s="48"/>
      <c r="Y56" s="48"/>
      <c r="Z56" s="48"/>
      <c r="AA56" s="48"/>
      <c r="AB56" s="93"/>
      <c r="AC56" s="48"/>
      <c r="AD56" s="127"/>
      <c r="AE56" s="132"/>
      <c r="AF56" s="48"/>
      <c r="AG56" s="48"/>
      <c r="AH56" s="48"/>
      <c r="AI56" s="48"/>
      <c r="AJ56" s="48"/>
      <c r="AK56" s="48"/>
      <c r="AL56" s="48"/>
      <c r="AM56" s="48"/>
      <c r="AN56" s="132"/>
      <c r="AO56" s="133"/>
      <c r="AP56" s="132"/>
      <c r="AQ56" s="132"/>
      <c r="AR56" s="133"/>
      <c r="AS56" s="132"/>
      <c r="AT56" s="132"/>
      <c r="AU56" s="139"/>
      <c r="AV56" s="139"/>
      <c r="AW56" s="132"/>
      <c r="AX56" s="139"/>
      <c r="AY56" s="139"/>
      <c r="AZ56" s="132"/>
      <c r="BA56" s="139"/>
      <c r="BB56" s="139"/>
      <c r="BC56" s="139"/>
      <c r="BD56" s="139"/>
      <c r="BE56" s="133" t="s">
        <v>68</v>
      </c>
      <c r="BF56" s="47"/>
      <c r="BG56" s="93"/>
      <c r="BH56" s="96">
        <f t="shared" si="36"/>
        <v>41964</v>
      </c>
      <c r="BI56" s="117"/>
      <c r="BJ56" s="119">
        <f t="shared" si="37"/>
        <v>42020</v>
      </c>
      <c r="BK56" s="117"/>
      <c r="BL56" s="121">
        <f t="shared" si="38"/>
        <v>41906</v>
      </c>
      <c r="BM56" s="121">
        <f>IF(G56=0,0,IF('Suivi livrables'!BE56="ZSFR",IF(G56-F56&lt;90,F56+7,G56-90),"N/A"))</f>
        <v>41951</v>
      </c>
      <c r="BN56" s="117"/>
      <c r="BO56" s="121">
        <f>IF(G56=0,0,IF('Suivi livrables'!BE56="ZSFR",IF(L56=0,I56-45,L56-4),"N/A"))</f>
        <v>42157</v>
      </c>
      <c r="BP56" s="117"/>
      <c r="BQ56" s="121" t="str">
        <f t="shared" si="39"/>
        <v>N/A</v>
      </c>
      <c r="BR56" s="121" t="str">
        <f t="shared" si="40"/>
        <v>N/A</v>
      </c>
      <c r="BS56" s="117"/>
      <c r="BT56" s="121" t="e">
        <f>IF(G56=0,0,IF(AND('Suivi livrables'!P56=0,'Suivi livrables'!R56=0,'Suivi livrables'!T56=0,'Suivi livrables'!V56=0,'Suivi livrables'!X56=0,'Suivi livrables'!AD56=0),"N/A",#REF!-77))</f>
        <v>#REF!</v>
      </c>
      <c r="BU56" s="121" t="e">
        <f>IF(G56=0,0,IF(AND('Suivi livrables'!P56=0,'Suivi livrables'!R56=0,'Suivi livrables'!T56=0,'Suivi livrables'!V56=0,'Suivi livrables'!X56=0,'Suivi livrables'!AD56=0),"N/A",#REF!-21))</f>
        <v>#REF!</v>
      </c>
      <c r="BV56" s="117"/>
      <c r="BW56" s="97"/>
      <c r="BX56" s="102"/>
      <c r="BY56" s="117" t="str">
        <f t="shared" si="54"/>
        <v>Supracor</v>
      </c>
      <c r="BZ56" s="117">
        <f t="shared" si="55"/>
        <v>5</v>
      </c>
      <c r="CA56" s="117" t="str">
        <f t="shared" si="56"/>
        <v>Greiner</v>
      </c>
      <c r="CB56" s="117">
        <f t="shared" si="57"/>
        <v>2</v>
      </c>
      <c r="CC56" s="117" t="str">
        <f t="shared" si="58"/>
        <v>Greiner</v>
      </c>
      <c r="CD56" s="117">
        <f t="shared" si="59"/>
        <v>2</v>
      </c>
      <c r="CE56" s="117" t="str">
        <f t="shared" si="60"/>
        <v>Greiner</v>
      </c>
      <c r="CF56" s="117">
        <f t="shared" si="61"/>
        <v>2</v>
      </c>
      <c r="CG56" s="117" t="str">
        <f t="shared" si="62"/>
        <v/>
      </c>
      <c r="CH56" s="117" t="str">
        <f t="shared" si="63"/>
        <v/>
      </c>
      <c r="CI56" s="117" t="str">
        <f t="shared" si="29"/>
        <v/>
      </c>
      <c r="CJ56" s="117" t="str">
        <f t="shared" si="30"/>
        <v/>
      </c>
      <c r="CK56" s="117" t="str">
        <f t="shared" si="31"/>
        <v/>
      </c>
      <c r="CL56" s="117" t="str">
        <f t="shared" si="64"/>
        <v/>
      </c>
      <c r="CM56" s="117" t="str">
        <f t="shared" si="65"/>
        <v/>
      </c>
      <c r="CN56" s="117" t="str">
        <f t="shared" si="66"/>
        <v/>
      </c>
      <c r="CO56" s="121">
        <f t="shared" si="41"/>
        <v>41964</v>
      </c>
      <c r="CP56" s="117"/>
      <c r="CQ56" s="121">
        <f t="shared" si="42"/>
        <v>41964</v>
      </c>
      <c r="CR56" s="117"/>
      <c r="CS56" s="121">
        <f t="shared" si="43"/>
        <v>42006</v>
      </c>
      <c r="CT56" s="121">
        <f t="shared" si="44"/>
        <v>42020</v>
      </c>
      <c r="CU56" s="121">
        <f t="shared" si="45"/>
        <v>41992</v>
      </c>
      <c r="CV56" s="117"/>
      <c r="CW56" s="121">
        <f t="shared" si="46"/>
        <v>42006</v>
      </c>
      <c r="CX56" s="117"/>
      <c r="CY56" s="121">
        <f t="shared" si="47"/>
        <v>42013</v>
      </c>
      <c r="CZ56" s="117"/>
      <c r="DA56" s="121">
        <f t="shared" si="48"/>
        <v>42020</v>
      </c>
      <c r="DB56" s="121">
        <f t="shared" si="49"/>
        <v>42069</v>
      </c>
      <c r="DC56" s="121">
        <f t="shared" si="50"/>
        <v>42069</v>
      </c>
      <c r="DD56" s="117"/>
      <c r="DE56" s="125">
        <f t="shared" si="51"/>
        <v>41891</v>
      </c>
      <c r="DF56" s="124"/>
      <c r="DG56" s="125">
        <f t="shared" si="35"/>
        <v>41891</v>
      </c>
      <c r="DH56" s="124"/>
      <c r="DI56" s="125">
        <f t="shared" si="52"/>
        <v>41951</v>
      </c>
      <c r="DJ56" s="124"/>
      <c r="DK56" s="125">
        <f t="shared" si="53"/>
        <v>41936</v>
      </c>
      <c r="DL56" s="124"/>
      <c r="DM56" s="117"/>
      <c r="DN56" s="124"/>
      <c r="DO56" s="117"/>
      <c r="EE56" s="41" t="s">
        <v>248</v>
      </c>
    </row>
    <row r="57" spans="1:141" ht="16.5" thickBot="1">
      <c r="A57" s="25" t="s">
        <v>61</v>
      </c>
      <c r="B57" s="57" t="str">
        <f>jalons!B57</f>
        <v>Air Caraïbes</v>
      </c>
      <c r="C57" s="57" t="str">
        <f>jalons!C57</f>
        <v>A350</v>
      </c>
      <c r="D57" s="82" t="s">
        <v>252</v>
      </c>
      <c r="E57" s="9">
        <f>IF($A57="","",INDEX(jalons!$A$7:$K$125,MATCH('Suivi livrables'!$A57,jalons!$A$7:$A$125,0),4))</f>
        <v>41934</v>
      </c>
      <c r="F57" s="10">
        <f>IF($A57="","",INDEX(jalons!$A$7:$K$125,MATCH('Suivi livrables'!$A57,jalons!$A$7:$A$125,0),5))</f>
        <v>42047</v>
      </c>
      <c r="G57" s="10">
        <f>IF($A57="","",INDEX(jalons!$A$7:$K$125,MATCH('Suivi livrables'!$A57,jalons!$A$7:$A$125,0),6))</f>
        <v>42215</v>
      </c>
      <c r="H57" s="10">
        <f>IF($A57="","",INDEX(jalons!$A$7:$K$125,MATCH('Suivi livrables'!$A57,jalons!$A$7:$A$125,0),7))</f>
        <v>42459</v>
      </c>
      <c r="I57" s="10">
        <f>IF($A57="","",INDEX(jalons!$A$7:$K$125,MATCH('Suivi livrables'!$A57,jalons!$A$7:$A$125,0),8))</f>
        <v>42486</v>
      </c>
      <c r="J57" s="10">
        <f>IF($A57="","",INDEX(jalons!$A$7:$K$125,MATCH('Suivi livrables'!$A57,jalons!$A$7:$A$125,0),9))</f>
        <v>42601</v>
      </c>
      <c r="K57" s="10">
        <f>IF($A57="","",INDEX(jalons!$A$7:$K$125,MATCH('Suivi livrables'!$A57,jalons!$A$7:$A$125,0),10))</f>
        <v>42311</v>
      </c>
      <c r="L57" s="10">
        <f>IF($A57="","",INDEX(jalons!$A$7:$K$125,MATCH('Suivi livrables'!$A57,jalons!$A$7:$A$125,0),11))</f>
        <v>42279</v>
      </c>
      <c r="M57" s="14"/>
      <c r="N57" s="47" t="s">
        <v>208</v>
      </c>
      <c r="O57" s="47" t="s">
        <v>71</v>
      </c>
      <c r="P57" s="48">
        <v>8</v>
      </c>
      <c r="Q57" s="48" t="s">
        <v>71</v>
      </c>
      <c r="R57" s="48">
        <v>2</v>
      </c>
      <c r="S57" s="48" t="s">
        <v>71</v>
      </c>
      <c r="T57" s="48">
        <v>1</v>
      </c>
      <c r="U57" s="48" t="s">
        <v>71</v>
      </c>
      <c r="V57" s="48">
        <v>1</v>
      </c>
      <c r="W57" s="48"/>
      <c r="X57" s="48"/>
      <c r="Y57" s="48"/>
      <c r="Z57" s="48"/>
      <c r="AA57" s="48"/>
      <c r="AB57" s="93"/>
      <c r="AC57" s="48"/>
      <c r="AD57" s="127"/>
      <c r="AE57" s="132"/>
      <c r="AF57" s="48"/>
      <c r="AG57" s="48"/>
      <c r="AH57" s="48"/>
      <c r="AI57" s="48"/>
      <c r="AJ57" s="48"/>
      <c r="AK57" s="48"/>
      <c r="AL57" s="48"/>
      <c r="AM57" s="48"/>
      <c r="AN57" s="132"/>
      <c r="AO57" s="133"/>
      <c r="AP57" s="132"/>
      <c r="AQ57" s="132"/>
      <c r="AR57" s="133"/>
      <c r="AS57" s="132"/>
      <c r="AT57" s="132"/>
      <c r="AU57" s="139"/>
      <c r="AV57" s="139"/>
      <c r="AW57" s="132"/>
      <c r="AX57" s="139"/>
      <c r="AY57" s="139"/>
      <c r="AZ57" s="132"/>
      <c r="BA57" s="139"/>
      <c r="BB57" s="139"/>
      <c r="BC57" s="139"/>
      <c r="BD57" s="139"/>
      <c r="BE57" s="133" t="s">
        <v>68</v>
      </c>
      <c r="BF57" s="47"/>
      <c r="BG57" s="93"/>
      <c r="BH57" s="96">
        <f t="shared" si="36"/>
        <v>42138</v>
      </c>
      <c r="BI57" s="117"/>
      <c r="BJ57" s="119">
        <f t="shared" si="37"/>
        <v>42194</v>
      </c>
      <c r="BK57" s="117"/>
      <c r="BL57" s="121">
        <f t="shared" si="38"/>
        <v>41949</v>
      </c>
      <c r="BM57" s="121">
        <f>IF(G57=0,0,IF('Suivi livrables'!BE57="ZSFR",IF(G57-F57&lt;90,F57+7,G57-90),"N/A"))</f>
        <v>42125</v>
      </c>
      <c r="BN57" s="117"/>
      <c r="BO57" s="121">
        <f>IF(G57=0,0,IF('Suivi livrables'!BE57="ZSFR",IF(L57=0,I57-45,L57-4),"N/A"))</f>
        <v>42275</v>
      </c>
      <c r="BP57" s="117"/>
      <c r="BQ57" s="121" t="str">
        <f t="shared" si="39"/>
        <v>N/A</v>
      </c>
      <c r="BR57" s="121" t="str">
        <f t="shared" si="40"/>
        <v>N/A</v>
      </c>
      <c r="BS57" s="117"/>
      <c r="BT57" s="121" t="e">
        <f>IF(G57=0,0,IF(AND('Suivi livrables'!P57=0,'Suivi livrables'!R57=0,'Suivi livrables'!T57=0,'Suivi livrables'!V57=0,'Suivi livrables'!X57=0,'Suivi livrables'!AD57=0),"N/A",#REF!-77))</f>
        <v>#REF!</v>
      </c>
      <c r="BU57" s="121" t="e">
        <f>IF(G57=0,0,IF(AND('Suivi livrables'!P57=0,'Suivi livrables'!R57=0,'Suivi livrables'!T57=0,'Suivi livrables'!V57=0,'Suivi livrables'!X57=0,'Suivi livrables'!AD57=0),"N/A",#REF!-21))</f>
        <v>#REF!</v>
      </c>
      <c r="BV57" s="117"/>
      <c r="BW57" s="97"/>
      <c r="BX57" s="102"/>
      <c r="BY57" s="117" t="str">
        <f t="shared" si="54"/>
        <v>Greiner</v>
      </c>
      <c r="BZ57" s="117">
        <f t="shared" si="55"/>
        <v>8</v>
      </c>
      <c r="CA57" s="117" t="str">
        <f t="shared" si="56"/>
        <v>Greiner</v>
      </c>
      <c r="CB57" s="117">
        <f t="shared" si="57"/>
        <v>2</v>
      </c>
      <c r="CC57" s="117" t="str">
        <f t="shared" si="58"/>
        <v>Greiner</v>
      </c>
      <c r="CD57" s="117">
        <f t="shared" si="59"/>
        <v>1</v>
      </c>
      <c r="CE57" s="117" t="str">
        <f t="shared" si="60"/>
        <v>Greiner</v>
      </c>
      <c r="CF57" s="117">
        <f t="shared" si="61"/>
        <v>1</v>
      </c>
      <c r="CG57" s="117" t="str">
        <f t="shared" si="62"/>
        <v/>
      </c>
      <c r="CH57" s="117" t="str">
        <f t="shared" si="63"/>
        <v/>
      </c>
      <c r="CI57" s="117" t="str">
        <f t="shared" si="29"/>
        <v/>
      </c>
      <c r="CJ57" s="117" t="str">
        <f t="shared" si="30"/>
        <v/>
      </c>
      <c r="CK57" s="117" t="str">
        <f t="shared" si="31"/>
        <v/>
      </c>
      <c r="CL57" s="117" t="str">
        <f t="shared" si="64"/>
        <v/>
      </c>
      <c r="CM57" s="117" t="str">
        <f t="shared" si="65"/>
        <v/>
      </c>
      <c r="CN57" s="117" t="str">
        <f t="shared" si="66"/>
        <v/>
      </c>
      <c r="CO57" s="121">
        <f t="shared" si="41"/>
        <v>42138</v>
      </c>
      <c r="CP57" s="117"/>
      <c r="CQ57" s="121">
        <f t="shared" si="42"/>
        <v>42138</v>
      </c>
      <c r="CR57" s="117"/>
      <c r="CS57" s="121">
        <f t="shared" si="43"/>
        <v>42180</v>
      </c>
      <c r="CT57" s="121">
        <f t="shared" si="44"/>
        <v>42194</v>
      </c>
      <c r="CU57" s="121">
        <f t="shared" si="45"/>
        <v>42166</v>
      </c>
      <c r="CV57" s="117"/>
      <c r="CW57" s="121">
        <f t="shared" si="46"/>
        <v>42180</v>
      </c>
      <c r="CX57" s="117"/>
      <c r="CY57" s="121">
        <f t="shared" si="47"/>
        <v>42187</v>
      </c>
      <c r="CZ57" s="117"/>
      <c r="DA57" s="121">
        <f t="shared" si="48"/>
        <v>42194</v>
      </c>
      <c r="DB57" s="121">
        <f t="shared" si="49"/>
        <v>42243</v>
      </c>
      <c r="DC57" s="121">
        <f t="shared" si="50"/>
        <v>42243</v>
      </c>
      <c r="DD57" s="117"/>
      <c r="DE57" s="125">
        <f t="shared" si="51"/>
        <v>42065</v>
      </c>
      <c r="DF57" s="124"/>
      <c r="DG57" s="125">
        <f t="shared" si="35"/>
        <v>42065</v>
      </c>
      <c r="DH57" s="124"/>
      <c r="DI57" s="125">
        <f t="shared" si="52"/>
        <v>42125</v>
      </c>
      <c r="DJ57" s="124"/>
      <c r="DK57" s="125">
        <f t="shared" si="53"/>
        <v>42110</v>
      </c>
      <c r="DL57" s="124"/>
      <c r="DM57" s="117"/>
      <c r="DN57" s="124"/>
      <c r="DO57" s="117"/>
      <c r="EE57" s="41" t="s">
        <v>68</v>
      </c>
    </row>
    <row r="58" spans="1:141" ht="15.75" thickBot="1">
      <c r="A58" s="25" t="s">
        <v>95</v>
      </c>
      <c r="B58" s="57" t="str">
        <f>jalons!B58</f>
        <v>ACS et Lufthansa</v>
      </c>
      <c r="C58" s="57" t="str">
        <f>jalons!C58</f>
        <v>A350</v>
      </c>
      <c r="D58" s="82" t="s">
        <v>253</v>
      </c>
      <c r="E58" s="9">
        <f>IF($A58="","",INDEX(jalons!$A$7:$K$125,MATCH('Suivi livrables'!$A58,jalons!$A$7:$A$125,0),4))</f>
        <v>41925</v>
      </c>
      <c r="F58" s="10">
        <f>IF($A58="","",INDEX(jalons!$A$7:$K$125,MATCH('Suivi livrables'!$A58,jalons!$A$7:$A$125,0),5))</f>
        <v>42017</v>
      </c>
      <c r="G58" s="10">
        <f>IF($A58="","",INDEX(jalons!$A$7:$K$125,MATCH('Suivi livrables'!$A58,jalons!$A$7:$A$125,0),6))</f>
        <v>42241</v>
      </c>
      <c r="H58" s="10">
        <f>IF($A58="","",INDEX(jalons!$A$7:$K$125,MATCH('Suivi livrables'!$A58,jalons!$A$7:$A$125,0),7))</f>
        <v>42438</v>
      </c>
      <c r="I58" s="10">
        <f>IF($A58="","",INDEX(jalons!$A$7:$K$125,MATCH('Suivi livrables'!$A58,jalons!$A$7:$A$125,0),8))</f>
        <v>42488</v>
      </c>
      <c r="J58" s="10">
        <f>IF($A58="","",INDEX(jalons!$A$7:$K$125,MATCH('Suivi livrables'!$A58,jalons!$A$7:$A$125,0),9))</f>
        <v>42535</v>
      </c>
      <c r="K58" s="10">
        <f>IF($A58="","",INDEX(jalons!$A$7:$K$125,MATCH('Suivi livrables'!$A58,jalons!$A$7:$A$125,0),10))</f>
        <v>42337</v>
      </c>
      <c r="L58" s="10">
        <f>IF($A58="","",INDEX(jalons!$A$7:$K$125,MATCH('Suivi livrables'!$A58,jalons!$A$7:$A$125,0),11))</f>
        <v>42297</v>
      </c>
      <c r="M58" s="14"/>
      <c r="N58" s="47"/>
      <c r="O58" s="47" t="s">
        <v>71</v>
      </c>
      <c r="P58" s="48">
        <v>8</v>
      </c>
      <c r="Q58" s="48" t="s">
        <v>71</v>
      </c>
      <c r="R58" s="48">
        <v>4</v>
      </c>
      <c r="S58" s="48" t="s">
        <v>71</v>
      </c>
      <c r="T58" s="48">
        <v>2</v>
      </c>
      <c r="U58" s="48" t="s">
        <v>71</v>
      </c>
      <c r="V58" s="48">
        <v>2</v>
      </c>
      <c r="W58" s="48"/>
      <c r="X58" s="48"/>
      <c r="Y58" s="48"/>
      <c r="Z58" s="48"/>
      <c r="AA58" s="48"/>
      <c r="AB58" s="93" t="s">
        <v>250</v>
      </c>
      <c r="AC58" s="48"/>
      <c r="AD58" s="127">
        <v>2</v>
      </c>
      <c r="AE58" s="132"/>
      <c r="AF58" s="48"/>
      <c r="AG58" s="48"/>
      <c r="AH58" s="48"/>
      <c r="AI58" s="48"/>
      <c r="AJ58" s="48"/>
      <c r="AK58" s="48"/>
      <c r="AL58" s="48"/>
      <c r="AM58" s="48"/>
      <c r="AN58" s="132"/>
      <c r="AO58" s="133"/>
      <c r="AP58" s="132"/>
      <c r="AQ58" s="132"/>
      <c r="AR58" s="133"/>
      <c r="AS58" s="132"/>
      <c r="AT58" s="132"/>
      <c r="AU58" s="139"/>
      <c r="AV58" s="139"/>
      <c r="AW58" s="132"/>
      <c r="AX58" s="139"/>
      <c r="AY58" s="139"/>
      <c r="AZ58" s="132"/>
      <c r="BA58" s="139"/>
      <c r="BB58" s="139"/>
      <c r="BC58" s="139"/>
      <c r="BD58" s="139"/>
      <c r="BE58" s="133" t="s">
        <v>245</v>
      </c>
      <c r="BF58" s="47" t="s">
        <v>41</v>
      </c>
      <c r="BG58" s="93"/>
      <c r="BH58" s="96">
        <f t="shared" si="36"/>
        <v>42164</v>
      </c>
      <c r="BI58" s="117"/>
      <c r="BJ58" s="119">
        <f t="shared" si="37"/>
        <v>42220</v>
      </c>
      <c r="BK58" s="117"/>
      <c r="BL58" s="121" t="str">
        <f t="shared" si="38"/>
        <v>N/A</v>
      </c>
      <c r="BM58" s="121" t="str">
        <f>IF(G58=0,0,IF('Suivi livrables'!BE58="ZSFR",IF(G58-F58&lt;90,F58+7,G58-90),"N/A"))</f>
        <v>N/A</v>
      </c>
      <c r="BN58" s="117"/>
      <c r="BO58" s="121" t="str">
        <f>IF(G58=0,0,IF('Suivi livrables'!BE58="ZSFR",IF(L58=0,I58-45,L58-4),"N/A"))</f>
        <v>N/A</v>
      </c>
      <c r="BP58" s="117"/>
      <c r="BQ58" s="121">
        <f t="shared" si="39"/>
        <v>42164</v>
      </c>
      <c r="BR58" s="121">
        <f t="shared" si="40"/>
        <v>42234</v>
      </c>
      <c r="BS58" s="117"/>
      <c r="BT58" s="121" t="e">
        <f>IF(G58=0,0,IF(AND('Suivi livrables'!P58=0,'Suivi livrables'!R58=0,'Suivi livrables'!T58=0,'Suivi livrables'!V58=0,'Suivi livrables'!X58=0,'Suivi livrables'!AD58=0),"N/A",#REF!-77))</f>
        <v>#REF!</v>
      </c>
      <c r="BU58" s="121" t="e">
        <f>IF(G58=0,0,IF(AND('Suivi livrables'!P58=0,'Suivi livrables'!R58=0,'Suivi livrables'!T58=0,'Suivi livrables'!V58=0,'Suivi livrables'!X58=0,'Suivi livrables'!AD58=0),"N/A",#REF!-21))</f>
        <v>#REF!</v>
      </c>
      <c r="BV58" s="117"/>
      <c r="BW58" s="97"/>
      <c r="BX58" s="102"/>
      <c r="BY58" s="117" t="str">
        <f t="shared" si="54"/>
        <v>Greiner</v>
      </c>
      <c r="BZ58" s="117">
        <f t="shared" si="55"/>
        <v>8</v>
      </c>
      <c r="CA58" s="117" t="str">
        <f t="shared" si="56"/>
        <v>Greiner</v>
      </c>
      <c r="CB58" s="117">
        <f t="shared" si="57"/>
        <v>4</v>
      </c>
      <c r="CC58" s="117" t="str">
        <f t="shared" si="58"/>
        <v>Greiner</v>
      </c>
      <c r="CD58" s="117">
        <f t="shared" si="59"/>
        <v>2</v>
      </c>
      <c r="CE58" s="117" t="str">
        <f t="shared" si="60"/>
        <v>Greiner</v>
      </c>
      <c r="CF58" s="117">
        <f t="shared" si="61"/>
        <v>2</v>
      </c>
      <c r="CG58" s="117" t="str">
        <f t="shared" si="62"/>
        <v/>
      </c>
      <c r="CH58" s="117" t="str">
        <f t="shared" si="63"/>
        <v/>
      </c>
      <c r="CI58" s="117" t="str">
        <f t="shared" si="29"/>
        <v/>
      </c>
      <c r="CJ58" s="117" t="str">
        <f t="shared" si="30"/>
        <v/>
      </c>
      <c r="CK58" s="117" t="str">
        <f t="shared" si="31"/>
        <v/>
      </c>
      <c r="CL58" s="117" t="str">
        <f t="shared" si="64"/>
        <v>Lat HIC</v>
      </c>
      <c r="CM58" s="117" t="str">
        <f t="shared" si="65"/>
        <v/>
      </c>
      <c r="CN58" s="117">
        <f t="shared" si="66"/>
        <v>2</v>
      </c>
      <c r="CO58" s="121">
        <f t="shared" si="41"/>
        <v>42164</v>
      </c>
      <c r="CP58" s="117"/>
      <c r="CQ58" s="121">
        <f t="shared" si="42"/>
        <v>42164</v>
      </c>
      <c r="CR58" s="117"/>
      <c r="CS58" s="121">
        <f t="shared" si="43"/>
        <v>42206</v>
      </c>
      <c r="CT58" s="121">
        <f t="shared" si="44"/>
        <v>42220</v>
      </c>
      <c r="CU58" s="121">
        <f t="shared" si="45"/>
        <v>42192</v>
      </c>
      <c r="CV58" s="117"/>
      <c r="CW58" s="121">
        <f t="shared" si="46"/>
        <v>42206</v>
      </c>
      <c r="CX58" s="117"/>
      <c r="CY58" s="121">
        <f t="shared" si="47"/>
        <v>42213</v>
      </c>
      <c r="CZ58" s="117"/>
      <c r="DA58" s="121">
        <f t="shared" si="48"/>
        <v>42220</v>
      </c>
      <c r="DB58" s="121">
        <f t="shared" si="49"/>
        <v>42269</v>
      </c>
      <c r="DC58" s="121">
        <f t="shared" si="50"/>
        <v>42269</v>
      </c>
      <c r="DD58" s="117"/>
      <c r="DE58" s="125">
        <f t="shared" si="51"/>
        <v>42091</v>
      </c>
      <c r="DF58" s="124"/>
      <c r="DG58" s="125">
        <f t="shared" si="35"/>
        <v>42091</v>
      </c>
      <c r="DH58" s="124"/>
      <c r="DI58" s="125">
        <f t="shared" si="52"/>
        <v>42151</v>
      </c>
      <c r="DJ58" s="124"/>
      <c r="DK58" s="125">
        <f t="shared" si="53"/>
        <v>42136</v>
      </c>
      <c r="DL58" s="124"/>
      <c r="DM58" s="117"/>
      <c r="DN58" s="124"/>
      <c r="DO58" s="117"/>
    </row>
    <row r="59" spans="1:141" ht="15.75" thickBot="1">
      <c r="A59" s="13" t="s">
        <v>232</v>
      </c>
      <c r="B59" s="57">
        <f>jalons!B59</f>
        <v>0</v>
      </c>
      <c r="C59" s="57">
        <f>jalons!C59</f>
        <v>0</v>
      </c>
      <c r="D59" s="83" t="s">
        <v>252</v>
      </c>
      <c r="E59" s="9">
        <f>IF($A59="","",INDEX(jalons!$A$7:$K$125,MATCH('Suivi livrables'!$A59,jalons!$A$7:$A$125,0),4))</f>
        <v>42262</v>
      </c>
      <c r="F59" s="10">
        <f>IF($A59="","",INDEX(jalons!$A$7:$K$125,MATCH('Suivi livrables'!$A59,jalons!$A$7:$A$125,0),5))</f>
        <v>42327</v>
      </c>
      <c r="G59" s="10">
        <f>IF($A59="","",INDEX(jalons!$A$7:$K$125,MATCH('Suivi livrables'!$A59,jalons!$A$7:$A$125,0),6))</f>
        <v>42327</v>
      </c>
      <c r="H59" s="10" t="str">
        <f>IF($A59="","",INDEX(jalons!$A$7:$K$125,MATCH('Suivi livrables'!$A59,jalons!$A$7:$A$125,0),7))</f>
        <v>manque date</v>
      </c>
      <c r="I59" s="10">
        <f>IF($A59="","",INDEX(jalons!$A$7:$K$125,MATCH('Suivi livrables'!$A59,jalons!$A$7:$A$125,0),8))</f>
        <v>42504</v>
      </c>
      <c r="J59" s="10">
        <f>IF($A59="","",INDEX(jalons!$A$7:$K$125,MATCH('Suivi livrables'!$A59,jalons!$A$7:$A$125,0),9))</f>
        <v>42535</v>
      </c>
      <c r="K59" s="10" t="str">
        <f>IF($A59="","",INDEX(jalons!$A$7:$K$125,MATCH('Suivi livrables'!$A59,jalons!$A$7:$A$125,0),10))</f>
        <v>manque date</v>
      </c>
      <c r="L59" s="10" t="str">
        <f>IF($A59="","",INDEX(jalons!$A$7:$K$125,MATCH('Suivi livrables'!$A59,jalons!$A$7:$A$125,0),11))</f>
        <v>manque date</v>
      </c>
      <c r="M59" s="14"/>
      <c r="N59" s="47"/>
      <c r="O59" s="49"/>
      <c r="P59" s="50"/>
      <c r="Q59" s="50"/>
      <c r="R59" s="50"/>
      <c r="S59" s="50"/>
      <c r="T59" s="50"/>
      <c r="U59" s="50"/>
      <c r="V59" s="50"/>
      <c r="W59" s="50"/>
      <c r="X59" s="50"/>
      <c r="Y59" s="48"/>
      <c r="Z59" s="48"/>
      <c r="AA59" s="50"/>
      <c r="AB59" s="94"/>
      <c r="AC59" s="48"/>
      <c r="AD59" s="128"/>
      <c r="AE59" s="132"/>
      <c r="AF59" s="50"/>
      <c r="AG59" s="48"/>
      <c r="AH59" s="50"/>
      <c r="AI59" s="48"/>
      <c r="AJ59" s="50"/>
      <c r="AK59" s="48"/>
      <c r="AL59" s="50"/>
      <c r="AM59" s="48"/>
      <c r="AN59" s="140"/>
      <c r="AO59" s="133"/>
      <c r="AP59" s="140"/>
      <c r="AQ59" s="132"/>
      <c r="AR59" s="133"/>
      <c r="AS59" s="140"/>
      <c r="AT59" s="132"/>
      <c r="AU59" s="149"/>
      <c r="AV59" s="149"/>
      <c r="AW59" s="132"/>
      <c r="AX59" s="149"/>
      <c r="AY59" s="149"/>
      <c r="AZ59" s="132"/>
      <c r="BA59" s="149"/>
      <c r="BB59" s="149"/>
      <c r="BC59" s="149"/>
      <c r="BD59" s="149"/>
      <c r="BE59" s="133"/>
      <c r="BF59" s="49"/>
      <c r="BG59" s="94"/>
      <c r="BH59" s="96">
        <f t="shared" si="36"/>
        <v>42250</v>
      </c>
      <c r="BI59" s="117"/>
      <c r="BJ59" s="119">
        <f t="shared" si="37"/>
        <v>42306</v>
      </c>
      <c r="BK59" s="117"/>
      <c r="BL59" s="121" t="str">
        <f t="shared" si="38"/>
        <v>N/A</v>
      </c>
      <c r="BM59" s="121" t="str">
        <f>IF(G59=0,0,IF('Suivi livrables'!BE59="ZSFR",IF(G59-F59&lt;90,F59+7,G59-90),"N/A"))</f>
        <v>N/A</v>
      </c>
      <c r="BN59" s="117"/>
      <c r="BO59" s="121" t="str">
        <f>IF(G59=0,0,IF('Suivi livrables'!BE59="ZSFR",IF(L59=0,I59-45,L59-4),"N/A"))</f>
        <v>N/A</v>
      </c>
      <c r="BP59" s="117"/>
      <c r="BQ59" s="121">
        <f t="shared" si="39"/>
        <v>42250</v>
      </c>
      <c r="BR59" s="121">
        <f t="shared" si="40"/>
        <v>42320</v>
      </c>
      <c r="BS59" s="117"/>
      <c r="BT59" s="121" t="str">
        <f>IF(G59=0,0,IF(AND('Suivi livrables'!P59=0,'Suivi livrables'!R59=0,'Suivi livrables'!T59=0,'Suivi livrables'!V59=0,'Suivi livrables'!X59=0,'Suivi livrables'!AD59=0),"N/A",#REF!-77))</f>
        <v>N/A</v>
      </c>
      <c r="BU59" s="121" t="str">
        <f>IF(G59=0,0,IF(AND('Suivi livrables'!P59=0,'Suivi livrables'!R59=0,'Suivi livrables'!T59=0,'Suivi livrables'!V59=0,'Suivi livrables'!X59=0,'Suivi livrables'!AD59=0),"N/A",#REF!-21))</f>
        <v>N/A</v>
      </c>
      <c r="BV59" s="117"/>
      <c r="BW59" s="97"/>
      <c r="BX59" s="102"/>
      <c r="BY59" s="117" t="str">
        <f t="shared" si="54"/>
        <v/>
      </c>
      <c r="BZ59" s="117" t="str">
        <f t="shared" si="55"/>
        <v/>
      </c>
      <c r="CA59" s="117" t="str">
        <f t="shared" si="56"/>
        <v/>
      </c>
      <c r="CB59" s="117" t="str">
        <f t="shared" si="57"/>
        <v/>
      </c>
      <c r="CC59" s="117" t="str">
        <f t="shared" si="58"/>
        <v/>
      </c>
      <c r="CD59" s="117" t="str">
        <f t="shared" si="59"/>
        <v/>
      </c>
      <c r="CE59" s="117" t="str">
        <f t="shared" si="60"/>
        <v/>
      </c>
      <c r="CF59" s="117" t="str">
        <f t="shared" si="61"/>
        <v/>
      </c>
      <c r="CG59" s="117" t="str">
        <f t="shared" si="62"/>
        <v/>
      </c>
      <c r="CH59" s="117" t="str">
        <f t="shared" si="63"/>
        <v/>
      </c>
      <c r="CI59" s="117" t="str">
        <f t="shared" si="29"/>
        <v/>
      </c>
      <c r="CJ59" s="117" t="str">
        <f t="shared" si="30"/>
        <v/>
      </c>
      <c r="CK59" s="117" t="str">
        <f t="shared" si="31"/>
        <v/>
      </c>
      <c r="CL59" s="117" t="str">
        <f t="shared" si="64"/>
        <v/>
      </c>
      <c r="CM59" s="117" t="str">
        <f t="shared" si="65"/>
        <v/>
      </c>
      <c r="CN59" s="117" t="str">
        <f t="shared" si="66"/>
        <v/>
      </c>
      <c r="CO59" s="121">
        <f t="shared" si="41"/>
        <v>42250</v>
      </c>
      <c r="CP59" s="117"/>
      <c r="CQ59" s="121">
        <f t="shared" si="42"/>
        <v>42250</v>
      </c>
      <c r="CR59" s="117"/>
      <c r="CS59" s="121">
        <f t="shared" si="43"/>
        <v>42292</v>
      </c>
      <c r="CT59" s="121">
        <f t="shared" si="44"/>
        <v>42306</v>
      </c>
      <c r="CU59" s="121">
        <f t="shared" si="45"/>
        <v>42278</v>
      </c>
      <c r="CV59" s="117"/>
      <c r="CW59" s="121">
        <f t="shared" si="46"/>
        <v>42292</v>
      </c>
      <c r="CX59" s="117"/>
      <c r="CY59" s="121">
        <f t="shared" si="47"/>
        <v>42299</v>
      </c>
      <c r="CZ59" s="117"/>
      <c r="DA59" s="121">
        <f t="shared" si="48"/>
        <v>42306</v>
      </c>
      <c r="DB59" s="121">
        <f t="shared" si="49"/>
        <v>42355</v>
      </c>
      <c r="DC59" s="121">
        <f t="shared" si="50"/>
        <v>42355</v>
      </c>
      <c r="DD59" s="117"/>
      <c r="DE59" s="125">
        <f t="shared" si="51"/>
        <v>42282</v>
      </c>
      <c r="DF59" s="124"/>
      <c r="DG59" s="125">
        <f t="shared" si="35"/>
        <v>42282</v>
      </c>
      <c r="DH59" s="124"/>
      <c r="DI59" s="125">
        <f t="shared" si="52"/>
        <v>42342</v>
      </c>
      <c r="DJ59" s="124"/>
      <c r="DK59" s="125">
        <f t="shared" si="53"/>
        <v>42327</v>
      </c>
      <c r="DL59" s="124"/>
      <c r="DM59" s="117"/>
      <c r="DN59" s="124"/>
      <c r="DO59" s="117"/>
    </row>
    <row r="60" spans="1:141" ht="15.75" thickBot="1">
      <c r="A60" s="25" t="s">
        <v>66</v>
      </c>
      <c r="B60" s="57">
        <f>jalons!B60</f>
        <v>0</v>
      </c>
      <c r="C60" s="57">
        <f>jalons!C60</f>
        <v>0</v>
      </c>
      <c r="D60" s="82" t="s">
        <v>252</v>
      </c>
      <c r="E60" s="9" t="str">
        <f>IF($A60="","",INDEX(jalons!$A$7:$K$125,MATCH('Suivi livrables'!$A60,jalons!$A$7:$A$125,0),4))</f>
        <v>manque date</v>
      </c>
      <c r="F60" s="10" t="str">
        <f>IF($A60="","",INDEX(jalons!$A$7:$K$125,MATCH('Suivi livrables'!$A60,jalons!$A$7:$A$125,0),5))</f>
        <v>manque date</v>
      </c>
      <c r="G60" s="10" t="str">
        <f>IF($A60="","",INDEX(jalons!$A$7:$K$125,MATCH('Suivi livrables'!$A60,jalons!$A$7:$A$125,0),6))</f>
        <v>manque date</v>
      </c>
      <c r="H60" s="10" t="str">
        <f>IF($A60="","",INDEX(jalons!$A$7:$K$125,MATCH('Suivi livrables'!$A60,jalons!$A$7:$A$125,0),7))</f>
        <v>manque date</v>
      </c>
      <c r="I60" s="10" t="str">
        <f>IF($A60="","",INDEX(jalons!$A$7:$K$125,MATCH('Suivi livrables'!$A60,jalons!$A$7:$A$125,0),8))</f>
        <v>manque date</v>
      </c>
      <c r="J60" s="10" t="str">
        <f>IF($A60="","",INDEX(jalons!$A$7:$K$125,MATCH('Suivi livrables'!$A60,jalons!$A$7:$A$125,0),9))</f>
        <v>manque date</v>
      </c>
      <c r="K60" s="11" t="str">
        <f>IF($A60="","",INDEX(jalons!$A$7:$K$125,MATCH('Suivi livrables'!$A60,jalons!$A$7:$A$125,0),10))</f>
        <v>manque date</v>
      </c>
      <c r="L60" s="11" t="str">
        <f>IF($A60="","",INDEX(jalons!$A$7:$K$125,MATCH('Suivi livrables'!$A60,jalons!$A$7:$A$125,0),11))</f>
        <v>manque date</v>
      </c>
      <c r="M60" s="14"/>
      <c r="N60" s="47"/>
      <c r="O60" s="47"/>
      <c r="P60" s="48"/>
      <c r="Q60" s="48"/>
      <c r="R60" s="48"/>
      <c r="S60" s="48"/>
      <c r="T60" s="48"/>
      <c r="U60" s="48"/>
      <c r="V60" s="48"/>
      <c r="W60" s="48"/>
      <c r="X60" s="48"/>
      <c r="Y60" s="48"/>
      <c r="Z60" s="48"/>
      <c r="AA60" s="48"/>
      <c r="AB60" s="93"/>
      <c r="AC60" s="48"/>
      <c r="AD60" s="127"/>
      <c r="AE60" s="132"/>
      <c r="AF60" s="48"/>
      <c r="AG60" s="48"/>
      <c r="AH60" s="48"/>
      <c r="AI60" s="48"/>
      <c r="AJ60" s="48"/>
      <c r="AK60" s="48"/>
      <c r="AL60" s="48"/>
      <c r="AM60" s="48"/>
      <c r="AN60" s="132"/>
      <c r="AO60" s="133"/>
      <c r="AP60" s="132"/>
      <c r="AQ60" s="132"/>
      <c r="AR60" s="133"/>
      <c r="AS60" s="132"/>
      <c r="AT60" s="132"/>
      <c r="AU60" s="139"/>
      <c r="AV60" s="139"/>
      <c r="AW60" s="132"/>
      <c r="AX60" s="139"/>
      <c r="AY60" s="139"/>
      <c r="AZ60" s="132"/>
      <c r="BA60" s="139"/>
      <c r="BB60" s="139"/>
      <c r="BC60" s="139"/>
      <c r="BD60" s="139"/>
      <c r="BE60" s="133"/>
      <c r="BF60" s="47"/>
      <c r="BG60" s="93"/>
      <c r="BH60" s="96" t="e">
        <f t="shared" si="36"/>
        <v>#VALUE!</v>
      </c>
      <c r="BI60" s="117"/>
      <c r="BJ60" s="119" t="e">
        <f t="shared" si="37"/>
        <v>#VALUE!</v>
      </c>
      <c r="BK60" s="117"/>
      <c r="BL60" s="121" t="str">
        <f t="shared" si="38"/>
        <v>N/A</v>
      </c>
      <c r="BM60" s="121" t="str">
        <f>IF(G60=0,0,IF('Suivi livrables'!BE60="ZSFR",IF(G60-F60&lt;90,F60+7,G60-90),"N/A"))</f>
        <v>N/A</v>
      </c>
      <c r="BN60" s="117"/>
      <c r="BO60" s="121" t="str">
        <f>IF(G60=0,0,IF('Suivi livrables'!BE60="ZSFR",IF(L60=0,I60-45,L60-4),"N/A"))</f>
        <v>N/A</v>
      </c>
      <c r="BP60" s="117"/>
      <c r="BQ60" s="121" t="e">
        <f t="shared" si="39"/>
        <v>#VALUE!</v>
      </c>
      <c r="BR60" s="121" t="e">
        <f t="shared" si="40"/>
        <v>#VALUE!</v>
      </c>
      <c r="BS60" s="117"/>
      <c r="BT60" s="121" t="str">
        <f>IF(G60=0,0,IF(AND('Suivi livrables'!P60=0,'Suivi livrables'!R60=0,'Suivi livrables'!T60=0,'Suivi livrables'!V60=0,'Suivi livrables'!X60=0,'Suivi livrables'!AD60=0),"N/A",#REF!-77))</f>
        <v>N/A</v>
      </c>
      <c r="BU60" s="121" t="str">
        <f>IF(G60=0,0,IF(AND('Suivi livrables'!P60=0,'Suivi livrables'!R60=0,'Suivi livrables'!T60=0,'Suivi livrables'!V60=0,'Suivi livrables'!X60=0,'Suivi livrables'!AD60=0),"N/A",#REF!-21))</f>
        <v>N/A</v>
      </c>
      <c r="BV60" s="117"/>
      <c r="BW60" s="97"/>
      <c r="BX60" s="102"/>
      <c r="BY60" s="117" t="str">
        <f t="shared" si="54"/>
        <v/>
      </c>
      <c r="BZ60" s="117" t="str">
        <f t="shared" si="55"/>
        <v/>
      </c>
      <c r="CA60" s="117" t="str">
        <f t="shared" si="56"/>
        <v/>
      </c>
      <c r="CB60" s="117" t="str">
        <f t="shared" si="57"/>
        <v/>
      </c>
      <c r="CC60" s="117" t="str">
        <f t="shared" si="58"/>
        <v/>
      </c>
      <c r="CD60" s="117" t="str">
        <f t="shared" si="59"/>
        <v/>
      </c>
      <c r="CE60" s="117" t="str">
        <f t="shared" si="60"/>
        <v/>
      </c>
      <c r="CF60" s="117" t="str">
        <f t="shared" si="61"/>
        <v/>
      </c>
      <c r="CG60" s="117" t="str">
        <f t="shared" si="62"/>
        <v/>
      </c>
      <c r="CH60" s="117" t="str">
        <f t="shared" si="63"/>
        <v/>
      </c>
      <c r="CI60" s="117" t="str">
        <f t="shared" si="29"/>
        <v/>
      </c>
      <c r="CJ60" s="117" t="str">
        <f t="shared" si="30"/>
        <v/>
      </c>
      <c r="CK60" s="117" t="str">
        <f t="shared" si="31"/>
        <v/>
      </c>
      <c r="CL60" s="117" t="str">
        <f t="shared" si="64"/>
        <v/>
      </c>
      <c r="CM60" s="117" t="str">
        <f t="shared" si="65"/>
        <v/>
      </c>
      <c r="CN60" s="117" t="str">
        <f t="shared" si="66"/>
        <v/>
      </c>
      <c r="CO60" s="121" t="e">
        <f t="shared" si="41"/>
        <v>#VALUE!</v>
      </c>
      <c r="CP60" s="117"/>
      <c r="CQ60" s="121" t="e">
        <f t="shared" si="42"/>
        <v>#VALUE!</v>
      </c>
      <c r="CR60" s="117"/>
      <c r="CS60" s="121" t="e">
        <f t="shared" si="43"/>
        <v>#VALUE!</v>
      </c>
      <c r="CT60" s="121" t="e">
        <f t="shared" si="44"/>
        <v>#VALUE!</v>
      </c>
      <c r="CU60" s="121" t="e">
        <f t="shared" si="45"/>
        <v>#VALUE!</v>
      </c>
      <c r="CV60" s="117"/>
      <c r="CW60" s="121" t="e">
        <f t="shared" si="46"/>
        <v>#VALUE!</v>
      </c>
      <c r="CX60" s="117"/>
      <c r="CY60" s="121" t="e">
        <f t="shared" si="47"/>
        <v>#VALUE!</v>
      </c>
      <c r="CZ60" s="117"/>
      <c r="DA60" s="121" t="e">
        <f t="shared" si="48"/>
        <v>#VALUE!</v>
      </c>
      <c r="DB60" s="121" t="e">
        <f t="shared" si="49"/>
        <v>#VALUE!</v>
      </c>
      <c r="DC60" s="121" t="e">
        <f t="shared" si="50"/>
        <v>#VALUE!</v>
      </c>
      <c r="DD60" s="117"/>
      <c r="DE60" s="125" t="e">
        <f t="shared" si="51"/>
        <v>#VALUE!</v>
      </c>
      <c r="DF60" s="124"/>
      <c r="DG60" s="125" t="e">
        <f t="shared" si="35"/>
        <v>#VALUE!</v>
      </c>
      <c r="DH60" s="124"/>
      <c r="DI60" s="125" t="e">
        <f t="shared" si="52"/>
        <v>#VALUE!</v>
      </c>
      <c r="DJ60" s="124"/>
      <c r="DK60" s="125" t="e">
        <f t="shared" si="53"/>
        <v>#VALUE!</v>
      </c>
      <c r="DL60" s="124"/>
      <c r="DM60" s="117"/>
      <c r="DN60" s="124"/>
      <c r="DO60" s="117"/>
    </row>
    <row r="61" spans="1:141" ht="15.75" thickBot="1">
      <c r="A61" s="13" t="s">
        <v>190</v>
      </c>
      <c r="B61" s="57" t="str">
        <f>jalons!B61</f>
        <v>ANA Gouv Jap</v>
      </c>
      <c r="C61" s="57" t="str">
        <f>jalons!C61</f>
        <v>B777</v>
      </c>
      <c r="D61" s="83" t="s">
        <v>253</v>
      </c>
      <c r="E61" s="9">
        <f>IF($A61="","",INDEX(jalons!$A$7:$K$125,MATCH('Suivi livrables'!$A61,jalons!$A$7:$A$125,0),4))</f>
        <v>42012</v>
      </c>
      <c r="F61" s="10">
        <f>IF($A61="","",INDEX(jalons!$A$7:$K$125,MATCH('Suivi livrables'!$A61,jalons!$A$7:$A$125,0),5))</f>
        <v>42108</v>
      </c>
      <c r="G61" s="10">
        <f>IF($A61="","",INDEX(jalons!$A$7:$K$125,MATCH('Suivi livrables'!$A61,jalons!$A$7:$A$125,0),6))</f>
        <v>42220</v>
      </c>
      <c r="H61" s="10">
        <f>IF($A61="","",INDEX(jalons!$A$7:$K$125,MATCH('Suivi livrables'!$A61,jalons!$A$7:$A$125,0),7))</f>
        <v>42409</v>
      </c>
      <c r="I61" s="10">
        <f>IF($A61="","",INDEX(jalons!$A$7:$K$125,MATCH('Suivi livrables'!$A61,jalons!$A$7:$A$125,0),8))</f>
        <v>42437</v>
      </c>
      <c r="J61" s="10">
        <f>IF($A61="","",INDEX(jalons!$A$7:$K$125,MATCH('Suivi livrables'!$A61,jalons!$A$7:$A$125,0),9))</f>
        <v>42522</v>
      </c>
      <c r="K61" s="10">
        <f>IF($A61="","",INDEX(jalons!$A$7:$K$125,MATCH('Suivi livrables'!$A61,jalons!$A$7:$A$125,0),10))</f>
        <v>42316</v>
      </c>
      <c r="L61" s="10">
        <f>IF($A61="","",INDEX(jalons!$A$7:$K$125,MATCH('Suivi livrables'!$A61,jalons!$A$7:$A$125,0),11))</f>
        <v>42319</v>
      </c>
      <c r="M61" s="14"/>
      <c r="N61" s="47"/>
      <c r="O61" s="49"/>
      <c r="P61" s="50"/>
      <c r="Q61" s="50"/>
      <c r="R61" s="50"/>
      <c r="S61" s="50"/>
      <c r="T61" s="50"/>
      <c r="U61" s="50"/>
      <c r="V61" s="50"/>
      <c r="W61" s="50"/>
      <c r="X61" s="50"/>
      <c r="Y61" s="48"/>
      <c r="Z61" s="48"/>
      <c r="AA61" s="50"/>
      <c r="AB61" s="94"/>
      <c r="AC61" s="48"/>
      <c r="AD61" s="128"/>
      <c r="AE61" s="132"/>
      <c r="AF61" s="50"/>
      <c r="AG61" s="48"/>
      <c r="AH61" s="50"/>
      <c r="AI61" s="48"/>
      <c r="AJ61" s="50"/>
      <c r="AK61" s="48"/>
      <c r="AL61" s="50"/>
      <c r="AM61" s="48"/>
      <c r="AN61" s="140"/>
      <c r="AO61" s="133"/>
      <c r="AP61" s="140"/>
      <c r="AQ61" s="132"/>
      <c r="AR61" s="133"/>
      <c r="AS61" s="140"/>
      <c r="AT61" s="132"/>
      <c r="AU61" s="149"/>
      <c r="AV61" s="149"/>
      <c r="AW61" s="132"/>
      <c r="AX61" s="149"/>
      <c r="AY61" s="149"/>
      <c r="AZ61" s="132"/>
      <c r="BA61" s="149"/>
      <c r="BB61" s="149"/>
      <c r="BC61" s="149"/>
      <c r="BD61" s="149"/>
      <c r="BE61" s="133"/>
      <c r="BF61" s="49"/>
      <c r="BG61" s="94"/>
      <c r="BH61" s="96">
        <f t="shared" si="36"/>
        <v>42143</v>
      </c>
      <c r="BI61" s="117"/>
      <c r="BJ61" s="119">
        <f t="shared" si="37"/>
        <v>42199</v>
      </c>
      <c r="BK61" s="117"/>
      <c r="BL61" s="121" t="str">
        <f t="shared" si="38"/>
        <v>N/A</v>
      </c>
      <c r="BM61" s="121" t="str">
        <f>IF(G61=0,0,IF('Suivi livrables'!BE61="ZSFR",IF(G61-F61&lt;90,F61+7,G61-90),"N/A"))</f>
        <v>N/A</v>
      </c>
      <c r="BN61" s="117"/>
      <c r="BO61" s="121" t="str">
        <f>IF(G61=0,0,IF('Suivi livrables'!BE61="ZSFR",IF(L61=0,I61-45,L61-4),"N/A"))</f>
        <v>N/A</v>
      </c>
      <c r="BP61" s="117"/>
      <c r="BQ61" s="121">
        <f t="shared" si="39"/>
        <v>42143</v>
      </c>
      <c r="BR61" s="121">
        <f t="shared" si="40"/>
        <v>42213</v>
      </c>
      <c r="BS61" s="117"/>
      <c r="BT61" s="121" t="str">
        <f>IF(G61=0,0,IF(AND('Suivi livrables'!P61=0,'Suivi livrables'!R61=0,'Suivi livrables'!T61=0,'Suivi livrables'!V61=0,'Suivi livrables'!X61=0,'Suivi livrables'!AD61=0),"N/A",#REF!-77))</f>
        <v>N/A</v>
      </c>
      <c r="BU61" s="121" t="str">
        <f>IF(G61=0,0,IF(AND('Suivi livrables'!P61=0,'Suivi livrables'!R61=0,'Suivi livrables'!T61=0,'Suivi livrables'!V61=0,'Suivi livrables'!X61=0,'Suivi livrables'!AD61=0),"N/A",#REF!-21))</f>
        <v>N/A</v>
      </c>
      <c r="BV61" s="117"/>
      <c r="BW61" s="97"/>
      <c r="BX61" s="102"/>
      <c r="BY61" s="117" t="str">
        <f t="shared" si="54"/>
        <v/>
      </c>
      <c r="BZ61" s="117" t="str">
        <f t="shared" si="55"/>
        <v/>
      </c>
      <c r="CA61" s="117" t="str">
        <f t="shared" si="56"/>
        <v/>
      </c>
      <c r="CB61" s="117" t="str">
        <f t="shared" si="57"/>
        <v/>
      </c>
      <c r="CC61" s="117" t="str">
        <f t="shared" si="58"/>
        <v/>
      </c>
      <c r="CD61" s="117" t="str">
        <f t="shared" si="59"/>
        <v/>
      </c>
      <c r="CE61" s="117" t="str">
        <f t="shared" si="60"/>
        <v/>
      </c>
      <c r="CF61" s="117" t="str">
        <f t="shared" si="61"/>
        <v/>
      </c>
      <c r="CG61" s="117" t="str">
        <f t="shared" si="62"/>
        <v/>
      </c>
      <c r="CH61" s="117" t="str">
        <f t="shared" si="63"/>
        <v/>
      </c>
      <c r="CI61" s="117" t="str">
        <f t="shared" si="29"/>
        <v/>
      </c>
      <c r="CJ61" s="117" t="str">
        <f t="shared" si="30"/>
        <v/>
      </c>
      <c r="CK61" s="117" t="str">
        <f t="shared" si="31"/>
        <v/>
      </c>
      <c r="CL61" s="117" t="str">
        <f t="shared" si="64"/>
        <v/>
      </c>
      <c r="CM61" s="117" t="str">
        <f t="shared" si="65"/>
        <v/>
      </c>
      <c r="CN61" s="117" t="str">
        <f t="shared" si="66"/>
        <v/>
      </c>
      <c r="CO61" s="121">
        <f t="shared" si="41"/>
        <v>42143</v>
      </c>
      <c r="CP61" s="117"/>
      <c r="CQ61" s="121">
        <f t="shared" si="42"/>
        <v>42143</v>
      </c>
      <c r="CR61" s="117"/>
      <c r="CS61" s="121">
        <f t="shared" si="43"/>
        <v>42185</v>
      </c>
      <c r="CT61" s="121">
        <f t="shared" si="44"/>
        <v>42199</v>
      </c>
      <c r="CU61" s="121">
        <f t="shared" si="45"/>
        <v>42171</v>
      </c>
      <c r="CV61" s="117"/>
      <c r="CW61" s="121">
        <f t="shared" si="46"/>
        <v>42185</v>
      </c>
      <c r="CX61" s="117"/>
      <c r="CY61" s="121">
        <f t="shared" si="47"/>
        <v>42192</v>
      </c>
      <c r="CZ61" s="117"/>
      <c r="DA61" s="121">
        <f t="shared" si="48"/>
        <v>42199</v>
      </c>
      <c r="DB61" s="121">
        <f t="shared" si="49"/>
        <v>42248</v>
      </c>
      <c r="DC61" s="121">
        <f t="shared" si="50"/>
        <v>42248</v>
      </c>
      <c r="DD61" s="117"/>
      <c r="DE61" s="125">
        <f t="shared" si="51"/>
        <v>42070</v>
      </c>
      <c r="DF61" s="124"/>
      <c r="DG61" s="125">
        <f t="shared" si="35"/>
        <v>42070</v>
      </c>
      <c r="DH61" s="124"/>
      <c r="DI61" s="125">
        <f t="shared" si="52"/>
        <v>42130</v>
      </c>
      <c r="DJ61" s="124"/>
      <c r="DK61" s="125">
        <f t="shared" si="53"/>
        <v>42115</v>
      </c>
      <c r="DL61" s="124"/>
      <c r="DM61" s="117"/>
      <c r="DN61" s="124"/>
      <c r="DO61" s="117"/>
    </row>
    <row r="62" spans="1:141" ht="15.75" thickBot="1">
      <c r="A62" s="25" t="s">
        <v>84</v>
      </c>
      <c r="B62" s="57" t="str">
        <f>jalons!B62</f>
        <v>Air Algérie</v>
      </c>
      <c r="C62" s="57" t="str">
        <f>jalons!C62</f>
        <v>A330-200</v>
      </c>
      <c r="D62" s="82" t="s">
        <v>253</v>
      </c>
      <c r="E62" s="9">
        <f>IF($A62="","",INDEX(jalons!$A$7:$K$125,MATCH('Suivi livrables'!$A62,jalons!$A$7:$A$125,0),4))</f>
        <v>41660</v>
      </c>
      <c r="F62" s="10">
        <f>IF($A62="","",INDEX(jalons!$A$7:$K$125,MATCH('Suivi livrables'!$A62,jalons!$A$7:$A$125,0),5))</f>
        <v>41730</v>
      </c>
      <c r="G62" s="10">
        <f>IF($A62="","",INDEX(jalons!$A$7:$K$125,MATCH('Suivi livrables'!$A62,jalons!$A$7:$A$125,0),6))</f>
        <v>41814</v>
      </c>
      <c r="H62" s="10" t="str">
        <f>IF($A62="","",INDEX(jalons!$A$7:$K$125,MATCH('Suivi livrables'!$A62,jalons!$A$7:$A$125,0),7))</f>
        <v>manque date</v>
      </c>
      <c r="I62" s="10">
        <f>IF($A62="","",INDEX(jalons!$A$7:$K$125,MATCH('Suivi livrables'!$A62,jalons!$A$7:$A$125,0),8))</f>
        <v>42018</v>
      </c>
      <c r="J62" s="10" t="str">
        <f>IF($A62="","",INDEX(jalons!$A$7:$K$125,MATCH('Suivi livrables'!$A62,jalons!$A$7:$A$125,0),9))</f>
        <v>manque date</v>
      </c>
      <c r="K62" s="10">
        <f>IF($A62="","",INDEX(jalons!$A$7:$K$125,MATCH('Suivi livrables'!$A62,jalons!$A$7:$A$125,0),10))</f>
        <v>41910</v>
      </c>
      <c r="L62" s="10" t="str">
        <f>IF($A62="","",INDEX(jalons!$A$7:$K$125,MATCH('Suivi livrables'!$A62,jalons!$A$7:$A$125,0),11))</f>
        <v>manque date</v>
      </c>
      <c r="M62" s="14"/>
      <c r="N62" s="47"/>
      <c r="O62" s="47"/>
      <c r="P62" s="48"/>
      <c r="Q62" s="48"/>
      <c r="R62" s="48"/>
      <c r="S62" s="48"/>
      <c r="T62" s="48"/>
      <c r="U62" s="48"/>
      <c r="V62" s="48"/>
      <c r="W62" s="48"/>
      <c r="X62" s="48"/>
      <c r="Y62" s="48"/>
      <c r="Z62" s="48"/>
      <c r="AA62" s="48"/>
      <c r="AB62" s="93"/>
      <c r="AC62" s="48"/>
      <c r="AD62" s="127"/>
      <c r="AE62" s="132"/>
      <c r="AF62" s="48"/>
      <c r="AG62" s="48"/>
      <c r="AH62" s="48"/>
      <c r="AI62" s="48"/>
      <c r="AJ62" s="48"/>
      <c r="AK62" s="48"/>
      <c r="AL62" s="48"/>
      <c r="AM62" s="48"/>
      <c r="AN62" s="132"/>
      <c r="AO62" s="133"/>
      <c r="AP62" s="132"/>
      <c r="AQ62" s="132"/>
      <c r="AR62" s="133"/>
      <c r="AS62" s="132"/>
      <c r="AT62" s="132"/>
      <c r="AU62" s="139"/>
      <c r="AV62" s="139"/>
      <c r="AW62" s="132"/>
      <c r="AX62" s="139"/>
      <c r="AY62" s="139"/>
      <c r="AZ62" s="132"/>
      <c r="BA62" s="139"/>
      <c r="BB62" s="139"/>
      <c r="BC62" s="139"/>
      <c r="BD62" s="139"/>
      <c r="BE62" s="133"/>
      <c r="BF62" s="47"/>
      <c r="BG62" s="93"/>
      <c r="BH62" s="96">
        <f t="shared" si="36"/>
        <v>41737</v>
      </c>
      <c r="BI62" s="117"/>
      <c r="BJ62" s="119">
        <f t="shared" si="37"/>
        <v>41793</v>
      </c>
      <c r="BK62" s="117"/>
      <c r="BL62" s="121" t="str">
        <f t="shared" si="38"/>
        <v>N/A</v>
      </c>
      <c r="BM62" s="121" t="str">
        <f>IF(G62=0,0,IF('Suivi livrables'!BE62="ZSFR",IF(G62-F62&lt;90,F62+7,G62-90),"N/A"))</f>
        <v>N/A</v>
      </c>
      <c r="BN62" s="117"/>
      <c r="BO62" s="121" t="str">
        <f>IF(G62=0,0,IF('Suivi livrables'!BE62="ZSFR",IF(L62=0,I62-45,L62-4),"N/A"))</f>
        <v>N/A</v>
      </c>
      <c r="BP62" s="117"/>
      <c r="BQ62" s="121">
        <f t="shared" si="39"/>
        <v>41737</v>
      </c>
      <c r="BR62" s="121">
        <f t="shared" si="40"/>
        <v>41807</v>
      </c>
      <c r="BS62" s="117"/>
      <c r="BT62" s="121" t="str">
        <f>IF(G62=0,0,IF(AND('Suivi livrables'!P62=0,'Suivi livrables'!R62=0,'Suivi livrables'!T62=0,'Suivi livrables'!V62=0,'Suivi livrables'!X62=0,'Suivi livrables'!AD62=0),"N/A",#REF!-77))</f>
        <v>N/A</v>
      </c>
      <c r="BU62" s="121" t="str">
        <f>IF(G62=0,0,IF(AND('Suivi livrables'!P62=0,'Suivi livrables'!R62=0,'Suivi livrables'!T62=0,'Suivi livrables'!V62=0,'Suivi livrables'!X62=0,'Suivi livrables'!AD62=0),"N/A",#REF!-21))</f>
        <v>N/A</v>
      </c>
      <c r="BV62" s="117"/>
      <c r="BW62" s="97"/>
      <c r="BX62" s="102"/>
      <c r="BY62" s="117" t="str">
        <f t="shared" si="54"/>
        <v/>
      </c>
      <c r="BZ62" s="117" t="str">
        <f t="shared" si="55"/>
        <v/>
      </c>
      <c r="CA62" s="117" t="str">
        <f t="shared" si="56"/>
        <v/>
      </c>
      <c r="CB62" s="117" t="str">
        <f t="shared" si="57"/>
        <v/>
      </c>
      <c r="CC62" s="117" t="str">
        <f t="shared" si="58"/>
        <v/>
      </c>
      <c r="CD62" s="117" t="str">
        <f t="shared" si="59"/>
        <v/>
      </c>
      <c r="CE62" s="117" t="str">
        <f t="shared" si="60"/>
        <v/>
      </c>
      <c r="CF62" s="117" t="str">
        <f t="shared" si="61"/>
        <v/>
      </c>
      <c r="CG62" s="117" t="str">
        <f t="shared" si="62"/>
        <v/>
      </c>
      <c r="CH62" s="117" t="str">
        <f t="shared" si="63"/>
        <v/>
      </c>
      <c r="CI62" s="117" t="str">
        <f t="shared" si="29"/>
        <v/>
      </c>
      <c r="CJ62" s="117" t="str">
        <f t="shared" si="30"/>
        <v/>
      </c>
      <c r="CK62" s="117" t="str">
        <f t="shared" si="31"/>
        <v/>
      </c>
      <c r="CL62" s="117" t="str">
        <f t="shared" si="64"/>
        <v/>
      </c>
      <c r="CM62" s="117" t="str">
        <f t="shared" si="65"/>
        <v/>
      </c>
      <c r="CN62" s="117" t="str">
        <f t="shared" si="66"/>
        <v/>
      </c>
      <c r="CO62" s="121">
        <f t="shared" si="41"/>
        <v>41737</v>
      </c>
      <c r="CP62" s="117"/>
      <c r="CQ62" s="121">
        <f t="shared" si="42"/>
        <v>41737</v>
      </c>
      <c r="CR62" s="117"/>
      <c r="CS62" s="121">
        <f t="shared" si="43"/>
        <v>41779</v>
      </c>
      <c r="CT62" s="121">
        <f t="shared" si="44"/>
        <v>41793</v>
      </c>
      <c r="CU62" s="121">
        <f t="shared" si="45"/>
        <v>41765</v>
      </c>
      <c r="CV62" s="117"/>
      <c r="CW62" s="121">
        <f t="shared" si="46"/>
        <v>41779</v>
      </c>
      <c r="CX62" s="117"/>
      <c r="CY62" s="121">
        <f t="shared" si="47"/>
        <v>41786</v>
      </c>
      <c r="CZ62" s="117"/>
      <c r="DA62" s="121">
        <f t="shared" si="48"/>
        <v>41793</v>
      </c>
      <c r="DB62" s="121">
        <f t="shared" si="49"/>
        <v>41842</v>
      </c>
      <c r="DC62" s="121">
        <f t="shared" si="50"/>
        <v>41842</v>
      </c>
      <c r="DD62" s="117"/>
      <c r="DE62" s="125">
        <f t="shared" si="51"/>
        <v>41685</v>
      </c>
      <c r="DF62" s="124"/>
      <c r="DG62" s="125">
        <f t="shared" si="35"/>
        <v>41685</v>
      </c>
      <c r="DH62" s="124"/>
      <c r="DI62" s="125">
        <f t="shared" si="52"/>
        <v>41745</v>
      </c>
      <c r="DJ62" s="124"/>
      <c r="DK62" s="125">
        <f t="shared" si="53"/>
        <v>41730</v>
      </c>
      <c r="DL62" s="124"/>
      <c r="DM62" s="117"/>
      <c r="DN62" s="124"/>
      <c r="DO62" s="117"/>
    </row>
    <row r="63" spans="1:141" ht="15.75" thickBot="1">
      <c r="A63" s="25" t="s">
        <v>85</v>
      </c>
      <c r="B63" s="57">
        <f>jalons!B63</f>
        <v>0</v>
      </c>
      <c r="C63" s="57">
        <f>jalons!C63</f>
        <v>0</v>
      </c>
      <c r="D63" s="82" t="s">
        <v>253</v>
      </c>
      <c r="E63" s="9" t="str">
        <f>IF($A63="","",INDEX(jalons!$A$7:$K$125,MATCH('Suivi livrables'!$A63,jalons!$A$7:$A$125,0),4))</f>
        <v>manque date</v>
      </c>
      <c r="F63" s="10" t="str">
        <f>IF($A63="","",INDEX(jalons!$A$7:$K$125,MATCH('Suivi livrables'!$A63,jalons!$A$7:$A$125,0),5))</f>
        <v>manque date</v>
      </c>
      <c r="G63" s="10" t="str">
        <f>IF($A63="","",INDEX(jalons!$A$7:$K$125,MATCH('Suivi livrables'!$A63,jalons!$A$7:$A$125,0),6))</f>
        <v>manque date</v>
      </c>
      <c r="H63" s="10" t="str">
        <f>IF($A63="","",INDEX(jalons!$A$7:$K$125,MATCH('Suivi livrables'!$A63,jalons!$A$7:$A$125,0),7))</f>
        <v>manque date</v>
      </c>
      <c r="I63" s="10" t="str">
        <f>IF($A63="","",INDEX(jalons!$A$7:$K$125,MATCH('Suivi livrables'!$A63,jalons!$A$7:$A$125,0),8))</f>
        <v>manque date</v>
      </c>
      <c r="J63" s="10" t="str">
        <f>IF($A63="","",INDEX(jalons!$A$7:$K$125,MATCH('Suivi livrables'!$A63,jalons!$A$7:$A$125,0),9))</f>
        <v>manque date</v>
      </c>
      <c r="K63" s="10" t="str">
        <f>IF($A63="","",INDEX(jalons!$A$7:$K$125,MATCH('Suivi livrables'!$A63,jalons!$A$7:$A$125,0),10))</f>
        <v>manque date</v>
      </c>
      <c r="L63" s="10" t="str">
        <f>IF($A63="","",INDEX(jalons!$A$7:$K$125,MATCH('Suivi livrables'!$A63,jalons!$A$7:$A$125,0),11))</f>
        <v>manque date</v>
      </c>
      <c r="M63" s="14"/>
      <c r="N63" s="47"/>
      <c r="O63" s="47"/>
      <c r="P63" s="48"/>
      <c r="Q63" s="48"/>
      <c r="R63" s="48"/>
      <c r="S63" s="48"/>
      <c r="T63" s="48"/>
      <c r="U63" s="48"/>
      <c r="V63" s="48"/>
      <c r="W63" s="48"/>
      <c r="X63" s="48"/>
      <c r="Y63" s="48"/>
      <c r="Z63" s="48"/>
      <c r="AA63" s="48"/>
      <c r="AB63" s="93"/>
      <c r="AC63" s="48"/>
      <c r="AD63" s="127"/>
      <c r="AE63" s="132"/>
      <c r="AF63" s="48"/>
      <c r="AG63" s="48"/>
      <c r="AH63" s="48"/>
      <c r="AI63" s="48"/>
      <c r="AJ63" s="48"/>
      <c r="AK63" s="48"/>
      <c r="AL63" s="48"/>
      <c r="AM63" s="48"/>
      <c r="AN63" s="132"/>
      <c r="AO63" s="133"/>
      <c r="AP63" s="132"/>
      <c r="AQ63" s="132"/>
      <c r="AR63" s="133"/>
      <c r="AS63" s="132"/>
      <c r="AT63" s="132"/>
      <c r="AU63" s="139"/>
      <c r="AV63" s="139"/>
      <c r="AW63" s="132"/>
      <c r="AX63" s="139"/>
      <c r="AY63" s="139"/>
      <c r="AZ63" s="132"/>
      <c r="BA63" s="139"/>
      <c r="BB63" s="139"/>
      <c r="BC63" s="139"/>
      <c r="BD63" s="139"/>
      <c r="BE63" s="133"/>
      <c r="BF63" s="47"/>
      <c r="BG63" s="93"/>
      <c r="BH63" s="96" t="e">
        <f t="shared" si="36"/>
        <v>#VALUE!</v>
      </c>
      <c r="BI63" s="117"/>
      <c r="BJ63" s="119" t="e">
        <f t="shared" si="37"/>
        <v>#VALUE!</v>
      </c>
      <c r="BK63" s="117"/>
      <c r="BL63" s="121" t="str">
        <f t="shared" si="38"/>
        <v>N/A</v>
      </c>
      <c r="BM63" s="121" t="str">
        <f>IF(G63=0,0,IF('Suivi livrables'!BE63="ZSFR",IF(G63-F63&lt;90,F63+7,G63-90),"N/A"))</f>
        <v>N/A</v>
      </c>
      <c r="BN63" s="117"/>
      <c r="BO63" s="121" t="str">
        <f>IF(G63=0,0,IF('Suivi livrables'!BE63="ZSFR",IF(L63=0,I63-45,L63-4),"N/A"))</f>
        <v>N/A</v>
      </c>
      <c r="BP63" s="117"/>
      <c r="BQ63" s="121" t="e">
        <f t="shared" si="39"/>
        <v>#VALUE!</v>
      </c>
      <c r="BR63" s="121" t="e">
        <f t="shared" si="40"/>
        <v>#VALUE!</v>
      </c>
      <c r="BS63" s="117"/>
      <c r="BT63" s="121" t="str">
        <f>IF(G63=0,0,IF(AND('Suivi livrables'!P63=0,'Suivi livrables'!R63=0,'Suivi livrables'!T63=0,'Suivi livrables'!V63=0,'Suivi livrables'!X63=0,'Suivi livrables'!AD63=0),"N/A",#REF!-77))</f>
        <v>N/A</v>
      </c>
      <c r="BU63" s="121" t="str">
        <f>IF(G63=0,0,IF(AND('Suivi livrables'!P63=0,'Suivi livrables'!R63=0,'Suivi livrables'!T63=0,'Suivi livrables'!V63=0,'Suivi livrables'!X63=0,'Suivi livrables'!AD63=0),"N/A",#REF!-21))</f>
        <v>N/A</v>
      </c>
      <c r="BV63" s="117"/>
      <c r="BW63" s="97"/>
      <c r="BX63" s="102"/>
      <c r="BY63" s="117" t="str">
        <f t="shared" si="54"/>
        <v/>
      </c>
      <c r="BZ63" s="117" t="str">
        <f t="shared" si="55"/>
        <v/>
      </c>
      <c r="CA63" s="117" t="str">
        <f t="shared" si="56"/>
        <v/>
      </c>
      <c r="CB63" s="117" t="str">
        <f t="shared" si="57"/>
        <v/>
      </c>
      <c r="CC63" s="117" t="str">
        <f t="shared" si="58"/>
        <v/>
      </c>
      <c r="CD63" s="117" t="str">
        <f t="shared" si="59"/>
        <v/>
      </c>
      <c r="CE63" s="117" t="str">
        <f t="shared" si="60"/>
        <v/>
      </c>
      <c r="CF63" s="117" t="str">
        <f t="shared" si="61"/>
        <v/>
      </c>
      <c r="CG63" s="117" t="str">
        <f t="shared" si="62"/>
        <v/>
      </c>
      <c r="CH63" s="117" t="str">
        <f t="shared" si="63"/>
        <v/>
      </c>
      <c r="CI63" s="117" t="str">
        <f t="shared" si="29"/>
        <v/>
      </c>
      <c r="CJ63" s="117" t="str">
        <f t="shared" si="30"/>
        <v/>
      </c>
      <c r="CK63" s="117" t="str">
        <f t="shared" si="31"/>
        <v/>
      </c>
      <c r="CL63" s="117" t="str">
        <f t="shared" si="64"/>
        <v/>
      </c>
      <c r="CM63" s="117" t="str">
        <f t="shared" si="65"/>
        <v/>
      </c>
      <c r="CN63" s="117" t="str">
        <f t="shared" si="66"/>
        <v/>
      </c>
      <c r="CO63" s="121" t="e">
        <f t="shared" si="41"/>
        <v>#VALUE!</v>
      </c>
      <c r="CP63" s="117"/>
      <c r="CQ63" s="121" t="e">
        <f t="shared" si="42"/>
        <v>#VALUE!</v>
      </c>
      <c r="CR63" s="117"/>
      <c r="CS63" s="121" t="e">
        <f t="shared" si="43"/>
        <v>#VALUE!</v>
      </c>
      <c r="CT63" s="121" t="e">
        <f t="shared" si="44"/>
        <v>#VALUE!</v>
      </c>
      <c r="CU63" s="121" t="e">
        <f t="shared" si="45"/>
        <v>#VALUE!</v>
      </c>
      <c r="CV63" s="117"/>
      <c r="CW63" s="121" t="e">
        <f t="shared" si="46"/>
        <v>#VALUE!</v>
      </c>
      <c r="CX63" s="117"/>
      <c r="CY63" s="121" t="e">
        <f t="shared" si="47"/>
        <v>#VALUE!</v>
      </c>
      <c r="CZ63" s="117"/>
      <c r="DA63" s="121" t="e">
        <f t="shared" si="48"/>
        <v>#VALUE!</v>
      </c>
      <c r="DB63" s="121" t="e">
        <f t="shared" si="49"/>
        <v>#VALUE!</v>
      </c>
      <c r="DC63" s="121" t="e">
        <f t="shared" si="50"/>
        <v>#VALUE!</v>
      </c>
      <c r="DD63" s="117"/>
      <c r="DE63" s="125" t="e">
        <f t="shared" si="51"/>
        <v>#VALUE!</v>
      </c>
      <c r="DF63" s="124"/>
      <c r="DG63" s="125" t="e">
        <f t="shared" si="35"/>
        <v>#VALUE!</v>
      </c>
      <c r="DH63" s="124"/>
      <c r="DI63" s="125" t="e">
        <f t="shared" si="52"/>
        <v>#VALUE!</v>
      </c>
      <c r="DJ63" s="124"/>
      <c r="DK63" s="125" t="e">
        <f t="shared" si="53"/>
        <v>#VALUE!</v>
      </c>
      <c r="DL63" s="124"/>
      <c r="DM63" s="117"/>
      <c r="DN63" s="124"/>
      <c r="DO63" s="117"/>
    </row>
    <row r="64" spans="1:141" ht="15.75" thickBot="1">
      <c r="A64" s="25" t="s">
        <v>122</v>
      </c>
      <c r="B64" s="57" t="str">
        <f>jalons!B64</f>
        <v>Eva Airways</v>
      </c>
      <c r="C64" s="57" t="str">
        <f>jalons!C64</f>
        <v>B777-300</v>
      </c>
      <c r="D64" s="82" t="s">
        <v>252</v>
      </c>
      <c r="E64" s="9">
        <f>IF($A64="","",INDEX(jalons!$A$7:$K$125,MATCH('Suivi livrables'!$A64,jalons!$A$7:$A$125,0),4))</f>
        <v>42017</v>
      </c>
      <c r="F64" s="10">
        <f>IF($A64="","",INDEX(jalons!$A$7:$K$125,MATCH('Suivi livrables'!$A64,jalons!$A$7:$A$125,0),5))</f>
        <v>42122</v>
      </c>
      <c r="G64" s="10">
        <f>IF($A64="","",INDEX(jalons!$A$7:$K$125,MATCH('Suivi livrables'!$A64,jalons!$A$7:$A$125,0),6))</f>
        <v>42220</v>
      </c>
      <c r="H64" s="10">
        <f>IF($A64="","",INDEX(jalons!$A$7:$K$125,MATCH('Suivi livrables'!$A64,jalons!$A$7:$A$125,0),7))</f>
        <v>42377</v>
      </c>
      <c r="I64" s="10">
        <f>IF($A64="","",INDEX(jalons!$A$7:$K$125,MATCH('Suivi livrables'!$A64,jalons!$A$7:$A$125,0),8))</f>
        <v>42437</v>
      </c>
      <c r="J64" s="10">
        <f>IF($A64="","",INDEX(jalons!$A$7:$K$125,MATCH('Suivi livrables'!$A64,jalons!$A$7:$A$125,0),9))</f>
        <v>42543</v>
      </c>
      <c r="K64" s="10">
        <f>IF($A64="","",INDEX(jalons!$A$7:$K$125,MATCH('Suivi livrables'!$A64,jalons!$A$7:$A$125,0),10))</f>
        <v>42316</v>
      </c>
      <c r="L64" s="10">
        <f>IF($A64="","",INDEX(jalons!$A$7:$K$125,MATCH('Suivi livrables'!$A64,jalons!$A$7:$A$125,0),11))</f>
        <v>42307</v>
      </c>
      <c r="M64" s="14"/>
      <c r="N64" s="47" t="s">
        <v>41</v>
      </c>
      <c r="O64" s="47"/>
      <c r="P64" s="48"/>
      <c r="Q64" s="48"/>
      <c r="R64" s="48"/>
      <c r="S64" s="48"/>
      <c r="T64" s="48"/>
      <c r="U64" s="48"/>
      <c r="V64" s="48"/>
      <c r="W64" s="48"/>
      <c r="X64" s="48"/>
      <c r="Y64" s="48"/>
      <c r="Z64" s="48"/>
      <c r="AA64" s="48"/>
      <c r="AB64" s="93"/>
      <c r="AC64" s="48"/>
      <c r="AD64" s="127"/>
      <c r="AE64" s="132"/>
      <c r="AF64" s="48"/>
      <c r="AG64" s="48"/>
      <c r="AH64" s="48"/>
      <c r="AI64" s="48"/>
      <c r="AJ64" s="48"/>
      <c r="AK64" s="48"/>
      <c r="AL64" s="48"/>
      <c r="AM64" s="48"/>
      <c r="AN64" s="132"/>
      <c r="AO64" s="133"/>
      <c r="AP64" s="132"/>
      <c r="AQ64" s="132"/>
      <c r="AR64" s="133"/>
      <c r="AS64" s="132"/>
      <c r="AT64" s="132"/>
      <c r="AU64" s="139"/>
      <c r="AV64" s="139"/>
      <c r="AW64" s="132"/>
      <c r="AX64" s="139"/>
      <c r="AY64" s="139"/>
      <c r="AZ64" s="132"/>
      <c r="BA64" s="139"/>
      <c r="BB64" s="139"/>
      <c r="BC64" s="139"/>
      <c r="BD64" s="139"/>
      <c r="BE64" s="133" t="s">
        <v>68</v>
      </c>
      <c r="BF64" s="47"/>
      <c r="BG64" s="93"/>
      <c r="BH64" s="96">
        <f t="shared" si="36"/>
        <v>42143</v>
      </c>
      <c r="BI64" s="117"/>
      <c r="BJ64" s="119">
        <f t="shared" si="37"/>
        <v>42199</v>
      </c>
      <c r="BK64" s="117"/>
      <c r="BL64" s="121">
        <f t="shared" si="38"/>
        <v>42032</v>
      </c>
      <c r="BM64" s="121">
        <f>IF(G64=0,0,IF('Suivi livrables'!BE64="ZSFR",IF(G64-F64&lt;90,F64+7,G64-90),"N/A"))</f>
        <v>42130</v>
      </c>
      <c r="BN64" s="117"/>
      <c r="BO64" s="121">
        <f>IF(G64=0,0,IF('Suivi livrables'!BE64="ZSFR",IF(L64=0,I64-45,L64-4),"N/A"))</f>
        <v>42303</v>
      </c>
      <c r="BP64" s="117"/>
      <c r="BQ64" s="121" t="str">
        <f t="shared" si="39"/>
        <v>N/A</v>
      </c>
      <c r="BR64" s="121" t="str">
        <f t="shared" si="40"/>
        <v>N/A</v>
      </c>
      <c r="BS64" s="117"/>
      <c r="BT64" s="121" t="str">
        <f>IF(G64=0,0,IF(AND('Suivi livrables'!P64=0,'Suivi livrables'!R64=0,'Suivi livrables'!T64=0,'Suivi livrables'!V64=0,'Suivi livrables'!X64=0,'Suivi livrables'!AD64=0),"N/A",#REF!-77))</f>
        <v>N/A</v>
      </c>
      <c r="BU64" s="121" t="str">
        <f>IF(G64=0,0,IF(AND('Suivi livrables'!P64=0,'Suivi livrables'!R64=0,'Suivi livrables'!T64=0,'Suivi livrables'!V64=0,'Suivi livrables'!X64=0,'Suivi livrables'!AD64=0),"N/A",#REF!-21))</f>
        <v>N/A</v>
      </c>
      <c r="BV64" s="117"/>
      <c r="BW64" s="97"/>
      <c r="BX64" s="102"/>
      <c r="BY64" s="117" t="str">
        <f t="shared" si="54"/>
        <v/>
      </c>
      <c r="BZ64" s="117" t="str">
        <f t="shared" si="55"/>
        <v/>
      </c>
      <c r="CA64" s="117" t="str">
        <f t="shared" si="56"/>
        <v/>
      </c>
      <c r="CB64" s="117" t="str">
        <f t="shared" si="57"/>
        <v/>
      </c>
      <c r="CC64" s="117" t="str">
        <f t="shared" si="58"/>
        <v/>
      </c>
      <c r="CD64" s="117" t="str">
        <f t="shared" si="59"/>
        <v/>
      </c>
      <c r="CE64" s="117" t="str">
        <f t="shared" si="60"/>
        <v/>
      </c>
      <c r="CF64" s="117" t="str">
        <f t="shared" si="61"/>
        <v/>
      </c>
      <c r="CG64" s="117" t="str">
        <f t="shared" si="62"/>
        <v/>
      </c>
      <c r="CH64" s="117" t="str">
        <f t="shared" si="63"/>
        <v/>
      </c>
      <c r="CI64" s="117" t="str">
        <f t="shared" si="29"/>
        <v/>
      </c>
      <c r="CJ64" s="117" t="str">
        <f t="shared" si="30"/>
        <v/>
      </c>
      <c r="CK64" s="117" t="str">
        <f t="shared" si="31"/>
        <v/>
      </c>
      <c r="CL64" s="117" t="str">
        <f t="shared" si="64"/>
        <v/>
      </c>
      <c r="CM64" s="117" t="str">
        <f t="shared" si="65"/>
        <v/>
      </c>
      <c r="CN64" s="117" t="str">
        <f t="shared" si="66"/>
        <v/>
      </c>
      <c r="CO64" s="121">
        <f t="shared" si="41"/>
        <v>42143</v>
      </c>
      <c r="CP64" s="117"/>
      <c r="CQ64" s="121">
        <f t="shared" si="42"/>
        <v>42143</v>
      </c>
      <c r="CR64" s="117"/>
      <c r="CS64" s="121">
        <f t="shared" si="43"/>
        <v>42185</v>
      </c>
      <c r="CT64" s="121">
        <f t="shared" si="44"/>
        <v>42199</v>
      </c>
      <c r="CU64" s="121">
        <f t="shared" si="45"/>
        <v>42171</v>
      </c>
      <c r="CV64" s="117"/>
      <c r="CW64" s="121">
        <f t="shared" si="46"/>
        <v>42185</v>
      </c>
      <c r="CX64" s="117"/>
      <c r="CY64" s="121">
        <f t="shared" si="47"/>
        <v>42192</v>
      </c>
      <c r="CZ64" s="117"/>
      <c r="DA64" s="121">
        <f t="shared" si="48"/>
        <v>42199</v>
      </c>
      <c r="DB64" s="121">
        <f t="shared" si="49"/>
        <v>42248</v>
      </c>
      <c r="DC64" s="121">
        <f t="shared" si="50"/>
        <v>42248</v>
      </c>
      <c r="DD64" s="117"/>
      <c r="DE64" s="125">
        <f t="shared" si="51"/>
        <v>42070</v>
      </c>
      <c r="DF64" s="124"/>
      <c r="DG64" s="125">
        <f t="shared" si="35"/>
        <v>42070</v>
      </c>
      <c r="DH64" s="124"/>
      <c r="DI64" s="125">
        <f t="shared" si="52"/>
        <v>42130</v>
      </c>
      <c r="DJ64" s="124"/>
      <c r="DK64" s="125">
        <f t="shared" si="53"/>
        <v>42115</v>
      </c>
      <c r="DL64" s="124"/>
      <c r="DM64" s="117"/>
      <c r="DN64" s="124"/>
      <c r="DO64" s="117"/>
    </row>
    <row r="65" spans="1:125" ht="15.75" thickBot="1">
      <c r="A65" s="25" t="s">
        <v>123</v>
      </c>
      <c r="B65" s="57" t="str">
        <f>jalons!B65</f>
        <v>Cathay Pacific</v>
      </c>
      <c r="C65" s="57" t="str">
        <f>jalons!C65</f>
        <v>B777-300</v>
      </c>
      <c r="D65" s="82" t="s">
        <v>253</v>
      </c>
      <c r="E65" s="9">
        <f>IF($A65="","",INDEX(jalons!$A$7:$K$125,MATCH('Suivi livrables'!$A65,jalons!$A$7:$A$125,0),4))</f>
        <v>42040</v>
      </c>
      <c r="F65" s="10">
        <f>IF($A65="","",INDEX(jalons!$A$7:$K$125,MATCH('Suivi livrables'!$A65,jalons!$A$7:$A$125,0),5))</f>
        <v>42179</v>
      </c>
      <c r="G65" s="10">
        <f>IF($A65="","",INDEX(jalons!$A$7:$K$125,MATCH('Suivi livrables'!$A65,jalons!$A$7:$A$125,0),6))</f>
        <v>42291</v>
      </c>
      <c r="H65" s="10">
        <f>IF($A65="","",INDEX(jalons!$A$7:$K$125,MATCH('Suivi livrables'!$A65,jalons!$A$7:$A$125,0),7))</f>
        <v>42462</v>
      </c>
      <c r="I65" s="10">
        <f>IF($A65="","",INDEX(jalons!$A$7:$K$125,MATCH('Suivi livrables'!$A65,jalons!$A$7:$A$125,0),8))</f>
        <v>42490</v>
      </c>
      <c r="J65" s="10">
        <f>IF($A65="","",INDEX(jalons!$A$7:$K$125,MATCH('Suivi livrables'!$A65,jalons!$A$7:$A$125,0),9))</f>
        <v>42795</v>
      </c>
      <c r="K65" s="10">
        <f>IF($A65="","",INDEX(jalons!$A$7:$K$125,MATCH('Suivi livrables'!$A65,jalons!$A$7:$A$125,0),10))</f>
        <v>42387</v>
      </c>
      <c r="L65" s="10">
        <f>IF($A65="","",INDEX(jalons!$A$7:$K$125,MATCH('Suivi livrables'!$A65,jalons!$A$7:$A$125,0),11))</f>
        <v>42392</v>
      </c>
      <c r="M65" s="14"/>
      <c r="N65" s="47"/>
      <c r="O65" s="47"/>
      <c r="P65" s="48"/>
      <c r="Q65" s="48"/>
      <c r="R65" s="48"/>
      <c r="S65" s="48"/>
      <c r="T65" s="48"/>
      <c r="U65" s="48"/>
      <c r="V65" s="48"/>
      <c r="W65" s="48"/>
      <c r="X65" s="48"/>
      <c r="Y65" s="48"/>
      <c r="Z65" s="48"/>
      <c r="AA65" s="48"/>
      <c r="AB65" s="93"/>
      <c r="AC65" s="48"/>
      <c r="AD65" s="127"/>
      <c r="AE65" s="132"/>
      <c r="AF65" s="48"/>
      <c r="AG65" s="48"/>
      <c r="AH65" s="48"/>
      <c r="AI65" s="48"/>
      <c r="AJ65" s="48"/>
      <c r="AK65" s="48"/>
      <c r="AL65" s="48"/>
      <c r="AM65" s="48"/>
      <c r="AN65" s="132"/>
      <c r="AO65" s="133"/>
      <c r="AP65" s="132"/>
      <c r="AQ65" s="132"/>
      <c r="AR65" s="133"/>
      <c r="AS65" s="132"/>
      <c r="AT65" s="132"/>
      <c r="AU65" s="139"/>
      <c r="AV65" s="139"/>
      <c r="AW65" s="132"/>
      <c r="AX65" s="139"/>
      <c r="AY65" s="139"/>
      <c r="AZ65" s="132"/>
      <c r="BA65" s="139"/>
      <c r="BB65" s="139"/>
      <c r="BC65" s="139"/>
      <c r="BD65" s="139"/>
      <c r="BE65" s="133"/>
      <c r="BF65" s="47"/>
      <c r="BG65" s="93"/>
      <c r="BH65" s="96">
        <f t="shared" si="36"/>
        <v>42214</v>
      </c>
      <c r="BI65" s="117"/>
      <c r="BJ65" s="119">
        <f t="shared" si="37"/>
        <v>42270</v>
      </c>
      <c r="BK65" s="117"/>
      <c r="BL65" s="121" t="str">
        <f t="shared" si="38"/>
        <v>N/A</v>
      </c>
      <c r="BM65" s="121" t="str">
        <f>IF(G65=0,0,IF('Suivi livrables'!BE65="ZSFR",IF(G65-F65&lt;90,F65+7,G65-90),"N/A"))</f>
        <v>N/A</v>
      </c>
      <c r="BN65" s="117"/>
      <c r="BO65" s="121" t="str">
        <f>IF(G65=0,0,IF('Suivi livrables'!BE65="ZSFR",IF(L65=0,I65-45,L65-4),"N/A"))</f>
        <v>N/A</v>
      </c>
      <c r="BP65" s="117"/>
      <c r="BQ65" s="121">
        <f t="shared" si="39"/>
        <v>42214</v>
      </c>
      <c r="BR65" s="121">
        <f t="shared" si="40"/>
        <v>42284</v>
      </c>
      <c r="BS65" s="117"/>
      <c r="BT65" s="121" t="str">
        <f>IF(G65=0,0,IF(AND('Suivi livrables'!P65=0,'Suivi livrables'!R65=0,'Suivi livrables'!T65=0,'Suivi livrables'!V65=0,'Suivi livrables'!X65=0,'Suivi livrables'!AD65=0),"N/A",#REF!-77))</f>
        <v>N/A</v>
      </c>
      <c r="BU65" s="121" t="str">
        <f>IF(G65=0,0,IF(AND('Suivi livrables'!P65=0,'Suivi livrables'!R65=0,'Suivi livrables'!T65=0,'Suivi livrables'!V65=0,'Suivi livrables'!X65=0,'Suivi livrables'!AD65=0),"N/A",#REF!-21))</f>
        <v>N/A</v>
      </c>
      <c r="BV65" s="117"/>
      <c r="BW65" s="97"/>
      <c r="BX65" s="102"/>
      <c r="BY65" s="117" t="str">
        <f t="shared" si="54"/>
        <v/>
      </c>
      <c r="BZ65" s="117" t="str">
        <f t="shared" si="55"/>
        <v/>
      </c>
      <c r="CA65" s="117" t="str">
        <f t="shared" si="56"/>
        <v/>
      </c>
      <c r="CB65" s="117" t="str">
        <f t="shared" si="57"/>
        <v/>
      </c>
      <c r="CC65" s="117" t="str">
        <f t="shared" si="58"/>
        <v/>
      </c>
      <c r="CD65" s="117" t="str">
        <f t="shared" si="59"/>
        <v/>
      </c>
      <c r="CE65" s="117" t="str">
        <f t="shared" si="60"/>
        <v/>
      </c>
      <c r="CF65" s="117" t="str">
        <f t="shared" si="61"/>
        <v/>
      </c>
      <c r="CG65" s="117" t="str">
        <f t="shared" si="62"/>
        <v/>
      </c>
      <c r="CH65" s="117" t="str">
        <f t="shared" si="63"/>
        <v/>
      </c>
      <c r="CI65" s="117" t="str">
        <f t="shared" si="29"/>
        <v/>
      </c>
      <c r="CJ65" s="117" t="str">
        <f t="shared" si="30"/>
        <v/>
      </c>
      <c r="CK65" s="117" t="str">
        <f t="shared" si="31"/>
        <v/>
      </c>
      <c r="CL65" s="117" t="str">
        <f t="shared" si="64"/>
        <v/>
      </c>
      <c r="CM65" s="117" t="str">
        <f t="shared" si="65"/>
        <v/>
      </c>
      <c r="CN65" s="117" t="str">
        <f t="shared" si="66"/>
        <v/>
      </c>
      <c r="CO65" s="121">
        <f t="shared" si="41"/>
        <v>42214</v>
      </c>
      <c r="CP65" s="117"/>
      <c r="CQ65" s="121">
        <f t="shared" si="42"/>
        <v>42214</v>
      </c>
      <c r="CR65" s="117"/>
      <c r="CS65" s="121">
        <f t="shared" si="43"/>
        <v>42256</v>
      </c>
      <c r="CT65" s="121">
        <f t="shared" si="44"/>
        <v>42270</v>
      </c>
      <c r="CU65" s="121">
        <f t="shared" si="45"/>
        <v>42242</v>
      </c>
      <c r="CV65" s="117"/>
      <c r="CW65" s="121">
        <f t="shared" si="46"/>
        <v>42256</v>
      </c>
      <c r="CX65" s="117"/>
      <c r="CY65" s="121">
        <f t="shared" si="47"/>
        <v>42263</v>
      </c>
      <c r="CZ65" s="117"/>
      <c r="DA65" s="121">
        <f t="shared" si="48"/>
        <v>42270</v>
      </c>
      <c r="DB65" s="121">
        <f t="shared" si="49"/>
        <v>42319</v>
      </c>
      <c r="DC65" s="121">
        <f t="shared" si="50"/>
        <v>42319</v>
      </c>
      <c r="DD65" s="117"/>
      <c r="DE65" s="125">
        <f t="shared" si="51"/>
        <v>42141</v>
      </c>
      <c r="DF65" s="124"/>
      <c r="DG65" s="125">
        <f t="shared" si="35"/>
        <v>42141</v>
      </c>
      <c r="DH65" s="124"/>
      <c r="DI65" s="125">
        <f t="shared" si="52"/>
        <v>42201</v>
      </c>
      <c r="DJ65" s="124"/>
      <c r="DK65" s="125">
        <f t="shared" si="53"/>
        <v>42186</v>
      </c>
      <c r="DL65" s="124"/>
      <c r="DM65" s="117"/>
      <c r="DN65" s="124"/>
      <c r="DO65" s="117"/>
    </row>
    <row r="66" spans="1:125" ht="15.75" thickBot="1">
      <c r="A66" s="13" t="s">
        <v>191</v>
      </c>
      <c r="B66" s="57">
        <f>jalons!B66</f>
        <v>0</v>
      </c>
      <c r="C66" s="57">
        <f>jalons!C66</f>
        <v>0</v>
      </c>
      <c r="D66" s="83" t="s">
        <v>253</v>
      </c>
      <c r="E66" s="9">
        <f>IF($A66="","",INDEX(jalons!$A$7:$K$125,MATCH('Suivi livrables'!$A66,jalons!$A$7:$A$125,0),4))</f>
        <v>42287</v>
      </c>
      <c r="F66" s="10">
        <f>IF($A66="","",INDEX(jalons!$A$7:$K$125,MATCH('Suivi livrables'!$A66,jalons!$A$7:$A$125,0),5))</f>
        <v>42413</v>
      </c>
      <c r="G66" s="10">
        <f>IF($A66="","",INDEX(jalons!$A$7:$K$125,MATCH('Suivi livrables'!$A66,jalons!$A$7:$A$125,0),6))</f>
        <v>42628</v>
      </c>
      <c r="H66" s="10">
        <f>IF($A66="","",INDEX(jalons!$A$7:$K$125,MATCH('Suivi livrables'!$A66,jalons!$A$7:$A$125,0),7))</f>
        <v>42785</v>
      </c>
      <c r="I66" s="10">
        <f>IF($A66="","",INDEX(jalons!$A$7:$K$125,MATCH('Suivi livrables'!$A66,jalons!$A$7:$A$125,0),8))</f>
        <v>42815</v>
      </c>
      <c r="J66" s="10">
        <f>IF($A66="","",INDEX(jalons!$A$7:$K$125,MATCH('Suivi livrables'!$A66,jalons!$A$7:$A$125,0),9))</f>
        <v>42952</v>
      </c>
      <c r="K66" s="10">
        <f>IF($A66="","",INDEX(jalons!$A$7:$K$125,MATCH('Suivi livrables'!$A66,jalons!$A$7:$A$125,0),10))</f>
        <v>42770</v>
      </c>
      <c r="L66" s="10">
        <f>IF($A66="","",INDEX(jalons!$A$7:$K$125,MATCH('Suivi livrables'!$A66,jalons!$A$7:$A$125,0),11))</f>
        <v>42695</v>
      </c>
      <c r="M66" s="14"/>
      <c r="N66" s="47"/>
      <c r="O66" s="49"/>
      <c r="P66" s="50"/>
      <c r="Q66" s="50"/>
      <c r="R66" s="50"/>
      <c r="S66" s="50"/>
      <c r="T66" s="50"/>
      <c r="U66" s="50"/>
      <c r="V66" s="50"/>
      <c r="W66" s="50"/>
      <c r="X66" s="50"/>
      <c r="Y66" s="48"/>
      <c r="Z66" s="48"/>
      <c r="AA66" s="50"/>
      <c r="AB66" s="94"/>
      <c r="AC66" s="48"/>
      <c r="AD66" s="128"/>
      <c r="AE66" s="132"/>
      <c r="AF66" s="50"/>
      <c r="AG66" s="48"/>
      <c r="AH66" s="50"/>
      <c r="AI66" s="48"/>
      <c r="AJ66" s="50"/>
      <c r="AK66" s="48"/>
      <c r="AL66" s="50"/>
      <c r="AM66" s="48"/>
      <c r="AN66" s="140"/>
      <c r="AO66" s="133"/>
      <c r="AP66" s="140"/>
      <c r="AQ66" s="132"/>
      <c r="AR66" s="133"/>
      <c r="AS66" s="140"/>
      <c r="AT66" s="132"/>
      <c r="AU66" s="149"/>
      <c r="AV66" s="149"/>
      <c r="AW66" s="132"/>
      <c r="AX66" s="149"/>
      <c r="AY66" s="149"/>
      <c r="AZ66" s="132"/>
      <c r="BA66" s="149"/>
      <c r="BB66" s="149"/>
      <c r="BC66" s="149"/>
      <c r="BD66" s="149"/>
      <c r="BE66" s="133"/>
      <c r="BF66" s="49"/>
      <c r="BG66" s="94"/>
      <c r="BH66" s="96">
        <f t="shared" si="36"/>
        <v>42551</v>
      </c>
      <c r="BI66" s="117"/>
      <c r="BJ66" s="119">
        <f t="shared" si="37"/>
        <v>42607</v>
      </c>
      <c r="BK66" s="117"/>
      <c r="BL66" s="121" t="str">
        <f t="shared" si="38"/>
        <v>N/A</v>
      </c>
      <c r="BM66" s="121" t="str">
        <f>IF(G66=0,0,IF('Suivi livrables'!BE66="ZSFR",IF(G66-F66&lt;90,F66+7,G66-90),"N/A"))</f>
        <v>N/A</v>
      </c>
      <c r="BN66" s="117"/>
      <c r="BO66" s="121" t="str">
        <f>IF(G66=0,0,IF('Suivi livrables'!BE66="ZSFR",IF(L66=0,I66-45,L66-4),"N/A"))</f>
        <v>N/A</v>
      </c>
      <c r="BP66" s="117"/>
      <c r="BQ66" s="121">
        <f t="shared" si="39"/>
        <v>42551</v>
      </c>
      <c r="BR66" s="121">
        <f t="shared" si="40"/>
        <v>42621</v>
      </c>
      <c r="BS66" s="117"/>
      <c r="BT66" s="121" t="str">
        <f>IF(G66=0,0,IF(AND('Suivi livrables'!P66=0,'Suivi livrables'!R66=0,'Suivi livrables'!T66=0,'Suivi livrables'!V66=0,'Suivi livrables'!X66=0,'Suivi livrables'!AD66=0),"N/A",#REF!-77))</f>
        <v>N/A</v>
      </c>
      <c r="BU66" s="121" t="str">
        <f>IF(G66=0,0,IF(AND('Suivi livrables'!P66=0,'Suivi livrables'!R66=0,'Suivi livrables'!T66=0,'Suivi livrables'!V66=0,'Suivi livrables'!X66=0,'Suivi livrables'!AD66=0),"N/A",#REF!-21))</f>
        <v>N/A</v>
      </c>
      <c r="BV66" s="117"/>
      <c r="BW66" s="97"/>
      <c r="BX66" s="102"/>
      <c r="BY66" s="117" t="str">
        <f t="shared" si="54"/>
        <v/>
      </c>
      <c r="BZ66" s="117" t="str">
        <f t="shared" si="55"/>
        <v/>
      </c>
      <c r="CA66" s="117" t="str">
        <f t="shared" si="56"/>
        <v/>
      </c>
      <c r="CB66" s="117" t="str">
        <f t="shared" si="57"/>
        <v/>
      </c>
      <c r="CC66" s="117" t="str">
        <f t="shared" si="58"/>
        <v/>
      </c>
      <c r="CD66" s="117" t="str">
        <f t="shared" si="59"/>
        <v/>
      </c>
      <c r="CE66" s="117" t="str">
        <f t="shared" si="60"/>
        <v/>
      </c>
      <c r="CF66" s="117" t="str">
        <f t="shared" si="61"/>
        <v/>
      </c>
      <c r="CG66" s="117" t="str">
        <f t="shared" si="62"/>
        <v/>
      </c>
      <c r="CH66" s="117" t="str">
        <f t="shared" si="63"/>
        <v/>
      </c>
      <c r="CI66" s="117" t="str">
        <f t="shared" si="29"/>
        <v/>
      </c>
      <c r="CJ66" s="117" t="str">
        <f t="shared" si="30"/>
        <v/>
      </c>
      <c r="CK66" s="117" t="str">
        <f t="shared" si="31"/>
        <v/>
      </c>
      <c r="CL66" s="117" t="str">
        <f t="shared" si="64"/>
        <v/>
      </c>
      <c r="CM66" s="117" t="str">
        <f t="shared" si="65"/>
        <v/>
      </c>
      <c r="CN66" s="117" t="str">
        <f t="shared" si="66"/>
        <v/>
      </c>
      <c r="CO66" s="121">
        <f t="shared" si="41"/>
        <v>42551</v>
      </c>
      <c r="CP66" s="117"/>
      <c r="CQ66" s="121">
        <f t="shared" si="42"/>
        <v>42551</v>
      </c>
      <c r="CR66" s="117"/>
      <c r="CS66" s="121">
        <f t="shared" si="43"/>
        <v>42593</v>
      </c>
      <c r="CT66" s="121">
        <f t="shared" si="44"/>
        <v>42607</v>
      </c>
      <c r="CU66" s="121">
        <f t="shared" si="45"/>
        <v>42579</v>
      </c>
      <c r="CV66" s="117"/>
      <c r="CW66" s="121">
        <f t="shared" si="46"/>
        <v>42593</v>
      </c>
      <c r="CX66" s="117"/>
      <c r="CY66" s="121">
        <f t="shared" si="47"/>
        <v>42600</v>
      </c>
      <c r="CZ66" s="117"/>
      <c r="DA66" s="121">
        <f t="shared" si="48"/>
        <v>42607</v>
      </c>
      <c r="DB66" s="121">
        <f t="shared" si="49"/>
        <v>42656</v>
      </c>
      <c r="DC66" s="121">
        <f t="shared" si="50"/>
        <v>42656</v>
      </c>
      <c r="DD66" s="117"/>
      <c r="DE66" s="125">
        <f t="shared" si="51"/>
        <v>42478</v>
      </c>
      <c r="DF66" s="124"/>
      <c r="DG66" s="125">
        <f t="shared" si="35"/>
        <v>42478</v>
      </c>
      <c r="DH66" s="124"/>
      <c r="DI66" s="125">
        <f t="shared" si="52"/>
        <v>42538</v>
      </c>
      <c r="DJ66" s="124"/>
      <c r="DK66" s="125">
        <f t="shared" si="53"/>
        <v>42523</v>
      </c>
      <c r="DL66" s="124"/>
      <c r="DM66" s="117"/>
      <c r="DN66" s="124"/>
      <c r="DO66" s="117"/>
      <c r="DU66" t="s">
        <v>304</v>
      </c>
    </row>
    <row r="67" spans="1:125" ht="15.75" thickBot="1">
      <c r="A67" s="25" t="s">
        <v>162</v>
      </c>
      <c r="B67" s="57" t="str">
        <f>jalons!B67</f>
        <v>ANA</v>
      </c>
      <c r="C67" s="57" t="str">
        <f>jalons!C67</f>
        <v>B787</v>
      </c>
      <c r="D67" s="82" t="s">
        <v>252</v>
      </c>
      <c r="E67" s="9">
        <f>IF($A67="","",INDEX(jalons!$A$7:$K$125,MATCH('Suivi livrables'!$A67,jalons!$A$7:$A$125,0),4))</f>
        <v>41968</v>
      </c>
      <c r="F67" s="10">
        <f>IF($A67="","",INDEX(jalons!$A$7:$K$125,MATCH('Suivi livrables'!$A67,jalons!$A$7:$A$125,0),5))</f>
        <v>42124</v>
      </c>
      <c r="G67" s="10">
        <f>IF($A67="","",INDEX(jalons!$A$7:$K$125,MATCH('Suivi livrables'!$A67,jalons!$A$7:$A$125,0),6))</f>
        <v>42186</v>
      </c>
      <c r="H67" s="10">
        <f>IF($A67="","",INDEX(jalons!$A$7:$K$125,MATCH('Suivi livrables'!$A67,jalons!$A$7:$A$125,0),7))</f>
        <v>42299</v>
      </c>
      <c r="I67" s="10">
        <f>IF($A67="","",INDEX(jalons!$A$7:$K$125,MATCH('Suivi livrables'!$A67,jalons!$A$7:$A$125,0),8))</f>
        <v>42353</v>
      </c>
      <c r="J67" s="10">
        <f>IF($A67="","",INDEX(jalons!$A$7:$K$125,MATCH('Suivi livrables'!$A67,jalons!$A$7:$A$125,0),9))</f>
        <v>42449</v>
      </c>
      <c r="K67" s="10">
        <f>IF($A67="","",INDEX(jalons!$A$7:$K$125,MATCH('Suivi livrables'!$A67,jalons!$A$7:$A$125,0),10))</f>
        <v>42282</v>
      </c>
      <c r="L67" s="10">
        <f>IF($A67="","",INDEX(jalons!$A$7:$K$125,MATCH('Suivi livrables'!$A67,jalons!$A$7:$A$125,0),11))</f>
        <v>42264</v>
      </c>
      <c r="M67" s="14"/>
      <c r="N67" s="47" t="s">
        <v>41</v>
      </c>
      <c r="O67" s="47"/>
      <c r="P67" s="48"/>
      <c r="Q67" s="48"/>
      <c r="R67" s="48"/>
      <c r="S67" s="48"/>
      <c r="T67" s="48"/>
      <c r="U67" s="48"/>
      <c r="V67" s="48"/>
      <c r="W67" s="48"/>
      <c r="X67" s="48"/>
      <c r="Y67" s="48"/>
      <c r="Z67" s="48"/>
      <c r="AA67" s="48"/>
      <c r="AB67" s="93"/>
      <c r="AC67" s="48"/>
      <c r="AD67" s="127"/>
      <c r="AE67" s="132"/>
      <c r="AF67" s="48"/>
      <c r="AG67" s="48"/>
      <c r="AH67" s="48"/>
      <c r="AI67" s="48"/>
      <c r="AJ67" s="48"/>
      <c r="AK67" s="48"/>
      <c r="AL67" s="48"/>
      <c r="AM67" s="48"/>
      <c r="AN67" s="132"/>
      <c r="AO67" s="133"/>
      <c r="AP67" s="132"/>
      <c r="AQ67" s="132"/>
      <c r="AR67" s="133"/>
      <c r="AS67" s="132"/>
      <c r="AT67" s="132"/>
      <c r="AU67" s="139"/>
      <c r="AV67" s="139"/>
      <c r="AW67" s="132"/>
      <c r="AX67" s="139"/>
      <c r="AY67" s="139"/>
      <c r="AZ67" s="132"/>
      <c r="BA67" s="139"/>
      <c r="BB67" s="139"/>
      <c r="BC67" s="139"/>
      <c r="BD67" s="139"/>
      <c r="BE67" s="133"/>
      <c r="BF67" s="47"/>
      <c r="BG67" s="93"/>
      <c r="BH67" s="96">
        <f t="shared" si="36"/>
        <v>42109</v>
      </c>
      <c r="BI67" s="117"/>
      <c r="BJ67" s="119">
        <f t="shared" si="37"/>
        <v>42165</v>
      </c>
      <c r="BK67" s="117"/>
      <c r="BL67" s="121" t="str">
        <f t="shared" si="38"/>
        <v>N/A</v>
      </c>
      <c r="BM67" s="121" t="str">
        <f>IF(G67=0,0,IF('Suivi livrables'!BE67="ZSFR",IF(G67-F67&lt;90,F67+7,G67-90),"N/A"))</f>
        <v>N/A</v>
      </c>
      <c r="BN67" s="117"/>
      <c r="BO67" s="121" t="str">
        <f>IF(G67=0,0,IF('Suivi livrables'!BE67="ZSFR",IF(L67=0,I67-45,L67-4),"N/A"))</f>
        <v>N/A</v>
      </c>
      <c r="BP67" s="117"/>
      <c r="BQ67" s="121">
        <f t="shared" si="39"/>
        <v>42109</v>
      </c>
      <c r="BR67" s="121">
        <f t="shared" si="40"/>
        <v>42179</v>
      </c>
      <c r="BS67" s="117"/>
      <c r="BT67" s="121" t="str">
        <f>IF(G67=0,0,IF(AND('Suivi livrables'!P67=0,'Suivi livrables'!R67=0,'Suivi livrables'!T67=0,'Suivi livrables'!V67=0,'Suivi livrables'!X67=0,'Suivi livrables'!AD67=0),"N/A",#REF!-77))</f>
        <v>N/A</v>
      </c>
      <c r="BU67" s="121" t="str">
        <f>IF(G67=0,0,IF(AND('Suivi livrables'!P67=0,'Suivi livrables'!R67=0,'Suivi livrables'!T67=0,'Suivi livrables'!V67=0,'Suivi livrables'!X67=0,'Suivi livrables'!AD67=0),"N/A",#REF!-21))</f>
        <v>N/A</v>
      </c>
      <c r="BV67" s="117"/>
      <c r="BW67" s="97"/>
      <c r="BX67" s="102"/>
      <c r="BY67" s="117" t="str">
        <f t="shared" si="54"/>
        <v/>
      </c>
      <c r="BZ67" s="117" t="str">
        <f t="shared" si="55"/>
        <v/>
      </c>
      <c r="CA67" s="117" t="str">
        <f t="shared" si="56"/>
        <v/>
      </c>
      <c r="CB67" s="117" t="str">
        <f t="shared" si="57"/>
        <v/>
      </c>
      <c r="CC67" s="117" t="str">
        <f t="shared" si="58"/>
        <v/>
      </c>
      <c r="CD67" s="117" t="str">
        <f t="shared" si="59"/>
        <v/>
      </c>
      <c r="CE67" s="117" t="str">
        <f t="shared" si="60"/>
        <v/>
      </c>
      <c r="CF67" s="117" t="str">
        <f t="shared" si="61"/>
        <v/>
      </c>
      <c r="CG67" s="117" t="str">
        <f t="shared" si="62"/>
        <v/>
      </c>
      <c r="CH67" s="117" t="str">
        <f t="shared" si="63"/>
        <v/>
      </c>
      <c r="CI67" s="117" t="str">
        <f t="shared" si="29"/>
        <v/>
      </c>
      <c r="CJ67" s="117" t="str">
        <f t="shared" si="30"/>
        <v/>
      </c>
      <c r="CK67" s="117" t="str">
        <f t="shared" si="31"/>
        <v/>
      </c>
      <c r="CL67" s="117" t="str">
        <f t="shared" si="64"/>
        <v/>
      </c>
      <c r="CM67" s="117" t="str">
        <f t="shared" si="65"/>
        <v/>
      </c>
      <c r="CN67" s="117" t="str">
        <f t="shared" si="66"/>
        <v/>
      </c>
      <c r="CO67" s="121">
        <f t="shared" si="41"/>
        <v>42109</v>
      </c>
      <c r="CP67" s="117"/>
      <c r="CQ67" s="121">
        <f t="shared" si="42"/>
        <v>42109</v>
      </c>
      <c r="CR67" s="117"/>
      <c r="CS67" s="121">
        <f t="shared" si="43"/>
        <v>42151</v>
      </c>
      <c r="CT67" s="121">
        <f t="shared" si="44"/>
        <v>42165</v>
      </c>
      <c r="CU67" s="121">
        <f t="shared" si="45"/>
        <v>42137</v>
      </c>
      <c r="CV67" s="117"/>
      <c r="CW67" s="121">
        <f t="shared" si="46"/>
        <v>42151</v>
      </c>
      <c r="CX67" s="117"/>
      <c r="CY67" s="121">
        <f t="shared" si="47"/>
        <v>42158</v>
      </c>
      <c r="CZ67" s="117"/>
      <c r="DA67" s="121">
        <f t="shared" si="48"/>
        <v>42165</v>
      </c>
      <c r="DB67" s="121">
        <f t="shared" si="49"/>
        <v>42214</v>
      </c>
      <c r="DC67" s="121">
        <f t="shared" si="50"/>
        <v>42214</v>
      </c>
      <c r="DD67" s="117"/>
      <c r="DE67" s="125">
        <f t="shared" si="51"/>
        <v>42079</v>
      </c>
      <c r="DF67" s="124"/>
      <c r="DG67" s="125">
        <f t="shared" si="35"/>
        <v>42079</v>
      </c>
      <c r="DH67" s="124"/>
      <c r="DI67" s="125">
        <f t="shared" si="52"/>
        <v>42139</v>
      </c>
      <c r="DJ67" s="124"/>
      <c r="DK67" s="125">
        <f t="shared" si="53"/>
        <v>42124</v>
      </c>
      <c r="DL67" s="124"/>
      <c r="DM67" s="117"/>
      <c r="DN67" s="124"/>
      <c r="DO67" s="117"/>
    </row>
    <row r="68" spans="1:125" ht="15.75" thickBot="1">
      <c r="A68" s="25" t="s">
        <v>46</v>
      </c>
      <c r="B68" s="57">
        <f>jalons!B68</f>
        <v>0</v>
      </c>
      <c r="C68" s="57">
        <f>jalons!C68</f>
        <v>0</v>
      </c>
      <c r="D68" s="82" t="s">
        <v>253</v>
      </c>
      <c r="E68" s="9">
        <f>IF($A68="","",INDEX(jalons!$A$7:$K$125,MATCH('Suivi livrables'!$A68,jalons!$A$7:$A$125,0),4))</f>
        <v>41470</v>
      </c>
      <c r="F68" s="10">
        <f>IF($A68="","",INDEX(jalons!$A$7:$K$125,MATCH('Suivi livrables'!$A68,jalons!$A$7:$A$125,0),5))</f>
        <v>41625</v>
      </c>
      <c r="G68" s="10">
        <f>IF($A68="","",INDEX(jalons!$A$7:$K$125,MATCH('Suivi livrables'!$A68,jalons!$A$7:$A$125,0),6))</f>
        <v>41932</v>
      </c>
      <c r="H68" s="10">
        <f>IF($A68="","",INDEX(jalons!$A$7:$K$125,MATCH('Suivi livrables'!$A68,jalons!$A$7:$A$125,0),7))</f>
        <v>42106</v>
      </c>
      <c r="I68" s="10">
        <f>IF($A68="","",INDEX(jalons!$A$7:$K$125,MATCH('Suivi livrables'!$A68,jalons!$A$7:$A$125,0),8))</f>
        <v>42136</v>
      </c>
      <c r="J68" s="10">
        <f>IF($A68="","",INDEX(jalons!$A$7:$K$125,MATCH('Suivi livrables'!$A68,jalons!$A$7:$A$125,0),9))</f>
        <v>42168</v>
      </c>
      <c r="K68" s="10">
        <f>IF($A68="","",INDEX(jalons!$A$7:$K$125,MATCH('Suivi livrables'!$A68,jalons!$A$7:$A$125,0),10))</f>
        <v>42091</v>
      </c>
      <c r="L68" s="10">
        <f>IF($A68="","",INDEX(jalons!$A$7:$K$125,MATCH('Suivi livrables'!$A68,jalons!$A$7:$A$125,0),11))</f>
        <v>42016</v>
      </c>
      <c r="M68" s="14"/>
      <c r="N68" s="47"/>
      <c r="O68" s="47"/>
      <c r="P68" s="48"/>
      <c r="Q68" s="48"/>
      <c r="R68" s="48"/>
      <c r="S68" s="48"/>
      <c r="T68" s="48"/>
      <c r="U68" s="48"/>
      <c r="V68" s="48"/>
      <c r="W68" s="48"/>
      <c r="X68" s="48"/>
      <c r="Y68" s="48"/>
      <c r="Z68" s="48"/>
      <c r="AA68" s="48"/>
      <c r="AB68" s="93"/>
      <c r="AC68" s="48"/>
      <c r="AD68" s="127"/>
      <c r="AE68" s="132"/>
      <c r="AF68" s="48"/>
      <c r="AG68" s="48"/>
      <c r="AH68" s="48"/>
      <c r="AI68" s="48"/>
      <c r="AJ68" s="48"/>
      <c r="AK68" s="48"/>
      <c r="AL68" s="48"/>
      <c r="AM68" s="48"/>
      <c r="AN68" s="132"/>
      <c r="AO68" s="133"/>
      <c r="AP68" s="132"/>
      <c r="AQ68" s="132"/>
      <c r="AR68" s="133"/>
      <c r="AS68" s="132"/>
      <c r="AT68" s="132"/>
      <c r="AU68" s="139"/>
      <c r="AV68" s="139"/>
      <c r="AW68" s="132"/>
      <c r="AX68" s="139"/>
      <c r="AY68" s="139"/>
      <c r="AZ68" s="132"/>
      <c r="BA68" s="139"/>
      <c r="BB68" s="139"/>
      <c r="BC68" s="139"/>
      <c r="BD68" s="139"/>
      <c r="BE68" s="133"/>
      <c r="BF68" s="47"/>
      <c r="BG68" s="93"/>
      <c r="BH68" s="96">
        <f t="shared" si="36"/>
        <v>41855</v>
      </c>
      <c r="BI68" s="117"/>
      <c r="BJ68" s="119">
        <f t="shared" si="37"/>
        <v>41911</v>
      </c>
      <c r="BK68" s="117"/>
      <c r="BL68" s="121" t="str">
        <f t="shared" si="38"/>
        <v>N/A</v>
      </c>
      <c r="BM68" s="121" t="str">
        <f>IF(G68=0,0,IF('Suivi livrables'!BE68="ZSFR",IF(G68-F68&lt;90,F68+7,G68-90),"N/A"))</f>
        <v>N/A</v>
      </c>
      <c r="BN68" s="117"/>
      <c r="BO68" s="121" t="str">
        <f>IF(G68=0,0,IF('Suivi livrables'!BE68="ZSFR",IF(L68=0,I68-45,L68-4),"N/A"))</f>
        <v>N/A</v>
      </c>
      <c r="BP68" s="117"/>
      <c r="BQ68" s="121">
        <f t="shared" si="39"/>
        <v>41855</v>
      </c>
      <c r="BR68" s="121">
        <f t="shared" si="40"/>
        <v>41925</v>
      </c>
      <c r="BS68" s="117"/>
      <c r="BT68" s="121" t="str">
        <f>IF(G68=0,0,IF(AND('Suivi livrables'!P68=0,'Suivi livrables'!R68=0,'Suivi livrables'!T68=0,'Suivi livrables'!V68=0,'Suivi livrables'!X68=0,'Suivi livrables'!AD68=0),"N/A",#REF!-77))</f>
        <v>N/A</v>
      </c>
      <c r="BU68" s="121" t="str">
        <f>IF(G68=0,0,IF(AND('Suivi livrables'!P68=0,'Suivi livrables'!R68=0,'Suivi livrables'!T68=0,'Suivi livrables'!V68=0,'Suivi livrables'!X68=0,'Suivi livrables'!AD68=0),"N/A",#REF!-21))</f>
        <v>N/A</v>
      </c>
      <c r="BV68" s="117"/>
      <c r="BW68" s="97"/>
      <c r="BX68" s="102"/>
      <c r="BY68" s="117" t="str">
        <f t="shared" si="54"/>
        <v/>
      </c>
      <c r="BZ68" s="117" t="str">
        <f t="shared" si="55"/>
        <v/>
      </c>
      <c r="CA68" s="117" t="str">
        <f t="shared" si="56"/>
        <v/>
      </c>
      <c r="CB68" s="117" t="str">
        <f t="shared" si="57"/>
        <v/>
      </c>
      <c r="CC68" s="117" t="str">
        <f t="shared" si="58"/>
        <v/>
      </c>
      <c r="CD68" s="117" t="str">
        <f t="shared" si="59"/>
        <v/>
      </c>
      <c r="CE68" s="117" t="str">
        <f t="shared" si="60"/>
        <v/>
      </c>
      <c r="CF68" s="117" t="str">
        <f t="shared" si="61"/>
        <v/>
      </c>
      <c r="CG68" s="117" t="str">
        <f t="shared" si="62"/>
        <v/>
      </c>
      <c r="CH68" s="117" t="str">
        <f t="shared" si="63"/>
        <v/>
      </c>
      <c r="CI68" s="117" t="str">
        <f t="shared" si="29"/>
        <v/>
      </c>
      <c r="CJ68" s="117" t="str">
        <f t="shared" si="30"/>
        <v/>
      </c>
      <c r="CK68" s="117" t="str">
        <f t="shared" si="31"/>
        <v/>
      </c>
      <c r="CL68" s="117" t="str">
        <f t="shared" si="64"/>
        <v/>
      </c>
      <c r="CM68" s="117" t="str">
        <f t="shared" si="65"/>
        <v/>
      </c>
      <c r="CN68" s="117" t="str">
        <f t="shared" si="66"/>
        <v/>
      </c>
      <c r="CO68" s="121">
        <f t="shared" si="41"/>
        <v>41855</v>
      </c>
      <c r="CP68" s="117"/>
      <c r="CQ68" s="121">
        <f t="shared" si="42"/>
        <v>41855</v>
      </c>
      <c r="CR68" s="117"/>
      <c r="CS68" s="121">
        <f t="shared" si="43"/>
        <v>41897</v>
      </c>
      <c r="CT68" s="121">
        <f t="shared" si="44"/>
        <v>41911</v>
      </c>
      <c r="CU68" s="121">
        <f t="shared" si="45"/>
        <v>41883</v>
      </c>
      <c r="CV68" s="117"/>
      <c r="CW68" s="121">
        <f t="shared" si="46"/>
        <v>41897</v>
      </c>
      <c r="CX68" s="117"/>
      <c r="CY68" s="121">
        <f t="shared" si="47"/>
        <v>41904</v>
      </c>
      <c r="CZ68" s="117"/>
      <c r="DA68" s="121">
        <f t="shared" si="48"/>
        <v>41911</v>
      </c>
      <c r="DB68" s="121">
        <f t="shared" si="49"/>
        <v>41960</v>
      </c>
      <c r="DC68" s="121">
        <f t="shared" si="50"/>
        <v>41960</v>
      </c>
      <c r="DD68" s="117"/>
      <c r="DE68" s="125">
        <f t="shared" si="51"/>
        <v>41782</v>
      </c>
      <c r="DF68" s="124"/>
      <c r="DG68" s="125">
        <f t="shared" si="35"/>
        <v>41782</v>
      </c>
      <c r="DH68" s="124"/>
      <c r="DI68" s="125">
        <f t="shared" si="52"/>
        <v>41842</v>
      </c>
      <c r="DJ68" s="124"/>
      <c r="DK68" s="125">
        <f t="shared" si="53"/>
        <v>41827</v>
      </c>
      <c r="DL68" s="124"/>
      <c r="DM68" s="117"/>
      <c r="DN68" s="124"/>
      <c r="DO68" s="117"/>
    </row>
    <row r="69" spans="1:125" ht="15.75" thickBot="1">
      <c r="A69" s="13" t="s">
        <v>192</v>
      </c>
      <c r="B69" s="57" t="str">
        <f>jalons!B69</f>
        <v>ANA Gouv Jap</v>
      </c>
      <c r="C69" s="57" t="str">
        <f>jalons!C69</f>
        <v>B777</v>
      </c>
      <c r="D69" s="83" t="s">
        <v>253</v>
      </c>
      <c r="E69" s="9">
        <f>IF($A69="","",INDEX(jalons!$A$7:$K$125,MATCH('Suivi livrables'!$A69,jalons!$A$7:$A$125,0),4))</f>
        <v>42012</v>
      </c>
      <c r="F69" s="10">
        <f>IF($A69="","",INDEX(jalons!$A$7:$K$125,MATCH('Suivi livrables'!$A69,jalons!$A$7:$A$125,0),5))</f>
        <v>42117</v>
      </c>
      <c r="G69" s="10">
        <f>IF($A69="","",INDEX(jalons!$A$7:$K$125,MATCH('Suivi livrables'!$A69,jalons!$A$7:$A$125,0),6))</f>
        <v>42277</v>
      </c>
      <c r="H69" s="10">
        <f>IF($A69="","",INDEX(jalons!$A$7:$K$125,MATCH('Suivi livrables'!$A69,jalons!$A$7:$A$125,0),7))</f>
        <v>42421</v>
      </c>
      <c r="I69" s="10">
        <f>IF($A69="","",INDEX(jalons!$A$7:$K$125,MATCH('Suivi livrables'!$A69,jalons!$A$7:$A$125,0),8))</f>
        <v>42450</v>
      </c>
      <c r="J69" s="10">
        <f>IF($A69="","",INDEX(jalons!$A$7:$K$125,MATCH('Suivi livrables'!$A69,jalons!$A$7:$A$125,0),9))</f>
        <v>42522</v>
      </c>
      <c r="K69" s="10">
        <f>IF($A69="","",INDEX(jalons!$A$7:$K$125,MATCH('Suivi livrables'!$A69,jalons!$A$7:$A$125,0),10))</f>
        <v>42373</v>
      </c>
      <c r="L69" s="10">
        <f>IF($A69="","",INDEX(jalons!$A$7:$K$125,MATCH('Suivi livrables'!$A69,jalons!$A$7:$A$125,0),11))</f>
        <v>42331</v>
      </c>
      <c r="M69" s="14"/>
      <c r="N69" s="47"/>
      <c r="O69" s="49"/>
      <c r="P69" s="50"/>
      <c r="Q69" s="50"/>
      <c r="R69" s="50"/>
      <c r="S69" s="50"/>
      <c r="T69" s="50"/>
      <c r="U69" s="50"/>
      <c r="V69" s="50"/>
      <c r="W69" s="50"/>
      <c r="X69" s="50"/>
      <c r="Y69" s="48"/>
      <c r="Z69" s="48"/>
      <c r="AA69" s="50"/>
      <c r="AB69" s="94"/>
      <c r="AC69" s="48"/>
      <c r="AD69" s="128"/>
      <c r="AE69" s="132"/>
      <c r="AF69" s="50"/>
      <c r="AG69" s="48"/>
      <c r="AH69" s="50"/>
      <c r="AI69" s="48"/>
      <c r="AJ69" s="50"/>
      <c r="AK69" s="48"/>
      <c r="AL69" s="50"/>
      <c r="AM69" s="48"/>
      <c r="AN69" s="140"/>
      <c r="AO69" s="133"/>
      <c r="AP69" s="140"/>
      <c r="AQ69" s="132"/>
      <c r="AR69" s="133"/>
      <c r="AS69" s="140"/>
      <c r="AT69" s="132"/>
      <c r="AU69" s="149"/>
      <c r="AV69" s="149"/>
      <c r="AW69" s="132"/>
      <c r="AX69" s="149"/>
      <c r="AY69" s="149"/>
      <c r="AZ69" s="132"/>
      <c r="BA69" s="149"/>
      <c r="BB69" s="149"/>
      <c r="BC69" s="149"/>
      <c r="BD69" s="149"/>
      <c r="BE69" s="133"/>
      <c r="BF69" s="49"/>
      <c r="BG69" s="94"/>
      <c r="BH69" s="96">
        <f t="shared" si="36"/>
        <v>42200</v>
      </c>
      <c r="BI69" s="117"/>
      <c r="BJ69" s="119">
        <f t="shared" si="37"/>
        <v>42256</v>
      </c>
      <c r="BK69" s="117"/>
      <c r="BL69" s="121" t="str">
        <f t="shared" si="38"/>
        <v>N/A</v>
      </c>
      <c r="BM69" s="121" t="str">
        <f>IF(G69=0,0,IF('Suivi livrables'!BE69="ZSFR",IF(G69-F69&lt;90,F69+7,G69-90),"N/A"))</f>
        <v>N/A</v>
      </c>
      <c r="BN69" s="117"/>
      <c r="BO69" s="121" t="str">
        <f>IF(G69=0,0,IF('Suivi livrables'!BE69="ZSFR",IF(L69=0,I69-45,L69-4),"N/A"))</f>
        <v>N/A</v>
      </c>
      <c r="BP69" s="117"/>
      <c r="BQ69" s="121">
        <f t="shared" si="39"/>
        <v>42200</v>
      </c>
      <c r="BR69" s="121">
        <f t="shared" si="40"/>
        <v>42270</v>
      </c>
      <c r="BS69" s="117"/>
      <c r="BT69" s="121" t="str">
        <f>IF(G69=0,0,IF(AND('Suivi livrables'!P69=0,'Suivi livrables'!R69=0,'Suivi livrables'!T69=0,'Suivi livrables'!V69=0,'Suivi livrables'!X69=0,'Suivi livrables'!AD69=0),"N/A",#REF!-77))</f>
        <v>N/A</v>
      </c>
      <c r="BU69" s="121" t="str">
        <f>IF(G69=0,0,IF(AND('Suivi livrables'!P69=0,'Suivi livrables'!R69=0,'Suivi livrables'!T69=0,'Suivi livrables'!V69=0,'Suivi livrables'!X69=0,'Suivi livrables'!AD69=0),"N/A",#REF!-21))</f>
        <v>N/A</v>
      </c>
      <c r="BV69" s="117"/>
      <c r="BW69" s="97"/>
      <c r="BX69" s="102"/>
      <c r="BY69" s="117" t="str">
        <f t="shared" si="54"/>
        <v/>
      </c>
      <c r="BZ69" s="117" t="str">
        <f t="shared" si="55"/>
        <v/>
      </c>
      <c r="CA69" s="117" t="str">
        <f t="shared" si="56"/>
        <v/>
      </c>
      <c r="CB69" s="117" t="str">
        <f t="shared" si="57"/>
        <v/>
      </c>
      <c r="CC69" s="117" t="str">
        <f t="shared" si="58"/>
        <v/>
      </c>
      <c r="CD69" s="117" t="str">
        <f t="shared" si="59"/>
        <v/>
      </c>
      <c r="CE69" s="117" t="str">
        <f t="shared" si="60"/>
        <v/>
      </c>
      <c r="CF69" s="117" t="str">
        <f t="shared" si="61"/>
        <v/>
      </c>
      <c r="CG69" s="117" t="str">
        <f t="shared" si="62"/>
        <v/>
      </c>
      <c r="CH69" s="117" t="str">
        <f t="shared" si="63"/>
        <v/>
      </c>
      <c r="CI69" s="117" t="str">
        <f t="shared" si="29"/>
        <v/>
      </c>
      <c r="CJ69" s="117" t="str">
        <f t="shared" si="30"/>
        <v/>
      </c>
      <c r="CK69" s="117" t="str">
        <f t="shared" si="31"/>
        <v/>
      </c>
      <c r="CL69" s="117" t="str">
        <f t="shared" si="64"/>
        <v/>
      </c>
      <c r="CM69" s="117" t="str">
        <f t="shared" si="65"/>
        <v/>
      </c>
      <c r="CN69" s="117" t="str">
        <f t="shared" si="66"/>
        <v/>
      </c>
      <c r="CO69" s="121">
        <f t="shared" si="41"/>
        <v>42200</v>
      </c>
      <c r="CP69" s="117"/>
      <c r="CQ69" s="121">
        <f t="shared" si="42"/>
        <v>42200</v>
      </c>
      <c r="CR69" s="117"/>
      <c r="CS69" s="121">
        <f t="shared" si="43"/>
        <v>42242</v>
      </c>
      <c r="CT69" s="121">
        <f t="shared" si="44"/>
        <v>42256</v>
      </c>
      <c r="CU69" s="121">
        <f t="shared" si="45"/>
        <v>42228</v>
      </c>
      <c r="CV69" s="117"/>
      <c r="CW69" s="121">
        <f t="shared" si="46"/>
        <v>42242</v>
      </c>
      <c r="CX69" s="117"/>
      <c r="CY69" s="121">
        <f t="shared" si="47"/>
        <v>42249</v>
      </c>
      <c r="CZ69" s="117"/>
      <c r="DA69" s="121">
        <f t="shared" si="48"/>
        <v>42256</v>
      </c>
      <c r="DB69" s="121">
        <f t="shared" si="49"/>
        <v>42305</v>
      </c>
      <c r="DC69" s="121">
        <f t="shared" si="50"/>
        <v>42305</v>
      </c>
      <c r="DD69" s="117"/>
      <c r="DE69" s="125">
        <f t="shared" si="51"/>
        <v>42127</v>
      </c>
      <c r="DF69" s="124"/>
      <c r="DG69" s="125">
        <f t="shared" si="35"/>
        <v>42127</v>
      </c>
      <c r="DH69" s="124"/>
      <c r="DI69" s="125">
        <f t="shared" si="52"/>
        <v>42187</v>
      </c>
      <c r="DJ69" s="124"/>
      <c r="DK69" s="125">
        <f t="shared" si="53"/>
        <v>42172</v>
      </c>
      <c r="DL69" s="124"/>
      <c r="DM69" s="117"/>
      <c r="DN69" s="124"/>
      <c r="DO69" s="117"/>
    </row>
    <row r="70" spans="1:125" ht="15.75" thickBot="1">
      <c r="A70" s="25" t="s">
        <v>51</v>
      </c>
      <c r="B70" s="57" t="str">
        <f>jalons!B70</f>
        <v>Finnair / ACS</v>
      </c>
      <c r="C70" s="57" t="str">
        <f>jalons!C70</f>
        <v>A350-900</v>
      </c>
      <c r="D70" s="82" t="s">
        <v>252</v>
      </c>
      <c r="E70" s="9">
        <f>IF($A70="","",INDEX(jalons!$A$7:$K$125,MATCH('Suivi livrables'!$A70,jalons!$A$7:$A$125,0),4))</f>
        <v>41249</v>
      </c>
      <c r="F70" s="11">
        <f>IF($A70="","",INDEX(jalons!$A$7:$K$125,MATCH('Suivi livrables'!$A70,jalons!$A$7:$A$125,0),5))</f>
        <v>41418</v>
      </c>
      <c r="G70" s="11">
        <f>IF($A70="","",INDEX(jalons!$A$7:$K$125,MATCH('Suivi livrables'!$A70,jalons!$A$7:$A$125,0),6))</f>
        <v>41817</v>
      </c>
      <c r="H70" s="11">
        <f>IF($A70="","",INDEX(jalons!$A$7:$K$125,MATCH('Suivi livrables'!$A70,jalons!$A$7:$A$125,0),7))</f>
        <v>42035</v>
      </c>
      <c r="I70" s="11">
        <f>IF($A70="","",INDEX(jalons!$A$7:$K$125,MATCH('Suivi livrables'!$A70,jalons!$A$7:$A$125,0),8))</f>
        <v>42065</v>
      </c>
      <c r="J70" s="11">
        <f>IF($A70="","",INDEX(jalons!$A$7:$K$125,MATCH('Suivi livrables'!$A70,jalons!$A$7:$A$125,0),9))</f>
        <v>42131</v>
      </c>
      <c r="K70" s="11">
        <f>IF($A70="","",INDEX(jalons!$A$7:$K$125,MATCH('Suivi livrables'!$A70,jalons!$A$7:$A$125,0),10))</f>
        <v>41913</v>
      </c>
      <c r="L70" s="11">
        <f>IF($A70="","",INDEX(jalons!$A$7:$K$125,MATCH('Suivi livrables'!$A70,jalons!$A$7:$A$125,0),11))</f>
        <v>41945</v>
      </c>
      <c r="M70" s="12"/>
      <c r="N70" s="53" t="s">
        <v>41</v>
      </c>
      <c r="O70" s="53" t="s">
        <v>76</v>
      </c>
      <c r="P70" s="54">
        <v>1</v>
      </c>
      <c r="Q70" s="54" t="s">
        <v>76</v>
      </c>
      <c r="R70" s="54">
        <v>1</v>
      </c>
      <c r="S70" s="54"/>
      <c r="T70" s="54"/>
      <c r="U70" s="54" t="s">
        <v>76</v>
      </c>
      <c r="V70" s="54">
        <v>1</v>
      </c>
      <c r="W70" s="54"/>
      <c r="X70" s="54"/>
      <c r="Y70" s="48"/>
      <c r="Z70" s="48"/>
      <c r="AA70" s="54"/>
      <c r="AB70" s="95"/>
      <c r="AC70" s="48"/>
      <c r="AD70" s="129"/>
      <c r="AE70" s="132"/>
      <c r="AF70" s="54"/>
      <c r="AG70" s="48"/>
      <c r="AH70" s="54"/>
      <c r="AI70" s="48"/>
      <c r="AJ70" s="54"/>
      <c r="AK70" s="48"/>
      <c r="AL70" s="54"/>
      <c r="AM70" s="48"/>
      <c r="AN70" s="141"/>
      <c r="AO70" s="133"/>
      <c r="AP70" s="141"/>
      <c r="AQ70" s="132"/>
      <c r="AR70" s="133"/>
      <c r="AS70" s="141"/>
      <c r="AT70" s="132"/>
      <c r="AU70" s="150"/>
      <c r="AV70" s="150"/>
      <c r="AW70" s="132"/>
      <c r="AX70" s="150"/>
      <c r="AY70" s="150"/>
      <c r="AZ70" s="132"/>
      <c r="BA70" s="150"/>
      <c r="BB70" s="150"/>
      <c r="BC70" s="150"/>
      <c r="BD70" s="150"/>
      <c r="BE70" s="133" t="s">
        <v>68</v>
      </c>
      <c r="BF70" s="53"/>
      <c r="BG70" s="95"/>
      <c r="BH70" s="96">
        <f t="shared" si="36"/>
        <v>41740</v>
      </c>
      <c r="BI70" s="117"/>
      <c r="BJ70" s="119">
        <f t="shared" si="37"/>
        <v>41796</v>
      </c>
      <c r="BK70" s="117"/>
      <c r="BL70" s="121">
        <f t="shared" si="38"/>
        <v>41264</v>
      </c>
      <c r="BM70" s="121">
        <f>IF(G70=0,0,IF('Suivi livrables'!BE70="ZSFR",IF(G70-F70&lt;90,F70+7,G70-90),"N/A"))</f>
        <v>41727</v>
      </c>
      <c r="BN70" s="117"/>
      <c r="BO70" s="121">
        <f>IF(G70=0,0,IF('Suivi livrables'!BE70="ZSFR",IF(L70=0,I70-45,L70-4),"N/A"))</f>
        <v>41941</v>
      </c>
      <c r="BP70" s="117"/>
      <c r="BQ70" s="121" t="str">
        <f t="shared" si="39"/>
        <v>N/A</v>
      </c>
      <c r="BR70" s="121" t="str">
        <f t="shared" si="40"/>
        <v>N/A</v>
      </c>
      <c r="BS70" s="117"/>
      <c r="BT70" s="121" t="e">
        <f>IF(G70=0,0,IF(AND('Suivi livrables'!P70=0,'Suivi livrables'!R70=0,'Suivi livrables'!T70=0,'Suivi livrables'!V70=0,'Suivi livrables'!X70=0,'Suivi livrables'!AD70=0),"N/A",#REF!-77))</f>
        <v>#REF!</v>
      </c>
      <c r="BU70" s="121" t="e">
        <f>IF(G70=0,0,IF(AND('Suivi livrables'!P70=0,'Suivi livrables'!R70=0,'Suivi livrables'!T70=0,'Suivi livrables'!V70=0,'Suivi livrables'!X70=0,'Suivi livrables'!AD70=0),"N/A",#REF!-21))</f>
        <v>#REF!</v>
      </c>
      <c r="BV70" s="117"/>
      <c r="BW70" s="97"/>
      <c r="BX70" s="102"/>
      <c r="BY70" s="117" t="str">
        <f t="shared" si="54"/>
        <v>Neotex</v>
      </c>
      <c r="BZ70" s="117">
        <f t="shared" si="55"/>
        <v>1</v>
      </c>
      <c r="CA70" s="117" t="str">
        <f t="shared" si="56"/>
        <v>Neotex</v>
      </c>
      <c r="CB70" s="117">
        <f t="shared" si="57"/>
        <v>1</v>
      </c>
      <c r="CC70" s="117" t="str">
        <f t="shared" si="58"/>
        <v/>
      </c>
      <c r="CD70" s="117" t="str">
        <f t="shared" si="59"/>
        <v/>
      </c>
      <c r="CE70" s="117" t="str">
        <f t="shared" si="60"/>
        <v>Neotex</v>
      </c>
      <c r="CF70" s="117">
        <f t="shared" si="61"/>
        <v>1</v>
      </c>
      <c r="CG70" s="117" t="str">
        <f t="shared" si="62"/>
        <v/>
      </c>
      <c r="CH70" s="117" t="str">
        <f t="shared" si="63"/>
        <v/>
      </c>
      <c r="CI70" s="117" t="str">
        <f t="shared" si="29"/>
        <v/>
      </c>
      <c r="CJ70" s="117" t="str">
        <f t="shared" si="30"/>
        <v/>
      </c>
      <c r="CK70" s="117" t="str">
        <f t="shared" si="31"/>
        <v/>
      </c>
      <c r="CL70" s="117" t="str">
        <f t="shared" si="64"/>
        <v/>
      </c>
      <c r="CM70" s="117" t="str">
        <f t="shared" si="65"/>
        <v/>
      </c>
      <c r="CN70" s="117" t="str">
        <f t="shared" si="66"/>
        <v/>
      </c>
      <c r="CO70" s="121">
        <f t="shared" si="41"/>
        <v>41740</v>
      </c>
      <c r="CP70" s="117"/>
      <c r="CQ70" s="121">
        <f t="shared" si="42"/>
        <v>41740</v>
      </c>
      <c r="CR70" s="117"/>
      <c r="CS70" s="121">
        <f t="shared" si="43"/>
        <v>41782</v>
      </c>
      <c r="CT70" s="121">
        <f t="shared" si="44"/>
        <v>41796</v>
      </c>
      <c r="CU70" s="121">
        <f t="shared" si="45"/>
        <v>41768</v>
      </c>
      <c r="CV70" s="117"/>
      <c r="CW70" s="121">
        <f t="shared" si="46"/>
        <v>41782</v>
      </c>
      <c r="CX70" s="117"/>
      <c r="CY70" s="121">
        <f t="shared" si="47"/>
        <v>41789</v>
      </c>
      <c r="CZ70" s="117"/>
      <c r="DA70" s="121">
        <f t="shared" si="48"/>
        <v>41796</v>
      </c>
      <c r="DB70" s="121">
        <f t="shared" si="49"/>
        <v>41845</v>
      </c>
      <c r="DC70" s="121">
        <f t="shared" si="50"/>
        <v>41845</v>
      </c>
      <c r="DD70" s="117"/>
      <c r="DE70" s="125">
        <f t="shared" si="51"/>
        <v>41667</v>
      </c>
      <c r="DF70" s="124"/>
      <c r="DG70" s="125">
        <f t="shared" si="35"/>
        <v>41667</v>
      </c>
      <c r="DH70" s="124"/>
      <c r="DI70" s="125">
        <f t="shared" si="52"/>
        <v>41727</v>
      </c>
      <c r="DJ70" s="124"/>
      <c r="DK70" s="125">
        <f t="shared" si="53"/>
        <v>41712</v>
      </c>
      <c r="DL70" s="124"/>
      <c r="DM70" s="117"/>
      <c r="DN70" s="124"/>
      <c r="DO70" s="117"/>
    </row>
    <row r="71" spans="1:125" ht="15.75" thickBot="1">
      <c r="A71" s="25" t="s">
        <v>53</v>
      </c>
      <c r="B71" s="57">
        <f>jalons!B71</f>
        <v>0</v>
      </c>
      <c r="C71" s="57">
        <f>jalons!C71</f>
        <v>0</v>
      </c>
      <c r="D71" s="82" t="s">
        <v>252</v>
      </c>
      <c r="E71" s="9" t="str">
        <f>IF($A71="","",INDEX(jalons!$A$7:$K$125,MATCH('Suivi livrables'!$A71,jalons!$A$7:$A$125,0),4))</f>
        <v>manque date</v>
      </c>
      <c r="F71" s="10" t="str">
        <f>IF($A71="","",INDEX(jalons!$A$7:$K$125,MATCH('Suivi livrables'!$A71,jalons!$A$7:$A$125,0),5))</f>
        <v>manque date</v>
      </c>
      <c r="G71" s="10" t="str">
        <f>IF($A71="","",INDEX(jalons!$A$7:$K$125,MATCH('Suivi livrables'!$A71,jalons!$A$7:$A$125,0),6))</f>
        <v>manque date</v>
      </c>
      <c r="H71" s="10" t="str">
        <f>IF($A71="","",INDEX(jalons!$A$7:$K$125,MATCH('Suivi livrables'!$A71,jalons!$A$7:$A$125,0),7))</f>
        <v>manque date</v>
      </c>
      <c r="I71" s="10" t="str">
        <f>IF($A71="","",INDEX(jalons!$A$7:$K$125,MATCH('Suivi livrables'!$A71,jalons!$A$7:$A$125,0),8))</f>
        <v>manque date</v>
      </c>
      <c r="J71" s="10" t="str">
        <f>IF($A71="","",INDEX(jalons!$A$7:$K$125,MATCH('Suivi livrables'!$A71,jalons!$A$7:$A$125,0),9))</f>
        <v>manque date</v>
      </c>
      <c r="K71" s="10" t="str">
        <f>IF($A71="","",INDEX(jalons!$A$7:$K$125,MATCH('Suivi livrables'!$A71,jalons!$A$7:$A$125,0),10))</f>
        <v>manque date</v>
      </c>
      <c r="L71" s="10" t="str">
        <f>IF($A71="","",INDEX(jalons!$A$7:$K$125,MATCH('Suivi livrables'!$A71,jalons!$A$7:$A$125,0),11))</f>
        <v>manque date</v>
      </c>
      <c r="M71" s="14"/>
      <c r="N71" s="53" t="s">
        <v>41</v>
      </c>
      <c r="O71" s="47" t="s">
        <v>76</v>
      </c>
      <c r="P71" s="48">
        <v>1</v>
      </c>
      <c r="Q71" s="48" t="s">
        <v>76</v>
      </c>
      <c r="R71" s="48">
        <v>1</v>
      </c>
      <c r="S71" s="48"/>
      <c r="T71" s="48"/>
      <c r="U71" s="48" t="s">
        <v>76</v>
      </c>
      <c r="V71" s="48">
        <v>2</v>
      </c>
      <c r="W71" s="48" t="s">
        <v>76</v>
      </c>
      <c r="X71" s="48">
        <v>2</v>
      </c>
      <c r="Y71" s="48"/>
      <c r="Z71" s="48"/>
      <c r="AA71" s="48"/>
      <c r="AB71" s="93"/>
      <c r="AC71" s="48"/>
      <c r="AD71" s="127"/>
      <c r="AE71" s="132"/>
      <c r="AF71" s="48"/>
      <c r="AG71" s="48"/>
      <c r="AH71" s="48"/>
      <c r="AI71" s="48"/>
      <c r="AJ71" s="48"/>
      <c r="AK71" s="48"/>
      <c r="AL71" s="48"/>
      <c r="AM71" s="48"/>
      <c r="AN71" s="132"/>
      <c r="AO71" s="133"/>
      <c r="AP71" s="132"/>
      <c r="AQ71" s="132"/>
      <c r="AR71" s="133"/>
      <c r="AS71" s="132"/>
      <c r="AT71" s="132"/>
      <c r="AU71" s="139"/>
      <c r="AV71" s="139"/>
      <c r="AW71" s="132"/>
      <c r="AX71" s="139"/>
      <c r="AY71" s="139"/>
      <c r="AZ71" s="132"/>
      <c r="BA71" s="139"/>
      <c r="BB71" s="139"/>
      <c r="BC71" s="139"/>
      <c r="BD71" s="139"/>
      <c r="BE71" s="133" t="s">
        <v>76</v>
      </c>
      <c r="BF71" s="47"/>
      <c r="BG71" s="93"/>
      <c r="BH71" s="96" t="e">
        <f t="shared" ref="BH71:BH93" si="67">IF(A71=0,0,IF(G71=0,0,G71-77))</f>
        <v>#VALUE!</v>
      </c>
      <c r="BI71" s="117"/>
      <c r="BJ71" s="119" t="e">
        <f t="shared" ref="BJ71:BJ93" si="68">IF(A71=0,0,IF(G71=0,0,G71-21))</f>
        <v>#VALUE!</v>
      </c>
      <c r="BK71" s="117"/>
      <c r="BL71" s="121" t="str">
        <f t="shared" ref="BL71:BL93" si="69">IF(E71=0,0,IF(BE71="ZSFR",E71+15,"N/A"))</f>
        <v>N/A</v>
      </c>
      <c r="BM71" s="121" t="str">
        <f>IF(G71=0,0,IF('Suivi livrables'!BE71="ZSFR",IF(G71-F71&lt;90,F71+7,G71-90),"N/A"))</f>
        <v>N/A</v>
      </c>
      <c r="BN71" s="117"/>
      <c r="BO71" s="121" t="str">
        <f>IF(G71=0,0,IF('Suivi livrables'!BE71="ZSFR",IF(L71=0,I71-45,L71-4),"N/A"))</f>
        <v>N/A</v>
      </c>
      <c r="BP71" s="117"/>
      <c r="BQ71" s="121" t="e">
        <f t="shared" ref="BQ71:BQ93" si="70">IF(G71=0,0,IF(BE71="ZSFR","N/A",G71-77))</f>
        <v>#VALUE!</v>
      </c>
      <c r="BR71" s="121" t="e">
        <f t="shared" ref="BR71:BR93" si="71">IF(G71=0,0,IF(BE71="ZSFR","N/A",G71-7))</f>
        <v>#VALUE!</v>
      </c>
      <c r="BS71" s="117"/>
      <c r="BT71" s="121" t="e">
        <f>IF(G71=0,0,IF(AND('Suivi livrables'!P71=0,'Suivi livrables'!R71=0,'Suivi livrables'!T71=0,'Suivi livrables'!V71=0,'Suivi livrables'!X71=0,'Suivi livrables'!AD71=0),"N/A",#REF!-77))</f>
        <v>#REF!</v>
      </c>
      <c r="BU71" s="121" t="e">
        <f>IF(G71=0,0,IF(AND('Suivi livrables'!P71=0,'Suivi livrables'!R71=0,'Suivi livrables'!T71=0,'Suivi livrables'!V71=0,'Suivi livrables'!X71=0,'Suivi livrables'!AD71=0),"N/A",#REF!-21))</f>
        <v>#REF!</v>
      </c>
      <c r="BV71" s="117"/>
      <c r="BW71" s="97"/>
      <c r="BX71" s="102"/>
      <c r="BY71" s="117" t="str">
        <f t="shared" si="54"/>
        <v>Neotex</v>
      </c>
      <c r="BZ71" s="117">
        <f t="shared" si="55"/>
        <v>1</v>
      </c>
      <c r="CA71" s="117" t="str">
        <f t="shared" si="56"/>
        <v>Neotex</v>
      </c>
      <c r="CB71" s="117">
        <f t="shared" si="57"/>
        <v>1</v>
      </c>
      <c r="CC71" s="117" t="str">
        <f t="shared" si="58"/>
        <v/>
      </c>
      <c r="CD71" s="117" t="str">
        <f t="shared" si="59"/>
        <v/>
      </c>
      <c r="CE71" s="117" t="str">
        <f t="shared" si="60"/>
        <v>Neotex</v>
      </c>
      <c r="CF71" s="117">
        <f t="shared" si="61"/>
        <v>2</v>
      </c>
      <c r="CG71" s="117" t="str">
        <f t="shared" si="62"/>
        <v>Neotex</v>
      </c>
      <c r="CH71" s="117">
        <f t="shared" si="63"/>
        <v>2</v>
      </c>
      <c r="CI71" s="117" t="str">
        <f t="shared" si="29"/>
        <v/>
      </c>
      <c r="CJ71" s="117" t="str">
        <f t="shared" si="30"/>
        <v/>
      </c>
      <c r="CK71" s="117" t="str">
        <f t="shared" si="31"/>
        <v/>
      </c>
      <c r="CL71" s="117" t="str">
        <f t="shared" si="64"/>
        <v/>
      </c>
      <c r="CM71" s="117" t="str">
        <f t="shared" si="65"/>
        <v/>
      </c>
      <c r="CN71" s="117" t="str">
        <f t="shared" si="66"/>
        <v/>
      </c>
      <c r="CO71" s="121" t="e">
        <f t="shared" ref="CO71:CO102" si="72">IF(A71=0,"",IF(G71=0,"TBD",IF(OR(BZ71&lt;&gt;0,CB71&lt;&gt;0,CD71&lt;&gt;0,CF71&lt;&gt;0,CH71&lt;&gt;0,CN71&lt;&gt;0),G71-77,"N/A")))</f>
        <v>#VALUE!</v>
      </c>
      <c r="CP71" s="117"/>
      <c r="CQ71" s="121" t="e">
        <f t="shared" ref="CQ71:CQ102" si="73">IF(A71=0,"",IF(G71=0,"TBD",IF(OR(BZ71&lt;&gt;0,CB71&lt;&gt;0,CD71&lt;&gt;0,CF71&lt;&gt;0,CH71&lt;&gt;0,CN71&lt;&gt;0),G71-77,"N/A")))</f>
        <v>#VALUE!</v>
      </c>
      <c r="CR71" s="117"/>
      <c r="CS71" s="121" t="e">
        <f t="shared" ref="CS71:CS102" si="74">IF(A71=0,"",IF(G71=0,"TBD",IF(OR(BZ71&lt;&gt;0,CB71&lt;&gt;0,CD71&lt;&gt;0,CF71&lt;&gt;0,CH71&lt;&gt;0,CN71&lt;&gt;0),G71-35,"N/A")))</f>
        <v>#VALUE!</v>
      </c>
      <c r="CT71" s="121" t="e">
        <f t="shared" ref="CT71:CT102" si="75">IF(A71=0,"",IF(G71=0,"TBD",IF(OR(BZ71&lt;&gt;0,CB71&lt;&gt;0,CD71&lt;&gt;0,CF71&lt;&gt;0,CH71&lt;&gt;0,CN71&lt;&gt;0),G71-21,"N/A")))</f>
        <v>#VALUE!</v>
      </c>
      <c r="CU71" s="121" t="e">
        <f t="shared" ref="CU71:CU102" si="76">IF(A71=0,"",IF(G71=0,"TBD",IF(OR(BZ71&lt;&gt;0,CB71&lt;&gt;0,CD71&lt;&gt;0,CF71&lt;&gt;0,CH71&lt;&gt;0,CN71&lt;&gt;0),G71-49,"N/A")))</f>
        <v>#VALUE!</v>
      </c>
      <c r="CV71" s="117"/>
      <c r="CW71" s="121" t="e">
        <f t="shared" ref="CW71:CW102" si="77">IF(A71=0,"",IF(G71=0,"TBD",IF(OR(BZ71&lt;&gt;0,CB71&lt;&gt;0,CD71&lt;&gt;0,CF71&lt;&gt;0,CH71&lt;&gt;0,CN71&lt;&gt;0),G71-35,"N/A")))</f>
        <v>#VALUE!</v>
      </c>
      <c r="CX71" s="117"/>
      <c r="CY71" s="121" t="e">
        <f t="shared" ref="CY71:CY102" si="78">IF(A71=0,"",IF(G71=0,"TBD",IF(OR(BZ71&lt;&gt;0,CB71&lt;&gt;0,CD71&lt;&gt;0,CF71&lt;&gt;0,CH71&lt;&gt;0,CN71&lt;&gt;0),G71-28,"N/A")))</f>
        <v>#VALUE!</v>
      </c>
      <c r="CZ71" s="117"/>
      <c r="DA71" s="121" t="e">
        <f t="shared" ref="DA71:DA102" si="79">IF(A71=0,"",IF(G71=0,"TBD",IF(OR(BZ71&lt;&gt;0,CB71&lt;&gt;0,CD71&lt;&gt;0,CF71&lt;&gt;0,CH71&lt;&gt;0,CN71&lt;&gt;0),G71-21,"N/A")))</f>
        <v>#VALUE!</v>
      </c>
      <c r="DB71" s="121" t="e">
        <f t="shared" ref="DB71:DB102" si="80">IF(A71=0,"",IF(G71=0,"TBD",IF(OR(BZ71&lt;&gt;0,CB71&lt;&gt;0,CD71&lt;&gt;0,CF71&lt;&gt;0,CH71&lt;&gt;0,CN71&lt;&gt;0),G71+28,"N/A")))</f>
        <v>#VALUE!</v>
      </c>
      <c r="DC71" s="121" t="e">
        <f t="shared" ref="DC71:DC102" si="81">IF(A71=0,"",IF(G71=0,"TBD",IF(OR(BZ71&lt;&gt;0,CB71&lt;&gt;0,CD71&lt;&gt;0,CF71&lt;&gt;0,CH71&lt;&gt;0,CN71&lt;&gt;0),G71+28,"N/A")))</f>
        <v>#VALUE!</v>
      </c>
      <c r="DD71" s="117"/>
      <c r="DE71" s="125" t="e">
        <f t="shared" ref="DE71:DE93" si="82">IF(A71=0,0,IF(OR(F71=0,G71=0),"Missing date",DK71-45))</f>
        <v>#VALUE!</v>
      </c>
      <c r="DF71" s="124"/>
      <c r="DG71" s="125" t="e">
        <f t="shared" si="35"/>
        <v>#VALUE!</v>
      </c>
      <c r="DH71" s="124"/>
      <c r="DI71" s="125" t="e">
        <f t="shared" ref="DI71:DI93" si="83">IF(A71=0,0,IF(OR(F71=0,G71=0),"Missing date",IF(G71-F71&lt;90,F71+15,G71-90)))</f>
        <v>#VALUE!</v>
      </c>
      <c r="DJ71" s="124"/>
      <c r="DK71" s="125" t="e">
        <f t="shared" ref="DK71:DK93" si="84">IF(A71=0,0,IF(OR(F71=0,G71=0),"Missing date",DI71-15))</f>
        <v>#VALUE!</v>
      </c>
      <c r="DL71" s="124"/>
      <c r="DM71" s="117"/>
      <c r="DN71" s="124"/>
      <c r="DO71" s="117"/>
    </row>
    <row r="72" spans="1:125" ht="15.75" thickBot="1">
      <c r="A72" s="25" t="s">
        <v>49</v>
      </c>
      <c r="B72" s="57" t="str">
        <f>jalons!B72</f>
        <v>KLM</v>
      </c>
      <c r="C72" s="57" t="str">
        <f>jalons!C72</f>
        <v>B787-9</v>
      </c>
      <c r="D72" s="82" t="s">
        <v>252</v>
      </c>
      <c r="E72" s="9">
        <f>IF($A72="","",INDEX(jalons!$A$7:$K$125,MATCH('Suivi livrables'!$A72,jalons!$A$7:$A$125,0),4))</f>
        <v>41568</v>
      </c>
      <c r="F72" s="10">
        <f>IF($A72="","",INDEX(jalons!$A$7:$K$125,MATCH('Suivi livrables'!$A72,jalons!$A$7:$A$125,0),5))</f>
        <v>41701</v>
      </c>
      <c r="G72" s="10">
        <f>IF($A72="","",INDEX(jalons!$A$7:$K$125,MATCH('Suivi livrables'!$A72,jalons!$A$7:$A$125,0),6))</f>
        <v>41892</v>
      </c>
      <c r="H72" s="10">
        <f>IF($A72="","",INDEX(jalons!$A$7:$K$125,MATCH('Suivi livrables'!$A72,jalons!$A$7:$A$125,0),7))</f>
        <v>42145</v>
      </c>
      <c r="I72" s="10">
        <f>IF($A72="","",INDEX(jalons!$A$7:$K$125,MATCH('Suivi livrables'!$A72,jalons!$A$7:$A$125,0),8))</f>
        <v>42173</v>
      </c>
      <c r="J72" s="10">
        <f>IF($A72="","",INDEX(jalons!$A$7:$K$125,MATCH('Suivi livrables'!$A72,jalons!$A$7:$A$125,0),9))</f>
        <v>42214</v>
      </c>
      <c r="K72" s="10">
        <f>IF($A72="","",INDEX(jalons!$A$7:$K$125,MATCH('Suivi livrables'!$A72,jalons!$A$7:$A$125,0),10))</f>
        <v>41988</v>
      </c>
      <c r="L72" s="10">
        <f>IF($A72="","",INDEX(jalons!$A$7:$K$125,MATCH('Suivi livrables'!$A72,jalons!$A$7:$A$125,0),11))</f>
        <v>42055</v>
      </c>
      <c r="M72" s="14"/>
      <c r="N72" s="53" t="s">
        <v>41</v>
      </c>
      <c r="O72" s="47" t="s">
        <v>67</v>
      </c>
      <c r="P72" s="48">
        <v>1</v>
      </c>
      <c r="Q72" s="48" t="s">
        <v>67</v>
      </c>
      <c r="R72" s="48">
        <v>1</v>
      </c>
      <c r="S72" s="48"/>
      <c r="T72" s="48"/>
      <c r="U72" s="48" t="s">
        <v>67</v>
      </c>
      <c r="V72" s="48">
        <v>1</v>
      </c>
      <c r="W72" s="48"/>
      <c r="X72" s="48"/>
      <c r="Y72" s="48"/>
      <c r="Z72" s="48"/>
      <c r="AA72" s="48"/>
      <c r="AB72" s="93"/>
      <c r="AC72" s="48"/>
      <c r="AD72" s="127"/>
      <c r="AE72" s="132"/>
      <c r="AF72" s="48"/>
      <c r="AG72" s="48"/>
      <c r="AH72" s="48"/>
      <c r="AI72" s="48"/>
      <c r="AJ72" s="48"/>
      <c r="AK72" s="48"/>
      <c r="AL72" s="48"/>
      <c r="AM72" s="48"/>
      <c r="AN72" s="132"/>
      <c r="AO72" s="133"/>
      <c r="AP72" s="132"/>
      <c r="AQ72" s="132"/>
      <c r="AR72" s="133"/>
      <c r="AS72" s="132"/>
      <c r="AT72" s="132"/>
      <c r="AU72" s="139"/>
      <c r="AV72" s="139"/>
      <c r="AW72" s="132"/>
      <c r="AX72" s="139"/>
      <c r="AY72" s="139"/>
      <c r="AZ72" s="132"/>
      <c r="BA72" s="139"/>
      <c r="BB72" s="139"/>
      <c r="BC72" s="139"/>
      <c r="BD72" s="139"/>
      <c r="BE72" s="133" t="s">
        <v>210</v>
      </c>
      <c r="BF72" s="47"/>
      <c r="BG72" s="93"/>
      <c r="BH72" s="96">
        <f t="shared" si="67"/>
        <v>41815</v>
      </c>
      <c r="BI72" s="117"/>
      <c r="BJ72" s="119">
        <f t="shared" si="68"/>
        <v>41871</v>
      </c>
      <c r="BK72" s="117"/>
      <c r="BL72" s="121" t="str">
        <f t="shared" si="69"/>
        <v>N/A</v>
      </c>
      <c r="BM72" s="121" t="str">
        <f>IF(G72=0,0,IF('Suivi livrables'!BE72="ZSFR",IF(G72-F72&lt;90,F72+7,G72-90),"N/A"))</f>
        <v>N/A</v>
      </c>
      <c r="BN72" s="117"/>
      <c r="BO72" s="121" t="str">
        <f>IF(G72=0,0,IF('Suivi livrables'!BE72="ZSFR",IF(L72=0,I72-45,L72-4),"N/A"))</f>
        <v>N/A</v>
      </c>
      <c r="BP72" s="117"/>
      <c r="BQ72" s="121">
        <f t="shared" si="70"/>
        <v>41815</v>
      </c>
      <c r="BR72" s="121">
        <f t="shared" si="71"/>
        <v>41885</v>
      </c>
      <c r="BS72" s="117"/>
      <c r="BT72" s="121" t="e">
        <f>IF(G72=0,0,IF(AND('Suivi livrables'!P72=0,'Suivi livrables'!R72=0,'Suivi livrables'!T72=0,'Suivi livrables'!V72=0,'Suivi livrables'!X72=0,'Suivi livrables'!AD72=0),"N/A",#REF!-77))</f>
        <v>#REF!</v>
      </c>
      <c r="BU72" s="121" t="e">
        <f>IF(G72=0,0,IF(AND('Suivi livrables'!P72=0,'Suivi livrables'!R72=0,'Suivi livrables'!T72=0,'Suivi livrables'!V72=0,'Suivi livrables'!X72=0,'Suivi livrables'!AD72=0),"N/A",#REF!-21))</f>
        <v>#REF!</v>
      </c>
      <c r="BV72" s="117"/>
      <c r="BW72" s="97"/>
      <c r="BX72" s="102"/>
      <c r="BY72" s="117" t="str">
        <f t="shared" ref="BY72:BY103" si="85">IF(O72="","",O72)</f>
        <v>Franklin</v>
      </c>
      <c r="BZ72" s="117">
        <f t="shared" ref="BZ72:BZ103" si="86">IF(P72="","",P72)</f>
        <v>1</v>
      </c>
      <c r="CA72" s="117" t="str">
        <f t="shared" ref="CA72:CA103" si="87">IF(Q72="","",Q72)</f>
        <v>Franklin</v>
      </c>
      <c r="CB72" s="117">
        <f t="shared" ref="CB72:CB103" si="88">IF(R72="","",R72)</f>
        <v>1</v>
      </c>
      <c r="CC72" s="117" t="str">
        <f t="shared" ref="CC72:CC103" si="89">IF(S72="","",S72)</f>
        <v/>
      </c>
      <c r="CD72" s="117" t="str">
        <f t="shared" ref="CD72:CD103" si="90">IF(T72="","",T72)</f>
        <v/>
      </c>
      <c r="CE72" s="117" t="str">
        <f t="shared" ref="CE72:CE103" si="91">IF(U72="","",U72)</f>
        <v>Franklin</v>
      </c>
      <c r="CF72" s="117">
        <f t="shared" ref="CF72:CF103" si="92">IF(V72="","",V72)</f>
        <v>1</v>
      </c>
      <c r="CG72" s="117" t="str">
        <f t="shared" ref="CG72:CG103" si="93">IF(W72="","",W72)</f>
        <v/>
      </c>
      <c r="CH72" s="117" t="str">
        <f t="shared" ref="CH72:CH103" si="94">IF(X72="","",X72)</f>
        <v/>
      </c>
      <c r="CI72" s="117" t="str">
        <f t="shared" ref="CI72:CI125" si="95">IF(Y72="","",Y72)</f>
        <v/>
      </c>
      <c r="CJ72" s="117" t="str">
        <f t="shared" ref="CJ72:CJ125" si="96">IF(Z72="","",Z72)</f>
        <v/>
      </c>
      <c r="CK72" s="117" t="str">
        <f t="shared" ref="CK72:CK125" si="97">IF(AA72="","",AA72)</f>
        <v/>
      </c>
      <c r="CL72" s="117" t="str">
        <f t="shared" ref="CL72:CL105" si="98">IF(AB72="","",AB72)</f>
        <v/>
      </c>
      <c r="CM72" s="117" t="str">
        <f t="shared" ref="CM72:CM105" si="99">IF(AC72="","",AC72)</f>
        <v/>
      </c>
      <c r="CN72" s="117" t="str">
        <f t="shared" ref="CN72:CN105" si="100">IF(AD72="","",AD72)</f>
        <v/>
      </c>
      <c r="CO72" s="121">
        <f t="shared" si="72"/>
        <v>41815</v>
      </c>
      <c r="CP72" s="117"/>
      <c r="CQ72" s="121">
        <f t="shared" si="73"/>
        <v>41815</v>
      </c>
      <c r="CR72" s="117"/>
      <c r="CS72" s="121">
        <f t="shared" si="74"/>
        <v>41857</v>
      </c>
      <c r="CT72" s="121">
        <f t="shared" si="75"/>
        <v>41871</v>
      </c>
      <c r="CU72" s="121">
        <f t="shared" si="76"/>
        <v>41843</v>
      </c>
      <c r="CV72" s="117"/>
      <c r="CW72" s="121">
        <f t="shared" si="77"/>
        <v>41857</v>
      </c>
      <c r="CX72" s="117"/>
      <c r="CY72" s="121">
        <f t="shared" si="78"/>
        <v>41864</v>
      </c>
      <c r="CZ72" s="117"/>
      <c r="DA72" s="121">
        <f t="shared" si="79"/>
        <v>41871</v>
      </c>
      <c r="DB72" s="121">
        <f t="shared" si="80"/>
        <v>41920</v>
      </c>
      <c r="DC72" s="121">
        <f t="shared" si="81"/>
        <v>41920</v>
      </c>
      <c r="DD72" s="117"/>
      <c r="DE72" s="125">
        <f t="shared" si="82"/>
        <v>41742</v>
      </c>
      <c r="DF72" s="124"/>
      <c r="DG72" s="125">
        <f t="shared" ref="DG72:DG93" si="101">IF(DI72="N/A","N/A",DE72)</f>
        <v>41742</v>
      </c>
      <c r="DH72" s="124"/>
      <c r="DI72" s="125">
        <f t="shared" si="83"/>
        <v>41802</v>
      </c>
      <c r="DJ72" s="124"/>
      <c r="DK72" s="125">
        <f t="shared" si="84"/>
        <v>41787</v>
      </c>
      <c r="DL72" s="124"/>
      <c r="DM72" s="117"/>
      <c r="DN72" s="124"/>
      <c r="DO72" s="117"/>
    </row>
    <row r="73" spans="1:125" ht="15.75" thickBot="1">
      <c r="A73" s="25" t="s">
        <v>50</v>
      </c>
      <c r="B73" s="57" t="str">
        <f>jalons!B73</f>
        <v>Vietnam / catalog</v>
      </c>
      <c r="C73" s="57" t="str">
        <f>jalons!C73</f>
        <v>B787-9</v>
      </c>
      <c r="D73" s="82" t="s">
        <v>252</v>
      </c>
      <c r="E73" s="9">
        <f>IF($A73="","",INDEX(jalons!$A$7:$K$125,MATCH('Suivi livrables'!$A73,jalons!$A$7:$A$125,0),4))</f>
        <v>41470</v>
      </c>
      <c r="F73" s="10">
        <f>IF($A73="","",INDEX(jalons!$A$7:$K$125,MATCH('Suivi livrables'!$A73,jalons!$A$7:$A$125,0),5))</f>
        <v>41562</v>
      </c>
      <c r="G73" s="10">
        <f>IF($A73="","",INDEX(jalons!$A$7:$K$125,MATCH('Suivi livrables'!$A73,jalons!$A$7:$A$125,0),6))</f>
        <v>41723</v>
      </c>
      <c r="H73" s="10">
        <f>IF($A73="","",INDEX(jalons!$A$7:$K$125,MATCH('Suivi livrables'!$A73,jalons!$A$7:$A$125,0),7))</f>
        <v>42009</v>
      </c>
      <c r="I73" s="10">
        <f>IF($A73="","",INDEX(jalons!$A$7:$K$125,MATCH('Suivi livrables'!$A73,jalons!$A$7:$A$125,0),8))</f>
        <v>42037</v>
      </c>
      <c r="J73" s="10">
        <f>IF($A73="","",INDEX(jalons!$A$7:$K$125,MATCH('Suivi livrables'!$A73,jalons!$A$7:$A$125,0),9))</f>
        <v>42104</v>
      </c>
      <c r="K73" s="10">
        <f>IF($A73="","",INDEX(jalons!$A$7:$K$125,MATCH('Suivi livrables'!$A73,jalons!$A$7:$A$125,0),10))</f>
        <v>41819</v>
      </c>
      <c r="L73" s="10" t="str">
        <f>IF($A73="","",INDEX(jalons!$A$7:$K$125,MATCH('Suivi livrables'!$A73,jalons!$A$7:$A$125,0),11))</f>
        <v>manque date</v>
      </c>
      <c r="M73" s="14"/>
      <c r="N73" s="53" t="s">
        <v>41</v>
      </c>
      <c r="O73" s="47" t="s">
        <v>94</v>
      </c>
      <c r="P73" s="48">
        <v>2</v>
      </c>
      <c r="Q73" s="48" t="s">
        <v>94</v>
      </c>
      <c r="R73" s="48">
        <v>2</v>
      </c>
      <c r="S73" s="48"/>
      <c r="T73" s="48"/>
      <c r="U73" s="48" t="s">
        <v>94</v>
      </c>
      <c r="V73" s="48">
        <v>2</v>
      </c>
      <c r="W73" s="48"/>
      <c r="X73" s="48"/>
      <c r="Y73" s="48"/>
      <c r="Z73" s="48"/>
      <c r="AA73" s="48"/>
      <c r="AB73" s="93"/>
      <c r="AC73" s="48"/>
      <c r="AD73" s="127"/>
      <c r="AE73" s="132"/>
      <c r="AF73" s="48"/>
      <c r="AG73" s="48"/>
      <c r="AH73" s="48"/>
      <c r="AI73" s="48"/>
      <c r="AJ73" s="48"/>
      <c r="AK73" s="48"/>
      <c r="AL73" s="48"/>
      <c r="AM73" s="48"/>
      <c r="AN73" s="132"/>
      <c r="AO73" s="133"/>
      <c r="AP73" s="132"/>
      <c r="AQ73" s="132"/>
      <c r="AR73" s="133"/>
      <c r="AS73" s="132"/>
      <c r="AT73" s="132"/>
      <c r="AU73" s="139"/>
      <c r="AV73" s="139"/>
      <c r="AW73" s="132"/>
      <c r="AX73" s="139"/>
      <c r="AY73" s="139"/>
      <c r="AZ73" s="132"/>
      <c r="BA73" s="139"/>
      <c r="BB73" s="139"/>
      <c r="BC73" s="139"/>
      <c r="BD73" s="139"/>
      <c r="BE73" s="133" t="s">
        <v>94</v>
      </c>
      <c r="BF73" s="47"/>
      <c r="BG73" s="93"/>
      <c r="BH73" s="96">
        <f t="shared" si="67"/>
        <v>41646</v>
      </c>
      <c r="BI73" s="117"/>
      <c r="BJ73" s="119">
        <f t="shared" si="68"/>
        <v>41702</v>
      </c>
      <c r="BK73" s="117"/>
      <c r="BL73" s="121" t="str">
        <f t="shared" si="69"/>
        <v>N/A</v>
      </c>
      <c r="BM73" s="121" t="str">
        <f>IF(G73=0,0,IF('Suivi livrables'!BE73="ZSFR",IF(G73-F73&lt;90,F73+7,G73-90),"N/A"))</f>
        <v>N/A</v>
      </c>
      <c r="BN73" s="117"/>
      <c r="BO73" s="121" t="str">
        <f>IF(G73=0,0,IF('Suivi livrables'!BE73="ZSFR",IF(L73=0,I73-45,L73-4),"N/A"))</f>
        <v>N/A</v>
      </c>
      <c r="BP73" s="117"/>
      <c r="BQ73" s="121">
        <f t="shared" si="70"/>
        <v>41646</v>
      </c>
      <c r="BR73" s="121">
        <f t="shared" si="71"/>
        <v>41716</v>
      </c>
      <c r="BS73" s="117"/>
      <c r="BT73" s="121" t="e">
        <f>IF(G73=0,0,IF(AND('Suivi livrables'!P73=0,'Suivi livrables'!R73=0,'Suivi livrables'!T73=0,'Suivi livrables'!V73=0,'Suivi livrables'!X73=0,'Suivi livrables'!AD73=0),"N/A",#REF!-77))</f>
        <v>#REF!</v>
      </c>
      <c r="BU73" s="121" t="e">
        <f>IF(G73=0,0,IF(AND('Suivi livrables'!P73=0,'Suivi livrables'!R73=0,'Suivi livrables'!T73=0,'Suivi livrables'!V73=0,'Suivi livrables'!X73=0,'Suivi livrables'!AD73=0),"N/A",#REF!-21))</f>
        <v>#REF!</v>
      </c>
      <c r="BV73" s="117"/>
      <c r="BW73" s="97"/>
      <c r="BX73" s="102"/>
      <c r="BY73" s="117" t="str">
        <f t="shared" si="85"/>
        <v>MGR</v>
      </c>
      <c r="BZ73" s="117">
        <f t="shared" si="86"/>
        <v>2</v>
      </c>
      <c r="CA73" s="117" t="str">
        <f t="shared" si="87"/>
        <v>MGR</v>
      </c>
      <c r="CB73" s="117">
        <f t="shared" si="88"/>
        <v>2</v>
      </c>
      <c r="CC73" s="117" t="str">
        <f t="shared" si="89"/>
        <v/>
      </c>
      <c r="CD73" s="117" t="str">
        <f t="shared" si="90"/>
        <v/>
      </c>
      <c r="CE73" s="117" t="str">
        <f t="shared" si="91"/>
        <v>MGR</v>
      </c>
      <c r="CF73" s="117">
        <f t="shared" si="92"/>
        <v>2</v>
      </c>
      <c r="CG73" s="117" t="str">
        <f t="shared" si="93"/>
        <v/>
      </c>
      <c r="CH73" s="117" t="str">
        <f t="shared" si="94"/>
        <v/>
      </c>
      <c r="CI73" s="117" t="str">
        <f t="shared" si="95"/>
        <v/>
      </c>
      <c r="CJ73" s="117" t="str">
        <f t="shared" si="96"/>
        <v/>
      </c>
      <c r="CK73" s="117" t="str">
        <f t="shared" si="97"/>
        <v/>
      </c>
      <c r="CL73" s="117" t="str">
        <f t="shared" si="98"/>
        <v/>
      </c>
      <c r="CM73" s="117" t="str">
        <f t="shared" si="99"/>
        <v/>
      </c>
      <c r="CN73" s="117" t="str">
        <f t="shared" si="100"/>
        <v/>
      </c>
      <c r="CO73" s="121">
        <f t="shared" si="72"/>
        <v>41646</v>
      </c>
      <c r="CP73" s="117"/>
      <c r="CQ73" s="121">
        <f t="shared" si="73"/>
        <v>41646</v>
      </c>
      <c r="CR73" s="117"/>
      <c r="CS73" s="121">
        <f t="shared" si="74"/>
        <v>41688</v>
      </c>
      <c r="CT73" s="121">
        <f t="shared" si="75"/>
        <v>41702</v>
      </c>
      <c r="CU73" s="121">
        <f t="shared" si="76"/>
        <v>41674</v>
      </c>
      <c r="CV73" s="117"/>
      <c r="CW73" s="121">
        <f t="shared" si="77"/>
        <v>41688</v>
      </c>
      <c r="CX73" s="117"/>
      <c r="CY73" s="121">
        <f t="shared" si="78"/>
        <v>41695</v>
      </c>
      <c r="CZ73" s="117"/>
      <c r="DA73" s="121">
        <f t="shared" si="79"/>
        <v>41702</v>
      </c>
      <c r="DB73" s="121">
        <f t="shared" si="80"/>
        <v>41751</v>
      </c>
      <c r="DC73" s="121">
        <f t="shared" si="81"/>
        <v>41751</v>
      </c>
      <c r="DD73" s="117"/>
      <c r="DE73" s="125">
        <f t="shared" si="82"/>
        <v>41573</v>
      </c>
      <c r="DF73" s="124"/>
      <c r="DG73" s="125">
        <f t="shared" si="101"/>
        <v>41573</v>
      </c>
      <c r="DH73" s="124"/>
      <c r="DI73" s="125">
        <f t="shared" si="83"/>
        <v>41633</v>
      </c>
      <c r="DJ73" s="124"/>
      <c r="DK73" s="125">
        <f t="shared" si="84"/>
        <v>41618</v>
      </c>
      <c r="DL73" s="124"/>
      <c r="DM73" s="117"/>
      <c r="DN73" s="124"/>
      <c r="DO73" s="117"/>
    </row>
    <row r="74" spans="1:125" ht="15.75" thickBot="1">
      <c r="A74" s="25" t="s">
        <v>54</v>
      </c>
      <c r="B74" s="57">
        <f>jalons!B74</f>
        <v>0</v>
      </c>
      <c r="C74" s="57">
        <f>jalons!C74</f>
        <v>0</v>
      </c>
      <c r="D74" s="82" t="s">
        <v>252</v>
      </c>
      <c r="E74" s="9">
        <f>IF($A74="","",INDEX(jalons!$A$7:$K$125,MATCH('Suivi livrables'!$A74,jalons!$A$7:$A$125,0),4))</f>
        <v>41611</v>
      </c>
      <c r="F74" s="10">
        <f>IF($A74="","",INDEX(jalons!$A$7:$K$125,MATCH('Suivi livrables'!$A74,jalons!$A$7:$A$125,0),5))</f>
        <v>41701</v>
      </c>
      <c r="G74" s="10">
        <f>IF($A74="","",INDEX(jalons!$A$7:$K$125,MATCH('Suivi livrables'!$A74,jalons!$A$7:$A$125,0),6))</f>
        <v>41814</v>
      </c>
      <c r="H74" s="10">
        <f>IF($A74="","",INDEX(jalons!$A$7:$K$125,MATCH('Suivi livrables'!$A74,jalons!$A$7:$A$125,0),7))</f>
        <v>42102</v>
      </c>
      <c r="I74" s="10">
        <f>IF($A74="","",INDEX(jalons!$A$7:$K$125,MATCH('Suivi livrables'!$A74,jalons!$A$7:$A$125,0),8))</f>
        <v>42132</v>
      </c>
      <c r="J74" s="10">
        <f>IF($A74="","",INDEX(jalons!$A$7:$K$125,MATCH('Suivi livrables'!$A74,jalons!$A$7:$A$125,0),9))</f>
        <v>42210</v>
      </c>
      <c r="K74" s="10">
        <f>IF($A74="","",INDEX(jalons!$A$7:$K$125,MATCH('Suivi livrables'!$A74,jalons!$A$7:$A$125,0),10))</f>
        <v>42087</v>
      </c>
      <c r="L74" s="10">
        <f>IF($A74="","",INDEX(jalons!$A$7:$K$125,MATCH('Suivi livrables'!$A74,jalons!$A$7:$A$125,0),11))</f>
        <v>42012</v>
      </c>
      <c r="M74" s="14"/>
      <c r="N74" s="53" t="s">
        <v>41</v>
      </c>
      <c r="O74" s="47" t="s">
        <v>76</v>
      </c>
      <c r="P74" s="48"/>
      <c r="Q74" s="48" t="s">
        <v>76</v>
      </c>
      <c r="R74" s="48"/>
      <c r="S74" s="48"/>
      <c r="T74" s="48"/>
      <c r="U74" s="48" t="s">
        <v>76</v>
      </c>
      <c r="V74" s="48"/>
      <c r="W74" s="48"/>
      <c r="X74" s="48"/>
      <c r="Y74" s="48"/>
      <c r="Z74" s="48"/>
      <c r="AA74" s="48"/>
      <c r="AB74" s="93"/>
      <c r="AC74" s="48"/>
      <c r="AD74" s="127"/>
      <c r="AE74" s="132"/>
      <c r="AF74" s="48"/>
      <c r="AG74" s="48"/>
      <c r="AH74" s="48"/>
      <c r="AI74" s="48"/>
      <c r="AJ74" s="48"/>
      <c r="AK74" s="48"/>
      <c r="AL74" s="48"/>
      <c r="AM74" s="48"/>
      <c r="AN74" s="132"/>
      <c r="AO74" s="133"/>
      <c r="AP74" s="132"/>
      <c r="AQ74" s="132"/>
      <c r="AR74" s="133"/>
      <c r="AS74" s="132"/>
      <c r="AT74" s="132"/>
      <c r="AU74" s="139"/>
      <c r="AV74" s="139"/>
      <c r="AW74" s="132"/>
      <c r="AX74" s="139"/>
      <c r="AY74" s="139"/>
      <c r="AZ74" s="132"/>
      <c r="BA74" s="139"/>
      <c r="BB74" s="139"/>
      <c r="BC74" s="139"/>
      <c r="BD74" s="139"/>
      <c r="BE74" s="133" t="s">
        <v>76</v>
      </c>
      <c r="BF74" s="47"/>
      <c r="BG74" s="93"/>
      <c r="BH74" s="96">
        <f t="shared" si="67"/>
        <v>41737</v>
      </c>
      <c r="BI74" s="117"/>
      <c r="BJ74" s="119">
        <f t="shared" si="68"/>
        <v>41793</v>
      </c>
      <c r="BK74" s="117"/>
      <c r="BL74" s="121" t="str">
        <f t="shared" si="69"/>
        <v>N/A</v>
      </c>
      <c r="BM74" s="121" t="str">
        <f>IF(G74=0,0,IF('Suivi livrables'!BE74="ZSFR",IF(G74-F74&lt;90,F74+7,G74-90),"N/A"))</f>
        <v>N/A</v>
      </c>
      <c r="BN74" s="117"/>
      <c r="BO74" s="121" t="str">
        <f>IF(G74=0,0,IF('Suivi livrables'!BE74="ZSFR",IF(L74=0,I74-45,L74-4),"N/A"))</f>
        <v>N/A</v>
      </c>
      <c r="BP74" s="117"/>
      <c r="BQ74" s="121">
        <f t="shared" si="70"/>
        <v>41737</v>
      </c>
      <c r="BR74" s="121">
        <f t="shared" si="71"/>
        <v>41807</v>
      </c>
      <c r="BS74" s="117"/>
      <c r="BT74" s="121" t="str">
        <f>IF(G74=0,0,IF(AND('Suivi livrables'!P74=0,'Suivi livrables'!R74=0,'Suivi livrables'!T74=0,'Suivi livrables'!V74=0,'Suivi livrables'!X74=0,'Suivi livrables'!AD74=0),"N/A",#REF!-77))</f>
        <v>N/A</v>
      </c>
      <c r="BU74" s="121" t="str">
        <f>IF(G74=0,0,IF(AND('Suivi livrables'!P74=0,'Suivi livrables'!R74=0,'Suivi livrables'!T74=0,'Suivi livrables'!V74=0,'Suivi livrables'!X74=0,'Suivi livrables'!AD74=0),"N/A",#REF!-21))</f>
        <v>N/A</v>
      </c>
      <c r="BV74" s="117"/>
      <c r="BW74" s="97"/>
      <c r="BX74" s="102"/>
      <c r="BY74" s="117" t="str">
        <f t="shared" si="85"/>
        <v>Neotex</v>
      </c>
      <c r="BZ74" s="117" t="str">
        <f t="shared" si="86"/>
        <v/>
      </c>
      <c r="CA74" s="117" t="str">
        <f t="shared" si="87"/>
        <v>Neotex</v>
      </c>
      <c r="CB74" s="117" t="str">
        <f t="shared" si="88"/>
        <v/>
      </c>
      <c r="CC74" s="117" t="str">
        <f t="shared" si="89"/>
        <v/>
      </c>
      <c r="CD74" s="117" t="str">
        <f t="shared" si="90"/>
        <v/>
      </c>
      <c r="CE74" s="117" t="str">
        <f t="shared" si="91"/>
        <v>Neotex</v>
      </c>
      <c r="CF74" s="117" t="str">
        <f t="shared" si="92"/>
        <v/>
      </c>
      <c r="CG74" s="117" t="str">
        <f t="shared" si="93"/>
        <v/>
      </c>
      <c r="CH74" s="117" t="str">
        <f t="shared" si="94"/>
        <v/>
      </c>
      <c r="CI74" s="117" t="str">
        <f t="shared" si="95"/>
        <v/>
      </c>
      <c r="CJ74" s="117" t="str">
        <f t="shared" si="96"/>
        <v/>
      </c>
      <c r="CK74" s="117" t="str">
        <f t="shared" si="97"/>
        <v/>
      </c>
      <c r="CL74" s="117" t="str">
        <f t="shared" si="98"/>
        <v/>
      </c>
      <c r="CM74" s="117" t="str">
        <f t="shared" si="99"/>
        <v/>
      </c>
      <c r="CN74" s="117" t="str">
        <f t="shared" si="100"/>
        <v/>
      </c>
      <c r="CO74" s="121">
        <f t="shared" si="72"/>
        <v>41737</v>
      </c>
      <c r="CP74" s="117"/>
      <c r="CQ74" s="121">
        <f t="shared" si="73"/>
        <v>41737</v>
      </c>
      <c r="CR74" s="117"/>
      <c r="CS74" s="121">
        <f t="shared" si="74"/>
        <v>41779</v>
      </c>
      <c r="CT74" s="121">
        <f t="shared" si="75"/>
        <v>41793</v>
      </c>
      <c r="CU74" s="121">
        <f t="shared" si="76"/>
        <v>41765</v>
      </c>
      <c r="CV74" s="117"/>
      <c r="CW74" s="121">
        <f t="shared" si="77"/>
        <v>41779</v>
      </c>
      <c r="CX74" s="117"/>
      <c r="CY74" s="121">
        <f t="shared" si="78"/>
        <v>41786</v>
      </c>
      <c r="CZ74" s="117"/>
      <c r="DA74" s="121">
        <f t="shared" si="79"/>
        <v>41793</v>
      </c>
      <c r="DB74" s="121">
        <f t="shared" si="80"/>
        <v>41842</v>
      </c>
      <c r="DC74" s="121">
        <f t="shared" si="81"/>
        <v>41842</v>
      </c>
      <c r="DD74" s="117"/>
      <c r="DE74" s="125">
        <f t="shared" si="82"/>
        <v>41664</v>
      </c>
      <c r="DF74" s="124"/>
      <c r="DG74" s="125">
        <f t="shared" si="101"/>
        <v>41664</v>
      </c>
      <c r="DH74" s="124"/>
      <c r="DI74" s="125">
        <f t="shared" si="83"/>
        <v>41724</v>
      </c>
      <c r="DJ74" s="124"/>
      <c r="DK74" s="125">
        <f t="shared" si="84"/>
        <v>41709</v>
      </c>
      <c r="DL74" s="124"/>
      <c r="DM74" s="117"/>
      <c r="DN74" s="124"/>
      <c r="DO74" s="117"/>
    </row>
    <row r="75" spans="1:125" ht="15.75" thickBot="1">
      <c r="A75" s="25" t="s">
        <v>62</v>
      </c>
      <c r="B75" s="57" t="str">
        <f>jalons!B75</f>
        <v>Air France</v>
      </c>
      <c r="C75" s="57" t="str">
        <f>jalons!C75</f>
        <v>B787-9</v>
      </c>
      <c r="D75" s="82" t="s">
        <v>252</v>
      </c>
      <c r="E75" s="9">
        <f>IF($A75="","",INDEX(jalons!$A$7:$K$125,MATCH('Suivi livrables'!$A75,jalons!$A$7:$A$125,0),4))</f>
        <v>41920</v>
      </c>
      <c r="F75" s="10">
        <f>IF($A75="","",INDEX(jalons!$A$7:$K$125,MATCH('Suivi livrables'!$A75,jalons!$A$7:$A$125,0),5))</f>
        <v>42072</v>
      </c>
      <c r="G75" s="10">
        <f>IF($A75="","",INDEX(jalons!$A$7:$K$125,MATCH('Suivi livrables'!$A75,jalons!$A$7:$A$125,0),6))</f>
        <v>42261</v>
      </c>
      <c r="H75" s="10">
        <f>IF($A75="","",INDEX(jalons!$A$7:$K$125,MATCH('Suivi livrables'!$A75,jalons!$A$7:$A$125,0),7))</f>
        <v>42431</v>
      </c>
      <c r="I75" s="10">
        <f>IF($A75="","",INDEX(jalons!$A$7:$K$125,MATCH('Suivi livrables'!$A75,jalons!$A$7:$A$125,0),8))</f>
        <v>42492</v>
      </c>
      <c r="J75" s="10">
        <f>IF($A75="","",INDEX(jalons!$A$7:$K$125,MATCH('Suivi livrables'!$A75,jalons!$A$7:$A$125,0),9))</f>
        <v>42585</v>
      </c>
      <c r="K75" s="10">
        <f>IF($A75="","",INDEX(jalons!$A$7:$K$125,MATCH('Suivi livrables'!$A75,jalons!$A$7:$A$125,0),10))</f>
        <v>42357</v>
      </c>
      <c r="L75" s="10">
        <f>IF($A75="","",INDEX(jalons!$A$7:$K$125,MATCH('Suivi livrables'!$A75,jalons!$A$7:$A$125,0),11))</f>
        <v>42341</v>
      </c>
      <c r="M75" s="14"/>
      <c r="N75" s="53" t="s">
        <v>41</v>
      </c>
      <c r="O75" s="47" t="s">
        <v>67</v>
      </c>
      <c r="P75" s="48">
        <v>1</v>
      </c>
      <c r="Q75" s="48" t="s">
        <v>67</v>
      </c>
      <c r="R75" s="48">
        <v>1</v>
      </c>
      <c r="S75" s="48"/>
      <c r="T75" s="48"/>
      <c r="U75" s="48" t="s">
        <v>67</v>
      </c>
      <c r="V75" s="48">
        <v>1</v>
      </c>
      <c r="W75" s="48"/>
      <c r="X75" s="48"/>
      <c r="Y75" s="48"/>
      <c r="Z75" s="48"/>
      <c r="AA75" s="48"/>
      <c r="AB75" s="93"/>
      <c r="AC75" s="48"/>
      <c r="AD75" s="127"/>
      <c r="AE75" s="132"/>
      <c r="AF75" s="48"/>
      <c r="AG75" s="48"/>
      <c r="AH75" s="48"/>
      <c r="AI75" s="48"/>
      <c r="AJ75" s="48"/>
      <c r="AK75" s="48"/>
      <c r="AL75" s="48"/>
      <c r="AM75" s="48"/>
      <c r="AN75" s="132"/>
      <c r="AO75" s="133"/>
      <c r="AP75" s="132"/>
      <c r="AQ75" s="132"/>
      <c r="AR75" s="133"/>
      <c r="AS75" s="132"/>
      <c r="AT75" s="132"/>
      <c r="AU75" s="139"/>
      <c r="AV75" s="139"/>
      <c r="AW75" s="132"/>
      <c r="AX75" s="139"/>
      <c r="AY75" s="139"/>
      <c r="AZ75" s="132"/>
      <c r="BA75" s="139"/>
      <c r="BB75" s="139"/>
      <c r="BC75" s="139"/>
      <c r="BD75" s="139"/>
      <c r="BE75" s="133"/>
      <c r="BF75" s="47"/>
      <c r="BG75" s="93"/>
      <c r="BH75" s="96">
        <f t="shared" si="67"/>
        <v>42184</v>
      </c>
      <c r="BI75" s="117"/>
      <c r="BJ75" s="119">
        <f t="shared" si="68"/>
        <v>42240</v>
      </c>
      <c r="BK75" s="117"/>
      <c r="BL75" s="121" t="str">
        <f t="shared" si="69"/>
        <v>N/A</v>
      </c>
      <c r="BM75" s="121" t="str">
        <f>IF(G75=0,0,IF('Suivi livrables'!BE75="ZSFR",IF(G75-F75&lt;90,F75+7,G75-90),"N/A"))</f>
        <v>N/A</v>
      </c>
      <c r="BN75" s="117"/>
      <c r="BO75" s="121" t="str">
        <f>IF(G75=0,0,IF('Suivi livrables'!BE75="ZSFR",IF(L75=0,I75-45,L75-4),"N/A"))</f>
        <v>N/A</v>
      </c>
      <c r="BP75" s="117"/>
      <c r="BQ75" s="121">
        <f t="shared" si="70"/>
        <v>42184</v>
      </c>
      <c r="BR75" s="121">
        <f t="shared" si="71"/>
        <v>42254</v>
      </c>
      <c r="BS75" s="117"/>
      <c r="BT75" s="121" t="e">
        <f>IF(G75=0,0,IF(AND('Suivi livrables'!P75=0,'Suivi livrables'!R75=0,'Suivi livrables'!T75=0,'Suivi livrables'!V75=0,'Suivi livrables'!X75=0,'Suivi livrables'!AD75=0),"N/A",#REF!-77))</f>
        <v>#REF!</v>
      </c>
      <c r="BU75" s="121" t="e">
        <f>IF(G75=0,0,IF(AND('Suivi livrables'!P75=0,'Suivi livrables'!R75=0,'Suivi livrables'!T75=0,'Suivi livrables'!V75=0,'Suivi livrables'!X75=0,'Suivi livrables'!AD75=0),"N/A",#REF!-21))</f>
        <v>#REF!</v>
      </c>
      <c r="BV75" s="117"/>
      <c r="BW75" s="97"/>
      <c r="BX75" s="102"/>
      <c r="BY75" s="117" t="str">
        <f t="shared" si="85"/>
        <v>Franklin</v>
      </c>
      <c r="BZ75" s="117">
        <f t="shared" si="86"/>
        <v>1</v>
      </c>
      <c r="CA75" s="117" t="str">
        <f t="shared" si="87"/>
        <v>Franklin</v>
      </c>
      <c r="CB75" s="117">
        <f t="shared" si="88"/>
        <v>1</v>
      </c>
      <c r="CC75" s="117" t="str">
        <f t="shared" si="89"/>
        <v/>
      </c>
      <c r="CD75" s="117" t="str">
        <f t="shared" si="90"/>
        <v/>
      </c>
      <c r="CE75" s="117" t="str">
        <f t="shared" si="91"/>
        <v>Franklin</v>
      </c>
      <c r="CF75" s="117">
        <f t="shared" si="92"/>
        <v>1</v>
      </c>
      <c r="CG75" s="117" t="str">
        <f t="shared" si="93"/>
        <v/>
      </c>
      <c r="CH75" s="117" t="str">
        <f t="shared" si="94"/>
        <v/>
      </c>
      <c r="CI75" s="117" t="str">
        <f t="shared" si="95"/>
        <v/>
      </c>
      <c r="CJ75" s="117" t="str">
        <f t="shared" si="96"/>
        <v/>
      </c>
      <c r="CK75" s="117" t="str">
        <f t="shared" si="97"/>
        <v/>
      </c>
      <c r="CL75" s="117" t="str">
        <f t="shared" si="98"/>
        <v/>
      </c>
      <c r="CM75" s="117" t="str">
        <f t="shared" si="99"/>
        <v/>
      </c>
      <c r="CN75" s="117" t="str">
        <f t="shared" si="100"/>
        <v/>
      </c>
      <c r="CO75" s="121">
        <f t="shared" si="72"/>
        <v>42184</v>
      </c>
      <c r="CP75" s="117"/>
      <c r="CQ75" s="121">
        <f t="shared" si="73"/>
        <v>42184</v>
      </c>
      <c r="CR75" s="117"/>
      <c r="CS75" s="121">
        <f t="shared" si="74"/>
        <v>42226</v>
      </c>
      <c r="CT75" s="121">
        <f t="shared" si="75"/>
        <v>42240</v>
      </c>
      <c r="CU75" s="121">
        <f t="shared" si="76"/>
        <v>42212</v>
      </c>
      <c r="CV75" s="117"/>
      <c r="CW75" s="121">
        <f t="shared" si="77"/>
        <v>42226</v>
      </c>
      <c r="CX75" s="117"/>
      <c r="CY75" s="121">
        <f t="shared" si="78"/>
        <v>42233</v>
      </c>
      <c r="CZ75" s="117"/>
      <c r="DA75" s="121">
        <f t="shared" si="79"/>
        <v>42240</v>
      </c>
      <c r="DB75" s="121">
        <f t="shared" si="80"/>
        <v>42289</v>
      </c>
      <c r="DC75" s="121">
        <f t="shared" si="81"/>
        <v>42289</v>
      </c>
      <c r="DD75" s="117"/>
      <c r="DE75" s="125">
        <f t="shared" si="82"/>
        <v>42111</v>
      </c>
      <c r="DF75" s="124"/>
      <c r="DG75" s="125">
        <f t="shared" si="101"/>
        <v>42111</v>
      </c>
      <c r="DH75" s="124"/>
      <c r="DI75" s="125">
        <f t="shared" si="83"/>
        <v>42171</v>
      </c>
      <c r="DJ75" s="124"/>
      <c r="DK75" s="125">
        <f t="shared" si="84"/>
        <v>42156</v>
      </c>
      <c r="DL75" s="124"/>
      <c r="DM75" s="117"/>
      <c r="DN75" s="124"/>
      <c r="DO75" s="117"/>
    </row>
    <row r="76" spans="1:125" ht="15.75" thickBot="1">
      <c r="A76" s="25" t="s">
        <v>63</v>
      </c>
      <c r="B76" s="57" t="str">
        <f>jalons!B76</f>
        <v>Sri Lankan / ACS</v>
      </c>
      <c r="C76" s="57" t="str">
        <f>jalons!C76</f>
        <v>A350-9</v>
      </c>
      <c r="D76" s="82" t="s">
        <v>252</v>
      </c>
      <c r="E76" s="9">
        <f>IF($A76="","",INDEX(jalons!$A$7:$K$125,MATCH('Suivi livrables'!$A76,jalons!$A$7:$A$125,0),4))</f>
        <v>41813</v>
      </c>
      <c r="F76" s="10">
        <f>IF($A76="","",INDEX(jalons!$A$7:$K$125,MATCH('Suivi livrables'!$A76,jalons!$A$7:$A$125,0),5))</f>
        <v>41968</v>
      </c>
      <c r="G76" s="10">
        <f>IF($A76="","",INDEX(jalons!$A$7:$K$125,MATCH('Suivi livrables'!$A76,jalons!$A$7:$A$125,0),6))</f>
        <v>42142</v>
      </c>
      <c r="H76" s="10">
        <f>IF($A76="","",INDEX(jalons!$A$7:$K$125,MATCH('Suivi livrables'!$A76,jalons!$A$7:$A$125,0),7))</f>
        <v>42320</v>
      </c>
      <c r="I76" s="10">
        <f>IF($A76="","",INDEX(jalons!$A$7:$K$125,MATCH('Suivi livrables'!$A76,jalons!$A$7:$A$125,0),8))</f>
        <v>42389</v>
      </c>
      <c r="J76" s="10">
        <f>IF($A76="","",INDEX(jalons!$A$7:$K$125,MATCH('Suivi livrables'!$A76,jalons!$A$7:$A$125,0),9))</f>
        <v>42430</v>
      </c>
      <c r="K76" s="10">
        <f>IF($A76="","",INDEX(jalons!$A$7:$K$125,MATCH('Suivi livrables'!$A76,jalons!$A$7:$A$125,0),10))</f>
        <v>42238</v>
      </c>
      <c r="L76" s="10">
        <f>IF($A76="","",INDEX(jalons!$A$7:$K$125,MATCH('Suivi livrables'!$A76,jalons!$A$7:$A$125,0),11))</f>
        <v>42240</v>
      </c>
      <c r="M76" s="14"/>
      <c r="N76" s="47" t="s">
        <v>55</v>
      </c>
      <c r="O76" s="47"/>
      <c r="P76" s="48"/>
      <c r="Q76" s="48"/>
      <c r="R76" s="48"/>
      <c r="S76" s="48"/>
      <c r="T76" s="48"/>
      <c r="U76" s="48"/>
      <c r="V76" s="48"/>
      <c r="W76" s="48"/>
      <c r="X76" s="48"/>
      <c r="Y76" s="48"/>
      <c r="Z76" s="48"/>
      <c r="AA76" s="48"/>
      <c r="AB76" s="93"/>
      <c r="AC76" s="48"/>
      <c r="AD76" s="127"/>
      <c r="AE76" s="132"/>
      <c r="AF76" s="48"/>
      <c r="AG76" s="48"/>
      <c r="AH76" s="48"/>
      <c r="AI76" s="48"/>
      <c r="AJ76" s="48"/>
      <c r="AK76" s="48"/>
      <c r="AL76" s="48"/>
      <c r="AM76" s="48"/>
      <c r="AN76" s="132"/>
      <c r="AO76" s="133"/>
      <c r="AP76" s="132"/>
      <c r="AQ76" s="132"/>
      <c r="AR76" s="133"/>
      <c r="AS76" s="132"/>
      <c r="AT76" s="132"/>
      <c r="AU76" s="139"/>
      <c r="AV76" s="139"/>
      <c r="AW76" s="132"/>
      <c r="AX76" s="139"/>
      <c r="AY76" s="139"/>
      <c r="AZ76" s="132"/>
      <c r="BA76" s="139"/>
      <c r="BB76" s="139"/>
      <c r="BC76" s="139"/>
      <c r="BD76" s="139"/>
      <c r="BE76" s="133" t="s">
        <v>68</v>
      </c>
      <c r="BF76" s="47"/>
      <c r="BG76" s="93"/>
      <c r="BH76" s="96">
        <f t="shared" si="67"/>
        <v>42065</v>
      </c>
      <c r="BI76" s="117"/>
      <c r="BJ76" s="119">
        <f t="shared" si="68"/>
        <v>42121</v>
      </c>
      <c r="BK76" s="117"/>
      <c r="BL76" s="121">
        <f t="shared" si="69"/>
        <v>41828</v>
      </c>
      <c r="BM76" s="121">
        <f>IF(G76=0,0,IF('Suivi livrables'!BE76="ZSFR",IF(G76-F76&lt;90,F76+7,G76-90),"N/A"))</f>
        <v>42052</v>
      </c>
      <c r="BN76" s="117"/>
      <c r="BO76" s="121">
        <f>IF(G76=0,0,IF('Suivi livrables'!BE76="ZSFR",IF(L76=0,I76-45,L76-4),"N/A"))</f>
        <v>42236</v>
      </c>
      <c r="BP76" s="117"/>
      <c r="BQ76" s="121" t="str">
        <f t="shared" si="70"/>
        <v>N/A</v>
      </c>
      <c r="BR76" s="121" t="str">
        <f t="shared" si="71"/>
        <v>N/A</v>
      </c>
      <c r="BS76" s="117"/>
      <c r="BT76" s="121" t="str">
        <f>IF(G76=0,0,IF(AND('Suivi livrables'!P76=0,'Suivi livrables'!R76=0,'Suivi livrables'!T76=0,'Suivi livrables'!V76=0,'Suivi livrables'!X76=0,'Suivi livrables'!AD76=0),"N/A",#REF!-77))</f>
        <v>N/A</v>
      </c>
      <c r="BU76" s="121" t="str">
        <f>IF(G76=0,0,IF(AND('Suivi livrables'!P76=0,'Suivi livrables'!R76=0,'Suivi livrables'!T76=0,'Suivi livrables'!V76=0,'Suivi livrables'!X76=0,'Suivi livrables'!AD76=0),"N/A",#REF!-21))</f>
        <v>N/A</v>
      </c>
      <c r="BV76" s="117"/>
      <c r="BW76" s="97"/>
      <c r="BX76" s="102"/>
      <c r="BY76" s="117" t="str">
        <f t="shared" si="85"/>
        <v/>
      </c>
      <c r="BZ76" s="117" t="str">
        <f t="shared" si="86"/>
        <v/>
      </c>
      <c r="CA76" s="117" t="str">
        <f t="shared" si="87"/>
        <v/>
      </c>
      <c r="CB76" s="117" t="str">
        <f t="shared" si="88"/>
        <v/>
      </c>
      <c r="CC76" s="117" t="str">
        <f t="shared" si="89"/>
        <v/>
      </c>
      <c r="CD76" s="117" t="str">
        <f t="shared" si="90"/>
        <v/>
      </c>
      <c r="CE76" s="117" t="str">
        <f t="shared" si="91"/>
        <v/>
      </c>
      <c r="CF76" s="117" t="str">
        <f t="shared" si="92"/>
        <v/>
      </c>
      <c r="CG76" s="117" t="str">
        <f t="shared" si="93"/>
        <v/>
      </c>
      <c r="CH76" s="117" t="str">
        <f t="shared" si="94"/>
        <v/>
      </c>
      <c r="CI76" s="117" t="str">
        <f t="shared" si="95"/>
        <v/>
      </c>
      <c r="CJ76" s="117" t="str">
        <f t="shared" si="96"/>
        <v/>
      </c>
      <c r="CK76" s="117" t="str">
        <f t="shared" si="97"/>
        <v/>
      </c>
      <c r="CL76" s="117" t="str">
        <f t="shared" si="98"/>
        <v/>
      </c>
      <c r="CM76" s="117" t="str">
        <f t="shared" si="99"/>
        <v/>
      </c>
      <c r="CN76" s="117" t="str">
        <f t="shared" si="100"/>
        <v/>
      </c>
      <c r="CO76" s="121">
        <f t="shared" si="72"/>
        <v>42065</v>
      </c>
      <c r="CP76" s="117"/>
      <c r="CQ76" s="121">
        <f t="shared" si="73"/>
        <v>42065</v>
      </c>
      <c r="CR76" s="117"/>
      <c r="CS76" s="121">
        <f t="shared" si="74"/>
        <v>42107</v>
      </c>
      <c r="CT76" s="121">
        <f t="shared" si="75"/>
        <v>42121</v>
      </c>
      <c r="CU76" s="121">
        <f t="shared" si="76"/>
        <v>42093</v>
      </c>
      <c r="CV76" s="117"/>
      <c r="CW76" s="121">
        <f t="shared" si="77"/>
        <v>42107</v>
      </c>
      <c r="CX76" s="117"/>
      <c r="CY76" s="121">
        <f t="shared" si="78"/>
        <v>42114</v>
      </c>
      <c r="CZ76" s="117"/>
      <c r="DA76" s="121">
        <f t="shared" si="79"/>
        <v>42121</v>
      </c>
      <c r="DB76" s="121">
        <f t="shared" si="80"/>
        <v>42170</v>
      </c>
      <c r="DC76" s="121">
        <f t="shared" si="81"/>
        <v>42170</v>
      </c>
      <c r="DD76" s="117"/>
      <c r="DE76" s="125">
        <f t="shared" si="82"/>
        <v>41992</v>
      </c>
      <c r="DF76" s="124"/>
      <c r="DG76" s="125">
        <f t="shared" si="101"/>
        <v>41992</v>
      </c>
      <c r="DH76" s="124"/>
      <c r="DI76" s="125">
        <f t="shared" si="83"/>
        <v>42052</v>
      </c>
      <c r="DJ76" s="124"/>
      <c r="DK76" s="125">
        <f t="shared" si="84"/>
        <v>42037</v>
      </c>
      <c r="DL76" s="124"/>
      <c r="DM76" s="117"/>
      <c r="DN76" s="124"/>
      <c r="DO76" s="117"/>
    </row>
    <row r="77" spans="1:125" ht="15.75" thickBot="1">
      <c r="A77" s="25" t="s">
        <v>64</v>
      </c>
      <c r="B77" s="57" t="str">
        <f>jalons!B77</f>
        <v>Vietnam / ACS</v>
      </c>
      <c r="C77" s="57" t="str">
        <f>jalons!C77</f>
        <v>A350-9</v>
      </c>
      <c r="D77" s="82" t="s">
        <v>252</v>
      </c>
      <c r="E77" s="9">
        <f>IF($A77="","",INDEX(jalons!$A$7:$K$125,MATCH('Suivi livrables'!$A77,jalons!$A$7:$A$125,0),4))</f>
        <v>41829</v>
      </c>
      <c r="F77" s="10">
        <f>IF($A77="","",INDEX(jalons!$A$7:$K$125,MATCH('Suivi livrables'!$A77,jalons!$A$7:$A$125,0),5))</f>
        <v>41988</v>
      </c>
      <c r="G77" s="10">
        <f>IF($A77="","",INDEX(jalons!$A$7:$K$125,MATCH('Suivi livrables'!$A77,jalons!$A$7:$A$125,0),6))</f>
        <v>42144</v>
      </c>
      <c r="H77" s="10">
        <f>IF($A77="","",INDEX(jalons!$A$7:$K$125,MATCH('Suivi livrables'!$A77,jalons!$A$7:$A$125,0),7))</f>
        <v>42320</v>
      </c>
      <c r="I77" s="10">
        <f>IF($A77="","",INDEX(jalons!$A$7:$K$125,MATCH('Suivi livrables'!$A77,jalons!$A$7:$A$125,0),8))</f>
        <v>42401</v>
      </c>
      <c r="J77" s="10">
        <f>IF($A77="","",INDEX(jalons!$A$7:$K$125,MATCH('Suivi livrables'!$A77,jalons!$A$7:$A$125,0),9))</f>
        <v>42453</v>
      </c>
      <c r="K77" s="10">
        <f>IF($A77="","",INDEX(jalons!$A$7:$K$125,MATCH('Suivi livrables'!$A77,jalons!$A$7:$A$125,0),10))</f>
        <v>42240</v>
      </c>
      <c r="L77" s="10">
        <f>IF($A77="","",INDEX(jalons!$A$7:$K$125,MATCH('Suivi livrables'!$A77,jalons!$A$7:$A$125,0),11))</f>
        <v>42243</v>
      </c>
      <c r="M77" s="14"/>
      <c r="N77" s="47" t="s">
        <v>55</v>
      </c>
      <c r="O77" s="47"/>
      <c r="P77" s="48"/>
      <c r="Q77" s="48"/>
      <c r="R77" s="48"/>
      <c r="S77" s="48"/>
      <c r="T77" s="48"/>
      <c r="U77" s="48"/>
      <c r="V77" s="48"/>
      <c r="W77" s="48"/>
      <c r="X77" s="48"/>
      <c r="Y77" s="48"/>
      <c r="Z77" s="48"/>
      <c r="AA77" s="48"/>
      <c r="AB77" s="93"/>
      <c r="AC77" s="48"/>
      <c r="AD77" s="127"/>
      <c r="AE77" s="132"/>
      <c r="AF77" s="48"/>
      <c r="AG77" s="48"/>
      <c r="AH77" s="48"/>
      <c r="AI77" s="48"/>
      <c r="AJ77" s="48"/>
      <c r="AK77" s="48"/>
      <c r="AL77" s="48"/>
      <c r="AM77" s="48"/>
      <c r="AN77" s="132"/>
      <c r="AO77" s="133"/>
      <c r="AP77" s="132"/>
      <c r="AQ77" s="132"/>
      <c r="AR77" s="133"/>
      <c r="AS77" s="132"/>
      <c r="AT77" s="132"/>
      <c r="AU77" s="139"/>
      <c r="AV77" s="139"/>
      <c r="AW77" s="132"/>
      <c r="AX77" s="139"/>
      <c r="AY77" s="139"/>
      <c r="AZ77" s="132"/>
      <c r="BA77" s="139"/>
      <c r="BB77" s="139"/>
      <c r="BC77" s="139"/>
      <c r="BD77" s="139"/>
      <c r="BE77" s="133" t="s">
        <v>68</v>
      </c>
      <c r="BF77" s="47"/>
      <c r="BG77" s="93"/>
      <c r="BH77" s="96">
        <f t="shared" si="67"/>
        <v>42067</v>
      </c>
      <c r="BI77" s="117"/>
      <c r="BJ77" s="119">
        <f t="shared" si="68"/>
        <v>42123</v>
      </c>
      <c r="BK77" s="117"/>
      <c r="BL77" s="121">
        <f t="shared" si="69"/>
        <v>41844</v>
      </c>
      <c r="BM77" s="121">
        <f>IF(G77=0,0,IF('Suivi livrables'!BE77="ZSFR",IF(G77-F77&lt;90,F77+7,G77-90),"N/A"))</f>
        <v>42054</v>
      </c>
      <c r="BN77" s="117"/>
      <c r="BO77" s="121">
        <f>IF(G77=0,0,IF('Suivi livrables'!BE77="ZSFR",IF(L77=0,I77-45,L77-4),"N/A"))</f>
        <v>42239</v>
      </c>
      <c r="BP77" s="117"/>
      <c r="BQ77" s="121" t="str">
        <f t="shared" si="70"/>
        <v>N/A</v>
      </c>
      <c r="BR77" s="121" t="str">
        <f t="shared" si="71"/>
        <v>N/A</v>
      </c>
      <c r="BS77" s="117"/>
      <c r="BT77" s="121" t="str">
        <f>IF(G77=0,0,IF(AND('Suivi livrables'!P77=0,'Suivi livrables'!R77=0,'Suivi livrables'!T77=0,'Suivi livrables'!V77=0,'Suivi livrables'!X77=0,'Suivi livrables'!AD77=0),"N/A",#REF!-77))</f>
        <v>N/A</v>
      </c>
      <c r="BU77" s="121" t="str">
        <f>IF(G77=0,0,IF(AND('Suivi livrables'!P77=0,'Suivi livrables'!R77=0,'Suivi livrables'!T77=0,'Suivi livrables'!V77=0,'Suivi livrables'!X77=0,'Suivi livrables'!AD77=0),"N/A",#REF!-21))</f>
        <v>N/A</v>
      </c>
      <c r="BV77" s="117"/>
      <c r="BW77" s="97"/>
      <c r="BX77" s="102"/>
      <c r="BY77" s="117" t="str">
        <f t="shared" si="85"/>
        <v/>
      </c>
      <c r="BZ77" s="117" t="str">
        <f t="shared" si="86"/>
        <v/>
      </c>
      <c r="CA77" s="117" t="str">
        <f t="shared" si="87"/>
        <v/>
      </c>
      <c r="CB77" s="117" t="str">
        <f t="shared" si="88"/>
        <v/>
      </c>
      <c r="CC77" s="117" t="str">
        <f t="shared" si="89"/>
        <v/>
      </c>
      <c r="CD77" s="117" t="str">
        <f t="shared" si="90"/>
        <v/>
      </c>
      <c r="CE77" s="117" t="str">
        <f t="shared" si="91"/>
        <v/>
      </c>
      <c r="CF77" s="117" t="str">
        <f t="shared" si="92"/>
        <v/>
      </c>
      <c r="CG77" s="117" t="str">
        <f t="shared" si="93"/>
        <v/>
      </c>
      <c r="CH77" s="117" t="str">
        <f t="shared" si="94"/>
        <v/>
      </c>
      <c r="CI77" s="117" t="str">
        <f t="shared" si="95"/>
        <v/>
      </c>
      <c r="CJ77" s="117" t="str">
        <f t="shared" si="96"/>
        <v/>
      </c>
      <c r="CK77" s="117" t="str">
        <f t="shared" si="97"/>
        <v/>
      </c>
      <c r="CL77" s="117" t="str">
        <f t="shared" si="98"/>
        <v/>
      </c>
      <c r="CM77" s="117" t="str">
        <f t="shared" si="99"/>
        <v/>
      </c>
      <c r="CN77" s="117" t="str">
        <f t="shared" si="100"/>
        <v/>
      </c>
      <c r="CO77" s="121">
        <f t="shared" si="72"/>
        <v>42067</v>
      </c>
      <c r="CP77" s="117"/>
      <c r="CQ77" s="121">
        <f t="shared" si="73"/>
        <v>42067</v>
      </c>
      <c r="CR77" s="117"/>
      <c r="CS77" s="121">
        <f t="shared" si="74"/>
        <v>42109</v>
      </c>
      <c r="CT77" s="121">
        <f t="shared" si="75"/>
        <v>42123</v>
      </c>
      <c r="CU77" s="121">
        <f t="shared" si="76"/>
        <v>42095</v>
      </c>
      <c r="CV77" s="117"/>
      <c r="CW77" s="121">
        <f t="shared" si="77"/>
        <v>42109</v>
      </c>
      <c r="CX77" s="117"/>
      <c r="CY77" s="121">
        <f t="shared" si="78"/>
        <v>42116</v>
      </c>
      <c r="CZ77" s="117"/>
      <c r="DA77" s="121">
        <f t="shared" si="79"/>
        <v>42123</v>
      </c>
      <c r="DB77" s="121">
        <f t="shared" si="80"/>
        <v>42172</v>
      </c>
      <c r="DC77" s="121">
        <f t="shared" si="81"/>
        <v>42172</v>
      </c>
      <c r="DD77" s="117"/>
      <c r="DE77" s="125">
        <f t="shared" si="82"/>
        <v>41994</v>
      </c>
      <c r="DF77" s="124"/>
      <c r="DG77" s="125">
        <f t="shared" si="101"/>
        <v>41994</v>
      </c>
      <c r="DH77" s="124"/>
      <c r="DI77" s="125">
        <f t="shared" si="83"/>
        <v>42054</v>
      </c>
      <c r="DJ77" s="124"/>
      <c r="DK77" s="125">
        <f t="shared" si="84"/>
        <v>42039</v>
      </c>
      <c r="DL77" s="124"/>
      <c r="DM77" s="117"/>
      <c r="DN77" s="124"/>
      <c r="DO77" s="117"/>
    </row>
    <row r="78" spans="1:125" ht="15.75" thickBot="1">
      <c r="A78" s="13" t="s">
        <v>159</v>
      </c>
      <c r="B78" s="57" t="str">
        <f>jalons!B78</f>
        <v>Hainan Airlines / catalog</v>
      </c>
      <c r="C78" s="57" t="str">
        <f>jalons!C78</f>
        <v>B787-9</v>
      </c>
      <c r="D78" s="83" t="s">
        <v>252</v>
      </c>
      <c r="E78" s="9">
        <f>IF($A78="","",INDEX(jalons!$A$7:$K$125,MATCH('Suivi livrables'!$A78,jalons!$A$7:$A$125,0),4))</f>
        <v>42223</v>
      </c>
      <c r="F78" s="10">
        <f>IF($A78="","",INDEX(jalons!$A$7:$K$125,MATCH('Suivi livrables'!$A78,jalons!$A$7:$A$125,0),5))</f>
        <v>42320</v>
      </c>
      <c r="G78" s="10">
        <f>IF($A78="","",INDEX(jalons!$A$7:$K$125,MATCH('Suivi livrables'!$A78,jalons!$A$7:$A$125,0),6))</f>
        <v>42452</v>
      </c>
      <c r="H78" s="10">
        <f>IF($A78="","",INDEX(jalons!$A$7:$K$125,MATCH('Suivi livrables'!$A78,jalons!$A$7:$A$125,0),7))</f>
        <v>42646</v>
      </c>
      <c r="I78" s="10">
        <f>IF($A78="","",INDEX(jalons!$A$7:$K$125,MATCH('Suivi livrables'!$A78,jalons!$A$7:$A$125,0),8))</f>
        <v>42681</v>
      </c>
      <c r="J78" s="10">
        <f>IF($A78="","",INDEX(jalons!$A$7:$K$125,MATCH('Suivi livrables'!$A78,jalons!$A$7:$A$125,0),9))</f>
        <v>42353</v>
      </c>
      <c r="K78" s="10">
        <f>IF($A78="","",INDEX(jalons!$A$7:$K$125,MATCH('Suivi livrables'!$A78,jalons!$A$7:$A$125,0),10))</f>
        <v>42548</v>
      </c>
      <c r="L78" s="10">
        <f>IF($A78="","",INDEX(jalons!$A$7:$K$125,MATCH('Suivi livrables'!$A78,jalons!$A$7:$A$125,0),11))</f>
        <v>42591</v>
      </c>
      <c r="M78" s="14"/>
      <c r="N78" s="47"/>
      <c r="O78" s="47" t="s">
        <v>94</v>
      </c>
      <c r="P78" s="48">
        <v>1</v>
      </c>
      <c r="Q78" s="48" t="s">
        <v>94</v>
      </c>
      <c r="R78" s="48">
        <v>1</v>
      </c>
      <c r="S78" s="48" t="s">
        <v>41</v>
      </c>
      <c r="T78" s="48"/>
      <c r="U78" s="48" t="s">
        <v>94</v>
      </c>
      <c r="V78" s="48">
        <v>1</v>
      </c>
      <c r="W78" s="48" t="s">
        <v>41</v>
      </c>
      <c r="X78" s="48">
        <v>1</v>
      </c>
      <c r="Y78" s="48"/>
      <c r="Z78" s="48"/>
      <c r="AA78" s="48"/>
      <c r="AB78" s="93" t="s">
        <v>211</v>
      </c>
      <c r="AC78" s="48"/>
      <c r="AD78" s="127">
        <v>1</v>
      </c>
      <c r="AE78" s="132"/>
      <c r="AF78" s="48"/>
      <c r="AG78" s="48"/>
      <c r="AH78" s="48"/>
      <c r="AI78" s="48"/>
      <c r="AJ78" s="48"/>
      <c r="AK78" s="48"/>
      <c r="AL78" s="48"/>
      <c r="AM78" s="48"/>
      <c r="AN78" s="132"/>
      <c r="AO78" s="133"/>
      <c r="AP78" s="132"/>
      <c r="AQ78" s="132"/>
      <c r="AR78" s="133"/>
      <c r="AS78" s="132"/>
      <c r="AT78" s="132"/>
      <c r="AU78" s="139"/>
      <c r="AV78" s="139"/>
      <c r="AW78" s="132"/>
      <c r="AX78" s="139"/>
      <c r="AY78" s="139"/>
      <c r="AZ78" s="132"/>
      <c r="BA78" s="139"/>
      <c r="BB78" s="139"/>
      <c r="BC78" s="139"/>
      <c r="BD78" s="139"/>
      <c r="BE78" s="133" t="s">
        <v>94</v>
      </c>
      <c r="BF78" s="47" t="s">
        <v>41</v>
      </c>
      <c r="BG78" s="93"/>
      <c r="BH78" s="96">
        <f t="shared" si="67"/>
        <v>42375</v>
      </c>
      <c r="BI78" s="117"/>
      <c r="BJ78" s="119">
        <f t="shared" si="68"/>
        <v>42431</v>
      </c>
      <c r="BK78" s="117"/>
      <c r="BL78" s="121" t="str">
        <f t="shared" si="69"/>
        <v>N/A</v>
      </c>
      <c r="BM78" s="121" t="str">
        <f>IF(G78=0,0,IF('Suivi livrables'!BE78="ZSFR",IF(G78-F78&lt;90,F78+7,G78-90),"N/A"))</f>
        <v>N/A</v>
      </c>
      <c r="BN78" s="117"/>
      <c r="BO78" s="121" t="str">
        <f>IF(G78=0,0,IF('Suivi livrables'!BE78="ZSFR",IF(L78=0,I78-45,L78-4),"N/A"))</f>
        <v>N/A</v>
      </c>
      <c r="BP78" s="117"/>
      <c r="BQ78" s="121">
        <f t="shared" si="70"/>
        <v>42375</v>
      </c>
      <c r="BR78" s="121">
        <f t="shared" si="71"/>
        <v>42445</v>
      </c>
      <c r="BS78" s="117"/>
      <c r="BT78" s="121" t="e">
        <f>IF(G78=0,0,IF(AND('Suivi livrables'!P78=0,'Suivi livrables'!R78=0,'Suivi livrables'!T78=0,'Suivi livrables'!V78=0,'Suivi livrables'!X78=0,'Suivi livrables'!AD78=0),"N/A",#REF!-77))</f>
        <v>#REF!</v>
      </c>
      <c r="BU78" s="121" t="e">
        <f>IF(G78=0,0,IF(AND('Suivi livrables'!P78=0,'Suivi livrables'!R78=0,'Suivi livrables'!T78=0,'Suivi livrables'!V78=0,'Suivi livrables'!X78=0,'Suivi livrables'!AD78=0),"N/A",#REF!-21))</f>
        <v>#REF!</v>
      </c>
      <c r="BV78" s="117"/>
      <c r="BW78" s="97"/>
      <c r="BX78" s="102"/>
      <c r="BY78" s="117" t="str">
        <f t="shared" si="85"/>
        <v>MGR</v>
      </c>
      <c r="BZ78" s="117">
        <f t="shared" si="86"/>
        <v>1</v>
      </c>
      <c r="CA78" s="117" t="str">
        <f t="shared" si="87"/>
        <v>MGR</v>
      </c>
      <c r="CB78" s="117">
        <f t="shared" si="88"/>
        <v>1</v>
      </c>
      <c r="CC78" s="117" t="str">
        <f t="shared" si="89"/>
        <v>N/A</v>
      </c>
      <c r="CD78" s="117" t="str">
        <f t="shared" si="90"/>
        <v/>
      </c>
      <c r="CE78" s="117" t="str">
        <f t="shared" si="91"/>
        <v>MGR</v>
      </c>
      <c r="CF78" s="117">
        <f t="shared" si="92"/>
        <v>1</v>
      </c>
      <c r="CG78" s="117" t="str">
        <f t="shared" si="93"/>
        <v>N/A</v>
      </c>
      <c r="CH78" s="117">
        <f t="shared" si="94"/>
        <v>1</v>
      </c>
      <c r="CI78" s="117" t="str">
        <f t="shared" si="95"/>
        <v/>
      </c>
      <c r="CJ78" s="117" t="str">
        <f t="shared" si="96"/>
        <v/>
      </c>
      <c r="CK78" s="117" t="str">
        <f t="shared" si="97"/>
        <v/>
      </c>
      <c r="CL78" s="117" t="str">
        <f t="shared" si="98"/>
        <v>Bas volet</v>
      </c>
      <c r="CM78" s="117" t="str">
        <f t="shared" si="99"/>
        <v/>
      </c>
      <c r="CN78" s="117">
        <f t="shared" si="100"/>
        <v>1</v>
      </c>
      <c r="CO78" s="121">
        <f t="shared" si="72"/>
        <v>42375</v>
      </c>
      <c r="CP78" s="117"/>
      <c r="CQ78" s="121">
        <f t="shared" si="73"/>
        <v>42375</v>
      </c>
      <c r="CR78" s="117"/>
      <c r="CS78" s="121">
        <f t="shared" si="74"/>
        <v>42417</v>
      </c>
      <c r="CT78" s="121">
        <f t="shared" si="75"/>
        <v>42431</v>
      </c>
      <c r="CU78" s="121">
        <f t="shared" si="76"/>
        <v>42403</v>
      </c>
      <c r="CV78" s="117"/>
      <c r="CW78" s="121">
        <f t="shared" si="77"/>
        <v>42417</v>
      </c>
      <c r="CX78" s="117"/>
      <c r="CY78" s="121">
        <f t="shared" si="78"/>
        <v>42424</v>
      </c>
      <c r="CZ78" s="117"/>
      <c r="DA78" s="121">
        <f t="shared" si="79"/>
        <v>42431</v>
      </c>
      <c r="DB78" s="121">
        <f t="shared" si="80"/>
        <v>42480</v>
      </c>
      <c r="DC78" s="121">
        <f t="shared" si="81"/>
        <v>42480</v>
      </c>
      <c r="DD78" s="117"/>
      <c r="DE78" s="125">
        <f t="shared" si="82"/>
        <v>42302</v>
      </c>
      <c r="DF78" s="124"/>
      <c r="DG78" s="125">
        <f t="shared" si="101"/>
        <v>42302</v>
      </c>
      <c r="DH78" s="124"/>
      <c r="DI78" s="125">
        <f t="shared" si="83"/>
        <v>42362</v>
      </c>
      <c r="DJ78" s="124"/>
      <c r="DK78" s="125">
        <f t="shared" si="84"/>
        <v>42347</v>
      </c>
      <c r="DL78" s="124"/>
      <c r="DM78" s="117"/>
      <c r="DN78" s="124"/>
      <c r="DO78" s="117"/>
    </row>
    <row r="79" spans="1:125" ht="15.75" thickBot="1">
      <c r="A79" s="13" t="s">
        <v>161</v>
      </c>
      <c r="B79" s="57" t="str">
        <f>jalons!B79</f>
        <v>Tianjin / Hainan</v>
      </c>
      <c r="C79" s="57" t="str">
        <f>jalons!C79</f>
        <v>A320 Neo</v>
      </c>
      <c r="D79" s="83" t="s">
        <v>253</v>
      </c>
      <c r="E79" s="9">
        <f>IF($A79="","",INDEX(jalons!$A$7:$K$125,MATCH('Suivi livrables'!$A79,jalons!$A$7:$A$125,0),4))</f>
        <v>42262</v>
      </c>
      <c r="F79" s="10">
        <f>IF($A79="","",INDEX(jalons!$A$7:$K$125,MATCH('Suivi livrables'!$A79,jalons!$A$7:$A$125,0),5))</f>
        <v>42363</v>
      </c>
      <c r="G79" s="10">
        <f>IF($A79="","",INDEX(jalons!$A$7:$K$125,MATCH('Suivi livrables'!$A79,jalons!$A$7:$A$125,0),6))</f>
        <v>42495</v>
      </c>
      <c r="H79" s="10" t="str">
        <f>IF($A79="","",INDEX(jalons!$A$7:$K$125,MATCH('Suivi livrables'!$A79,jalons!$A$7:$A$125,0),7))</f>
        <v>manque date</v>
      </c>
      <c r="I79" s="10">
        <f>IF($A79="","",INDEX(jalons!$A$7:$K$125,MATCH('Suivi livrables'!$A79,jalons!$A$7:$A$125,0),8))</f>
        <v>42701</v>
      </c>
      <c r="J79" s="10">
        <f>IF($A79="","",INDEX(jalons!$A$7:$K$125,MATCH('Suivi livrables'!$A79,jalons!$A$7:$A$125,0),9))</f>
        <v>42750</v>
      </c>
      <c r="K79" s="10" t="str">
        <f>IF($A79="","",INDEX(jalons!$A$7:$K$125,MATCH('Suivi livrables'!$A79,jalons!$A$7:$A$125,0),10))</f>
        <v>manque date</v>
      </c>
      <c r="L79" s="10" t="str">
        <f>IF($A79="","",INDEX(jalons!$A$7:$K$125,MATCH('Suivi livrables'!$A79,jalons!$A$7:$A$125,0),11))</f>
        <v>manque date</v>
      </c>
      <c r="M79" s="14"/>
      <c r="N79" s="47"/>
      <c r="O79" s="47"/>
      <c r="P79" s="48"/>
      <c r="Q79" s="48"/>
      <c r="R79" s="48"/>
      <c r="S79" s="48"/>
      <c r="T79" s="48"/>
      <c r="U79" s="48"/>
      <c r="V79" s="48"/>
      <c r="W79" s="48"/>
      <c r="X79" s="48"/>
      <c r="Y79" s="48"/>
      <c r="Z79" s="48"/>
      <c r="AA79" s="48"/>
      <c r="AB79" s="93"/>
      <c r="AC79" s="48"/>
      <c r="AD79" s="127"/>
      <c r="AE79" s="132"/>
      <c r="AF79" s="48"/>
      <c r="AG79" s="48"/>
      <c r="AH79" s="48"/>
      <c r="AI79" s="48"/>
      <c r="AJ79" s="48"/>
      <c r="AK79" s="48"/>
      <c r="AL79" s="48"/>
      <c r="AM79" s="48"/>
      <c r="AN79" s="132"/>
      <c r="AO79" s="133"/>
      <c r="AP79" s="132"/>
      <c r="AQ79" s="132"/>
      <c r="AR79" s="133"/>
      <c r="AS79" s="132"/>
      <c r="AT79" s="132"/>
      <c r="AU79" s="139"/>
      <c r="AV79" s="139"/>
      <c r="AW79" s="132"/>
      <c r="AX79" s="139"/>
      <c r="AY79" s="139"/>
      <c r="AZ79" s="132"/>
      <c r="BA79" s="139"/>
      <c r="BB79" s="139"/>
      <c r="BC79" s="139"/>
      <c r="BD79" s="139"/>
      <c r="BE79" s="133"/>
      <c r="BF79" s="47"/>
      <c r="BG79" s="93"/>
      <c r="BH79" s="96">
        <f t="shared" si="67"/>
        <v>42418</v>
      </c>
      <c r="BI79" s="117"/>
      <c r="BJ79" s="119">
        <f t="shared" si="68"/>
        <v>42474</v>
      </c>
      <c r="BK79" s="117"/>
      <c r="BL79" s="121" t="str">
        <f t="shared" si="69"/>
        <v>N/A</v>
      </c>
      <c r="BM79" s="121" t="str">
        <f>IF(G79=0,0,IF('Suivi livrables'!BE79="ZSFR",IF(G79-F79&lt;90,F79+7,G79-90),"N/A"))</f>
        <v>N/A</v>
      </c>
      <c r="BN79" s="117"/>
      <c r="BO79" s="121" t="str">
        <f>IF(G79=0,0,IF('Suivi livrables'!BE79="ZSFR",IF(L79=0,I79-45,L79-4),"N/A"))</f>
        <v>N/A</v>
      </c>
      <c r="BP79" s="117"/>
      <c r="BQ79" s="121">
        <f t="shared" si="70"/>
        <v>42418</v>
      </c>
      <c r="BR79" s="121">
        <f t="shared" si="71"/>
        <v>42488</v>
      </c>
      <c r="BS79" s="117"/>
      <c r="BT79" s="121" t="str">
        <f>IF(G79=0,0,IF(AND('Suivi livrables'!P79=0,'Suivi livrables'!R79=0,'Suivi livrables'!T79=0,'Suivi livrables'!V79=0,'Suivi livrables'!X79=0,'Suivi livrables'!AD79=0),"N/A",#REF!-77))</f>
        <v>N/A</v>
      </c>
      <c r="BU79" s="121" t="str">
        <f>IF(G79=0,0,IF(AND('Suivi livrables'!P79=0,'Suivi livrables'!R79=0,'Suivi livrables'!T79=0,'Suivi livrables'!V79=0,'Suivi livrables'!X79=0,'Suivi livrables'!AD79=0),"N/A",#REF!-21))</f>
        <v>N/A</v>
      </c>
      <c r="BV79" s="117"/>
      <c r="BW79" s="97"/>
      <c r="BX79" s="102"/>
      <c r="BY79" s="117" t="str">
        <f t="shared" si="85"/>
        <v/>
      </c>
      <c r="BZ79" s="117" t="str">
        <f t="shared" si="86"/>
        <v/>
      </c>
      <c r="CA79" s="117" t="str">
        <f t="shared" si="87"/>
        <v/>
      </c>
      <c r="CB79" s="117" t="str">
        <f t="shared" si="88"/>
        <v/>
      </c>
      <c r="CC79" s="117" t="str">
        <f t="shared" si="89"/>
        <v/>
      </c>
      <c r="CD79" s="117" t="str">
        <f t="shared" si="90"/>
        <v/>
      </c>
      <c r="CE79" s="117" t="str">
        <f t="shared" si="91"/>
        <v/>
      </c>
      <c r="CF79" s="117" t="str">
        <f t="shared" si="92"/>
        <v/>
      </c>
      <c r="CG79" s="117" t="str">
        <f t="shared" si="93"/>
        <v/>
      </c>
      <c r="CH79" s="117" t="str">
        <f t="shared" si="94"/>
        <v/>
      </c>
      <c r="CI79" s="117" t="str">
        <f t="shared" si="95"/>
        <v/>
      </c>
      <c r="CJ79" s="117" t="str">
        <f t="shared" si="96"/>
        <v/>
      </c>
      <c r="CK79" s="117" t="str">
        <f t="shared" si="97"/>
        <v/>
      </c>
      <c r="CL79" s="117" t="str">
        <f t="shared" si="98"/>
        <v/>
      </c>
      <c r="CM79" s="117" t="str">
        <f t="shared" si="99"/>
        <v/>
      </c>
      <c r="CN79" s="117" t="str">
        <f t="shared" si="100"/>
        <v/>
      </c>
      <c r="CO79" s="121">
        <f t="shared" si="72"/>
        <v>42418</v>
      </c>
      <c r="CP79" s="117"/>
      <c r="CQ79" s="121">
        <f t="shared" si="73"/>
        <v>42418</v>
      </c>
      <c r="CR79" s="117"/>
      <c r="CS79" s="121">
        <f t="shared" si="74"/>
        <v>42460</v>
      </c>
      <c r="CT79" s="121">
        <f t="shared" si="75"/>
        <v>42474</v>
      </c>
      <c r="CU79" s="121">
        <f t="shared" si="76"/>
        <v>42446</v>
      </c>
      <c r="CV79" s="117"/>
      <c r="CW79" s="121">
        <f t="shared" si="77"/>
        <v>42460</v>
      </c>
      <c r="CX79" s="117"/>
      <c r="CY79" s="121">
        <f t="shared" si="78"/>
        <v>42467</v>
      </c>
      <c r="CZ79" s="117"/>
      <c r="DA79" s="121">
        <f t="shared" si="79"/>
        <v>42474</v>
      </c>
      <c r="DB79" s="121">
        <f t="shared" si="80"/>
        <v>42523</v>
      </c>
      <c r="DC79" s="121">
        <f t="shared" si="81"/>
        <v>42523</v>
      </c>
      <c r="DD79" s="117"/>
      <c r="DE79" s="125">
        <f t="shared" si="82"/>
        <v>42345</v>
      </c>
      <c r="DF79" s="124"/>
      <c r="DG79" s="125">
        <f t="shared" si="101"/>
        <v>42345</v>
      </c>
      <c r="DH79" s="124"/>
      <c r="DI79" s="125">
        <f t="shared" si="83"/>
        <v>42405</v>
      </c>
      <c r="DJ79" s="124"/>
      <c r="DK79" s="125">
        <f t="shared" si="84"/>
        <v>42390</v>
      </c>
      <c r="DL79" s="124"/>
      <c r="DM79" s="117"/>
      <c r="DN79" s="124"/>
      <c r="DO79" s="117"/>
    </row>
    <row r="80" spans="1:125" ht="15.75" thickBot="1">
      <c r="A80" s="25" t="s">
        <v>65</v>
      </c>
      <c r="B80" s="57" t="str">
        <f>jalons!B80</f>
        <v>Cathay Pacific</v>
      </c>
      <c r="C80" s="57" t="str">
        <f>jalons!C80</f>
        <v>A350-900 /-1000</v>
      </c>
      <c r="D80" s="82" t="s">
        <v>253</v>
      </c>
      <c r="E80" s="9">
        <f>IF($A80="","",INDEX(jalons!$A$7:$K$125,MATCH('Suivi livrables'!$A80,jalons!$A$7:$A$125,0),4))</f>
        <v>41526</v>
      </c>
      <c r="F80" s="10">
        <f>IF($A80="","",INDEX(jalons!$A$7:$K$125,MATCH('Suivi livrables'!$A80,jalons!$A$7:$A$125,0),5))</f>
        <v>41723</v>
      </c>
      <c r="G80" s="10">
        <f>IF($A80="","",INDEX(jalons!$A$7:$K$125,MATCH('Suivi livrables'!$A80,jalons!$A$7:$A$125,0),6))</f>
        <v>41975</v>
      </c>
      <c r="H80" s="10">
        <f>IF($A80="","",INDEX(jalons!$A$7:$K$125,MATCH('Suivi livrables'!$A80,jalons!$A$7:$A$125,0),7))</f>
        <v>42219</v>
      </c>
      <c r="I80" s="10">
        <f>IF($A80="","",INDEX(jalons!$A$7:$K$125,MATCH('Suivi livrables'!$A80,jalons!$A$7:$A$125,0),8))</f>
        <v>42282</v>
      </c>
      <c r="J80" s="10">
        <f>IF($A80="","",INDEX(jalons!$A$7:$K$125,MATCH('Suivi livrables'!$A80,jalons!$A$7:$A$125,0),9))</f>
        <v>42285</v>
      </c>
      <c r="K80" s="10">
        <f>IF($A80="","",INDEX(jalons!$A$7:$K$125,MATCH('Suivi livrables'!$A80,jalons!$A$7:$A$125,0),10))</f>
        <v>42071</v>
      </c>
      <c r="L80" s="10">
        <f>IF($A80="","",INDEX(jalons!$A$7:$K$125,MATCH('Suivi livrables'!$A80,jalons!$A$7:$A$125,0),11))</f>
        <v>42128</v>
      </c>
      <c r="M80" s="14"/>
      <c r="N80" s="47" t="s">
        <v>89</v>
      </c>
      <c r="O80" s="47" t="s">
        <v>94</v>
      </c>
      <c r="P80" s="48">
        <v>2</v>
      </c>
      <c r="Q80" s="48" t="s">
        <v>94</v>
      </c>
      <c r="R80" s="48">
        <v>2</v>
      </c>
      <c r="S80" s="48" t="s">
        <v>94</v>
      </c>
      <c r="T80" s="48">
        <v>1</v>
      </c>
      <c r="U80" s="48" t="s">
        <v>94</v>
      </c>
      <c r="V80" s="48">
        <v>1</v>
      </c>
      <c r="W80" s="48" t="s">
        <v>94</v>
      </c>
      <c r="X80" s="48"/>
      <c r="Y80" s="48"/>
      <c r="Z80" s="48"/>
      <c r="AA80" s="48"/>
      <c r="AB80" s="93" t="s">
        <v>209</v>
      </c>
      <c r="AC80" s="48"/>
      <c r="AD80" s="127">
        <v>1</v>
      </c>
      <c r="AE80" s="132"/>
      <c r="AF80" s="48"/>
      <c r="AG80" s="48"/>
      <c r="AH80" s="48"/>
      <c r="AI80" s="48"/>
      <c r="AJ80" s="48"/>
      <c r="AK80" s="48"/>
      <c r="AL80" s="48"/>
      <c r="AM80" s="48"/>
      <c r="AN80" s="132"/>
      <c r="AO80" s="133"/>
      <c r="AP80" s="132"/>
      <c r="AQ80" s="132"/>
      <c r="AR80" s="133"/>
      <c r="AS80" s="132"/>
      <c r="AT80" s="132"/>
      <c r="AU80" s="139"/>
      <c r="AV80" s="139"/>
      <c r="AW80" s="132"/>
      <c r="AX80" s="139"/>
      <c r="AY80" s="139"/>
      <c r="AZ80" s="132"/>
      <c r="BA80" s="139"/>
      <c r="BB80" s="139"/>
      <c r="BC80" s="139"/>
      <c r="BD80" s="139"/>
      <c r="BE80" s="133" t="s">
        <v>94</v>
      </c>
      <c r="BF80" s="47"/>
      <c r="BG80" s="93"/>
      <c r="BH80" s="96">
        <f t="shared" si="67"/>
        <v>41898</v>
      </c>
      <c r="BI80" s="117"/>
      <c r="BJ80" s="119">
        <f t="shared" si="68"/>
        <v>41954</v>
      </c>
      <c r="BK80" s="117"/>
      <c r="BL80" s="121" t="str">
        <f t="shared" si="69"/>
        <v>N/A</v>
      </c>
      <c r="BM80" s="121" t="str">
        <f>IF(G80=0,0,IF('Suivi livrables'!BE80="ZSFR",IF(G80-F80&lt;90,F80+7,G80-90),"N/A"))</f>
        <v>N/A</v>
      </c>
      <c r="BN80" s="117"/>
      <c r="BO80" s="121" t="str">
        <f>IF(G80=0,0,IF('Suivi livrables'!BE80="ZSFR",IF(L80=0,I80-45,L80-4),"N/A"))</f>
        <v>N/A</v>
      </c>
      <c r="BP80" s="117"/>
      <c r="BQ80" s="121">
        <f t="shared" si="70"/>
        <v>41898</v>
      </c>
      <c r="BR80" s="121">
        <f t="shared" si="71"/>
        <v>41968</v>
      </c>
      <c r="BS80" s="117"/>
      <c r="BT80" s="121" t="e">
        <f>IF(G80=0,0,IF(AND('Suivi livrables'!P80=0,'Suivi livrables'!R80=0,'Suivi livrables'!T80=0,'Suivi livrables'!V80=0,'Suivi livrables'!X80=0,'Suivi livrables'!AD80=0),"N/A",#REF!-77))</f>
        <v>#REF!</v>
      </c>
      <c r="BU80" s="121" t="e">
        <f>IF(G80=0,0,IF(AND('Suivi livrables'!P80=0,'Suivi livrables'!R80=0,'Suivi livrables'!T80=0,'Suivi livrables'!V80=0,'Suivi livrables'!X80=0,'Suivi livrables'!AD80=0),"N/A",#REF!-21))</f>
        <v>#REF!</v>
      </c>
      <c r="BV80" s="117"/>
      <c r="BW80" s="97"/>
      <c r="BX80" s="102"/>
      <c r="BY80" s="117" t="str">
        <f t="shared" si="85"/>
        <v>MGR</v>
      </c>
      <c r="BZ80" s="117">
        <f t="shared" si="86"/>
        <v>2</v>
      </c>
      <c r="CA80" s="117" t="str">
        <f t="shared" si="87"/>
        <v>MGR</v>
      </c>
      <c r="CB80" s="117">
        <f t="shared" si="88"/>
        <v>2</v>
      </c>
      <c r="CC80" s="117" t="str">
        <f t="shared" si="89"/>
        <v>MGR</v>
      </c>
      <c r="CD80" s="117">
        <f t="shared" si="90"/>
        <v>1</v>
      </c>
      <c r="CE80" s="117" t="str">
        <f t="shared" si="91"/>
        <v>MGR</v>
      </c>
      <c r="CF80" s="117">
        <f t="shared" si="92"/>
        <v>1</v>
      </c>
      <c r="CG80" s="117" t="str">
        <f t="shared" si="93"/>
        <v>MGR</v>
      </c>
      <c r="CH80" s="117" t="str">
        <f t="shared" si="94"/>
        <v/>
      </c>
      <c r="CI80" s="117" t="str">
        <f t="shared" si="95"/>
        <v/>
      </c>
      <c r="CJ80" s="117" t="str">
        <f t="shared" si="96"/>
        <v/>
      </c>
      <c r="CK80" s="117" t="str">
        <f t="shared" si="97"/>
        <v/>
      </c>
      <c r="CL80" s="117" t="str">
        <f t="shared" si="98"/>
        <v>Rideaux</v>
      </c>
      <c r="CM80" s="117" t="str">
        <f t="shared" si="99"/>
        <v/>
      </c>
      <c r="CN80" s="117">
        <f t="shared" si="100"/>
        <v>1</v>
      </c>
      <c r="CO80" s="121">
        <f t="shared" si="72"/>
        <v>41898</v>
      </c>
      <c r="CP80" s="117"/>
      <c r="CQ80" s="121">
        <f t="shared" si="73"/>
        <v>41898</v>
      </c>
      <c r="CR80" s="117"/>
      <c r="CS80" s="121">
        <f t="shared" si="74"/>
        <v>41940</v>
      </c>
      <c r="CT80" s="121">
        <f t="shared" si="75"/>
        <v>41954</v>
      </c>
      <c r="CU80" s="121">
        <f t="shared" si="76"/>
        <v>41926</v>
      </c>
      <c r="CV80" s="117"/>
      <c r="CW80" s="121">
        <f t="shared" si="77"/>
        <v>41940</v>
      </c>
      <c r="CX80" s="117"/>
      <c r="CY80" s="121">
        <f t="shared" si="78"/>
        <v>41947</v>
      </c>
      <c r="CZ80" s="117"/>
      <c r="DA80" s="121">
        <f t="shared" si="79"/>
        <v>41954</v>
      </c>
      <c r="DB80" s="121">
        <f t="shared" si="80"/>
        <v>42003</v>
      </c>
      <c r="DC80" s="121">
        <f t="shared" si="81"/>
        <v>42003</v>
      </c>
      <c r="DD80" s="117"/>
      <c r="DE80" s="125">
        <f t="shared" si="82"/>
        <v>41825</v>
      </c>
      <c r="DF80" s="124"/>
      <c r="DG80" s="125">
        <f t="shared" si="101"/>
        <v>41825</v>
      </c>
      <c r="DH80" s="124"/>
      <c r="DI80" s="125">
        <f t="shared" si="83"/>
        <v>41885</v>
      </c>
      <c r="DJ80" s="124"/>
      <c r="DK80" s="125">
        <f t="shared" si="84"/>
        <v>41870</v>
      </c>
      <c r="DL80" s="124"/>
      <c r="DM80" s="117"/>
      <c r="DN80" s="124"/>
      <c r="DO80" s="117"/>
    </row>
    <row r="81" spans="1:119" ht="15.75" thickBot="1">
      <c r="A81" s="13" t="s">
        <v>160</v>
      </c>
      <c r="B81" s="57" t="str">
        <f>jalons!B81</f>
        <v>Cathay Pacific</v>
      </c>
      <c r="C81" s="57" t="str">
        <f>jalons!C81</f>
        <v>A350-1000</v>
      </c>
      <c r="D81" s="83" t="s">
        <v>253</v>
      </c>
      <c r="E81" s="9">
        <f>IF($A81="","",INDEX(jalons!$A$7:$K$125,MATCH('Suivi livrables'!$A81,jalons!$A$7:$A$125,0),4))</f>
        <v>42338</v>
      </c>
      <c r="F81" s="10">
        <f>IF($A81="","",INDEX(jalons!$A$7:$K$125,MATCH('Suivi livrables'!$A81,jalons!$A$7:$A$125,0),5))</f>
        <v>42401</v>
      </c>
      <c r="G81" s="10">
        <f>IF($A81="","",INDEX(jalons!$A$7:$K$125,MATCH('Suivi livrables'!$A81,jalons!$A$7:$A$125,0),6))</f>
        <v>42552</v>
      </c>
      <c r="H81" s="10">
        <f>IF($A81="","",INDEX(jalons!$A$7:$K$125,MATCH('Suivi livrables'!$A81,jalons!$A$7:$A$125,0),7))</f>
        <v>42548</v>
      </c>
      <c r="I81" s="10">
        <f>IF($A81="","",INDEX(jalons!$A$7:$K$125,MATCH('Suivi livrables'!$A81,jalons!$A$7:$A$125,0),8))</f>
        <v>42576</v>
      </c>
      <c r="J81" s="10">
        <f>IF($A81="","",INDEX(jalons!$A$7:$K$125,MATCH('Suivi livrables'!$A81,jalons!$A$7:$A$125,0),9))</f>
        <v>42948</v>
      </c>
      <c r="K81" s="10">
        <f>IF($A81="","",INDEX(jalons!$A$7:$K$125,MATCH('Suivi livrables'!$A81,jalons!$A$7:$A$125,0),10))</f>
        <v>42729</v>
      </c>
      <c r="L81" s="10" t="str">
        <f>IF($A81="","",INDEX(jalons!$A$7:$K$125,MATCH('Suivi livrables'!$A81,jalons!$A$7:$A$125,0),11))</f>
        <v>manque date</v>
      </c>
      <c r="M81" s="14"/>
      <c r="N81" s="47"/>
      <c r="O81" s="47"/>
      <c r="P81" s="48"/>
      <c r="Q81" s="48"/>
      <c r="R81" s="48"/>
      <c r="S81" s="48"/>
      <c r="T81" s="48"/>
      <c r="U81" s="48"/>
      <c r="V81" s="48"/>
      <c r="W81" s="48"/>
      <c r="X81" s="48"/>
      <c r="Y81" s="48"/>
      <c r="Z81" s="48"/>
      <c r="AA81" s="48"/>
      <c r="AB81" s="93"/>
      <c r="AC81" s="48"/>
      <c r="AD81" s="127"/>
      <c r="AE81" s="132"/>
      <c r="AF81" s="48"/>
      <c r="AG81" s="48"/>
      <c r="AH81" s="48"/>
      <c r="AI81" s="48"/>
      <c r="AJ81" s="48"/>
      <c r="AK81" s="48"/>
      <c r="AL81" s="48"/>
      <c r="AM81" s="48"/>
      <c r="AN81" s="132"/>
      <c r="AO81" s="133"/>
      <c r="AP81" s="132"/>
      <c r="AQ81" s="132"/>
      <c r="AR81" s="133"/>
      <c r="AS81" s="132"/>
      <c r="AT81" s="132"/>
      <c r="AU81" s="139"/>
      <c r="AV81" s="139"/>
      <c r="AW81" s="132"/>
      <c r="AX81" s="139"/>
      <c r="AY81" s="139"/>
      <c r="AZ81" s="132"/>
      <c r="BA81" s="139"/>
      <c r="BB81" s="139"/>
      <c r="BC81" s="139"/>
      <c r="BD81" s="139"/>
      <c r="BE81" s="133"/>
      <c r="BF81" s="47"/>
      <c r="BG81" s="93"/>
      <c r="BH81" s="96">
        <f t="shared" si="67"/>
        <v>42475</v>
      </c>
      <c r="BI81" s="117"/>
      <c r="BJ81" s="119">
        <f t="shared" si="68"/>
        <v>42531</v>
      </c>
      <c r="BK81" s="117"/>
      <c r="BL81" s="121" t="str">
        <f t="shared" si="69"/>
        <v>N/A</v>
      </c>
      <c r="BM81" s="121" t="str">
        <f>IF(G81=0,0,IF('Suivi livrables'!BE81="ZSFR",IF(G81-F81&lt;90,F81+7,G81-90),"N/A"))</f>
        <v>N/A</v>
      </c>
      <c r="BN81" s="117"/>
      <c r="BO81" s="121" t="str">
        <f>IF(G81=0,0,IF('Suivi livrables'!BE81="ZSFR",IF(L81=0,I81-45,L81-4),"N/A"))</f>
        <v>N/A</v>
      </c>
      <c r="BP81" s="117"/>
      <c r="BQ81" s="121">
        <f t="shared" si="70"/>
        <v>42475</v>
      </c>
      <c r="BR81" s="121">
        <f t="shared" si="71"/>
        <v>42545</v>
      </c>
      <c r="BS81" s="117"/>
      <c r="BT81" s="121" t="str">
        <f>IF(G81=0,0,IF(AND('Suivi livrables'!P81=0,'Suivi livrables'!R81=0,'Suivi livrables'!T81=0,'Suivi livrables'!V81=0,'Suivi livrables'!X81=0,'Suivi livrables'!AD81=0),"N/A",#REF!-77))</f>
        <v>N/A</v>
      </c>
      <c r="BU81" s="121" t="str">
        <f>IF(G81=0,0,IF(AND('Suivi livrables'!P81=0,'Suivi livrables'!R81=0,'Suivi livrables'!T81=0,'Suivi livrables'!V81=0,'Suivi livrables'!X81=0,'Suivi livrables'!AD81=0),"N/A",#REF!-21))</f>
        <v>N/A</v>
      </c>
      <c r="BV81" s="117"/>
      <c r="BW81" s="97"/>
      <c r="BX81" s="102"/>
      <c r="BY81" s="117" t="str">
        <f t="shared" si="85"/>
        <v/>
      </c>
      <c r="BZ81" s="117" t="str">
        <f t="shared" si="86"/>
        <v/>
      </c>
      <c r="CA81" s="117" t="str">
        <f t="shared" si="87"/>
        <v/>
      </c>
      <c r="CB81" s="117" t="str">
        <f t="shared" si="88"/>
        <v/>
      </c>
      <c r="CC81" s="117" t="str">
        <f t="shared" si="89"/>
        <v/>
      </c>
      <c r="CD81" s="117" t="str">
        <f t="shared" si="90"/>
        <v/>
      </c>
      <c r="CE81" s="117" t="str">
        <f t="shared" si="91"/>
        <v/>
      </c>
      <c r="CF81" s="117" t="str">
        <f t="shared" si="92"/>
        <v/>
      </c>
      <c r="CG81" s="117" t="str">
        <f t="shared" si="93"/>
        <v/>
      </c>
      <c r="CH81" s="117" t="str">
        <f t="shared" si="94"/>
        <v/>
      </c>
      <c r="CI81" s="117" t="str">
        <f t="shared" si="95"/>
        <v/>
      </c>
      <c r="CJ81" s="117" t="str">
        <f t="shared" si="96"/>
        <v/>
      </c>
      <c r="CK81" s="117" t="str">
        <f t="shared" si="97"/>
        <v/>
      </c>
      <c r="CL81" s="117" t="str">
        <f t="shared" si="98"/>
        <v/>
      </c>
      <c r="CM81" s="117" t="str">
        <f t="shared" si="99"/>
        <v/>
      </c>
      <c r="CN81" s="117" t="str">
        <f t="shared" si="100"/>
        <v/>
      </c>
      <c r="CO81" s="121">
        <f t="shared" si="72"/>
        <v>42475</v>
      </c>
      <c r="CP81" s="117"/>
      <c r="CQ81" s="121">
        <f t="shared" si="73"/>
        <v>42475</v>
      </c>
      <c r="CR81" s="117"/>
      <c r="CS81" s="121">
        <f t="shared" si="74"/>
        <v>42517</v>
      </c>
      <c r="CT81" s="121">
        <f t="shared" si="75"/>
        <v>42531</v>
      </c>
      <c r="CU81" s="121">
        <f t="shared" si="76"/>
        <v>42503</v>
      </c>
      <c r="CV81" s="117"/>
      <c r="CW81" s="121">
        <f t="shared" si="77"/>
        <v>42517</v>
      </c>
      <c r="CX81" s="117"/>
      <c r="CY81" s="121">
        <f t="shared" si="78"/>
        <v>42524</v>
      </c>
      <c r="CZ81" s="117"/>
      <c r="DA81" s="121">
        <f t="shared" si="79"/>
        <v>42531</v>
      </c>
      <c r="DB81" s="121">
        <f t="shared" si="80"/>
        <v>42580</v>
      </c>
      <c r="DC81" s="121">
        <f t="shared" si="81"/>
        <v>42580</v>
      </c>
      <c r="DD81" s="117"/>
      <c r="DE81" s="125">
        <f t="shared" si="82"/>
        <v>42402</v>
      </c>
      <c r="DF81" s="124"/>
      <c r="DG81" s="125">
        <f t="shared" si="101"/>
        <v>42402</v>
      </c>
      <c r="DH81" s="124"/>
      <c r="DI81" s="125">
        <f t="shared" si="83"/>
        <v>42462</v>
      </c>
      <c r="DJ81" s="124"/>
      <c r="DK81" s="125">
        <f t="shared" si="84"/>
        <v>42447</v>
      </c>
      <c r="DL81" s="124"/>
      <c r="DM81" s="117"/>
      <c r="DN81" s="124"/>
      <c r="DO81" s="117"/>
    </row>
    <row r="82" spans="1:119" ht="15.75" thickBot="1">
      <c r="A82" s="13" t="s">
        <v>186</v>
      </c>
      <c r="B82" s="57">
        <f>jalons!B82</f>
        <v>0</v>
      </c>
      <c r="C82" s="57">
        <f>jalons!C82</f>
        <v>0</v>
      </c>
      <c r="D82" s="83" t="s">
        <v>252</v>
      </c>
      <c r="E82" s="9">
        <f>IF($A82="","",INDEX(jalons!$A$7:$K$125,MATCH('Suivi livrables'!$A82,jalons!$A$7:$A$125,0),4))</f>
        <v>42277</v>
      </c>
      <c r="F82" s="10">
        <f>IF($A82="","",INDEX(jalons!$A$7:$K$125,MATCH('Suivi livrables'!$A82,jalons!$A$7:$A$125,0),5))</f>
        <v>42430</v>
      </c>
      <c r="G82" s="10">
        <f>IF($A82="","",INDEX(jalons!$A$7:$K$125,MATCH('Suivi livrables'!$A82,jalons!$A$7:$A$125,0),6))</f>
        <v>42644</v>
      </c>
      <c r="H82" s="10">
        <f>IF($A82="","",INDEX(jalons!$A$7:$K$125,MATCH('Suivi livrables'!$A82,jalons!$A$7:$A$125,0),7))</f>
        <v>42806</v>
      </c>
      <c r="I82" s="10">
        <f>IF($A82="","",INDEX(jalons!$A$7:$K$125,MATCH('Suivi livrables'!$A82,jalons!$A$7:$A$125,0),8))</f>
        <v>42826</v>
      </c>
      <c r="J82" s="10">
        <f>IF($A82="","",INDEX(jalons!$A$7:$K$125,MATCH('Suivi livrables'!$A82,jalons!$A$7:$A$125,0),9))</f>
        <v>42948</v>
      </c>
      <c r="K82" s="10" t="str">
        <f>IF($A82="","",INDEX(jalons!$A$7:$K$125,MATCH('Suivi livrables'!$A82,jalons!$A$7:$A$125,0),10))</f>
        <v>manque date</v>
      </c>
      <c r="L82" s="10" t="str">
        <f>IF($A82="","",INDEX(jalons!$A$7:$K$125,MATCH('Suivi livrables'!$A82,jalons!$A$7:$A$125,0),11))</f>
        <v>manque date</v>
      </c>
      <c r="M82" s="14"/>
      <c r="N82" s="47"/>
      <c r="O82" s="47"/>
      <c r="P82" s="48"/>
      <c r="Q82" s="48"/>
      <c r="R82" s="48"/>
      <c r="S82" s="48"/>
      <c r="T82" s="48"/>
      <c r="U82" s="48"/>
      <c r="V82" s="48"/>
      <c r="W82" s="48"/>
      <c r="X82" s="48"/>
      <c r="Y82" s="48"/>
      <c r="Z82" s="48"/>
      <c r="AA82" s="48"/>
      <c r="AB82" s="93"/>
      <c r="AC82" s="48"/>
      <c r="AD82" s="127"/>
      <c r="AE82" s="132"/>
      <c r="AF82" s="48"/>
      <c r="AG82" s="48"/>
      <c r="AH82" s="48"/>
      <c r="AI82" s="48"/>
      <c r="AJ82" s="48"/>
      <c r="AK82" s="48"/>
      <c r="AL82" s="48"/>
      <c r="AM82" s="48"/>
      <c r="AN82" s="132"/>
      <c r="AO82" s="133"/>
      <c r="AP82" s="132"/>
      <c r="AQ82" s="132"/>
      <c r="AR82" s="133"/>
      <c r="AS82" s="132"/>
      <c r="AT82" s="132"/>
      <c r="AU82" s="139"/>
      <c r="AV82" s="139"/>
      <c r="AW82" s="132"/>
      <c r="AX82" s="139"/>
      <c r="AY82" s="139"/>
      <c r="AZ82" s="132"/>
      <c r="BA82" s="139"/>
      <c r="BB82" s="139"/>
      <c r="BC82" s="139"/>
      <c r="BD82" s="139"/>
      <c r="BE82" s="133"/>
      <c r="BF82" s="47"/>
      <c r="BG82" s="93"/>
      <c r="BH82" s="96">
        <f t="shared" si="67"/>
        <v>42567</v>
      </c>
      <c r="BI82" s="117"/>
      <c r="BJ82" s="119">
        <f t="shared" si="68"/>
        <v>42623</v>
      </c>
      <c r="BK82" s="117"/>
      <c r="BL82" s="121" t="str">
        <f t="shared" si="69"/>
        <v>N/A</v>
      </c>
      <c r="BM82" s="121" t="str">
        <f>IF(G82=0,0,IF('Suivi livrables'!BE82="ZSFR",IF(G82-F82&lt;90,F82+7,G82-90),"N/A"))</f>
        <v>N/A</v>
      </c>
      <c r="BN82" s="117"/>
      <c r="BO82" s="121" t="str">
        <f>IF(G82=0,0,IF('Suivi livrables'!BE82="ZSFR",IF(L82=0,I82-45,L82-4),"N/A"))</f>
        <v>N/A</v>
      </c>
      <c r="BP82" s="117"/>
      <c r="BQ82" s="121">
        <f t="shared" si="70"/>
        <v>42567</v>
      </c>
      <c r="BR82" s="121">
        <f t="shared" si="71"/>
        <v>42637</v>
      </c>
      <c r="BS82" s="117"/>
      <c r="BT82" s="121" t="str">
        <f>IF(G82=0,0,IF(AND('Suivi livrables'!P82=0,'Suivi livrables'!R82=0,'Suivi livrables'!T82=0,'Suivi livrables'!V82=0,'Suivi livrables'!X82=0,'Suivi livrables'!AD82=0),"N/A",#REF!-77))</f>
        <v>N/A</v>
      </c>
      <c r="BU82" s="121" t="str">
        <f>IF(G82=0,0,IF(AND('Suivi livrables'!P82=0,'Suivi livrables'!R82=0,'Suivi livrables'!T82=0,'Suivi livrables'!V82=0,'Suivi livrables'!X82=0,'Suivi livrables'!AD82=0),"N/A",#REF!-21))</f>
        <v>N/A</v>
      </c>
      <c r="BV82" s="117"/>
      <c r="BW82" s="97"/>
      <c r="BX82" s="102"/>
      <c r="BY82" s="117" t="str">
        <f t="shared" si="85"/>
        <v/>
      </c>
      <c r="BZ82" s="117" t="str">
        <f t="shared" si="86"/>
        <v/>
      </c>
      <c r="CA82" s="117" t="str">
        <f t="shared" si="87"/>
        <v/>
      </c>
      <c r="CB82" s="117" t="str">
        <f t="shared" si="88"/>
        <v/>
      </c>
      <c r="CC82" s="117" t="str">
        <f t="shared" si="89"/>
        <v/>
      </c>
      <c r="CD82" s="117" t="str">
        <f t="shared" si="90"/>
        <v/>
      </c>
      <c r="CE82" s="117" t="str">
        <f t="shared" si="91"/>
        <v/>
      </c>
      <c r="CF82" s="117" t="str">
        <f t="shared" si="92"/>
        <v/>
      </c>
      <c r="CG82" s="117" t="str">
        <f t="shared" si="93"/>
        <v/>
      </c>
      <c r="CH82" s="117" t="str">
        <f t="shared" si="94"/>
        <v/>
      </c>
      <c r="CI82" s="117" t="str">
        <f t="shared" si="95"/>
        <v/>
      </c>
      <c r="CJ82" s="117" t="str">
        <f t="shared" si="96"/>
        <v/>
      </c>
      <c r="CK82" s="117" t="str">
        <f t="shared" si="97"/>
        <v/>
      </c>
      <c r="CL82" s="117" t="str">
        <f t="shared" si="98"/>
        <v/>
      </c>
      <c r="CM82" s="117" t="str">
        <f t="shared" si="99"/>
        <v/>
      </c>
      <c r="CN82" s="117" t="str">
        <f t="shared" si="100"/>
        <v/>
      </c>
      <c r="CO82" s="121">
        <f t="shared" si="72"/>
        <v>42567</v>
      </c>
      <c r="CP82" s="117"/>
      <c r="CQ82" s="121">
        <f t="shared" si="73"/>
        <v>42567</v>
      </c>
      <c r="CR82" s="117"/>
      <c r="CS82" s="121">
        <f t="shared" si="74"/>
        <v>42609</v>
      </c>
      <c r="CT82" s="121">
        <f t="shared" si="75"/>
        <v>42623</v>
      </c>
      <c r="CU82" s="121">
        <f t="shared" si="76"/>
        <v>42595</v>
      </c>
      <c r="CV82" s="117"/>
      <c r="CW82" s="121">
        <f t="shared" si="77"/>
        <v>42609</v>
      </c>
      <c r="CX82" s="117"/>
      <c r="CY82" s="121">
        <f t="shared" si="78"/>
        <v>42616</v>
      </c>
      <c r="CZ82" s="117"/>
      <c r="DA82" s="121">
        <f t="shared" si="79"/>
        <v>42623</v>
      </c>
      <c r="DB82" s="121">
        <f t="shared" si="80"/>
        <v>42672</v>
      </c>
      <c r="DC82" s="121">
        <f t="shared" si="81"/>
        <v>42672</v>
      </c>
      <c r="DD82" s="117"/>
      <c r="DE82" s="125">
        <f t="shared" si="82"/>
        <v>42494</v>
      </c>
      <c r="DF82" s="124"/>
      <c r="DG82" s="125">
        <f t="shared" si="101"/>
        <v>42494</v>
      </c>
      <c r="DH82" s="124"/>
      <c r="DI82" s="125">
        <f t="shared" si="83"/>
        <v>42554</v>
      </c>
      <c r="DJ82" s="124"/>
      <c r="DK82" s="125">
        <f t="shared" si="84"/>
        <v>42539</v>
      </c>
      <c r="DL82" s="124"/>
      <c r="DM82" s="117"/>
      <c r="DN82" s="124"/>
      <c r="DO82" s="117"/>
    </row>
    <row r="83" spans="1:119" ht="15.75" thickBot="1">
      <c r="A83" s="25" t="s">
        <v>52</v>
      </c>
      <c r="B83" s="57">
        <f>jalons!B83</f>
        <v>0</v>
      </c>
      <c r="C83" s="57">
        <f>jalons!C83</f>
        <v>0</v>
      </c>
      <c r="D83" s="82" t="s">
        <v>252</v>
      </c>
      <c r="E83" s="9" t="str">
        <f>IF($A83="","",INDEX(jalons!$A$7:$K$125,MATCH('Suivi livrables'!$A83,jalons!$A$7:$A$125,0),4))</f>
        <v>manque date</v>
      </c>
      <c r="F83" s="10" t="str">
        <f>IF($A83="","",INDEX(jalons!$A$7:$K$125,MATCH('Suivi livrables'!$A83,jalons!$A$7:$A$125,0),5))</f>
        <v>manque date</v>
      </c>
      <c r="G83" s="10" t="str">
        <f>IF($A83="","",INDEX(jalons!$A$7:$K$125,MATCH('Suivi livrables'!$A83,jalons!$A$7:$A$125,0),6))</f>
        <v>manque date</v>
      </c>
      <c r="H83" s="10" t="str">
        <f>IF($A83="","",INDEX(jalons!$A$7:$K$125,MATCH('Suivi livrables'!$A83,jalons!$A$7:$A$125,0),7))</f>
        <v>manque date</v>
      </c>
      <c r="I83" s="10" t="str">
        <f>IF($A83="","",INDEX(jalons!$A$7:$K$125,MATCH('Suivi livrables'!$A83,jalons!$A$7:$A$125,0),8))</f>
        <v>manque date</v>
      </c>
      <c r="J83" s="10" t="str">
        <f>IF($A83="","",INDEX(jalons!$A$7:$K$125,MATCH('Suivi livrables'!$A83,jalons!$A$7:$A$125,0),9))</f>
        <v>manque date</v>
      </c>
      <c r="K83" s="10" t="str">
        <f>IF($A83="","",INDEX(jalons!$A$7:$K$125,MATCH('Suivi livrables'!$A83,jalons!$A$7:$A$125,0),10))</f>
        <v>manque date</v>
      </c>
      <c r="L83" s="10" t="str">
        <f>IF($A83="","",INDEX(jalons!$A$7:$K$125,MATCH('Suivi livrables'!$A83,jalons!$A$7:$A$125,0),11))</f>
        <v>manque date</v>
      </c>
      <c r="M83" s="14"/>
      <c r="N83" s="47"/>
      <c r="O83" s="47"/>
      <c r="P83" s="48"/>
      <c r="Q83" s="48"/>
      <c r="R83" s="48"/>
      <c r="S83" s="48"/>
      <c r="T83" s="48"/>
      <c r="U83" s="48"/>
      <c r="V83" s="48"/>
      <c r="W83" s="48"/>
      <c r="X83" s="48"/>
      <c r="Y83" s="48"/>
      <c r="Z83" s="48"/>
      <c r="AA83" s="48"/>
      <c r="AB83" s="93"/>
      <c r="AC83" s="48"/>
      <c r="AD83" s="127"/>
      <c r="AE83" s="132"/>
      <c r="AF83" s="48"/>
      <c r="AG83" s="48"/>
      <c r="AH83" s="48"/>
      <c r="AI83" s="48"/>
      <c r="AJ83" s="48"/>
      <c r="AK83" s="48"/>
      <c r="AL83" s="48"/>
      <c r="AM83" s="48"/>
      <c r="AN83" s="132"/>
      <c r="AO83" s="133"/>
      <c r="AP83" s="132"/>
      <c r="AQ83" s="132"/>
      <c r="AR83" s="133"/>
      <c r="AS83" s="132"/>
      <c r="AT83" s="132"/>
      <c r="AU83" s="139"/>
      <c r="AV83" s="139"/>
      <c r="AW83" s="132"/>
      <c r="AX83" s="139"/>
      <c r="AY83" s="139"/>
      <c r="AZ83" s="132"/>
      <c r="BA83" s="139"/>
      <c r="BB83" s="139"/>
      <c r="BC83" s="139"/>
      <c r="BD83" s="139"/>
      <c r="BE83" s="133"/>
      <c r="BF83" s="47"/>
      <c r="BG83" s="93"/>
      <c r="BH83" s="96" t="e">
        <f t="shared" si="67"/>
        <v>#VALUE!</v>
      </c>
      <c r="BI83" s="117"/>
      <c r="BJ83" s="119" t="e">
        <f t="shared" si="68"/>
        <v>#VALUE!</v>
      </c>
      <c r="BK83" s="117"/>
      <c r="BL83" s="121" t="str">
        <f t="shared" si="69"/>
        <v>N/A</v>
      </c>
      <c r="BM83" s="121" t="str">
        <f>IF(G83=0,0,IF('Suivi livrables'!BE83="ZSFR",IF(G83-F83&lt;90,F83+7,G83-90),"N/A"))</f>
        <v>N/A</v>
      </c>
      <c r="BN83" s="117"/>
      <c r="BO83" s="121" t="str">
        <f>IF(G83=0,0,IF('Suivi livrables'!BE83="ZSFR",IF(L83=0,I83-45,L83-4),"N/A"))</f>
        <v>N/A</v>
      </c>
      <c r="BP83" s="117"/>
      <c r="BQ83" s="121" t="e">
        <f t="shared" si="70"/>
        <v>#VALUE!</v>
      </c>
      <c r="BR83" s="121" t="e">
        <f t="shared" si="71"/>
        <v>#VALUE!</v>
      </c>
      <c r="BS83" s="117"/>
      <c r="BT83" s="121" t="str">
        <f>IF(G83=0,0,IF(AND('Suivi livrables'!P83=0,'Suivi livrables'!R83=0,'Suivi livrables'!T83=0,'Suivi livrables'!V83=0,'Suivi livrables'!X83=0,'Suivi livrables'!AD83=0),"N/A",#REF!-77))</f>
        <v>N/A</v>
      </c>
      <c r="BU83" s="121" t="str">
        <f>IF(G83=0,0,IF(AND('Suivi livrables'!P83=0,'Suivi livrables'!R83=0,'Suivi livrables'!T83=0,'Suivi livrables'!V83=0,'Suivi livrables'!X83=0,'Suivi livrables'!AD83=0),"N/A",#REF!-21))</f>
        <v>N/A</v>
      </c>
      <c r="BV83" s="117"/>
      <c r="BW83" s="97"/>
      <c r="BX83" s="102"/>
      <c r="BY83" s="117" t="str">
        <f t="shared" si="85"/>
        <v/>
      </c>
      <c r="BZ83" s="117" t="str">
        <f t="shared" si="86"/>
        <v/>
      </c>
      <c r="CA83" s="117" t="str">
        <f t="shared" si="87"/>
        <v/>
      </c>
      <c r="CB83" s="117" t="str">
        <f t="shared" si="88"/>
        <v/>
      </c>
      <c r="CC83" s="117" t="str">
        <f t="shared" si="89"/>
        <v/>
      </c>
      <c r="CD83" s="117" t="str">
        <f t="shared" si="90"/>
        <v/>
      </c>
      <c r="CE83" s="117" t="str">
        <f t="shared" si="91"/>
        <v/>
      </c>
      <c r="CF83" s="117" t="str">
        <f t="shared" si="92"/>
        <v/>
      </c>
      <c r="CG83" s="117" t="str">
        <f t="shared" si="93"/>
        <v/>
      </c>
      <c r="CH83" s="117" t="str">
        <f t="shared" si="94"/>
        <v/>
      </c>
      <c r="CI83" s="117" t="str">
        <f t="shared" si="95"/>
        <v/>
      </c>
      <c r="CJ83" s="117" t="str">
        <f t="shared" si="96"/>
        <v/>
      </c>
      <c r="CK83" s="117" t="str">
        <f t="shared" si="97"/>
        <v/>
      </c>
      <c r="CL83" s="117" t="str">
        <f t="shared" si="98"/>
        <v/>
      </c>
      <c r="CM83" s="117" t="str">
        <f t="shared" si="99"/>
        <v/>
      </c>
      <c r="CN83" s="117" t="str">
        <f t="shared" si="100"/>
        <v/>
      </c>
      <c r="CO83" s="121" t="e">
        <f t="shared" si="72"/>
        <v>#VALUE!</v>
      </c>
      <c r="CP83" s="117"/>
      <c r="CQ83" s="121" t="e">
        <f t="shared" si="73"/>
        <v>#VALUE!</v>
      </c>
      <c r="CR83" s="117"/>
      <c r="CS83" s="121" t="e">
        <f t="shared" si="74"/>
        <v>#VALUE!</v>
      </c>
      <c r="CT83" s="121" t="e">
        <f t="shared" si="75"/>
        <v>#VALUE!</v>
      </c>
      <c r="CU83" s="121" t="e">
        <f t="shared" si="76"/>
        <v>#VALUE!</v>
      </c>
      <c r="CV83" s="117"/>
      <c r="CW83" s="121" t="e">
        <f t="shared" si="77"/>
        <v>#VALUE!</v>
      </c>
      <c r="CX83" s="117"/>
      <c r="CY83" s="121" t="e">
        <f t="shared" si="78"/>
        <v>#VALUE!</v>
      </c>
      <c r="CZ83" s="117"/>
      <c r="DA83" s="121" t="e">
        <f t="shared" si="79"/>
        <v>#VALUE!</v>
      </c>
      <c r="DB83" s="121" t="e">
        <f t="shared" si="80"/>
        <v>#VALUE!</v>
      </c>
      <c r="DC83" s="121" t="e">
        <f t="shared" si="81"/>
        <v>#VALUE!</v>
      </c>
      <c r="DD83" s="117"/>
      <c r="DE83" s="125" t="e">
        <f t="shared" si="82"/>
        <v>#VALUE!</v>
      </c>
      <c r="DF83" s="124"/>
      <c r="DG83" s="125" t="e">
        <f t="shared" si="101"/>
        <v>#VALUE!</v>
      </c>
      <c r="DH83" s="124"/>
      <c r="DI83" s="125" t="e">
        <f t="shared" si="83"/>
        <v>#VALUE!</v>
      </c>
      <c r="DJ83" s="124"/>
      <c r="DK83" s="125" t="e">
        <f t="shared" si="84"/>
        <v>#VALUE!</v>
      </c>
      <c r="DL83" s="124"/>
      <c r="DM83" s="117"/>
      <c r="DN83" s="124"/>
      <c r="DO83" s="117"/>
    </row>
    <row r="84" spans="1:119" ht="15.75" thickBot="1">
      <c r="A84" s="13" t="s">
        <v>226</v>
      </c>
      <c r="B84" s="57">
        <f>jalons!B84</f>
        <v>0</v>
      </c>
      <c r="C84" s="57">
        <f>jalons!C84</f>
        <v>0</v>
      </c>
      <c r="D84" s="83"/>
      <c r="E84" s="9" t="str">
        <f>IF($A84="","",INDEX(jalons!$A$7:$K$125,MATCH('Suivi livrables'!$A84,jalons!$A$7:$A$125,0),4))</f>
        <v>manque date</v>
      </c>
      <c r="F84" s="10" t="str">
        <f>IF($A84="","",INDEX(jalons!$A$7:$K$125,MATCH('Suivi livrables'!$A84,jalons!$A$7:$A$125,0),5))</f>
        <v>manque date</v>
      </c>
      <c r="G84" s="10" t="str">
        <f>IF($A84="","",INDEX(jalons!$A$7:$K$125,MATCH('Suivi livrables'!$A84,jalons!$A$7:$A$125,0),6))</f>
        <v>manque date</v>
      </c>
      <c r="H84" s="10" t="str">
        <f>IF($A84="","",INDEX(jalons!$A$7:$K$125,MATCH('Suivi livrables'!$A84,jalons!$A$7:$A$125,0),7))</f>
        <v>manque date</v>
      </c>
      <c r="I84" s="10" t="str">
        <f>IF($A84="","",INDEX(jalons!$A$7:$K$125,MATCH('Suivi livrables'!$A84,jalons!$A$7:$A$125,0),8))</f>
        <v>manque date</v>
      </c>
      <c r="J84" s="10" t="str">
        <f>IF($A84="","",INDEX(jalons!$A$7:$K$125,MATCH('Suivi livrables'!$A84,jalons!$A$7:$A$125,0),9))</f>
        <v>manque date</v>
      </c>
      <c r="K84" s="10" t="str">
        <f>IF($A84="","",INDEX(jalons!$A$7:$K$125,MATCH('Suivi livrables'!$A84,jalons!$A$7:$A$125,0),10))</f>
        <v>manque date</v>
      </c>
      <c r="L84" s="10" t="str">
        <f>IF($A84="","",INDEX(jalons!$A$7:$K$125,MATCH('Suivi livrables'!$A84,jalons!$A$7:$A$125,0),11))</f>
        <v>manque date</v>
      </c>
      <c r="M84" s="14"/>
      <c r="N84" s="47"/>
      <c r="O84" s="49"/>
      <c r="P84" s="50"/>
      <c r="Q84" s="50"/>
      <c r="R84" s="50"/>
      <c r="S84" s="50"/>
      <c r="T84" s="50"/>
      <c r="U84" s="50"/>
      <c r="V84" s="50"/>
      <c r="W84" s="50"/>
      <c r="X84" s="50"/>
      <c r="Y84" s="48"/>
      <c r="Z84" s="48"/>
      <c r="AA84" s="50"/>
      <c r="AB84" s="94"/>
      <c r="AC84" s="48"/>
      <c r="AD84" s="128"/>
      <c r="AE84" s="132"/>
      <c r="AF84" s="50"/>
      <c r="AG84" s="48"/>
      <c r="AH84" s="50"/>
      <c r="AI84" s="48"/>
      <c r="AJ84" s="50"/>
      <c r="AK84" s="48"/>
      <c r="AL84" s="50"/>
      <c r="AM84" s="48"/>
      <c r="AN84" s="140"/>
      <c r="AO84" s="133"/>
      <c r="AP84" s="140"/>
      <c r="AQ84" s="132"/>
      <c r="AR84" s="133"/>
      <c r="AS84" s="140"/>
      <c r="AT84" s="132"/>
      <c r="AU84" s="149"/>
      <c r="AV84" s="149"/>
      <c r="AW84" s="132"/>
      <c r="AX84" s="149"/>
      <c r="AY84" s="149"/>
      <c r="AZ84" s="132"/>
      <c r="BA84" s="149"/>
      <c r="BB84" s="149"/>
      <c r="BC84" s="149"/>
      <c r="BD84" s="149"/>
      <c r="BE84" s="133"/>
      <c r="BF84" s="49"/>
      <c r="BG84" s="94"/>
      <c r="BH84" s="96" t="e">
        <f t="shared" si="67"/>
        <v>#VALUE!</v>
      </c>
      <c r="BI84" s="117"/>
      <c r="BJ84" s="119" t="e">
        <f t="shared" si="68"/>
        <v>#VALUE!</v>
      </c>
      <c r="BK84" s="117"/>
      <c r="BL84" s="121" t="str">
        <f t="shared" si="69"/>
        <v>N/A</v>
      </c>
      <c r="BM84" s="121" t="str">
        <f>IF(G84=0,0,IF('Suivi livrables'!BE84="ZSFR",IF(G84-F84&lt;90,F84+7,G84-90),"N/A"))</f>
        <v>N/A</v>
      </c>
      <c r="BN84" s="117"/>
      <c r="BO84" s="121" t="str">
        <f>IF(G84=0,0,IF('Suivi livrables'!BE84="ZSFR",IF(L84=0,I84-45,L84-4),"N/A"))</f>
        <v>N/A</v>
      </c>
      <c r="BP84" s="117"/>
      <c r="BQ84" s="121" t="e">
        <f t="shared" si="70"/>
        <v>#VALUE!</v>
      </c>
      <c r="BR84" s="121" t="e">
        <f t="shared" si="71"/>
        <v>#VALUE!</v>
      </c>
      <c r="BS84" s="117"/>
      <c r="BT84" s="121" t="str">
        <f>IF(G84=0,0,IF(AND('Suivi livrables'!P84=0,'Suivi livrables'!R84=0,'Suivi livrables'!T84=0,'Suivi livrables'!V84=0,'Suivi livrables'!X84=0,'Suivi livrables'!AD84=0),"N/A",#REF!-77))</f>
        <v>N/A</v>
      </c>
      <c r="BU84" s="121" t="str">
        <f>IF(G84=0,0,IF(AND('Suivi livrables'!P84=0,'Suivi livrables'!R84=0,'Suivi livrables'!T84=0,'Suivi livrables'!V84=0,'Suivi livrables'!X84=0,'Suivi livrables'!AD84=0),"N/A",#REF!-21))</f>
        <v>N/A</v>
      </c>
      <c r="BV84" s="117"/>
      <c r="BW84" s="97"/>
      <c r="BX84" s="102"/>
      <c r="BY84" s="117" t="str">
        <f t="shared" si="85"/>
        <v/>
      </c>
      <c r="BZ84" s="117" t="str">
        <f t="shared" si="86"/>
        <v/>
      </c>
      <c r="CA84" s="117" t="str">
        <f t="shared" si="87"/>
        <v/>
      </c>
      <c r="CB84" s="117" t="str">
        <f t="shared" si="88"/>
        <v/>
      </c>
      <c r="CC84" s="117" t="str">
        <f t="shared" si="89"/>
        <v/>
      </c>
      <c r="CD84" s="117" t="str">
        <f t="shared" si="90"/>
        <v/>
      </c>
      <c r="CE84" s="117" t="str">
        <f t="shared" si="91"/>
        <v/>
      </c>
      <c r="CF84" s="117" t="str">
        <f t="shared" si="92"/>
        <v/>
      </c>
      <c r="CG84" s="117" t="str">
        <f t="shared" si="93"/>
        <v/>
      </c>
      <c r="CH84" s="117" t="str">
        <f t="shared" si="94"/>
        <v/>
      </c>
      <c r="CI84" s="117" t="str">
        <f t="shared" si="95"/>
        <v/>
      </c>
      <c r="CJ84" s="117" t="str">
        <f t="shared" si="96"/>
        <v/>
      </c>
      <c r="CK84" s="117" t="str">
        <f t="shared" si="97"/>
        <v/>
      </c>
      <c r="CL84" s="117" t="str">
        <f t="shared" si="98"/>
        <v/>
      </c>
      <c r="CM84" s="117" t="str">
        <f t="shared" si="99"/>
        <v/>
      </c>
      <c r="CN84" s="117" t="str">
        <f t="shared" si="100"/>
        <v/>
      </c>
      <c r="CO84" s="121" t="e">
        <f t="shared" si="72"/>
        <v>#VALUE!</v>
      </c>
      <c r="CP84" s="117"/>
      <c r="CQ84" s="121" t="e">
        <f t="shared" si="73"/>
        <v>#VALUE!</v>
      </c>
      <c r="CR84" s="117"/>
      <c r="CS84" s="121" t="e">
        <f t="shared" si="74"/>
        <v>#VALUE!</v>
      </c>
      <c r="CT84" s="121" t="e">
        <f t="shared" si="75"/>
        <v>#VALUE!</v>
      </c>
      <c r="CU84" s="121" t="e">
        <f t="shared" si="76"/>
        <v>#VALUE!</v>
      </c>
      <c r="CV84" s="117"/>
      <c r="CW84" s="121" t="e">
        <f t="shared" si="77"/>
        <v>#VALUE!</v>
      </c>
      <c r="CX84" s="117"/>
      <c r="CY84" s="121" t="e">
        <f t="shared" si="78"/>
        <v>#VALUE!</v>
      </c>
      <c r="CZ84" s="117"/>
      <c r="DA84" s="121" t="e">
        <f t="shared" si="79"/>
        <v>#VALUE!</v>
      </c>
      <c r="DB84" s="121" t="e">
        <f t="shared" si="80"/>
        <v>#VALUE!</v>
      </c>
      <c r="DC84" s="121" t="e">
        <f t="shared" si="81"/>
        <v>#VALUE!</v>
      </c>
      <c r="DD84" s="117"/>
      <c r="DE84" s="125" t="e">
        <f t="shared" si="82"/>
        <v>#VALUE!</v>
      </c>
      <c r="DF84" s="124"/>
      <c r="DG84" s="125" t="e">
        <f t="shared" si="101"/>
        <v>#VALUE!</v>
      </c>
      <c r="DH84" s="124"/>
      <c r="DI84" s="125" t="e">
        <f t="shared" si="83"/>
        <v>#VALUE!</v>
      </c>
      <c r="DJ84" s="124"/>
      <c r="DK84" s="125" t="e">
        <f t="shared" si="84"/>
        <v>#VALUE!</v>
      </c>
      <c r="DL84" s="124"/>
      <c r="DM84" s="117"/>
      <c r="DN84" s="124"/>
      <c r="DO84" s="117"/>
    </row>
    <row r="85" spans="1:119" ht="15.75" thickBot="1">
      <c r="A85" s="13" t="s">
        <v>227</v>
      </c>
      <c r="B85" s="57">
        <f>jalons!B85</f>
        <v>0</v>
      </c>
      <c r="C85" s="57">
        <f>jalons!C85</f>
        <v>0</v>
      </c>
      <c r="D85" s="83"/>
      <c r="E85" s="9" t="str">
        <f>IF($A85="","",INDEX(jalons!$A$7:$K$125,MATCH('Suivi livrables'!$A85,jalons!$A$7:$A$125,0),4))</f>
        <v>manque date</v>
      </c>
      <c r="F85" s="10" t="str">
        <f>IF($A85="","",INDEX(jalons!$A$7:$K$125,MATCH('Suivi livrables'!$A85,jalons!$A$7:$A$125,0),5))</f>
        <v>manque date</v>
      </c>
      <c r="G85" s="10" t="str">
        <f>IF($A85="","",INDEX(jalons!$A$7:$K$125,MATCH('Suivi livrables'!$A85,jalons!$A$7:$A$125,0),6))</f>
        <v>manque date</v>
      </c>
      <c r="H85" s="10" t="str">
        <f>IF($A85="","",INDEX(jalons!$A$7:$K$125,MATCH('Suivi livrables'!$A85,jalons!$A$7:$A$125,0),7))</f>
        <v>manque date</v>
      </c>
      <c r="I85" s="10" t="str">
        <f>IF($A85="","",INDEX(jalons!$A$7:$K$125,MATCH('Suivi livrables'!$A85,jalons!$A$7:$A$125,0),8))</f>
        <v>manque date</v>
      </c>
      <c r="J85" s="10" t="str">
        <f>IF($A85="","",INDEX(jalons!$A$7:$K$125,MATCH('Suivi livrables'!$A85,jalons!$A$7:$A$125,0),9))</f>
        <v>manque date</v>
      </c>
      <c r="K85" s="10" t="str">
        <f>IF($A85="","",INDEX(jalons!$A$7:$K$125,MATCH('Suivi livrables'!$A85,jalons!$A$7:$A$125,0),10))</f>
        <v>manque date</v>
      </c>
      <c r="L85" s="10" t="str">
        <f>IF($A85="","",INDEX(jalons!$A$7:$K$125,MATCH('Suivi livrables'!$A85,jalons!$A$7:$A$125,0),11))</f>
        <v>manque date</v>
      </c>
      <c r="M85" s="14"/>
      <c r="N85" s="47"/>
      <c r="O85" s="49"/>
      <c r="P85" s="50"/>
      <c r="Q85" s="50"/>
      <c r="R85" s="50"/>
      <c r="S85" s="50"/>
      <c r="T85" s="50"/>
      <c r="U85" s="50"/>
      <c r="V85" s="50"/>
      <c r="W85" s="50"/>
      <c r="X85" s="50"/>
      <c r="Y85" s="48"/>
      <c r="Z85" s="48"/>
      <c r="AA85" s="50"/>
      <c r="AB85" s="94"/>
      <c r="AC85" s="48"/>
      <c r="AD85" s="128"/>
      <c r="AE85" s="132"/>
      <c r="AF85" s="50"/>
      <c r="AG85" s="48"/>
      <c r="AH85" s="50"/>
      <c r="AI85" s="48"/>
      <c r="AJ85" s="50"/>
      <c r="AK85" s="48"/>
      <c r="AL85" s="50"/>
      <c r="AM85" s="48"/>
      <c r="AN85" s="140"/>
      <c r="AO85" s="133"/>
      <c r="AP85" s="140"/>
      <c r="AQ85" s="132"/>
      <c r="AR85" s="133"/>
      <c r="AS85" s="140"/>
      <c r="AT85" s="132"/>
      <c r="AU85" s="149"/>
      <c r="AV85" s="149"/>
      <c r="AW85" s="132"/>
      <c r="AX85" s="149"/>
      <c r="AY85" s="149"/>
      <c r="AZ85" s="132"/>
      <c r="BA85" s="149"/>
      <c r="BB85" s="149"/>
      <c r="BC85" s="149"/>
      <c r="BD85" s="149"/>
      <c r="BE85" s="133"/>
      <c r="BF85" s="49"/>
      <c r="BG85" s="94"/>
      <c r="BH85" s="96" t="e">
        <f t="shared" si="67"/>
        <v>#VALUE!</v>
      </c>
      <c r="BI85" s="117"/>
      <c r="BJ85" s="119" t="e">
        <f t="shared" si="68"/>
        <v>#VALUE!</v>
      </c>
      <c r="BK85" s="117"/>
      <c r="BL85" s="121" t="str">
        <f t="shared" si="69"/>
        <v>N/A</v>
      </c>
      <c r="BM85" s="121" t="str">
        <f>IF(G85=0,0,IF('Suivi livrables'!BE85="ZSFR",IF(G85-F85&lt;90,F85+7,G85-90),"N/A"))</f>
        <v>N/A</v>
      </c>
      <c r="BN85" s="117"/>
      <c r="BO85" s="121" t="str">
        <f>IF(G85=0,0,IF('Suivi livrables'!BE85="ZSFR",IF(L85=0,I85-45,L85-4),"N/A"))</f>
        <v>N/A</v>
      </c>
      <c r="BP85" s="117"/>
      <c r="BQ85" s="121" t="e">
        <f t="shared" si="70"/>
        <v>#VALUE!</v>
      </c>
      <c r="BR85" s="121" t="e">
        <f t="shared" si="71"/>
        <v>#VALUE!</v>
      </c>
      <c r="BS85" s="117"/>
      <c r="BT85" s="121" t="str">
        <f>IF(G85=0,0,IF(AND('Suivi livrables'!P85=0,'Suivi livrables'!R85=0,'Suivi livrables'!T85=0,'Suivi livrables'!V85=0,'Suivi livrables'!X85=0,'Suivi livrables'!AD85=0),"N/A",#REF!-77))</f>
        <v>N/A</v>
      </c>
      <c r="BU85" s="121" t="str">
        <f>IF(G85=0,0,IF(AND('Suivi livrables'!P85=0,'Suivi livrables'!R85=0,'Suivi livrables'!T85=0,'Suivi livrables'!V85=0,'Suivi livrables'!X85=0,'Suivi livrables'!AD85=0),"N/A",#REF!-21))</f>
        <v>N/A</v>
      </c>
      <c r="BV85" s="117"/>
      <c r="BW85" s="97"/>
      <c r="BX85" s="102"/>
      <c r="BY85" s="117" t="str">
        <f t="shared" si="85"/>
        <v/>
      </c>
      <c r="BZ85" s="117" t="str">
        <f t="shared" si="86"/>
        <v/>
      </c>
      <c r="CA85" s="117" t="str">
        <f t="shared" si="87"/>
        <v/>
      </c>
      <c r="CB85" s="117" t="str">
        <f t="shared" si="88"/>
        <v/>
      </c>
      <c r="CC85" s="117" t="str">
        <f t="shared" si="89"/>
        <v/>
      </c>
      <c r="CD85" s="117" t="str">
        <f t="shared" si="90"/>
        <v/>
      </c>
      <c r="CE85" s="117" t="str">
        <f t="shared" si="91"/>
        <v/>
      </c>
      <c r="CF85" s="117" t="str">
        <f t="shared" si="92"/>
        <v/>
      </c>
      <c r="CG85" s="117" t="str">
        <f t="shared" si="93"/>
        <v/>
      </c>
      <c r="CH85" s="117" t="str">
        <f t="shared" si="94"/>
        <v/>
      </c>
      <c r="CI85" s="117" t="str">
        <f t="shared" si="95"/>
        <v/>
      </c>
      <c r="CJ85" s="117" t="str">
        <f t="shared" si="96"/>
        <v/>
      </c>
      <c r="CK85" s="117" t="str">
        <f t="shared" si="97"/>
        <v/>
      </c>
      <c r="CL85" s="117" t="str">
        <f t="shared" si="98"/>
        <v/>
      </c>
      <c r="CM85" s="117" t="str">
        <f t="shared" si="99"/>
        <v/>
      </c>
      <c r="CN85" s="117" t="str">
        <f t="shared" si="100"/>
        <v/>
      </c>
      <c r="CO85" s="121" t="e">
        <f t="shared" si="72"/>
        <v>#VALUE!</v>
      </c>
      <c r="CP85" s="117"/>
      <c r="CQ85" s="121" t="e">
        <f t="shared" si="73"/>
        <v>#VALUE!</v>
      </c>
      <c r="CR85" s="117"/>
      <c r="CS85" s="121" t="e">
        <f t="shared" si="74"/>
        <v>#VALUE!</v>
      </c>
      <c r="CT85" s="121" t="e">
        <f t="shared" si="75"/>
        <v>#VALUE!</v>
      </c>
      <c r="CU85" s="121" t="e">
        <f t="shared" si="76"/>
        <v>#VALUE!</v>
      </c>
      <c r="CV85" s="117"/>
      <c r="CW85" s="121" t="e">
        <f t="shared" si="77"/>
        <v>#VALUE!</v>
      </c>
      <c r="CX85" s="117"/>
      <c r="CY85" s="121" t="e">
        <f t="shared" si="78"/>
        <v>#VALUE!</v>
      </c>
      <c r="CZ85" s="117"/>
      <c r="DA85" s="121" t="e">
        <f t="shared" si="79"/>
        <v>#VALUE!</v>
      </c>
      <c r="DB85" s="121" t="e">
        <f t="shared" si="80"/>
        <v>#VALUE!</v>
      </c>
      <c r="DC85" s="121" t="e">
        <f t="shared" si="81"/>
        <v>#VALUE!</v>
      </c>
      <c r="DD85" s="117"/>
      <c r="DE85" s="125" t="e">
        <f t="shared" si="82"/>
        <v>#VALUE!</v>
      </c>
      <c r="DF85" s="124"/>
      <c r="DG85" s="125" t="e">
        <f t="shared" si="101"/>
        <v>#VALUE!</v>
      </c>
      <c r="DH85" s="124"/>
      <c r="DI85" s="125" t="e">
        <f t="shared" si="83"/>
        <v>#VALUE!</v>
      </c>
      <c r="DJ85" s="124"/>
      <c r="DK85" s="125" t="e">
        <f t="shared" si="84"/>
        <v>#VALUE!</v>
      </c>
      <c r="DL85" s="124"/>
      <c r="DM85" s="117"/>
      <c r="DN85" s="124"/>
      <c r="DO85" s="117"/>
    </row>
    <row r="86" spans="1:119" ht="15.75" thickBot="1">
      <c r="A86" s="13" t="s">
        <v>228</v>
      </c>
      <c r="B86" s="57">
        <f>jalons!B86</f>
        <v>0</v>
      </c>
      <c r="C86" s="57">
        <f>jalons!C86</f>
        <v>0</v>
      </c>
      <c r="D86" s="83"/>
      <c r="E86" s="9" t="str">
        <f>IF($A86="","",INDEX(jalons!$A$7:$K$125,MATCH('Suivi livrables'!$A86,jalons!$A$7:$A$125,0),4))</f>
        <v>manque date</v>
      </c>
      <c r="F86" s="10" t="str">
        <f>IF($A86="","",INDEX(jalons!$A$7:$K$125,MATCH('Suivi livrables'!$A86,jalons!$A$7:$A$125,0),5))</f>
        <v>manque date</v>
      </c>
      <c r="G86" s="10" t="str">
        <f>IF($A86="","",INDEX(jalons!$A$7:$K$125,MATCH('Suivi livrables'!$A86,jalons!$A$7:$A$125,0),6))</f>
        <v>manque date</v>
      </c>
      <c r="H86" s="10" t="str">
        <f>IF($A86="","",INDEX(jalons!$A$7:$K$125,MATCH('Suivi livrables'!$A86,jalons!$A$7:$A$125,0),7))</f>
        <v>manque date</v>
      </c>
      <c r="I86" s="10" t="str">
        <f>IF($A86="","",INDEX(jalons!$A$7:$K$125,MATCH('Suivi livrables'!$A86,jalons!$A$7:$A$125,0),8))</f>
        <v>manque date</v>
      </c>
      <c r="J86" s="10" t="str">
        <f>IF($A86="","",INDEX(jalons!$A$7:$K$125,MATCH('Suivi livrables'!$A86,jalons!$A$7:$A$125,0),9))</f>
        <v>manque date</v>
      </c>
      <c r="K86" s="10" t="str">
        <f>IF($A86="","",INDEX(jalons!$A$7:$K$125,MATCH('Suivi livrables'!$A86,jalons!$A$7:$A$125,0),10))</f>
        <v>manque date</v>
      </c>
      <c r="L86" s="10" t="str">
        <f>IF($A86="","",INDEX(jalons!$A$7:$K$125,MATCH('Suivi livrables'!$A86,jalons!$A$7:$A$125,0),11))</f>
        <v>manque date</v>
      </c>
      <c r="M86" s="14"/>
      <c r="N86" s="47"/>
      <c r="O86" s="49"/>
      <c r="P86" s="50"/>
      <c r="Q86" s="50"/>
      <c r="R86" s="50"/>
      <c r="S86" s="50"/>
      <c r="T86" s="50"/>
      <c r="U86" s="50"/>
      <c r="V86" s="50"/>
      <c r="W86" s="50"/>
      <c r="X86" s="50"/>
      <c r="Y86" s="48"/>
      <c r="Z86" s="48"/>
      <c r="AA86" s="50"/>
      <c r="AB86" s="94"/>
      <c r="AC86" s="48"/>
      <c r="AD86" s="128"/>
      <c r="AE86" s="132"/>
      <c r="AF86" s="50"/>
      <c r="AG86" s="48"/>
      <c r="AH86" s="50"/>
      <c r="AI86" s="48"/>
      <c r="AJ86" s="50"/>
      <c r="AK86" s="48"/>
      <c r="AL86" s="50"/>
      <c r="AM86" s="48"/>
      <c r="AN86" s="140"/>
      <c r="AO86" s="133"/>
      <c r="AP86" s="140"/>
      <c r="AQ86" s="132"/>
      <c r="AR86" s="133"/>
      <c r="AS86" s="140"/>
      <c r="AT86" s="132"/>
      <c r="AU86" s="149"/>
      <c r="AV86" s="149"/>
      <c r="AW86" s="132"/>
      <c r="AX86" s="149"/>
      <c r="AY86" s="149"/>
      <c r="AZ86" s="132"/>
      <c r="BA86" s="149"/>
      <c r="BB86" s="149"/>
      <c r="BC86" s="149"/>
      <c r="BD86" s="149"/>
      <c r="BE86" s="133"/>
      <c r="BF86" s="49"/>
      <c r="BG86" s="94"/>
      <c r="BH86" s="96" t="e">
        <f t="shared" si="67"/>
        <v>#VALUE!</v>
      </c>
      <c r="BI86" s="117"/>
      <c r="BJ86" s="119" t="e">
        <f t="shared" si="68"/>
        <v>#VALUE!</v>
      </c>
      <c r="BK86" s="117"/>
      <c r="BL86" s="121" t="str">
        <f t="shared" si="69"/>
        <v>N/A</v>
      </c>
      <c r="BM86" s="121" t="str">
        <f>IF(G86=0,0,IF('Suivi livrables'!BE86="ZSFR",IF(G86-F86&lt;90,F86+7,G86-90),"N/A"))</f>
        <v>N/A</v>
      </c>
      <c r="BN86" s="117"/>
      <c r="BO86" s="121" t="str">
        <f>IF(G86=0,0,IF('Suivi livrables'!BE86="ZSFR",IF(L86=0,I86-45,L86-4),"N/A"))</f>
        <v>N/A</v>
      </c>
      <c r="BP86" s="117"/>
      <c r="BQ86" s="121" t="e">
        <f t="shared" si="70"/>
        <v>#VALUE!</v>
      </c>
      <c r="BR86" s="121" t="e">
        <f t="shared" si="71"/>
        <v>#VALUE!</v>
      </c>
      <c r="BS86" s="117"/>
      <c r="BT86" s="121" t="str">
        <f>IF(G86=0,0,IF(AND('Suivi livrables'!P86=0,'Suivi livrables'!R86=0,'Suivi livrables'!T86=0,'Suivi livrables'!V86=0,'Suivi livrables'!X86=0,'Suivi livrables'!AD86=0),"N/A",#REF!-77))</f>
        <v>N/A</v>
      </c>
      <c r="BU86" s="121" t="str">
        <f>IF(G86=0,0,IF(AND('Suivi livrables'!P86=0,'Suivi livrables'!R86=0,'Suivi livrables'!T86=0,'Suivi livrables'!V86=0,'Suivi livrables'!X86=0,'Suivi livrables'!AD86=0),"N/A",#REF!-21))</f>
        <v>N/A</v>
      </c>
      <c r="BV86" s="117"/>
      <c r="BW86" s="97"/>
      <c r="BX86" s="102"/>
      <c r="BY86" s="117" t="str">
        <f t="shared" si="85"/>
        <v/>
      </c>
      <c r="BZ86" s="117" t="str">
        <f t="shared" si="86"/>
        <v/>
      </c>
      <c r="CA86" s="117" t="str">
        <f t="shared" si="87"/>
        <v/>
      </c>
      <c r="CB86" s="117" t="str">
        <f t="shared" si="88"/>
        <v/>
      </c>
      <c r="CC86" s="117" t="str">
        <f t="shared" si="89"/>
        <v/>
      </c>
      <c r="CD86" s="117" t="str">
        <f t="shared" si="90"/>
        <v/>
      </c>
      <c r="CE86" s="117" t="str">
        <f t="shared" si="91"/>
        <v/>
      </c>
      <c r="CF86" s="117" t="str">
        <f t="shared" si="92"/>
        <v/>
      </c>
      <c r="CG86" s="117" t="str">
        <f t="shared" si="93"/>
        <v/>
      </c>
      <c r="CH86" s="117" t="str">
        <f t="shared" si="94"/>
        <v/>
      </c>
      <c r="CI86" s="117" t="str">
        <f t="shared" si="95"/>
        <v/>
      </c>
      <c r="CJ86" s="117" t="str">
        <f t="shared" si="96"/>
        <v/>
      </c>
      <c r="CK86" s="117" t="str">
        <f t="shared" si="97"/>
        <v/>
      </c>
      <c r="CL86" s="117" t="str">
        <f t="shared" si="98"/>
        <v/>
      </c>
      <c r="CM86" s="117" t="str">
        <f t="shared" si="99"/>
        <v/>
      </c>
      <c r="CN86" s="117" t="str">
        <f t="shared" si="100"/>
        <v/>
      </c>
      <c r="CO86" s="121" t="e">
        <f t="shared" si="72"/>
        <v>#VALUE!</v>
      </c>
      <c r="CP86" s="117"/>
      <c r="CQ86" s="121" t="e">
        <f t="shared" si="73"/>
        <v>#VALUE!</v>
      </c>
      <c r="CR86" s="117"/>
      <c r="CS86" s="121" t="e">
        <f t="shared" si="74"/>
        <v>#VALUE!</v>
      </c>
      <c r="CT86" s="121" t="e">
        <f t="shared" si="75"/>
        <v>#VALUE!</v>
      </c>
      <c r="CU86" s="121" t="e">
        <f t="shared" si="76"/>
        <v>#VALUE!</v>
      </c>
      <c r="CV86" s="117"/>
      <c r="CW86" s="121" t="e">
        <f t="shared" si="77"/>
        <v>#VALUE!</v>
      </c>
      <c r="CX86" s="117"/>
      <c r="CY86" s="121" t="e">
        <f t="shared" si="78"/>
        <v>#VALUE!</v>
      </c>
      <c r="CZ86" s="117"/>
      <c r="DA86" s="121" t="e">
        <f t="shared" si="79"/>
        <v>#VALUE!</v>
      </c>
      <c r="DB86" s="121" t="e">
        <f t="shared" si="80"/>
        <v>#VALUE!</v>
      </c>
      <c r="DC86" s="121" t="e">
        <f t="shared" si="81"/>
        <v>#VALUE!</v>
      </c>
      <c r="DD86" s="117"/>
      <c r="DE86" s="125" t="e">
        <f t="shared" si="82"/>
        <v>#VALUE!</v>
      </c>
      <c r="DF86" s="124"/>
      <c r="DG86" s="125" t="e">
        <f t="shared" si="101"/>
        <v>#VALUE!</v>
      </c>
      <c r="DH86" s="124"/>
      <c r="DI86" s="125" t="e">
        <f t="shared" si="83"/>
        <v>#VALUE!</v>
      </c>
      <c r="DJ86" s="124"/>
      <c r="DK86" s="125" t="e">
        <f t="shared" si="84"/>
        <v>#VALUE!</v>
      </c>
      <c r="DL86" s="124"/>
      <c r="DM86" s="117"/>
      <c r="DN86" s="124"/>
      <c r="DO86" s="117"/>
    </row>
    <row r="87" spans="1:119" ht="15.75" thickBot="1">
      <c r="A87" s="13" t="s">
        <v>229</v>
      </c>
      <c r="B87" s="57">
        <f>jalons!B87</f>
        <v>0</v>
      </c>
      <c r="C87" s="57">
        <f>jalons!C87</f>
        <v>0</v>
      </c>
      <c r="D87" s="83"/>
      <c r="E87" s="9" t="str">
        <f>IF($A87="","",INDEX(jalons!$A$7:$K$125,MATCH('Suivi livrables'!$A87,jalons!$A$7:$A$125,0),4))</f>
        <v>manque date</v>
      </c>
      <c r="F87" s="10" t="str">
        <f>IF($A87="","",INDEX(jalons!$A$7:$K$125,MATCH('Suivi livrables'!$A87,jalons!$A$7:$A$125,0),5))</f>
        <v>manque date</v>
      </c>
      <c r="G87" s="10" t="str">
        <f>IF($A87="","",INDEX(jalons!$A$7:$K$125,MATCH('Suivi livrables'!$A87,jalons!$A$7:$A$125,0),6))</f>
        <v>manque date</v>
      </c>
      <c r="H87" s="10" t="str">
        <f>IF($A87="","",INDEX(jalons!$A$7:$K$125,MATCH('Suivi livrables'!$A87,jalons!$A$7:$A$125,0),7))</f>
        <v>manque date</v>
      </c>
      <c r="I87" s="10" t="str">
        <f>IF($A87="","",INDEX(jalons!$A$7:$K$125,MATCH('Suivi livrables'!$A87,jalons!$A$7:$A$125,0),8))</f>
        <v>manque date</v>
      </c>
      <c r="J87" s="10" t="str">
        <f>IF($A87="","",INDEX(jalons!$A$7:$K$125,MATCH('Suivi livrables'!$A87,jalons!$A$7:$A$125,0),9))</f>
        <v>manque date</v>
      </c>
      <c r="K87" s="10" t="str">
        <f>IF($A87="","",INDEX(jalons!$A$7:$K$125,MATCH('Suivi livrables'!$A87,jalons!$A$7:$A$125,0),10))</f>
        <v>manque date</v>
      </c>
      <c r="L87" s="10" t="str">
        <f>IF($A87="","",INDEX(jalons!$A$7:$K$125,MATCH('Suivi livrables'!$A87,jalons!$A$7:$A$125,0),11))</f>
        <v>manque date</v>
      </c>
      <c r="M87" s="14"/>
      <c r="N87" s="47"/>
      <c r="O87" s="49"/>
      <c r="P87" s="50"/>
      <c r="Q87" s="50"/>
      <c r="R87" s="50"/>
      <c r="S87" s="50"/>
      <c r="T87" s="50"/>
      <c r="U87" s="50"/>
      <c r="V87" s="50"/>
      <c r="W87" s="50"/>
      <c r="X87" s="50"/>
      <c r="Y87" s="48"/>
      <c r="Z87" s="48"/>
      <c r="AA87" s="50"/>
      <c r="AB87" s="94"/>
      <c r="AC87" s="48"/>
      <c r="AD87" s="128"/>
      <c r="AE87" s="132"/>
      <c r="AF87" s="50"/>
      <c r="AG87" s="48"/>
      <c r="AH87" s="50"/>
      <c r="AI87" s="48"/>
      <c r="AJ87" s="50"/>
      <c r="AK87" s="48"/>
      <c r="AL87" s="50"/>
      <c r="AM87" s="48"/>
      <c r="AN87" s="140"/>
      <c r="AO87" s="133"/>
      <c r="AP87" s="140"/>
      <c r="AQ87" s="132"/>
      <c r="AR87" s="133"/>
      <c r="AS87" s="140"/>
      <c r="AT87" s="132"/>
      <c r="AU87" s="149"/>
      <c r="AV87" s="149"/>
      <c r="AW87" s="132"/>
      <c r="AX87" s="149"/>
      <c r="AY87" s="149"/>
      <c r="AZ87" s="132"/>
      <c r="BA87" s="149"/>
      <c r="BB87" s="149"/>
      <c r="BC87" s="149"/>
      <c r="BD87" s="149"/>
      <c r="BE87" s="133"/>
      <c r="BF87" s="49"/>
      <c r="BG87" s="94"/>
      <c r="BH87" s="96" t="e">
        <f t="shared" si="67"/>
        <v>#VALUE!</v>
      </c>
      <c r="BI87" s="117"/>
      <c r="BJ87" s="119" t="e">
        <f t="shared" si="68"/>
        <v>#VALUE!</v>
      </c>
      <c r="BK87" s="117"/>
      <c r="BL87" s="121" t="str">
        <f t="shared" si="69"/>
        <v>N/A</v>
      </c>
      <c r="BM87" s="121" t="str">
        <f>IF(G87=0,0,IF('Suivi livrables'!BE87="ZSFR",IF(G87-F87&lt;90,F87+7,G87-90),"N/A"))</f>
        <v>N/A</v>
      </c>
      <c r="BN87" s="117"/>
      <c r="BO87" s="121" t="str">
        <f>IF(G87=0,0,IF('Suivi livrables'!BE87="ZSFR",IF(L87=0,I87-45,L87-4),"N/A"))</f>
        <v>N/A</v>
      </c>
      <c r="BP87" s="117"/>
      <c r="BQ87" s="121" t="e">
        <f t="shared" si="70"/>
        <v>#VALUE!</v>
      </c>
      <c r="BR87" s="121" t="e">
        <f t="shared" si="71"/>
        <v>#VALUE!</v>
      </c>
      <c r="BS87" s="117"/>
      <c r="BT87" s="121" t="str">
        <f>IF(G87=0,0,IF(AND('Suivi livrables'!P87=0,'Suivi livrables'!R87=0,'Suivi livrables'!T87=0,'Suivi livrables'!V87=0,'Suivi livrables'!X87=0,'Suivi livrables'!AD87=0),"N/A",#REF!-77))</f>
        <v>N/A</v>
      </c>
      <c r="BU87" s="121" t="str">
        <f>IF(G87=0,0,IF(AND('Suivi livrables'!P87=0,'Suivi livrables'!R87=0,'Suivi livrables'!T87=0,'Suivi livrables'!V87=0,'Suivi livrables'!X87=0,'Suivi livrables'!AD87=0),"N/A",#REF!-21))</f>
        <v>N/A</v>
      </c>
      <c r="BV87" s="117"/>
      <c r="BW87" s="97"/>
      <c r="BX87" s="102"/>
      <c r="BY87" s="117" t="str">
        <f t="shared" si="85"/>
        <v/>
      </c>
      <c r="BZ87" s="117" t="str">
        <f t="shared" si="86"/>
        <v/>
      </c>
      <c r="CA87" s="117" t="str">
        <f t="shared" si="87"/>
        <v/>
      </c>
      <c r="CB87" s="117" t="str">
        <f t="shared" si="88"/>
        <v/>
      </c>
      <c r="CC87" s="117" t="str">
        <f t="shared" si="89"/>
        <v/>
      </c>
      <c r="CD87" s="117" t="str">
        <f t="shared" si="90"/>
        <v/>
      </c>
      <c r="CE87" s="117" t="str">
        <f t="shared" si="91"/>
        <v/>
      </c>
      <c r="CF87" s="117" t="str">
        <f t="shared" si="92"/>
        <v/>
      </c>
      <c r="CG87" s="117" t="str">
        <f t="shared" si="93"/>
        <v/>
      </c>
      <c r="CH87" s="117" t="str">
        <f t="shared" si="94"/>
        <v/>
      </c>
      <c r="CI87" s="117" t="str">
        <f t="shared" si="95"/>
        <v/>
      </c>
      <c r="CJ87" s="117" t="str">
        <f t="shared" si="96"/>
        <v/>
      </c>
      <c r="CK87" s="117" t="str">
        <f t="shared" si="97"/>
        <v/>
      </c>
      <c r="CL87" s="117" t="str">
        <f t="shared" si="98"/>
        <v/>
      </c>
      <c r="CM87" s="117" t="str">
        <f t="shared" si="99"/>
        <v/>
      </c>
      <c r="CN87" s="117" t="str">
        <f t="shared" si="100"/>
        <v/>
      </c>
      <c r="CO87" s="121" t="e">
        <f t="shared" si="72"/>
        <v>#VALUE!</v>
      </c>
      <c r="CP87" s="117"/>
      <c r="CQ87" s="121" t="e">
        <f t="shared" si="73"/>
        <v>#VALUE!</v>
      </c>
      <c r="CR87" s="117"/>
      <c r="CS87" s="121" t="e">
        <f t="shared" si="74"/>
        <v>#VALUE!</v>
      </c>
      <c r="CT87" s="121" t="e">
        <f t="shared" si="75"/>
        <v>#VALUE!</v>
      </c>
      <c r="CU87" s="121" t="e">
        <f t="shared" si="76"/>
        <v>#VALUE!</v>
      </c>
      <c r="CV87" s="117"/>
      <c r="CW87" s="121" t="e">
        <f t="shared" si="77"/>
        <v>#VALUE!</v>
      </c>
      <c r="CX87" s="117"/>
      <c r="CY87" s="121" t="e">
        <f t="shared" si="78"/>
        <v>#VALUE!</v>
      </c>
      <c r="CZ87" s="117"/>
      <c r="DA87" s="121" t="e">
        <f t="shared" si="79"/>
        <v>#VALUE!</v>
      </c>
      <c r="DB87" s="121" t="e">
        <f t="shared" si="80"/>
        <v>#VALUE!</v>
      </c>
      <c r="DC87" s="121" t="e">
        <f t="shared" si="81"/>
        <v>#VALUE!</v>
      </c>
      <c r="DD87" s="117"/>
      <c r="DE87" s="125" t="e">
        <f t="shared" si="82"/>
        <v>#VALUE!</v>
      </c>
      <c r="DF87" s="124"/>
      <c r="DG87" s="125" t="e">
        <f t="shared" si="101"/>
        <v>#VALUE!</v>
      </c>
      <c r="DH87" s="124"/>
      <c r="DI87" s="125" t="e">
        <f t="shared" si="83"/>
        <v>#VALUE!</v>
      </c>
      <c r="DJ87" s="124"/>
      <c r="DK87" s="125" t="e">
        <f t="shared" si="84"/>
        <v>#VALUE!</v>
      </c>
      <c r="DL87" s="124"/>
      <c r="DM87" s="117"/>
      <c r="DN87" s="124"/>
      <c r="DO87" s="117"/>
    </row>
    <row r="88" spans="1:119" ht="15.75" thickBot="1">
      <c r="A88" s="13" t="s">
        <v>230</v>
      </c>
      <c r="B88" s="57">
        <f>jalons!B88</f>
        <v>0</v>
      </c>
      <c r="C88" s="57">
        <f>jalons!C88</f>
        <v>0</v>
      </c>
      <c r="D88" s="83"/>
      <c r="E88" s="9" t="str">
        <f>IF($A88="","",INDEX(jalons!$A$7:$K$125,MATCH('Suivi livrables'!$A88,jalons!$A$7:$A$125,0),4))</f>
        <v>manque date</v>
      </c>
      <c r="F88" s="10" t="str">
        <f>IF($A88="","",INDEX(jalons!$A$7:$K$125,MATCH('Suivi livrables'!$A88,jalons!$A$7:$A$125,0),5))</f>
        <v>manque date</v>
      </c>
      <c r="G88" s="10" t="str">
        <f>IF($A88="","",INDEX(jalons!$A$7:$K$125,MATCH('Suivi livrables'!$A88,jalons!$A$7:$A$125,0),6))</f>
        <v>manque date</v>
      </c>
      <c r="H88" s="10" t="str">
        <f>IF($A88="","",INDEX(jalons!$A$7:$K$125,MATCH('Suivi livrables'!$A88,jalons!$A$7:$A$125,0),7))</f>
        <v>manque date</v>
      </c>
      <c r="I88" s="10" t="str">
        <f>IF($A88="","",INDEX(jalons!$A$7:$K$125,MATCH('Suivi livrables'!$A88,jalons!$A$7:$A$125,0),8))</f>
        <v>manque date</v>
      </c>
      <c r="J88" s="10" t="str">
        <f>IF($A88="","",INDEX(jalons!$A$7:$K$125,MATCH('Suivi livrables'!$A88,jalons!$A$7:$A$125,0),9))</f>
        <v>manque date</v>
      </c>
      <c r="K88" s="10" t="str">
        <f>IF($A88="","",INDEX(jalons!$A$7:$K$125,MATCH('Suivi livrables'!$A88,jalons!$A$7:$A$125,0),10))</f>
        <v>manque date</v>
      </c>
      <c r="L88" s="10" t="str">
        <f>IF($A88="","",INDEX(jalons!$A$7:$K$125,MATCH('Suivi livrables'!$A88,jalons!$A$7:$A$125,0),11))</f>
        <v>manque date</v>
      </c>
      <c r="M88" s="14"/>
      <c r="N88" s="47"/>
      <c r="O88" s="49"/>
      <c r="P88" s="50"/>
      <c r="Q88" s="50"/>
      <c r="R88" s="50"/>
      <c r="S88" s="50"/>
      <c r="T88" s="50"/>
      <c r="U88" s="50"/>
      <c r="V88" s="50"/>
      <c r="W88" s="50"/>
      <c r="X88" s="50"/>
      <c r="Y88" s="48"/>
      <c r="Z88" s="48"/>
      <c r="AA88" s="50"/>
      <c r="AB88" s="94"/>
      <c r="AC88" s="48"/>
      <c r="AD88" s="128"/>
      <c r="AE88" s="132"/>
      <c r="AF88" s="50"/>
      <c r="AG88" s="48"/>
      <c r="AH88" s="50"/>
      <c r="AI88" s="48"/>
      <c r="AJ88" s="50"/>
      <c r="AK88" s="48"/>
      <c r="AL88" s="50"/>
      <c r="AM88" s="48"/>
      <c r="AN88" s="140"/>
      <c r="AO88" s="133"/>
      <c r="AP88" s="140"/>
      <c r="AQ88" s="132"/>
      <c r="AR88" s="133"/>
      <c r="AS88" s="140"/>
      <c r="AT88" s="132"/>
      <c r="AU88" s="149"/>
      <c r="AV88" s="149"/>
      <c r="AW88" s="132"/>
      <c r="AX88" s="149"/>
      <c r="AY88" s="149"/>
      <c r="AZ88" s="132"/>
      <c r="BA88" s="149"/>
      <c r="BB88" s="149"/>
      <c r="BC88" s="149"/>
      <c r="BD88" s="149"/>
      <c r="BE88" s="133"/>
      <c r="BF88" s="49"/>
      <c r="BG88" s="94"/>
      <c r="BH88" s="96" t="e">
        <f t="shared" si="67"/>
        <v>#VALUE!</v>
      </c>
      <c r="BI88" s="117"/>
      <c r="BJ88" s="119" t="e">
        <f t="shared" si="68"/>
        <v>#VALUE!</v>
      </c>
      <c r="BK88" s="117"/>
      <c r="BL88" s="121" t="str">
        <f t="shared" si="69"/>
        <v>N/A</v>
      </c>
      <c r="BM88" s="121" t="str">
        <f>IF(G88=0,0,IF('Suivi livrables'!BE88="ZSFR",IF(G88-F88&lt;90,F88+7,G88-90),"N/A"))</f>
        <v>N/A</v>
      </c>
      <c r="BN88" s="117"/>
      <c r="BO88" s="121" t="str">
        <f>IF(G88=0,0,IF('Suivi livrables'!BE88="ZSFR",IF(L88=0,I88-45,L88-4),"N/A"))</f>
        <v>N/A</v>
      </c>
      <c r="BP88" s="117"/>
      <c r="BQ88" s="121" t="e">
        <f t="shared" si="70"/>
        <v>#VALUE!</v>
      </c>
      <c r="BR88" s="121" t="e">
        <f t="shared" si="71"/>
        <v>#VALUE!</v>
      </c>
      <c r="BS88" s="117"/>
      <c r="BT88" s="121" t="str">
        <f>IF(G88=0,0,IF(AND('Suivi livrables'!P88=0,'Suivi livrables'!R88=0,'Suivi livrables'!T88=0,'Suivi livrables'!V88=0,'Suivi livrables'!X88=0,'Suivi livrables'!AD88=0),"N/A",#REF!-77))</f>
        <v>N/A</v>
      </c>
      <c r="BU88" s="121" t="str">
        <f>IF(G88=0,0,IF(AND('Suivi livrables'!P88=0,'Suivi livrables'!R88=0,'Suivi livrables'!T88=0,'Suivi livrables'!V88=0,'Suivi livrables'!X88=0,'Suivi livrables'!AD88=0),"N/A",#REF!-21))</f>
        <v>N/A</v>
      </c>
      <c r="BV88" s="117"/>
      <c r="BW88" s="97"/>
      <c r="BX88" s="102"/>
      <c r="BY88" s="117" t="str">
        <f t="shared" si="85"/>
        <v/>
      </c>
      <c r="BZ88" s="117" t="str">
        <f t="shared" si="86"/>
        <v/>
      </c>
      <c r="CA88" s="117" t="str">
        <f t="shared" si="87"/>
        <v/>
      </c>
      <c r="CB88" s="117" t="str">
        <f t="shared" si="88"/>
        <v/>
      </c>
      <c r="CC88" s="117" t="str">
        <f t="shared" si="89"/>
        <v/>
      </c>
      <c r="CD88" s="117" t="str">
        <f t="shared" si="90"/>
        <v/>
      </c>
      <c r="CE88" s="117" t="str">
        <f t="shared" si="91"/>
        <v/>
      </c>
      <c r="CF88" s="117" t="str">
        <f t="shared" si="92"/>
        <v/>
      </c>
      <c r="CG88" s="117" t="str">
        <f t="shared" si="93"/>
        <v/>
      </c>
      <c r="CH88" s="117" t="str">
        <f t="shared" si="94"/>
        <v/>
      </c>
      <c r="CI88" s="117" t="str">
        <f t="shared" si="95"/>
        <v/>
      </c>
      <c r="CJ88" s="117" t="str">
        <f t="shared" si="96"/>
        <v/>
      </c>
      <c r="CK88" s="117" t="str">
        <f t="shared" si="97"/>
        <v/>
      </c>
      <c r="CL88" s="117" t="str">
        <f t="shared" si="98"/>
        <v/>
      </c>
      <c r="CM88" s="117" t="str">
        <f t="shared" si="99"/>
        <v/>
      </c>
      <c r="CN88" s="117" t="str">
        <f t="shared" si="100"/>
        <v/>
      </c>
      <c r="CO88" s="121" t="e">
        <f t="shared" si="72"/>
        <v>#VALUE!</v>
      </c>
      <c r="CP88" s="117"/>
      <c r="CQ88" s="121" t="e">
        <f t="shared" si="73"/>
        <v>#VALUE!</v>
      </c>
      <c r="CR88" s="117"/>
      <c r="CS88" s="121" t="e">
        <f t="shared" si="74"/>
        <v>#VALUE!</v>
      </c>
      <c r="CT88" s="121" t="e">
        <f t="shared" si="75"/>
        <v>#VALUE!</v>
      </c>
      <c r="CU88" s="121" t="e">
        <f t="shared" si="76"/>
        <v>#VALUE!</v>
      </c>
      <c r="CV88" s="117"/>
      <c r="CW88" s="121" t="e">
        <f t="shared" si="77"/>
        <v>#VALUE!</v>
      </c>
      <c r="CX88" s="117"/>
      <c r="CY88" s="121" t="e">
        <f t="shared" si="78"/>
        <v>#VALUE!</v>
      </c>
      <c r="CZ88" s="117"/>
      <c r="DA88" s="121" t="e">
        <f t="shared" si="79"/>
        <v>#VALUE!</v>
      </c>
      <c r="DB88" s="121" t="e">
        <f t="shared" si="80"/>
        <v>#VALUE!</v>
      </c>
      <c r="DC88" s="121" t="e">
        <f t="shared" si="81"/>
        <v>#VALUE!</v>
      </c>
      <c r="DD88" s="117"/>
      <c r="DE88" s="125" t="e">
        <f t="shared" si="82"/>
        <v>#VALUE!</v>
      </c>
      <c r="DF88" s="124"/>
      <c r="DG88" s="125" t="e">
        <f t="shared" si="101"/>
        <v>#VALUE!</v>
      </c>
      <c r="DH88" s="124"/>
      <c r="DI88" s="125" t="e">
        <f t="shared" si="83"/>
        <v>#VALUE!</v>
      </c>
      <c r="DJ88" s="124"/>
      <c r="DK88" s="125" t="e">
        <f t="shared" si="84"/>
        <v>#VALUE!</v>
      </c>
      <c r="DL88" s="124"/>
      <c r="DM88" s="117"/>
      <c r="DN88" s="124"/>
      <c r="DO88" s="117"/>
    </row>
    <row r="89" spans="1:119" ht="15.75" thickBot="1">
      <c r="A89" s="13" t="s">
        <v>194</v>
      </c>
      <c r="B89" s="57">
        <f>jalons!B89</f>
        <v>0</v>
      </c>
      <c r="C89" s="57">
        <f>jalons!C89</f>
        <v>0</v>
      </c>
      <c r="D89" s="83"/>
      <c r="E89" s="9">
        <f>IF($A89="","",INDEX(jalons!$A$7:$K$125,MATCH('Suivi livrables'!$A89,jalons!$A$7:$A$125,0),4))</f>
        <v>42287</v>
      </c>
      <c r="F89" s="10">
        <f>IF($A89="","",INDEX(jalons!$A$7:$K$125,MATCH('Suivi livrables'!$A89,jalons!$A$7:$A$125,0),5))</f>
        <v>42413</v>
      </c>
      <c r="G89" s="10">
        <f>IF($A89="","",INDEX(jalons!$A$7:$K$125,MATCH('Suivi livrables'!$A89,jalons!$A$7:$A$125,0),6))</f>
        <v>42628</v>
      </c>
      <c r="H89" s="10">
        <f>IF($A89="","",INDEX(jalons!$A$7:$K$125,MATCH('Suivi livrables'!$A89,jalons!$A$7:$A$125,0),7))</f>
        <v>42785</v>
      </c>
      <c r="I89" s="10">
        <f>IF($A89="","",INDEX(jalons!$A$7:$K$125,MATCH('Suivi livrables'!$A89,jalons!$A$7:$A$125,0),8))</f>
        <v>42815</v>
      </c>
      <c r="J89" s="10">
        <f>IF($A89="","",INDEX(jalons!$A$7:$K$125,MATCH('Suivi livrables'!$A89,jalons!$A$7:$A$125,0),9))</f>
        <v>42952</v>
      </c>
      <c r="K89" s="10">
        <f>IF($A89="","",INDEX(jalons!$A$7:$K$125,MATCH('Suivi livrables'!$A89,jalons!$A$7:$A$125,0),10))</f>
        <v>42770</v>
      </c>
      <c r="L89" s="10">
        <f>IF($A89="","",INDEX(jalons!$A$7:$K$125,MATCH('Suivi livrables'!$A89,jalons!$A$7:$A$125,0),11))</f>
        <v>42695</v>
      </c>
      <c r="M89" s="14"/>
      <c r="N89" s="47"/>
      <c r="O89" s="49"/>
      <c r="P89" s="50"/>
      <c r="Q89" s="50"/>
      <c r="R89" s="50"/>
      <c r="S89" s="50"/>
      <c r="T89" s="50"/>
      <c r="U89" s="50"/>
      <c r="V89" s="50"/>
      <c r="W89" s="50"/>
      <c r="X89" s="50"/>
      <c r="Y89" s="48"/>
      <c r="Z89" s="48"/>
      <c r="AA89" s="50"/>
      <c r="AB89" s="94"/>
      <c r="AC89" s="48"/>
      <c r="AD89" s="128"/>
      <c r="AE89" s="132"/>
      <c r="AF89" s="50"/>
      <c r="AG89" s="48"/>
      <c r="AH89" s="50"/>
      <c r="AI89" s="48"/>
      <c r="AJ89" s="50"/>
      <c r="AK89" s="48"/>
      <c r="AL89" s="50"/>
      <c r="AM89" s="48"/>
      <c r="AN89" s="140"/>
      <c r="AO89" s="133"/>
      <c r="AP89" s="140"/>
      <c r="AQ89" s="132"/>
      <c r="AR89" s="133"/>
      <c r="AS89" s="140"/>
      <c r="AT89" s="132"/>
      <c r="AU89" s="149"/>
      <c r="AV89" s="149"/>
      <c r="AW89" s="132"/>
      <c r="AX89" s="149"/>
      <c r="AY89" s="149"/>
      <c r="AZ89" s="132"/>
      <c r="BA89" s="149"/>
      <c r="BB89" s="149"/>
      <c r="BC89" s="149"/>
      <c r="BD89" s="149"/>
      <c r="BE89" s="133"/>
      <c r="BF89" s="49"/>
      <c r="BG89" s="94"/>
      <c r="BH89" s="96">
        <f t="shared" si="67"/>
        <v>42551</v>
      </c>
      <c r="BI89" s="117"/>
      <c r="BJ89" s="119">
        <f t="shared" si="68"/>
        <v>42607</v>
      </c>
      <c r="BK89" s="117"/>
      <c r="BL89" s="121" t="str">
        <f t="shared" si="69"/>
        <v>N/A</v>
      </c>
      <c r="BM89" s="121" t="str">
        <f>IF(G89=0,0,IF('Suivi livrables'!BE89="ZSFR",IF(G89-F89&lt;90,F89+7,G89-90),"N/A"))</f>
        <v>N/A</v>
      </c>
      <c r="BN89" s="117"/>
      <c r="BO89" s="121" t="str">
        <f>IF(G89=0,0,IF('Suivi livrables'!BE89="ZSFR",IF(L89=0,I89-45,L89-4),"N/A"))</f>
        <v>N/A</v>
      </c>
      <c r="BP89" s="117"/>
      <c r="BQ89" s="121">
        <f t="shared" si="70"/>
        <v>42551</v>
      </c>
      <c r="BR89" s="121">
        <f t="shared" si="71"/>
        <v>42621</v>
      </c>
      <c r="BS89" s="117"/>
      <c r="BT89" s="121" t="str">
        <f>IF(G89=0,0,IF(AND('Suivi livrables'!P89=0,'Suivi livrables'!R89=0,'Suivi livrables'!T89=0,'Suivi livrables'!V89=0,'Suivi livrables'!X89=0,'Suivi livrables'!AD89=0),"N/A",#REF!-77))</f>
        <v>N/A</v>
      </c>
      <c r="BU89" s="121" t="str">
        <f>IF(G89=0,0,IF(AND('Suivi livrables'!P89=0,'Suivi livrables'!R89=0,'Suivi livrables'!T89=0,'Suivi livrables'!V89=0,'Suivi livrables'!X89=0,'Suivi livrables'!AD89=0),"N/A",#REF!-21))</f>
        <v>N/A</v>
      </c>
      <c r="BV89" s="117"/>
      <c r="BW89" s="97"/>
      <c r="BX89" s="102"/>
      <c r="BY89" s="117" t="str">
        <f t="shared" si="85"/>
        <v/>
      </c>
      <c r="BZ89" s="117" t="str">
        <f t="shared" si="86"/>
        <v/>
      </c>
      <c r="CA89" s="117" t="str">
        <f t="shared" si="87"/>
        <v/>
      </c>
      <c r="CB89" s="117" t="str">
        <f t="shared" si="88"/>
        <v/>
      </c>
      <c r="CC89" s="117" t="str">
        <f t="shared" si="89"/>
        <v/>
      </c>
      <c r="CD89" s="117" t="str">
        <f t="shared" si="90"/>
        <v/>
      </c>
      <c r="CE89" s="117" t="str">
        <f t="shared" si="91"/>
        <v/>
      </c>
      <c r="CF89" s="117" t="str">
        <f t="shared" si="92"/>
        <v/>
      </c>
      <c r="CG89" s="117" t="str">
        <f t="shared" si="93"/>
        <v/>
      </c>
      <c r="CH89" s="117" t="str">
        <f t="shared" si="94"/>
        <v/>
      </c>
      <c r="CI89" s="117" t="str">
        <f t="shared" si="95"/>
        <v/>
      </c>
      <c r="CJ89" s="117" t="str">
        <f t="shared" si="96"/>
        <v/>
      </c>
      <c r="CK89" s="117" t="str">
        <f t="shared" si="97"/>
        <v/>
      </c>
      <c r="CL89" s="117" t="str">
        <f t="shared" si="98"/>
        <v/>
      </c>
      <c r="CM89" s="117" t="str">
        <f t="shared" si="99"/>
        <v/>
      </c>
      <c r="CN89" s="117" t="str">
        <f t="shared" si="100"/>
        <v/>
      </c>
      <c r="CO89" s="121">
        <f t="shared" si="72"/>
        <v>42551</v>
      </c>
      <c r="CP89" s="117"/>
      <c r="CQ89" s="121">
        <f t="shared" si="73"/>
        <v>42551</v>
      </c>
      <c r="CR89" s="117"/>
      <c r="CS89" s="121">
        <f t="shared" si="74"/>
        <v>42593</v>
      </c>
      <c r="CT89" s="121">
        <f t="shared" si="75"/>
        <v>42607</v>
      </c>
      <c r="CU89" s="121">
        <f t="shared" si="76"/>
        <v>42579</v>
      </c>
      <c r="CV89" s="117"/>
      <c r="CW89" s="121">
        <f t="shared" si="77"/>
        <v>42593</v>
      </c>
      <c r="CX89" s="117"/>
      <c r="CY89" s="121">
        <f t="shared" si="78"/>
        <v>42600</v>
      </c>
      <c r="CZ89" s="117"/>
      <c r="DA89" s="121">
        <f t="shared" si="79"/>
        <v>42607</v>
      </c>
      <c r="DB89" s="121">
        <f t="shared" si="80"/>
        <v>42656</v>
      </c>
      <c r="DC89" s="121">
        <f t="shared" si="81"/>
        <v>42656</v>
      </c>
      <c r="DD89" s="117"/>
      <c r="DE89" s="125">
        <f t="shared" si="82"/>
        <v>42478</v>
      </c>
      <c r="DF89" s="124"/>
      <c r="DG89" s="125">
        <f t="shared" si="101"/>
        <v>42478</v>
      </c>
      <c r="DH89" s="124"/>
      <c r="DI89" s="125">
        <f t="shared" si="83"/>
        <v>42538</v>
      </c>
      <c r="DJ89" s="124"/>
      <c r="DK89" s="125">
        <f t="shared" si="84"/>
        <v>42523</v>
      </c>
      <c r="DL89" s="124"/>
      <c r="DM89" s="117"/>
      <c r="DN89" s="124"/>
      <c r="DO89" s="117"/>
    </row>
    <row r="90" spans="1:119" ht="15.75" thickBot="1">
      <c r="A90" s="13" t="s">
        <v>194</v>
      </c>
      <c r="B90" s="57">
        <f>jalons!B90</f>
        <v>0</v>
      </c>
      <c r="C90" s="57">
        <f>jalons!C90</f>
        <v>0</v>
      </c>
      <c r="D90" s="83"/>
      <c r="E90" s="9">
        <f>IF($A90="","",INDEX(jalons!$A$7:$K$125,MATCH('Suivi livrables'!$A90,jalons!$A$7:$A$125,0),4))</f>
        <v>42287</v>
      </c>
      <c r="F90" s="10">
        <f>IF($A90="","",INDEX(jalons!$A$7:$K$125,MATCH('Suivi livrables'!$A90,jalons!$A$7:$A$125,0),5))</f>
        <v>42413</v>
      </c>
      <c r="G90" s="10">
        <f>IF($A90="","",INDEX(jalons!$A$7:$K$125,MATCH('Suivi livrables'!$A90,jalons!$A$7:$A$125,0),6))</f>
        <v>42628</v>
      </c>
      <c r="H90" s="10">
        <f>IF($A90="","",INDEX(jalons!$A$7:$K$125,MATCH('Suivi livrables'!$A90,jalons!$A$7:$A$125,0),7))</f>
        <v>42785</v>
      </c>
      <c r="I90" s="10">
        <f>IF($A90="","",INDEX(jalons!$A$7:$K$125,MATCH('Suivi livrables'!$A90,jalons!$A$7:$A$125,0),8))</f>
        <v>42815</v>
      </c>
      <c r="J90" s="10">
        <f>IF($A90="","",INDEX(jalons!$A$7:$K$125,MATCH('Suivi livrables'!$A90,jalons!$A$7:$A$125,0),9))</f>
        <v>42952</v>
      </c>
      <c r="K90" s="10">
        <f>IF($A90="","",INDEX(jalons!$A$7:$K$125,MATCH('Suivi livrables'!$A90,jalons!$A$7:$A$125,0),10))</f>
        <v>42770</v>
      </c>
      <c r="L90" s="10">
        <f>IF($A90="","",INDEX(jalons!$A$7:$K$125,MATCH('Suivi livrables'!$A90,jalons!$A$7:$A$125,0),11))</f>
        <v>42695</v>
      </c>
      <c r="M90" s="14"/>
      <c r="N90" s="47"/>
      <c r="O90" s="49"/>
      <c r="P90" s="50"/>
      <c r="Q90" s="50"/>
      <c r="R90" s="50"/>
      <c r="S90" s="50"/>
      <c r="T90" s="50"/>
      <c r="U90" s="50"/>
      <c r="V90" s="50"/>
      <c r="W90" s="50"/>
      <c r="X90" s="50"/>
      <c r="Y90" s="48"/>
      <c r="Z90" s="48"/>
      <c r="AA90" s="50"/>
      <c r="AB90" s="94"/>
      <c r="AC90" s="48"/>
      <c r="AD90" s="128"/>
      <c r="AE90" s="132"/>
      <c r="AF90" s="50"/>
      <c r="AG90" s="48"/>
      <c r="AH90" s="50"/>
      <c r="AI90" s="48"/>
      <c r="AJ90" s="50"/>
      <c r="AK90" s="48"/>
      <c r="AL90" s="50"/>
      <c r="AM90" s="48"/>
      <c r="AN90" s="140"/>
      <c r="AO90" s="133"/>
      <c r="AP90" s="140"/>
      <c r="AQ90" s="132"/>
      <c r="AR90" s="133"/>
      <c r="AS90" s="140"/>
      <c r="AT90" s="132"/>
      <c r="AU90" s="149"/>
      <c r="AV90" s="149"/>
      <c r="AW90" s="132"/>
      <c r="AX90" s="149"/>
      <c r="AY90" s="149"/>
      <c r="AZ90" s="132"/>
      <c r="BA90" s="149"/>
      <c r="BB90" s="149"/>
      <c r="BC90" s="149"/>
      <c r="BD90" s="149"/>
      <c r="BE90" s="133"/>
      <c r="BF90" s="49"/>
      <c r="BG90" s="94"/>
      <c r="BH90" s="96">
        <f t="shared" si="67"/>
        <v>42551</v>
      </c>
      <c r="BI90" s="117"/>
      <c r="BJ90" s="119">
        <f t="shared" si="68"/>
        <v>42607</v>
      </c>
      <c r="BK90" s="117"/>
      <c r="BL90" s="121" t="str">
        <f t="shared" si="69"/>
        <v>N/A</v>
      </c>
      <c r="BM90" s="121" t="str">
        <f>IF(G90=0,0,IF('Suivi livrables'!BE90="ZSFR",IF(G90-F90&lt;90,F90+7,G90-90),"N/A"))</f>
        <v>N/A</v>
      </c>
      <c r="BN90" s="117"/>
      <c r="BO90" s="121" t="str">
        <f>IF(G90=0,0,IF('Suivi livrables'!BE90="ZSFR",IF(L90=0,I90-45,L90-4),"N/A"))</f>
        <v>N/A</v>
      </c>
      <c r="BP90" s="117"/>
      <c r="BQ90" s="121">
        <f t="shared" si="70"/>
        <v>42551</v>
      </c>
      <c r="BR90" s="121">
        <f t="shared" si="71"/>
        <v>42621</v>
      </c>
      <c r="BS90" s="117"/>
      <c r="BT90" s="121" t="str">
        <f>IF(G90=0,0,IF(AND('Suivi livrables'!P90=0,'Suivi livrables'!R90=0,'Suivi livrables'!T90=0,'Suivi livrables'!V90=0,'Suivi livrables'!X90=0,'Suivi livrables'!AD90=0),"N/A",#REF!-77))</f>
        <v>N/A</v>
      </c>
      <c r="BU90" s="121" t="str">
        <f>IF(G90=0,0,IF(AND('Suivi livrables'!P90=0,'Suivi livrables'!R90=0,'Suivi livrables'!T90=0,'Suivi livrables'!V90=0,'Suivi livrables'!X90=0,'Suivi livrables'!AD90=0),"N/A",#REF!-21))</f>
        <v>N/A</v>
      </c>
      <c r="BV90" s="117"/>
      <c r="BW90" s="97"/>
      <c r="BX90" s="102"/>
      <c r="BY90" s="117" t="str">
        <f t="shared" si="85"/>
        <v/>
      </c>
      <c r="BZ90" s="117" t="str">
        <f t="shared" si="86"/>
        <v/>
      </c>
      <c r="CA90" s="117" t="str">
        <f t="shared" si="87"/>
        <v/>
      </c>
      <c r="CB90" s="117" t="str">
        <f t="shared" si="88"/>
        <v/>
      </c>
      <c r="CC90" s="117" t="str">
        <f t="shared" si="89"/>
        <v/>
      </c>
      <c r="CD90" s="117" t="str">
        <f t="shared" si="90"/>
        <v/>
      </c>
      <c r="CE90" s="117" t="str">
        <f t="shared" si="91"/>
        <v/>
      </c>
      <c r="CF90" s="117" t="str">
        <f t="shared" si="92"/>
        <v/>
      </c>
      <c r="CG90" s="117" t="str">
        <f t="shared" si="93"/>
        <v/>
      </c>
      <c r="CH90" s="117" t="str">
        <f t="shared" si="94"/>
        <v/>
      </c>
      <c r="CI90" s="117" t="str">
        <f t="shared" si="95"/>
        <v/>
      </c>
      <c r="CJ90" s="117" t="str">
        <f t="shared" si="96"/>
        <v/>
      </c>
      <c r="CK90" s="117" t="str">
        <f t="shared" si="97"/>
        <v/>
      </c>
      <c r="CL90" s="117" t="str">
        <f t="shared" si="98"/>
        <v/>
      </c>
      <c r="CM90" s="117" t="str">
        <f t="shared" si="99"/>
        <v/>
      </c>
      <c r="CN90" s="117" t="str">
        <f t="shared" si="100"/>
        <v/>
      </c>
      <c r="CO90" s="121">
        <f t="shared" si="72"/>
        <v>42551</v>
      </c>
      <c r="CP90" s="117"/>
      <c r="CQ90" s="121">
        <f t="shared" si="73"/>
        <v>42551</v>
      </c>
      <c r="CR90" s="117"/>
      <c r="CS90" s="121">
        <f t="shared" si="74"/>
        <v>42593</v>
      </c>
      <c r="CT90" s="121">
        <f t="shared" si="75"/>
        <v>42607</v>
      </c>
      <c r="CU90" s="121">
        <f t="shared" si="76"/>
        <v>42579</v>
      </c>
      <c r="CV90" s="117"/>
      <c r="CW90" s="121">
        <f t="shared" si="77"/>
        <v>42593</v>
      </c>
      <c r="CX90" s="117"/>
      <c r="CY90" s="121">
        <f t="shared" si="78"/>
        <v>42600</v>
      </c>
      <c r="CZ90" s="117"/>
      <c r="DA90" s="121">
        <f t="shared" si="79"/>
        <v>42607</v>
      </c>
      <c r="DB90" s="121">
        <f t="shared" si="80"/>
        <v>42656</v>
      </c>
      <c r="DC90" s="121">
        <f t="shared" si="81"/>
        <v>42656</v>
      </c>
      <c r="DD90" s="117"/>
      <c r="DE90" s="125">
        <f t="shared" si="82"/>
        <v>42478</v>
      </c>
      <c r="DF90" s="124"/>
      <c r="DG90" s="125">
        <f t="shared" si="101"/>
        <v>42478</v>
      </c>
      <c r="DH90" s="124"/>
      <c r="DI90" s="125">
        <f t="shared" si="83"/>
        <v>42538</v>
      </c>
      <c r="DJ90" s="124"/>
      <c r="DK90" s="125">
        <f t="shared" si="84"/>
        <v>42523</v>
      </c>
      <c r="DL90" s="124"/>
      <c r="DM90" s="117"/>
      <c r="DN90" s="124"/>
      <c r="DO90" s="117"/>
    </row>
    <row r="91" spans="1:119" ht="15.75" thickBot="1">
      <c r="A91" s="13" t="s">
        <v>231</v>
      </c>
      <c r="B91" s="57">
        <f>jalons!B91</f>
        <v>0</v>
      </c>
      <c r="C91" s="57">
        <f>jalons!C91</f>
        <v>0</v>
      </c>
      <c r="D91" s="83"/>
      <c r="E91" s="9" t="str">
        <f>IF($A91="","",INDEX(jalons!$A$7:$K$125,MATCH('Suivi livrables'!$A91,jalons!$A$7:$A$125,0),4))</f>
        <v>manque date</v>
      </c>
      <c r="F91" s="10" t="str">
        <f>IF($A91="","",INDEX(jalons!$A$7:$K$125,MATCH('Suivi livrables'!$A91,jalons!$A$7:$A$125,0),5))</f>
        <v>manque date</v>
      </c>
      <c r="G91" s="10" t="str">
        <f>IF($A91="","",INDEX(jalons!$A$7:$K$125,MATCH('Suivi livrables'!$A91,jalons!$A$7:$A$125,0),6))</f>
        <v>manque date</v>
      </c>
      <c r="H91" s="10" t="str">
        <f>IF($A91="","",INDEX(jalons!$A$7:$K$125,MATCH('Suivi livrables'!$A91,jalons!$A$7:$A$125,0),7))</f>
        <v>manque date</v>
      </c>
      <c r="I91" s="10" t="str">
        <f>IF($A91="","",INDEX(jalons!$A$7:$K$125,MATCH('Suivi livrables'!$A91,jalons!$A$7:$A$125,0),8))</f>
        <v>manque date</v>
      </c>
      <c r="J91" s="10" t="str">
        <f>IF($A91="","",INDEX(jalons!$A$7:$K$125,MATCH('Suivi livrables'!$A91,jalons!$A$7:$A$125,0),9))</f>
        <v>manque date</v>
      </c>
      <c r="K91" s="10" t="str">
        <f>IF($A91="","",INDEX(jalons!$A$7:$K$125,MATCH('Suivi livrables'!$A91,jalons!$A$7:$A$125,0),10))</f>
        <v>manque date</v>
      </c>
      <c r="L91" s="10" t="str">
        <f>IF($A91="","",INDEX(jalons!$A$7:$K$125,MATCH('Suivi livrables'!$A91,jalons!$A$7:$A$125,0),11))</f>
        <v>manque date</v>
      </c>
      <c r="M91" s="14"/>
      <c r="N91" s="47"/>
      <c r="O91" s="49"/>
      <c r="P91" s="50"/>
      <c r="Q91" s="50"/>
      <c r="R91" s="50"/>
      <c r="S91" s="50"/>
      <c r="T91" s="50"/>
      <c r="U91" s="50"/>
      <c r="V91" s="50"/>
      <c r="W91" s="50"/>
      <c r="X91" s="50"/>
      <c r="Y91" s="48"/>
      <c r="Z91" s="48"/>
      <c r="AA91" s="50"/>
      <c r="AB91" s="94"/>
      <c r="AC91" s="48"/>
      <c r="AD91" s="128"/>
      <c r="AE91" s="132"/>
      <c r="AF91" s="50"/>
      <c r="AG91" s="48"/>
      <c r="AH91" s="50"/>
      <c r="AI91" s="48"/>
      <c r="AJ91" s="50"/>
      <c r="AK91" s="48"/>
      <c r="AL91" s="50"/>
      <c r="AM91" s="48"/>
      <c r="AN91" s="140"/>
      <c r="AO91" s="133"/>
      <c r="AP91" s="140"/>
      <c r="AQ91" s="132"/>
      <c r="AR91" s="133"/>
      <c r="AS91" s="140"/>
      <c r="AT91" s="132"/>
      <c r="AU91" s="149"/>
      <c r="AV91" s="149"/>
      <c r="AW91" s="132"/>
      <c r="AX91" s="149"/>
      <c r="AY91" s="149"/>
      <c r="AZ91" s="132"/>
      <c r="BA91" s="149"/>
      <c r="BB91" s="149"/>
      <c r="BC91" s="149"/>
      <c r="BD91" s="149"/>
      <c r="BE91" s="133"/>
      <c r="BF91" s="49"/>
      <c r="BG91" s="94"/>
      <c r="BH91" s="96" t="e">
        <f t="shared" si="67"/>
        <v>#VALUE!</v>
      </c>
      <c r="BI91" s="117"/>
      <c r="BJ91" s="119" t="e">
        <f t="shared" si="68"/>
        <v>#VALUE!</v>
      </c>
      <c r="BK91" s="117"/>
      <c r="BL91" s="121" t="str">
        <f t="shared" si="69"/>
        <v>N/A</v>
      </c>
      <c r="BM91" s="121" t="str">
        <f>IF(G91=0,0,IF('Suivi livrables'!BE91="ZSFR",IF(G91-F91&lt;90,F91+7,G91-90),"N/A"))</f>
        <v>N/A</v>
      </c>
      <c r="BN91" s="117"/>
      <c r="BO91" s="121" t="str">
        <f>IF(G91=0,0,IF('Suivi livrables'!BE91="ZSFR",IF(L91=0,I91-45,L91-4),"N/A"))</f>
        <v>N/A</v>
      </c>
      <c r="BP91" s="117"/>
      <c r="BQ91" s="121" t="e">
        <f t="shared" si="70"/>
        <v>#VALUE!</v>
      </c>
      <c r="BR91" s="121" t="e">
        <f t="shared" si="71"/>
        <v>#VALUE!</v>
      </c>
      <c r="BS91" s="117"/>
      <c r="BT91" s="121" t="str">
        <f>IF(G91=0,0,IF(AND('Suivi livrables'!P91=0,'Suivi livrables'!R91=0,'Suivi livrables'!T91=0,'Suivi livrables'!V91=0,'Suivi livrables'!X91=0,'Suivi livrables'!AD91=0),"N/A",#REF!-77))</f>
        <v>N/A</v>
      </c>
      <c r="BU91" s="121" t="str">
        <f>IF(G91=0,0,IF(AND('Suivi livrables'!P91=0,'Suivi livrables'!R91=0,'Suivi livrables'!T91=0,'Suivi livrables'!V91=0,'Suivi livrables'!X91=0,'Suivi livrables'!AD91=0),"N/A",#REF!-21))</f>
        <v>N/A</v>
      </c>
      <c r="BV91" s="117"/>
      <c r="BW91" s="97"/>
      <c r="BX91" s="102"/>
      <c r="BY91" s="117" t="str">
        <f t="shared" si="85"/>
        <v/>
      </c>
      <c r="BZ91" s="117" t="str">
        <f t="shared" si="86"/>
        <v/>
      </c>
      <c r="CA91" s="117" t="str">
        <f t="shared" si="87"/>
        <v/>
      </c>
      <c r="CB91" s="117" t="str">
        <f t="shared" si="88"/>
        <v/>
      </c>
      <c r="CC91" s="117" t="str">
        <f t="shared" si="89"/>
        <v/>
      </c>
      <c r="CD91" s="117" t="str">
        <f t="shared" si="90"/>
        <v/>
      </c>
      <c r="CE91" s="117" t="str">
        <f t="shared" si="91"/>
        <v/>
      </c>
      <c r="CF91" s="117" t="str">
        <f t="shared" si="92"/>
        <v/>
      </c>
      <c r="CG91" s="117" t="str">
        <f t="shared" si="93"/>
        <v/>
      </c>
      <c r="CH91" s="117" t="str">
        <f t="shared" si="94"/>
        <v/>
      </c>
      <c r="CI91" s="117" t="str">
        <f t="shared" si="95"/>
        <v/>
      </c>
      <c r="CJ91" s="117" t="str">
        <f t="shared" si="96"/>
        <v/>
      </c>
      <c r="CK91" s="117" t="str">
        <f t="shared" si="97"/>
        <v/>
      </c>
      <c r="CL91" s="117" t="str">
        <f t="shared" si="98"/>
        <v/>
      </c>
      <c r="CM91" s="117" t="str">
        <f t="shared" si="99"/>
        <v/>
      </c>
      <c r="CN91" s="117" t="str">
        <f t="shared" si="100"/>
        <v/>
      </c>
      <c r="CO91" s="121" t="e">
        <f t="shared" si="72"/>
        <v>#VALUE!</v>
      </c>
      <c r="CP91" s="117"/>
      <c r="CQ91" s="121" t="e">
        <f t="shared" si="73"/>
        <v>#VALUE!</v>
      </c>
      <c r="CR91" s="117"/>
      <c r="CS91" s="121" t="e">
        <f t="shared" si="74"/>
        <v>#VALUE!</v>
      </c>
      <c r="CT91" s="121" t="e">
        <f t="shared" si="75"/>
        <v>#VALUE!</v>
      </c>
      <c r="CU91" s="121" t="e">
        <f t="shared" si="76"/>
        <v>#VALUE!</v>
      </c>
      <c r="CV91" s="117"/>
      <c r="CW91" s="121" t="e">
        <f t="shared" si="77"/>
        <v>#VALUE!</v>
      </c>
      <c r="CX91" s="117"/>
      <c r="CY91" s="121" t="e">
        <f t="shared" si="78"/>
        <v>#VALUE!</v>
      </c>
      <c r="CZ91" s="117"/>
      <c r="DA91" s="121" t="e">
        <f t="shared" si="79"/>
        <v>#VALUE!</v>
      </c>
      <c r="DB91" s="121" t="e">
        <f t="shared" si="80"/>
        <v>#VALUE!</v>
      </c>
      <c r="DC91" s="121" t="e">
        <f t="shared" si="81"/>
        <v>#VALUE!</v>
      </c>
      <c r="DD91" s="117"/>
      <c r="DE91" s="125" t="e">
        <f t="shared" si="82"/>
        <v>#VALUE!</v>
      </c>
      <c r="DF91" s="124"/>
      <c r="DG91" s="125" t="e">
        <f t="shared" si="101"/>
        <v>#VALUE!</v>
      </c>
      <c r="DH91" s="124"/>
      <c r="DI91" s="125" t="e">
        <f t="shared" si="83"/>
        <v>#VALUE!</v>
      </c>
      <c r="DJ91" s="124"/>
      <c r="DK91" s="125" t="e">
        <f t="shared" si="84"/>
        <v>#VALUE!</v>
      </c>
      <c r="DL91" s="124"/>
      <c r="DM91" s="117"/>
      <c r="DN91" s="124"/>
      <c r="DO91" s="117"/>
    </row>
    <row r="92" spans="1:119" ht="15.75" thickBot="1">
      <c r="A92" s="25" t="s">
        <v>269</v>
      </c>
      <c r="B92" s="57" t="str">
        <f>jalons!B92</f>
        <v>URAL AIRLINES</v>
      </c>
      <c r="C92" s="57" t="str">
        <f>jalons!C92</f>
        <v>A320-A321</v>
      </c>
      <c r="D92" s="82" t="s">
        <v>252</v>
      </c>
      <c r="E92" s="9">
        <f>IF($A92="","",INDEX(jalons!$A$7:$K$125,MATCH('Suivi livrables'!$A92,jalons!$A$7:$A$125,0),4))</f>
        <v>42333</v>
      </c>
      <c r="F92" s="10" t="str">
        <f>IF($A92="","",INDEX(jalons!$A$7:$K$125,MATCH('Suivi livrables'!$A92,jalons!$A$7:$A$125,0),5))</f>
        <v>manque date</v>
      </c>
      <c r="G92" s="10" t="str">
        <f>IF($A92="","",INDEX(jalons!$A$7:$K$125,MATCH('Suivi livrables'!$A92,jalons!$A$7:$A$125,0),6))</f>
        <v>manque date</v>
      </c>
      <c r="H92" s="10" t="str">
        <f>IF($A92="","",INDEX(jalons!$A$7:$K$125,MATCH('Suivi livrables'!$A92,jalons!$A$7:$A$125,0),7))</f>
        <v>manque date</v>
      </c>
      <c r="I92" s="10" t="str">
        <f>IF($A92="","",INDEX(jalons!$A$7:$K$125,MATCH('Suivi livrables'!$A92,jalons!$A$7:$A$125,0),8))</f>
        <v>manque date</v>
      </c>
      <c r="J92" s="10">
        <f>IF($A92="","",INDEX(jalons!$A$7:$K$125,MATCH('Suivi livrables'!$A92,jalons!$A$7:$A$125,0),9))</f>
        <v>42456</v>
      </c>
      <c r="K92" s="10" t="str">
        <f>IF($A92="","",INDEX(jalons!$A$7:$K$125,MATCH('Suivi livrables'!$A92,jalons!$A$7:$A$125,0),10))</f>
        <v>manque date</v>
      </c>
      <c r="L92" s="10" t="str">
        <f>IF($A92="","",INDEX(jalons!$A$7:$K$125,MATCH('Suivi livrables'!$A92,jalons!$A$7:$A$125,0),11))</f>
        <v>manque date</v>
      </c>
      <c r="M92" s="14"/>
      <c r="N92" s="47"/>
      <c r="O92" s="47"/>
      <c r="P92" s="48"/>
      <c r="Q92" s="48"/>
      <c r="R92" s="48"/>
      <c r="S92" s="48"/>
      <c r="T92" s="48"/>
      <c r="U92" s="48"/>
      <c r="V92" s="48"/>
      <c r="W92" s="48"/>
      <c r="X92" s="48"/>
      <c r="Y92" s="48"/>
      <c r="Z92" s="48"/>
      <c r="AA92" s="48"/>
      <c r="AB92" s="93"/>
      <c r="AC92" s="48"/>
      <c r="AD92" s="127"/>
      <c r="AE92" s="132"/>
      <c r="AF92" s="48"/>
      <c r="AG92" s="48"/>
      <c r="AH92" s="48"/>
      <c r="AI92" s="48"/>
      <c r="AJ92" s="48"/>
      <c r="AK92" s="48"/>
      <c r="AL92" s="48"/>
      <c r="AM92" s="48"/>
      <c r="AN92" s="132"/>
      <c r="AO92" s="133"/>
      <c r="AP92" s="132"/>
      <c r="AQ92" s="132"/>
      <c r="AR92" s="133"/>
      <c r="AS92" s="132"/>
      <c r="AT92" s="132"/>
      <c r="AU92" s="139"/>
      <c r="AV92" s="139"/>
      <c r="AW92" s="132"/>
      <c r="AX92" s="139"/>
      <c r="AY92" s="139"/>
      <c r="AZ92" s="132"/>
      <c r="BA92" s="139"/>
      <c r="BB92" s="139"/>
      <c r="BC92" s="139"/>
      <c r="BD92" s="139"/>
      <c r="BE92" s="133"/>
      <c r="BF92" s="47"/>
      <c r="BG92" s="93"/>
      <c r="BH92" s="96" t="e">
        <f t="shared" si="67"/>
        <v>#VALUE!</v>
      </c>
      <c r="BI92" s="117"/>
      <c r="BJ92" s="119" t="e">
        <f t="shared" si="68"/>
        <v>#VALUE!</v>
      </c>
      <c r="BK92" s="117"/>
      <c r="BL92" s="121" t="str">
        <f t="shared" si="69"/>
        <v>N/A</v>
      </c>
      <c r="BM92" s="121" t="str">
        <f>IF(G92=0,0,IF('Suivi livrables'!BE92="ZSFR",IF(G92-F92&lt;90,F92+7,G92-90),"N/A"))</f>
        <v>N/A</v>
      </c>
      <c r="BN92" s="117"/>
      <c r="BO92" s="121" t="str">
        <f>IF(G92=0,0,IF('Suivi livrables'!BE92="ZSFR",IF(L92=0,I92-45,L92-4),"N/A"))</f>
        <v>N/A</v>
      </c>
      <c r="BP92" s="117"/>
      <c r="BQ92" s="121" t="e">
        <f t="shared" si="70"/>
        <v>#VALUE!</v>
      </c>
      <c r="BR92" s="121" t="e">
        <f t="shared" si="71"/>
        <v>#VALUE!</v>
      </c>
      <c r="BS92" s="117"/>
      <c r="BT92" s="121" t="str">
        <f>IF(G92=0,0,IF(AND('Suivi livrables'!P92=0,'Suivi livrables'!R92=0,'Suivi livrables'!T92=0,'Suivi livrables'!V92=0,'Suivi livrables'!X92=0,'Suivi livrables'!AD92=0),"N/A",#REF!-77))</f>
        <v>N/A</v>
      </c>
      <c r="BU92" s="121" t="str">
        <f>IF(G92=0,0,IF(AND('Suivi livrables'!P92=0,'Suivi livrables'!R92=0,'Suivi livrables'!T92=0,'Suivi livrables'!V92=0,'Suivi livrables'!X92=0,'Suivi livrables'!AD92=0),"N/A",#REF!-21))</f>
        <v>N/A</v>
      </c>
      <c r="BV92" s="117"/>
      <c r="BW92" s="97"/>
      <c r="BX92" s="102"/>
      <c r="BY92" s="117" t="str">
        <f t="shared" si="85"/>
        <v/>
      </c>
      <c r="BZ92" s="117" t="str">
        <f t="shared" si="86"/>
        <v/>
      </c>
      <c r="CA92" s="117" t="str">
        <f t="shared" si="87"/>
        <v/>
      </c>
      <c r="CB92" s="117" t="str">
        <f t="shared" si="88"/>
        <v/>
      </c>
      <c r="CC92" s="117" t="str">
        <f t="shared" si="89"/>
        <v/>
      </c>
      <c r="CD92" s="117" t="str">
        <f t="shared" si="90"/>
        <v/>
      </c>
      <c r="CE92" s="117" t="str">
        <f t="shared" si="91"/>
        <v/>
      </c>
      <c r="CF92" s="117" t="str">
        <f t="shared" si="92"/>
        <v/>
      </c>
      <c r="CG92" s="117" t="str">
        <f t="shared" si="93"/>
        <v/>
      </c>
      <c r="CH92" s="117" t="str">
        <f t="shared" si="94"/>
        <v/>
      </c>
      <c r="CI92" s="117" t="str">
        <f t="shared" si="95"/>
        <v/>
      </c>
      <c r="CJ92" s="117" t="str">
        <f t="shared" si="96"/>
        <v/>
      </c>
      <c r="CK92" s="117" t="str">
        <f t="shared" si="97"/>
        <v/>
      </c>
      <c r="CL92" s="117" t="str">
        <f t="shared" si="98"/>
        <v/>
      </c>
      <c r="CM92" s="117" t="str">
        <f t="shared" si="99"/>
        <v/>
      </c>
      <c r="CN92" s="117" t="str">
        <f t="shared" si="100"/>
        <v/>
      </c>
      <c r="CO92" s="121" t="e">
        <f t="shared" si="72"/>
        <v>#VALUE!</v>
      </c>
      <c r="CP92" s="117"/>
      <c r="CQ92" s="121" t="e">
        <f t="shared" si="73"/>
        <v>#VALUE!</v>
      </c>
      <c r="CR92" s="117"/>
      <c r="CS92" s="121" t="e">
        <f t="shared" si="74"/>
        <v>#VALUE!</v>
      </c>
      <c r="CT92" s="121" t="e">
        <f t="shared" si="75"/>
        <v>#VALUE!</v>
      </c>
      <c r="CU92" s="121" t="e">
        <f t="shared" si="76"/>
        <v>#VALUE!</v>
      </c>
      <c r="CV92" s="117"/>
      <c r="CW92" s="121" t="e">
        <f t="shared" si="77"/>
        <v>#VALUE!</v>
      </c>
      <c r="CX92" s="117"/>
      <c r="CY92" s="121" t="e">
        <f t="shared" si="78"/>
        <v>#VALUE!</v>
      </c>
      <c r="CZ92" s="117"/>
      <c r="DA92" s="121" t="e">
        <f t="shared" si="79"/>
        <v>#VALUE!</v>
      </c>
      <c r="DB92" s="121" t="e">
        <f t="shared" si="80"/>
        <v>#VALUE!</v>
      </c>
      <c r="DC92" s="121" t="e">
        <f t="shared" si="81"/>
        <v>#VALUE!</v>
      </c>
      <c r="DD92" s="117"/>
      <c r="DE92" s="125" t="e">
        <f t="shared" si="82"/>
        <v>#VALUE!</v>
      </c>
      <c r="DF92" s="124"/>
      <c r="DG92" s="125" t="e">
        <f t="shared" si="101"/>
        <v>#VALUE!</v>
      </c>
      <c r="DH92" s="124"/>
      <c r="DI92" s="125" t="e">
        <f t="shared" si="83"/>
        <v>#VALUE!</v>
      </c>
      <c r="DJ92" s="124"/>
      <c r="DK92" s="125" t="e">
        <f t="shared" si="84"/>
        <v>#VALUE!</v>
      </c>
      <c r="DL92" s="124"/>
      <c r="DM92" s="117"/>
      <c r="DN92" s="124"/>
      <c r="DO92" s="117"/>
    </row>
    <row r="93" spans="1:119" ht="15.75" thickBot="1">
      <c r="A93" s="13" t="s">
        <v>270</v>
      </c>
      <c r="B93" s="57" t="str">
        <f>jalons!B93</f>
        <v>Airbus Defence &amp; Space MRTT (Korea Army)</v>
      </c>
      <c r="C93" s="57" t="str">
        <f>jalons!C93</f>
        <v>B787</v>
      </c>
      <c r="D93" s="83"/>
      <c r="E93" s="9">
        <f>IF($A93="","",INDEX(jalons!$A$7:$K$125,MATCH('Suivi livrables'!$A93,jalons!$A$7:$A$125,0),4))</f>
        <v>42338</v>
      </c>
      <c r="F93" s="10">
        <f>IF($A93="","",INDEX(jalons!$A$7:$K$125,MATCH('Suivi livrables'!$A93,jalons!$A$7:$A$125,0),5))</f>
        <v>42396</v>
      </c>
      <c r="G93" s="10">
        <f>IF($A93="","",INDEX(jalons!$A$7:$K$125,MATCH('Suivi livrables'!$A93,jalons!$A$7:$A$125,0),6))</f>
        <v>42452</v>
      </c>
      <c r="H93" s="10">
        <f>IF($A93="","",INDEX(jalons!$A$7:$K$125,MATCH('Suivi livrables'!$A93,jalons!$A$7:$A$125,0),7))</f>
        <v>42661</v>
      </c>
      <c r="I93" s="10">
        <f>IF($A93="","",INDEX(jalons!$A$7:$K$125,MATCH('Suivi livrables'!$A93,jalons!$A$7:$A$125,0),8))</f>
        <v>42668</v>
      </c>
      <c r="J93" s="10">
        <f>IF($A93="","",INDEX(jalons!$A$7:$K$125,MATCH('Suivi livrables'!$A93,jalons!$A$7:$A$125,0),9))</f>
        <v>42765</v>
      </c>
      <c r="K93" s="10">
        <f>IF($A93="","",INDEX(jalons!$A$7:$K$125,MATCH('Suivi livrables'!$A93,jalons!$A$7:$A$125,0),10))</f>
        <v>42472</v>
      </c>
      <c r="L93" s="10" t="str">
        <f>IF($A93="","",INDEX(jalons!$A$7:$K$125,MATCH('Suivi livrables'!$A93,jalons!$A$7:$A$125,0),11))</f>
        <v>manque date</v>
      </c>
      <c r="M93" s="14"/>
      <c r="N93" s="47" t="s">
        <v>271</v>
      </c>
      <c r="O93" s="49" t="s">
        <v>67</v>
      </c>
      <c r="P93" s="50"/>
      <c r="Q93" s="50" t="s">
        <v>76</v>
      </c>
      <c r="R93" s="50"/>
      <c r="S93" s="50" t="s">
        <v>139</v>
      </c>
      <c r="T93" s="50"/>
      <c r="U93" s="50" t="s">
        <v>76</v>
      </c>
      <c r="V93" s="50"/>
      <c r="W93" s="50"/>
      <c r="X93" s="50"/>
      <c r="Y93" s="48"/>
      <c r="Z93" s="48"/>
      <c r="AA93" s="50"/>
      <c r="AB93" s="94"/>
      <c r="AC93" s="48"/>
      <c r="AD93" s="128"/>
      <c r="AE93" s="132"/>
      <c r="AF93" s="50"/>
      <c r="AG93" s="48"/>
      <c r="AH93" s="50"/>
      <c r="AI93" s="48"/>
      <c r="AJ93" s="50"/>
      <c r="AK93" s="48"/>
      <c r="AL93" s="50"/>
      <c r="AM93" s="48"/>
      <c r="AN93" s="140"/>
      <c r="AO93" s="133"/>
      <c r="AP93" s="140"/>
      <c r="AQ93" s="132"/>
      <c r="AR93" s="133"/>
      <c r="AS93" s="140"/>
      <c r="AT93" s="132"/>
      <c r="AU93" s="149"/>
      <c r="AV93" s="149"/>
      <c r="AW93" s="132"/>
      <c r="AX93" s="149"/>
      <c r="AY93" s="149"/>
      <c r="AZ93" s="132"/>
      <c r="BA93" s="149"/>
      <c r="BB93" s="149"/>
      <c r="BC93" s="149"/>
      <c r="BD93" s="149"/>
      <c r="BE93" s="133" t="s">
        <v>68</v>
      </c>
      <c r="BF93" s="49"/>
      <c r="BG93" s="94"/>
      <c r="BH93" s="96">
        <f t="shared" si="67"/>
        <v>42375</v>
      </c>
      <c r="BI93" s="117"/>
      <c r="BJ93" s="119">
        <f t="shared" si="68"/>
        <v>42431</v>
      </c>
      <c r="BK93" s="117"/>
      <c r="BL93" s="121">
        <f t="shared" si="69"/>
        <v>42353</v>
      </c>
      <c r="BM93" s="121">
        <f>IF(G93=0,0,IF('Suivi livrables'!BE93="ZSFR",IF(G93-F93&lt;90,F93+7,G93-90),"N/A"))</f>
        <v>42403</v>
      </c>
      <c r="BN93" s="117"/>
      <c r="BO93" s="121" t="e">
        <f>IF(G93=0,0,IF('Suivi livrables'!BE93="ZSFR",IF(L93=0,I93-45,L93-4),"N/A"))</f>
        <v>#VALUE!</v>
      </c>
      <c r="BP93" s="117"/>
      <c r="BQ93" s="121" t="str">
        <f t="shared" si="70"/>
        <v>N/A</v>
      </c>
      <c r="BR93" s="121" t="str">
        <f t="shared" si="71"/>
        <v>N/A</v>
      </c>
      <c r="BS93" s="117"/>
      <c r="BT93" s="121" t="str">
        <f>IF(G93=0,0,IF(AND('Suivi livrables'!P93=0,'Suivi livrables'!R93=0,'Suivi livrables'!T93=0,'Suivi livrables'!V93=0,'Suivi livrables'!X93=0,'Suivi livrables'!AD93=0),"N/A",#REF!-77))</f>
        <v>N/A</v>
      </c>
      <c r="BU93" s="121" t="str">
        <f>IF(G93=0,0,IF(AND('Suivi livrables'!P93=0,'Suivi livrables'!R93=0,'Suivi livrables'!T93=0,'Suivi livrables'!V93=0,'Suivi livrables'!X93=0,'Suivi livrables'!AD93=0),"N/A",#REF!-21))</f>
        <v>N/A</v>
      </c>
      <c r="BV93" s="117"/>
      <c r="BW93" s="97"/>
      <c r="BX93" s="102"/>
      <c r="BY93" s="117" t="str">
        <f t="shared" si="85"/>
        <v>Franklin</v>
      </c>
      <c r="BZ93" s="117" t="str">
        <f t="shared" si="86"/>
        <v/>
      </c>
      <c r="CA93" s="117" t="str">
        <f t="shared" si="87"/>
        <v>Neotex</v>
      </c>
      <c r="CB93" s="117" t="str">
        <f t="shared" si="88"/>
        <v/>
      </c>
      <c r="CC93" s="117" t="str">
        <f t="shared" si="89"/>
        <v>Custom Product</v>
      </c>
      <c r="CD93" s="117" t="str">
        <f t="shared" si="90"/>
        <v/>
      </c>
      <c r="CE93" s="117" t="str">
        <f t="shared" si="91"/>
        <v>Neotex</v>
      </c>
      <c r="CF93" s="117" t="str">
        <f t="shared" si="92"/>
        <v/>
      </c>
      <c r="CG93" s="117" t="str">
        <f t="shared" si="93"/>
        <v/>
      </c>
      <c r="CH93" s="117" t="str">
        <f t="shared" si="94"/>
        <v/>
      </c>
      <c r="CI93" s="117" t="str">
        <f t="shared" si="95"/>
        <v/>
      </c>
      <c r="CJ93" s="117" t="str">
        <f t="shared" si="96"/>
        <v/>
      </c>
      <c r="CK93" s="117" t="str">
        <f t="shared" si="97"/>
        <v/>
      </c>
      <c r="CL93" s="117" t="str">
        <f t="shared" si="98"/>
        <v/>
      </c>
      <c r="CM93" s="117" t="str">
        <f t="shared" si="99"/>
        <v/>
      </c>
      <c r="CN93" s="117" t="str">
        <f t="shared" si="100"/>
        <v/>
      </c>
      <c r="CO93" s="121">
        <f t="shared" si="72"/>
        <v>42375</v>
      </c>
      <c r="CP93" s="117"/>
      <c r="CQ93" s="121">
        <f t="shared" si="73"/>
        <v>42375</v>
      </c>
      <c r="CR93" s="117"/>
      <c r="CS93" s="121">
        <f t="shared" si="74"/>
        <v>42417</v>
      </c>
      <c r="CT93" s="121">
        <f t="shared" si="75"/>
        <v>42431</v>
      </c>
      <c r="CU93" s="121">
        <f t="shared" si="76"/>
        <v>42403</v>
      </c>
      <c r="CV93" s="117"/>
      <c r="CW93" s="121">
        <f t="shared" si="77"/>
        <v>42417</v>
      </c>
      <c r="CX93" s="117"/>
      <c r="CY93" s="121">
        <f t="shared" si="78"/>
        <v>42424</v>
      </c>
      <c r="CZ93" s="117"/>
      <c r="DA93" s="121">
        <f t="shared" si="79"/>
        <v>42431</v>
      </c>
      <c r="DB93" s="121">
        <f t="shared" si="80"/>
        <v>42480</v>
      </c>
      <c r="DC93" s="121">
        <f t="shared" si="81"/>
        <v>42480</v>
      </c>
      <c r="DD93" s="117"/>
      <c r="DE93" s="125">
        <f t="shared" si="82"/>
        <v>42351</v>
      </c>
      <c r="DF93" s="124"/>
      <c r="DG93" s="125">
        <f t="shared" si="101"/>
        <v>42351</v>
      </c>
      <c r="DH93" s="124"/>
      <c r="DI93" s="125">
        <f t="shared" si="83"/>
        <v>42411</v>
      </c>
      <c r="DJ93" s="124"/>
      <c r="DK93" s="125">
        <f t="shared" si="84"/>
        <v>42396</v>
      </c>
      <c r="DL93" s="124"/>
      <c r="DM93" s="117"/>
      <c r="DN93" s="124"/>
      <c r="DO93" s="117"/>
    </row>
    <row r="94" spans="1:119" ht="15.75" thickBot="1">
      <c r="A94" s="13"/>
      <c r="B94" s="57" t="str">
        <f>jalons!B94</f>
        <v/>
      </c>
      <c r="C94" s="57" t="str">
        <f>jalons!C94</f>
        <v/>
      </c>
      <c r="D94" s="83"/>
      <c r="E94" s="9" t="str">
        <f>IF($A94="","",INDEX(jalons!$A$7:$K$125,MATCH('Suivi livrables'!$A94,jalons!$A$7:$A$125,0),4))</f>
        <v/>
      </c>
      <c r="F94" s="10" t="str">
        <f>IF($A94="","",INDEX(jalons!$A$7:$K$125,MATCH('Suivi livrables'!$A94,jalons!$A$7:$A$125,0),5))</f>
        <v/>
      </c>
      <c r="G94" s="10" t="str">
        <f>IF($A94="","",INDEX(jalons!$A$7:$K$125,MATCH('Suivi livrables'!$A94,jalons!$A$7:$A$125,0),6))</f>
        <v/>
      </c>
      <c r="H94" s="10" t="str">
        <f>IF($A94="","",INDEX(jalons!$A$7:$K$125,MATCH('Suivi livrables'!$A94,jalons!$A$7:$A$125,0),7))</f>
        <v/>
      </c>
      <c r="I94" s="10" t="str">
        <f>IF($A94="","",INDEX(jalons!$A$7:$K$125,MATCH('Suivi livrables'!$A94,jalons!$A$7:$A$125,0),8))</f>
        <v/>
      </c>
      <c r="J94" s="10" t="str">
        <f>IF($A94="","",INDEX(jalons!$A$7:$K$125,MATCH('Suivi livrables'!$A94,jalons!$A$7:$A$125,0),9))</f>
        <v/>
      </c>
      <c r="K94" s="10" t="str">
        <f>IF($A94="","",INDEX(jalons!$A$7:$K$125,MATCH('Suivi livrables'!$A94,jalons!$A$7:$A$125,0),10))</f>
        <v/>
      </c>
      <c r="L94" s="10" t="str">
        <f>IF($A94="","",INDEX(jalons!$A$7:$K$125,MATCH('Suivi livrables'!$A94,jalons!$A$7:$A$125,0),11))</f>
        <v/>
      </c>
      <c r="M94" s="14"/>
      <c r="N94" s="47"/>
      <c r="O94" s="49"/>
      <c r="P94" s="50"/>
      <c r="Q94" s="50"/>
      <c r="R94" s="50"/>
      <c r="S94" s="50"/>
      <c r="T94" s="50"/>
      <c r="U94" s="50"/>
      <c r="V94" s="50"/>
      <c r="W94" s="50"/>
      <c r="X94" s="50"/>
      <c r="Y94" s="48"/>
      <c r="Z94" s="48"/>
      <c r="AA94" s="50"/>
      <c r="AB94" s="94"/>
      <c r="AC94" s="48"/>
      <c r="AD94" s="128"/>
      <c r="AE94" s="132"/>
      <c r="AF94" s="50"/>
      <c r="AG94" s="48"/>
      <c r="AH94" s="50"/>
      <c r="AI94" s="48"/>
      <c r="AJ94" s="50"/>
      <c r="AK94" s="48"/>
      <c r="AL94" s="50"/>
      <c r="AM94" s="48"/>
      <c r="AN94" s="140"/>
      <c r="AO94" s="133"/>
      <c r="AP94" s="140"/>
      <c r="AQ94" s="132"/>
      <c r="AR94" s="133"/>
      <c r="AS94" s="140"/>
      <c r="AT94" s="132"/>
      <c r="AU94" s="149"/>
      <c r="AV94" s="149"/>
      <c r="AW94" s="132"/>
      <c r="AX94" s="149"/>
      <c r="AY94" s="149"/>
      <c r="AZ94" s="132"/>
      <c r="BA94" s="149"/>
      <c r="BB94" s="149"/>
      <c r="BC94" s="149"/>
      <c r="BD94" s="149"/>
      <c r="BE94" s="133"/>
      <c r="BF94" s="49"/>
      <c r="BG94" s="94"/>
      <c r="BH94" s="96"/>
      <c r="BI94" s="117"/>
      <c r="BJ94" s="119"/>
      <c r="BK94" s="117"/>
      <c r="BL94" s="117"/>
      <c r="BM94" s="117"/>
      <c r="BN94" s="117"/>
      <c r="BO94" s="117"/>
      <c r="BP94" s="117"/>
      <c r="BQ94" s="117"/>
      <c r="BR94" s="117"/>
      <c r="BS94" s="117"/>
      <c r="BT94" s="117"/>
      <c r="BU94" s="117"/>
      <c r="BV94" s="117"/>
      <c r="BW94" s="97"/>
      <c r="BX94" s="102"/>
      <c r="BY94" s="117" t="str">
        <f t="shared" si="85"/>
        <v/>
      </c>
      <c r="BZ94" s="117" t="str">
        <f t="shared" si="86"/>
        <v/>
      </c>
      <c r="CA94" s="117" t="str">
        <f t="shared" si="87"/>
        <v/>
      </c>
      <c r="CB94" s="117" t="str">
        <f t="shared" si="88"/>
        <v/>
      </c>
      <c r="CC94" s="117" t="str">
        <f t="shared" si="89"/>
        <v/>
      </c>
      <c r="CD94" s="117" t="str">
        <f t="shared" si="90"/>
        <v/>
      </c>
      <c r="CE94" s="117" t="str">
        <f t="shared" si="91"/>
        <v/>
      </c>
      <c r="CF94" s="117" t="str">
        <f t="shared" si="92"/>
        <v/>
      </c>
      <c r="CG94" s="117" t="str">
        <f t="shared" si="93"/>
        <v/>
      </c>
      <c r="CH94" s="117" t="str">
        <f t="shared" si="94"/>
        <v/>
      </c>
      <c r="CI94" s="117" t="str">
        <f t="shared" si="95"/>
        <v/>
      </c>
      <c r="CJ94" s="117" t="str">
        <f t="shared" si="96"/>
        <v/>
      </c>
      <c r="CK94" s="117" t="str">
        <f t="shared" si="97"/>
        <v/>
      </c>
      <c r="CL94" s="117" t="str">
        <f t="shared" si="98"/>
        <v/>
      </c>
      <c r="CM94" s="117" t="str">
        <f t="shared" si="99"/>
        <v/>
      </c>
      <c r="CN94" s="117" t="str">
        <f t="shared" si="100"/>
        <v/>
      </c>
      <c r="CO94" s="121" t="str">
        <f t="shared" si="72"/>
        <v/>
      </c>
      <c r="CP94" s="117"/>
      <c r="CQ94" s="121" t="str">
        <f t="shared" si="73"/>
        <v/>
      </c>
      <c r="CR94" s="117"/>
      <c r="CS94" s="121" t="str">
        <f t="shared" si="74"/>
        <v/>
      </c>
      <c r="CT94" s="121" t="str">
        <f t="shared" si="75"/>
        <v/>
      </c>
      <c r="CU94" s="121" t="str">
        <f t="shared" si="76"/>
        <v/>
      </c>
      <c r="CV94" s="117"/>
      <c r="CW94" s="121" t="str">
        <f t="shared" si="77"/>
        <v/>
      </c>
      <c r="CX94" s="117"/>
      <c r="CY94" s="121" t="str">
        <f t="shared" si="78"/>
        <v/>
      </c>
      <c r="CZ94" s="117"/>
      <c r="DA94" s="121" t="str">
        <f t="shared" si="79"/>
        <v/>
      </c>
      <c r="DB94" s="121" t="str">
        <f t="shared" si="80"/>
        <v/>
      </c>
      <c r="DC94" s="121" t="str">
        <f t="shared" si="81"/>
        <v/>
      </c>
      <c r="DD94" s="117"/>
      <c r="DE94" s="125"/>
      <c r="DF94" s="124"/>
      <c r="DG94" s="121"/>
      <c r="DH94" s="124"/>
      <c r="DI94" s="125"/>
      <c r="DJ94" s="124"/>
      <c r="DK94" s="117"/>
      <c r="DL94" s="124"/>
      <c r="DM94" s="117"/>
      <c r="DN94" s="124"/>
      <c r="DO94" s="117"/>
    </row>
    <row r="95" spans="1:119" ht="15.75" thickBot="1">
      <c r="A95" s="13"/>
      <c r="B95" s="57" t="str">
        <f>jalons!B95</f>
        <v/>
      </c>
      <c r="C95" s="57" t="str">
        <f>jalons!C95</f>
        <v/>
      </c>
      <c r="D95" s="83"/>
      <c r="E95" s="9" t="str">
        <f>IF($A95="","",INDEX(jalons!$A$7:$K$125,MATCH('Suivi livrables'!$A95,jalons!$A$7:$A$125,0),4))</f>
        <v/>
      </c>
      <c r="F95" s="10" t="str">
        <f>IF($A95="","",INDEX(jalons!$A$7:$K$125,MATCH('Suivi livrables'!$A95,jalons!$A$7:$A$125,0),5))</f>
        <v/>
      </c>
      <c r="G95" s="10" t="str">
        <f>IF($A95="","",INDEX(jalons!$A$7:$K$125,MATCH('Suivi livrables'!$A95,jalons!$A$7:$A$125,0),6))</f>
        <v/>
      </c>
      <c r="H95" s="10" t="str">
        <f>IF($A95="","",INDEX(jalons!$A$7:$K$125,MATCH('Suivi livrables'!$A95,jalons!$A$7:$A$125,0),7))</f>
        <v/>
      </c>
      <c r="I95" s="10" t="str">
        <f>IF($A95="","",INDEX(jalons!$A$7:$K$125,MATCH('Suivi livrables'!$A95,jalons!$A$7:$A$125,0),8))</f>
        <v/>
      </c>
      <c r="J95" s="10" t="str">
        <f>IF($A95="","",INDEX(jalons!$A$7:$K$125,MATCH('Suivi livrables'!$A95,jalons!$A$7:$A$125,0),9))</f>
        <v/>
      </c>
      <c r="K95" s="10" t="str">
        <f>IF($A95="","",INDEX(jalons!$A$7:$K$125,MATCH('Suivi livrables'!$A95,jalons!$A$7:$A$125,0),10))</f>
        <v/>
      </c>
      <c r="L95" s="10" t="str">
        <f>IF($A95="","",INDEX(jalons!$A$7:$K$125,MATCH('Suivi livrables'!$A95,jalons!$A$7:$A$125,0),11))</f>
        <v/>
      </c>
      <c r="M95" s="14"/>
      <c r="N95" s="47"/>
      <c r="O95" s="49"/>
      <c r="P95" s="50"/>
      <c r="Q95" s="50"/>
      <c r="R95" s="50"/>
      <c r="S95" s="50"/>
      <c r="T95" s="50"/>
      <c r="U95" s="50"/>
      <c r="V95" s="50"/>
      <c r="W95" s="50"/>
      <c r="X95" s="50"/>
      <c r="Y95" s="48"/>
      <c r="Z95" s="48"/>
      <c r="AA95" s="50"/>
      <c r="AB95" s="94"/>
      <c r="AC95" s="48"/>
      <c r="AD95" s="128"/>
      <c r="AE95" s="132"/>
      <c r="AF95" s="50"/>
      <c r="AG95" s="48"/>
      <c r="AH95" s="50"/>
      <c r="AI95" s="48"/>
      <c r="AJ95" s="50"/>
      <c r="AK95" s="48"/>
      <c r="AL95" s="50"/>
      <c r="AM95" s="48"/>
      <c r="AN95" s="140"/>
      <c r="AO95" s="133"/>
      <c r="AP95" s="140"/>
      <c r="AQ95" s="132"/>
      <c r="AR95" s="133"/>
      <c r="AS95" s="140"/>
      <c r="AT95" s="132"/>
      <c r="AU95" s="149"/>
      <c r="AV95" s="149"/>
      <c r="AW95" s="132"/>
      <c r="AX95" s="149"/>
      <c r="AY95" s="149"/>
      <c r="AZ95" s="132"/>
      <c r="BA95" s="149"/>
      <c r="BB95" s="149"/>
      <c r="BC95" s="149"/>
      <c r="BD95" s="149"/>
      <c r="BE95" s="133"/>
      <c r="BF95" s="49"/>
      <c r="BG95" s="94"/>
      <c r="BH95" s="96"/>
      <c r="BI95" s="117"/>
      <c r="BJ95" s="119"/>
      <c r="BK95" s="117"/>
      <c r="BL95" s="117"/>
      <c r="BM95" s="117"/>
      <c r="BN95" s="117"/>
      <c r="BO95" s="117"/>
      <c r="BP95" s="117"/>
      <c r="BQ95" s="117"/>
      <c r="BR95" s="117"/>
      <c r="BS95" s="117"/>
      <c r="BT95" s="117"/>
      <c r="BU95" s="117"/>
      <c r="BV95" s="117"/>
      <c r="BW95" s="97"/>
      <c r="BX95" s="102"/>
      <c r="BY95" s="117" t="str">
        <f t="shared" si="85"/>
        <v/>
      </c>
      <c r="BZ95" s="117" t="str">
        <f t="shared" si="86"/>
        <v/>
      </c>
      <c r="CA95" s="117" t="str">
        <f t="shared" si="87"/>
        <v/>
      </c>
      <c r="CB95" s="117" t="str">
        <f t="shared" si="88"/>
        <v/>
      </c>
      <c r="CC95" s="117" t="str">
        <f t="shared" si="89"/>
        <v/>
      </c>
      <c r="CD95" s="117" t="str">
        <f t="shared" si="90"/>
        <v/>
      </c>
      <c r="CE95" s="117" t="str">
        <f t="shared" si="91"/>
        <v/>
      </c>
      <c r="CF95" s="117" t="str">
        <f t="shared" si="92"/>
        <v/>
      </c>
      <c r="CG95" s="117" t="str">
        <f t="shared" si="93"/>
        <v/>
      </c>
      <c r="CH95" s="117" t="str">
        <f t="shared" si="94"/>
        <v/>
      </c>
      <c r="CI95" s="117" t="str">
        <f t="shared" si="95"/>
        <v/>
      </c>
      <c r="CJ95" s="117" t="str">
        <f t="shared" si="96"/>
        <v/>
      </c>
      <c r="CK95" s="117" t="str">
        <f t="shared" si="97"/>
        <v/>
      </c>
      <c r="CL95" s="117" t="str">
        <f t="shared" si="98"/>
        <v/>
      </c>
      <c r="CM95" s="117" t="str">
        <f t="shared" si="99"/>
        <v/>
      </c>
      <c r="CN95" s="117" t="str">
        <f t="shared" si="100"/>
        <v/>
      </c>
      <c r="CO95" s="121" t="str">
        <f t="shared" si="72"/>
        <v/>
      </c>
      <c r="CP95" s="117"/>
      <c r="CQ95" s="121" t="str">
        <f t="shared" si="73"/>
        <v/>
      </c>
      <c r="CR95" s="117"/>
      <c r="CS95" s="121" t="str">
        <f t="shared" si="74"/>
        <v/>
      </c>
      <c r="CT95" s="121" t="str">
        <f t="shared" si="75"/>
        <v/>
      </c>
      <c r="CU95" s="121" t="str">
        <f t="shared" si="76"/>
        <v/>
      </c>
      <c r="CV95" s="117"/>
      <c r="CW95" s="121" t="str">
        <f t="shared" si="77"/>
        <v/>
      </c>
      <c r="CX95" s="117"/>
      <c r="CY95" s="121" t="str">
        <f t="shared" si="78"/>
        <v/>
      </c>
      <c r="CZ95" s="117"/>
      <c r="DA95" s="121" t="str">
        <f t="shared" si="79"/>
        <v/>
      </c>
      <c r="DB95" s="121" t="str">
        <f t="shared" si="80"/>
        <v/>
      </c>
      <c r="DC95" s="121" t="str">
        <f t="shared" si="81"/>
        <v/>
      </c>
      <c r="DD95" s="117"/>
      <c r="DE95" s="125"/>
      <c r="DF95" s="124"/>
      <c r="DG95" s="121"/>
      <c r="DH95" s="124"/>
      <c r="DI95" s="125"/>
      <c r="DJ95" s="124"/>
      <c r="DK95" s="117"/>
      <c r="DL95" s="124"/>
      <c r="DM95" s="117"/>
      <c r="DN95" s="124"/>
      <c r="DO95" s="117"/>
    </row>
    <row r="96" spans="1:119" ht="15.75" thickBot="1">
      <c r="A96" s="13"/>
      <c r="B96" s="57" t="str">
        <f>jalons!B96</f>
        <v/>
      </c>
      <c r="C96" s="57" t="str">
        <f>jalons!C96</f>
        <v/>
      </c>
      <c r="D96" s="83"/>
      <c r="E96" s="9" t="str">
        <f>IF($A96="","",INDEX(jalons!$A$7:$K$125,MATCH('Suivi livrables'!$A96,jalons!$A$7:$A$125,0),4))</f>
        <v/>
      </c>
      <c r="F96" s="10" t="str">
        <f>IF($A96="","",INDEX(jalons!$A$7:$K$125,MATCH('Suivi livrables'!$A96,jalons!$A$7:$A$125,0),5))</f>
        <v/>
      </c>
      <c r="G96" s="10" t="str">
        <f>IF($A96="","",INDEX(jalons!$A$7:$K$125,MATCH('Suivi livrables'!$A96,jalons!$A$7:$A$125,0),6))</f>
        <v/>
      </c>
      <c r="H96" s="10" t="str">
        <f>IF($A96="","",INDEX(jalons!$A$7:$K$125,MATCH('Suivi livrables'!$A96,jalons!$A$7:$A$125,0),7))</f>
        <v/>
      </c>
      <c r="I96" s="10" t="str">
        <f>IF($A96="","",INDEX(jalons!$A$7:$K$125,MATCH('Suivi livrables'!$A96,jalons!$A$7:$A$125,0),8))</f>
        <v/>
      </c>
      <c r="J96" s="10" t="str">
        <f>IF($A96="","",INDEX(jalons!$A$7:$K$125,MATCH('Suivi livrables'!$A96,jalons!$A$7:$A$125,0),9))</f>
        <v/>
      </c>
      <c r="K96" s="10" t="str">
        <f>IF($A96="","",INDEX(jalons!$A$7:$K$125,MATCH('Suivi livrables'!$A96,jalons!$A$7:$A$125,0),10))</f>
        <v/>
      </c>
      <c r="L96" s="10" t="str">
        <f>IF($A96="","",INDEX(jalons!$A$7:$K$125,MATCH('Suivi livrables'!$A96,jalons!$A$7:$A$125,0),11))</f>
        <v/>
      </c>
      <c r="M96" s="14"/>
      <c r="N96" s="47"/>
      <c r="O96" s="49"/>
      <c r="P96" s="50"/>
      <c r="Q96" s="50"/>
      <c r="R96" s="50"/>
      <c r="S96" s="50"/>
      <c r="T96" s="50"/>
      <c r="U96" s="50"/>
      <c r="V96" s="50"/>
      <c r="W96" s="50"/>
      <c r="X96" s="50"/>
      <c r="Y96" s="48"/>
      <c r="Z96" s="48"/>
      <c r="AA96" s="50"/>
      <c r="AB96" s="94"/>
      <c r="AC96" s="48"/>
      <c r="AD96" s="128"/>
      <c r="AE96" s="132"/>
      <c r="AF96" s="50"/>
      <c r="AG96" s="48"/>
      <c r="AH96" s="50"/>
      <c r="AI96" s="48"/>
      <c r="AJ96" s="50"/>
      <c r="AK96" s="48"/>
      <c r="AL96" s="50"/>
      <c r="AM96" s="48"/>
      <c r="AN96" s="140"/>
      <c r="AO96" s="133"/>
      <c r="AP96" s="140"/>
      <c r="AQ96" s="132"/>
      <c r="AR96" s="133"/>
      <c r="AS96" s="140"/>
      <c r="AT96" s="132"/>
      <c r="AU96" s="149"/>
      <c r="AV96" s="149"/>
      <c r="AW96" s="132"/>
      <c r="AX96" s="149"/>
      <c r="AY96" s="149"/>
      <c r="AZ96" s="132"/>
      <c r="BA96" s="149"/>
      <c r="BB96" s="149"/>
      <c r="BC96" s="149"/>
      <c r="BD96" s="149"/>
      <c r="BE96" s="133"/>
      <c r="BF96" s="49"/>
      <c r="BG96" s="94"/>
      <c r="BH96" s="96"/>
      <c r="BI96" s="117"/>
      <c r="BJ96" s="119"/>
      <c r="BK96" s="117"/>
      <c r="BL96" s="117"/>
      <c r="BM96" s="117"/>
      <c r="BN96" s="117"/>
      <c r="BO96" s="117"/>
      <c r="BP96" s="117"/>
      <c r="BQ96" s="117"/>
      <c r="BR96" s="117"/>
      <c r="BS96" s="117"/>
      <c r="BT96" s="117"/>
      <c r="BU96" s="117"/>
      <c r="BV96" s="117"/>
      <c r="BW96" s="97"/>
      <c r="BX96" s="102"/>
      <c r="BY96" s="117" t="str">
        <f t="shared" si="85"/>
        <v/>
      </c>
      <c r="BZ96" s="117" t="str">
        <f t="shared" si="86"/>
        <v/>
      </c>
      <c r="CA96" s="117" t="str">
        <f t="shared" si="87"/>
        <v/>
      </c>
      <c r="CB96" s="117" t="str">
        <f t="shared" si="88"/>
        <v/>
      </c>
      <c r="CC96" s="117" t="str">
        <f t="shared" si="89"/>
        <v/>
      </c>
      <c r="CD96" s="117" t="str">
        <f t="shared" si="90"/>
        <v/>
      </c>
      <c r="CE96" s="117" t="str">
        <f t="shared" si="91"/>
        <v/>
      </c>
      <c r="CF96" s="117" t="str">
        <f t="shared" si="92"/>
        <v/>
      </c>
      <c r="CG96" s="117" t="str">
        <f t="shared" si="93"/>
        <v/>
      </c>
      <c r="CH96" s="117" t="str">
        <f t="shared" si="94"/>
        <v/>
      </c>
      <c r="CI96" s="117" t="str">
        <f t="shared" si="95"/>
        <v/>
      </c>
      <c r="CJ96" s="117" t="str">
        <f t="shared" si="96"/>
        <v/>
      </c>
      <c r="CK96" s="117" t="str">
        <f t="shared" si="97"/>
        <v/>
      </c>
      <c r="CL96" s="117" t="str">
        <f t="shared" si="98"/>
        <v/>
      </c>
      <c r="CM96" s="117" t="str">
        <f t="shared" si="99"/>
        <v/>
      </c>
      <c r="CN96" s="117" t="str">
        <f t="shared" si="100"/>
        <v/>
      </c>
      <c r="CO96" s="121" t="str">
        <f t="shared" si="72"/>
        <v/>
      </c>
      <c r="CP96" s="117"/>
      <c r="CQ96" s="121" t="str">
        <f t="shared" si="73"/>
        <v/>
      </c>
      <c r="CR96" s="117"/>
      <c r="CS96" s="121" t="str">
        <f t="shared" si="74"/>
        <v/>
      </c>
      <c r="CT96" s="121" t="str">
        <f t="shared" si="75"/>
        <v/>
      </c>
      <c r="CU96" s="121" t="str">
        <f t="shared" si="76"/>
        <v/>
      </c>
      <c r="CV96" s="117"/>
      <c r="CW96" s="121" t="str">
        <f t="shared" si="77"/>
        <v/>
      </c>
      <c r="CX96" s="117"/>
      <c r="CY96" s="121" t="str">
        <f t="shared" si="78"/>
        <v/>
      </c>
      <c r="CZ96" s="117"/>
      <c r="DA96" s="121" t="str">
        <f t="shared" si="79"/>
        <v/>
      </c>
      <c r="DB96" s="121" t="str">
        <f t="shared" si="80"/>
        <v/>
      </c>
      <c r="DC96" s="121" t="str">
        <f t="shared" si="81"/>
        <v/>
      </c>
      <c r="DD96" s="117"/>
      <c r="DE96" s="125"/>
      <c r="DF96" s="124"/>
      <c r="DG96" s="121"/>
      <c r="DH96" s="124"/>
      <c r="DI96" s="125"/>
      <c r="DJ96" s="124"/>
      <c r="DK96" s="117"/>
      <c r="DL96" s="124"/>
      <c r="DM96" s="117"/>
      <c r="DN96" s="124"/>
      <c r="DO96" s="117"/>
    </row>
    <row r="97" spans="1:119" ht="15.75" thickBot="1">
      <c r="A97" s="13"/>
      <c r="B97" s="57" t="str">
        <f>jalons!B97</f>
        <v/>
      </c>
      <c r="C97" s="57" t="str">
        <f>jalons!C97</f>
        <v/>
      </c>
      <c r="D97" s="83"/>
      <c r="E97" s="9" t="str">
        <f>IF($A97="","",INDEX(jalons!$A$7:$K$125,MATCH('Suivi livrables'!$A97,jalons!$A$7:$A$125,0),4))</f>
        <v/>
      </c>
      <c r="F97" s="10" t="str">
        <f>IF($A97="","",INDEX(jalons!$A$7:$K$125,MATCH('Suivi livrables'!$A97,jalons!$A$7:$A$125,0),5))</f>
        <v/>
      </c>
      <c r="G97" s="10" t="str">
        <f>IF($A97="","",INDEX(jalons!$A$7:$K$125,MATCH('Suivi livrables'!$A97,jalons!$A$7:$A$125,0),6))</f>
        <v/>
      </c>
      <c r="H97" s="10" t="str">
        <f>IF($A97="","",INDEX(jalons!$A$7:$K$125,MATCH('Suivi livrables'!$A97,jalons!$A$7:$A$125,0),7))</f>
        <v/>
      </c>
      <c r="I97" s="10" t="str">
        <f>IF($A97="","",INDEX(jalons!$A$7:$K$125,MATCH('Suivi livrables'!$A97,jalons!$A$7:$A$125,0),8))</f>
        <v/>
      </c>
      <c r="J97" s="10" t="str">
        <f>IF($A97="","",INDEX(jalons!$A$7:$K$125,MATCH('Suivi livrables'!$A97,jalons!$A$7:$A$125,0),9))</f>
        <v/>
      </c>
      <c r="K97" s="10" t="str">
        <f>IF($A97="","",INDEX(jalons!$A$7:$K$125,MATCH('Suivi livrables'!$A97,jalons!$A$7:$A$125,0),10))</f>
        <v/>
      </c>
      <c r="L97" s="10" t="str">
        <f>IF($A97="","",INDEX(jalons!$A$7:$K$125,MATCH('Suivi livrables'!$A97,jalons!$A$7:$A$125,0),11))</f>
        <v/>
      </c>
      <c r="M97" s="14"/>
      <c r="N97" s="47"/>
      <c r="O97" s="49"/>
      <c r="P97" s="50"/>
      <c r="Q97" s="50"/>
      <c r="R97" s="50"/>
      <c r="S97" s="50"/>
      <c r="T97" s="50"/>
      <c r="U97" s="50"/>
      <c r="V97" s="50"/>
      <c r="W97" s="50"/>
      <c r="X97" s="50"/>
      <c r="Y97" s="48"/>
      <c r="Z97" s="48"/>
      <c r="AA97" s="50"/>
      <c r="AB97" s="94"/>
      <c r="AC97" s="48"/>
      <c r="AD97" s="128"/>
      <c r="AE97" s="132"/>
      <c r="AF97" s="50"/>
      <c r="AG97" s="48"/>
      <c r="AH97" s="50"/>
      <c r="AI97" s="48"/>
      <c r="AJ97" s="50"/>
      <c r="AK97" s="48"/>
      <c r="AL97" s="50"/>
      <c r="AM97" s="48"/>
      <c r="AN97" s="140"/>
      <c r="AO97" s="133"/>
      <c r="AP97" s="140"/>
      <c r="AQ97" s="132"/>
      <c r="AR97" s="133"/>
      <c r="AS97" s="140"/>
      <c r="AT97" s="132"/>
      <c r="AU97" s="149"/>
      <c r="AV97" s="149"/>
      <c r="AW97" s="132"/>
      <c r="AX97" s="149"/>
      <c r="AY97" s="149"/>
      <c r="AZ97" s="132"/>
      <c r="BA97" s="149"/>
      <c r="BB97" s="149"/>
      <c r="BC97" s="149"/>
      <c r="BD97" s="149"/>
      <c r="BE97" s="133"/>
      <c r="BF97" s="49"/>
      <c r="BG97" s="94"/>
      <c r="BH97" s="96"/>
      <c r="BI97" s="117"/>
      <c r="BJ97" s="119"/>
      <c r="BK97" s="117"/>
      <c r="BL97" s="117"/>
      <c r="BM97" s="117"/>
      <c r="BN97" s="117"/>
      <c r="BO97" s="117"/>
      <c r="BP97" s="117"/>
      <c r="BQ97" s="117"/>
      <c r="BR97" s="117"/>
      <c r="BS97" s="117"/>
      <c r="BT97" s="117"/>
      <c r="BU97" s="117"/>
      <c r="BV97" s="117"/>
      <c r="BW97" s="97"/>
      <c r="BX97" s="102"/>
      <c r="BY97" s="117" t="str">
        <f t="shared" si="85"/>
        <v/>
      </c>
      <c r="BZ97" s="117" t="str">
        <f t="shared" si="86"/>
        <v/>
      </c>
      <c r="CA97" s="117" t="str">
        <f t="shared" si="87"/>
        <v/>
      </c>
      <c r="CB97" s="117" t="str">
        <f t="shared" si="88"/>
        <v/>
      </c>
      <c r="CC97" s="117" t="str">
        <f t="shared" si="89"/>
        <v/>
      </c>
      <c r="CD97" s="117" t="str">
        <f t="shared" si="90"/>
        <v/>
      </c>
      <c r="CE97" s="117" t="str">
        <f t="shared" si="91"/>
        <v/>
      </c>
      <c r="CF97" s="117" t="str">
        <f t="shared" si="92"/>
        <v/>
      </c>
      <c r="CG97" s="117" t="str">
        <f t="shared" si="93"/>
        <v/>
      </c>
      <c r="CH97" s="117" t="str">
        <f t="shared" si="94"/>
        <v/>
      </c>
      <c r="CI97" s="117" t="str">
        <f t="shared" si="95"/>
        <v/>
      </c>
      <c r="CJ97" s="117" t="str">
        <f t="shared" si="96"/>
        <v/>
      </c>
      <c r="CK97" s="117" t="str">
        <f t="shared" si="97"/>
        <v/>
      </c>
      <c r="CL97" s="117" t="str">
        <f t="shared" si="98"/>
        <v/>
      </c>
      <c r="CM97" s="117" t="str">
        <f t="shared" si="99"/>
        <v/>
      </c>
      <c r="CN97" s="117" t="str">
        <f t="shared" si="100"/>
        <v/>
      </c>
      <c r="CO97" s="121" t="str">
        <f t="shared" si="72"/>
        <v/>
      </c>
      <c r="CP97" s="117"/>
      <c r="CQ97" s="121" t="str">
        <f t="shared" si="73"/>
        <v/>
      </c>
      <c r="CR97" s="117"/>
      <c r="CS97" s="121" t="str">
        <f t="shared" si="74"/>
        <v/>
      </c>
      <c r="CT97" s="121" t="str">
        <f t="shared" si="75"/>
        <v/>
      </c>
      <c r="CU97" s="121" t="str">
        <f t="shared" si="76"/>
        <v/>
      </c>
      <c r="CV97" s="117"/>
      <c r="CW97" s="121" t="str">
        <f t="shared" si="77"/>
        <v/>
      </c>
      <c r="CX97" s="117"/>
      <c r="CY97" s="121" t="str">
        <f t="shared" si="78"/>
        <v/>
      </c>
      <c r="CZ97" s="117"/>
      <c r="DA97" s="121" t="str">
        <f t="shared" si="79"/>
        <v/>
      </c>
      <c r="DB97" s="121" t="str">
        <f t="shared" si="80"/>
        <v/>
      </c>
      <c r="DC97" s="121" t="str">
        <f t="shared" si="81"/>
        <v/>
      </c>
      <c r="DD97" s="117"/>
      <c r="DE97" s="125"/>
      <c r="DF97" s="124"/>
      <c r="DG97" s="121"/>
      <c r="DH97" s="124"/>
      <c r="DI97" s="125"/>
      <c r="DJ97" s="124"/>
      <c r="DK97" s="117"/>
      <c r="DL97" s="124"/>
      <c r="DM97" s="117"/>
      <c r="DN97" s="124"/>
      <c r="DO97" s="117"/>
    </row>
    <row r="98" spans="1:119" ht="15.75" thickBot="1">
      <c r="A98" s="13"/>
      <c r="B98" s="57" t="str">
        <f>jalons!B98</f>
        <v/>
      </c>
      <c r="C98" s="57" t="str">
        <f>jalons!C98</f>
        <v/>
      </c>
      <c r="D98" s="83"/>
      <c r="E98" s="9" t="str">
        <f>IF($A98="","",INDEX(jalons!$A$7:$K$125,MATCH('Suivi livrables'!$A98,jalons!$A$7:$A$125,0),4))</f>
        <v/>
      </c>
      <c r="F98" s="10" t="str">
        <f>IF($A98="","",INDEX(jalons!$A$7:$K$125,MATCH('Suivi livrables'!$A98,jalons!$A$7:$A$125,0),5))</f>
        <v/>
      </c>
      <c r="G98" s="10" t="str">
        <f>IF($A98="","",INDEX(jalons!$A$7:$K$125,MATCH('Suivi livrables'!$A98,jalons!$A$7:$A$125,0),6))</f>
        <v/>
      </c>
      <c r="H98" s="10" t="str">
        <f>IF($A98="","",INDEX(jalons!$A$7:$K$125,MATCH('Suivi livrables'!$A98,jalons!$A$7:$A$125,0),7))</f>
        <v/>
      </c>
      <c r="I98" s="10" t="str">
        <f>IF($A98="","",INDEX(jalons!$A$7:$K$125,MATCH('Suivi livrables'!$A98,jalons!$A$7:$A$125,0),8))</f>
        <v/>
      </c>
      <c r="J98" s="10" t="str">
        <f>IF($A98="","",INDEX(jalons!$A$7:$K$125,MATCH('Suivi livrables'!$A98,jalons!$A$7:$A$125,0),9))</f>
        <v/>
      </c>
      <c r="K98" s="10" t="str">
        <f>IF($A98="","",INDEX(jalons!$A$7:$K$125,MATCH('Suivi livrables'!$A98,jalons!$A$7:$A$125,0),10))</f>
        <v/>
      </c>
      <c r="L98" s="10" t="str">
        <f>IF($A98="","",INDEX(jalons!$A$7:$K$125,MATCH('Suivi livrables'!$A98,jalons!$A$7:$A$125,0),11))</f>
        <v/>
      </c>
      <c r="M98" s="14"/>
      <c r="N98" s="47"/>
      <c r="O98" s="49"/>
      <c r="P98" s="50"/>
      <c r="Q98" s="50"/>
      <c r="R98" s="50"/>
      <c r="S98" s="50"/>
      <c r="T98" s="50"/>
      <c r="U98" s="50"/>
      <c r="V98" s="50"/>
      <c r="W98" s="50"/>
      <c r="X98" s="50"/>
      <c r="Y98" s="48"/>
      <c r="Z98" s="48"/>
      <c r="AA98" s="50"/>
      <c r="AB98" s="94"/>
      <c r="AC98" s="48"/>
      <c r="AD98" s="128"/>
      <c r="AE98" s="132"/>
      <c r="AF98" s="50"/>
      <c r="AG98" s="48"/>
      <c r="AH98" s="50"/>
      <c r="AI98" s="48"/>
      <c r="AJ98" s="50"/>
      <c r="AK98" s="48"/>
      <c r="AL98" s="50"/>
      <c r="AM98" s="48"/>
      <c r="AN98" s="140"/>
      <c r="AO98" s="133"/>
      <c r="AP98" s="140"/>
      <c r="AQ98" s="132"/>
      <c r="AR98" s="133"/>
      <c r="AS98" s="140"/>
      <c r="AT98" s="132"/>
      <c r="AU98" s="149"/>
      <c r="AV98" s="149"/>
      <c r="AW98" s="132"/>
      <c r="AX98" s="149"/>
      <c r="AY98" s="149"/>
      <c r="AZ98" s="132"/>
      <c r="BA98" s="149"/>
      <c r="BB98" s="149"/>
      <c r="BC98" s="149"/>
      <c r="BD98" s="149"/>
      <c r="BE98" s="133"/>
      <c r="BF98" s="49"/>
      <c r="BG98" s="94"/>
      <c r="BH98" s="96"/>
      <c r="BI98" s="117"/>
      <c r="BJ98" s="119"/>
      <c r="BK98" s="117"/>
      <c r="BL98" s="117"/>
      <c r="BM98" s="117"/>
      <c r="BN98" s="117"/>
      <c r="BO98" s="117"/>
      <c r="BP98" s="117"/>
      <c r="BQ98" s="117"/>
      <c r="BR98" s="117"/>
      <c r="BS98" s="117"/>
      <c r="BT98" s="117"/>
      <c r="BU98" s="117"/>
      <c r="BV98" s="117"/>
      <c r="BW98" s="97"/>
      <c r="BX98" s="102"/>
      <c r="BY98" s="117" t="str">
        <f t="shared" si="85"/>
        <v/>
      </c>
      <c r="BZ98" s="117" t="str">
        <f t="shared" si="86"/>
        <v/>
      </c>
      <c r="CA98" s="117" t="str">
        <f t="shared" si="87"/>
        <v/>
      </c>
      <c r="CB98" s="117" t="str">
        <f t="shared" si="88"/>
        <v/>
      </c>
      <c r="CC98" s="117" t="str">
        <f t="shared" si="89"/>
        <v/>
      </c>
      <c r="CD98" s="117" t="str">
        <f t="shared" si="90"/>
        <v/>
      </c>
      <c r="CE98" s="117" t="str">
        <f t="shared" si="91"/>
        <v/>
      </c>
      <c r="CF98" s="117" t="str">
        <f t="shared" si="92"/>
        <v/>
      </c>
      <c r="CG98" s="117" t="str">
        <f t="shared" si="93"/>
        <v/>
      </c>
      <c r="CH98" s="117" t="str">
        <f t="shared" si="94"/>
        <v/>
      </c>
      <c r="CI98" s="117" t="str">
        <f t="shared" si="95"/>
        <v/>
      </c>
      <c r="CJ98" s="117" t="str">
        <f t="shared" si="96"/>
        <v/>
      </c>
      <c r="CK98" s="117" t="str">
        <f t="shared" si="97"/>
        <v/>
      </c>
      <c r="CL98" s="117" t="str">
        <f t="shared" si="98"/>
        <v/>
      </c>
      <c r="CM98" s="117" t="str">
        <f t="shared" si="99"/>
        <v/>
      </c>
      <c r="CN98" s="117" t="str">
        <f t="shared" si="100"/>
        <v/>
      </c>
      <c r="CO98" s="121" t="str">
        <f t="shared" si="72"/>
        <v/>
      </c>
      <c r="CP98" s="117"/>
      <c r="CQ98" s="121" t="str">
        <f t="shared" si="73"/>
        <v/>
      </c>
      <c r="CR98" s="117"/>
      <c r="CS98" s="121" t="str">
        <f t="shared" si="74"/>
        <v/>
      </c>
      <c r="CT98" s="121" t="str">
        <f t="shared" si="75"/>
        <v/>
      </c>
      <c r="CU98" s="121" t="str">
        <f t="shared" si="76"/>
        <v/>
      </c>
      <c r="CV98" s="117"/>
      <c r="CW98" s="121" t="str">
        <f t="shared" si="77"/>
        <v/>
      </c>
      <c r="CX98" s="117"/>
      <c r="CY98" s="121" t="str">
        <f t="shared" si="78"/>
        <v/>
      </c>
      <c r="CZ98" s="117"/>
      <c r="DA98" s="121" t="str">
        <f t="shared" si="79"/>
        <v/>
      </c>
      <c r="DB98" s="121" t="str">
        <f t="shared" si="80"/>
        <v/>
      </c>
      <c r="DC98" s="121" t="str">
        <f t="shared" si="81"/>
        <v/>
      </c>
      <c r="DD98" s="117"/>
      <c r="DE98" s="74"/>
      <c r="DF98" s="124"/>
      <c r="DG98" s="121"/>
      <c r="DH98" s="124"/>
      <c r="DI98" s="125"/>
      <c r="DJ98" s="124"/>
      <c r="DK98" s="117"/>
      <c r="DL98" s="124"/>
      <c r="DM98" s="117"/>
      <c r="DN98" s="124"/>
      <c r="DO98" s="117"/>
    </row>
    <row r="99" spans="1:119" ht="15.75" thickBot="1">
      <c r="A99" s="13"/>
      <c r="B99" s="57" t="str">
        <f>jalons!B99</f>
        <v/>
      </c>
      <c r="C99" s="57" t="str">
        <f>jalons!C99</f>
        <v/>
      </c>
      <c r="D99" s="83"/>
      <c r="E99" s="9" t="str">
        <f>IF($A99="","",INDEX(jalons!$A$7:$K$125,MATCH('Suivi livrables'!$A99,jalons!$A$7:$A$125,0),4))</f>
        <v/>
      </c>
      <c r="F99" s="10" t="str">
        <f>IF($A99="","",INDEX(jalons!$A$7:$K$125,MATCH('Suivi livrables'!$A99,jalons!$A$7:$A$125,0),5))</f>
        <v/>
      </c>
      <c r="G99" s="10" t="str">
        <f>IF($A99="","",INDEX(jalons!$A$7:$K$125,MATCH('Suivi livrables'!$A99,jalons!$A$7:$A$125,0),6))</f>
        <v/>
      </c>
      <c r="H99" s="10" t="str">
        <f>IF($A99="","",INDEX(jalons!$A$7:$K$125,MATCH('Suivi livrables'!$A99,jalons!$A$7:$A$125,0),7))</f>
        <v/>
      </c>
      <c r="I99" s="10" t="str">
        <f>IF($A99="","",INDEX(jalons!$A$7:$K$125,MATCH('Suivi livrables'!$A99,jalons!$A$7:$A$125,0),8))</f>
        <v/>
      </c>
      <c r="J99" s="10" t="str">
        <f>IF($A99="","",INDEX(jalons!$A$7:$K$125,MATCH('Suivi livrables'!$A99,jalons!$A$7:$A$125,0),9))</f>
        <v/>
      </c>
      <c r="K99" s="10" t="str">
        <f>IF($A99="","",INDEX(jalons!$A$7:$K$125,MATCH('Suivi livrables'!$A99,jalons!$A$7:$A$125,0),10))</f>
        <v/>
      </c>
      <c r="L99" s="10" t="str">
        <f>IF($A99="","",INDEX(jalons!$A$7:$K$125,MATCH('Suivi livrables'!$A99,jalons!$A$7:$A$125,0),11))</f>
        <v/>
      </c>
      <c r="M99" s="14"/>
      <c r="N99" s="47"/>
      <c r="O99" s="49"/>
      <c r="P99" s="50"/>
      <c r="Q99" s="50"/>
      <c r="R99" s="50"/>
      <c r="S99" s="50"/>
      <c r="T99" s="50"/>
      <c r="U99" s="50"/>
      <c r="V99" s="50"/>
      <c r="W99" s="50"/>
      <c r="X99" s="50"/>
      <c r="Y99" s="48"/>
      <c r="Z99" s="48"/>
      <c r="AA99" s="50"/>
      <c r="AB99" s="94"/>
      <c r="AC99" s="48"/>
      <c r="AD99" s="128"/>
      <c r="AE99" s="132"/>
      <c r="AF99" s="50"/>
      <c r="AG99" s="48"/>
      <c r="AH99" s="50"/>
      <c r="AI99" s="48"/>
      <c r="AJ99" s="50"/>
      <c r="AK99" s="48"/>
      <c r="AL99" s="50"/>
      <c r="AM99" s="48"/>
      <c r="AN99" s="140"/>
      <c r="AO99" s="133"/>
      <c r="AP99" s="140"/>
      <c r="AQ99" s="132"/>
      <c r="AR99" s="133"/>
      <c r="AS99" s="140"/>
      <c r="AT99" s="132"/>
      <c r="AU99" s="149"/>
      <c r="AV99" s="149"/>
      <c r="AW99" s="132"/>
      <c r="AX99" s="149"/>
      <c r="AY99" s="149"/>
      <c r="AZ99" s="132"/>
      <c r="BA99" s="149"/>
      <c r="BB99" s="149"/>
      <c r="BC99" s="149"/>
      <c r="BD99" s="149"/>
      <c r="BE99" s="133"/>
      <c r="BF99" s="49"/>
      <c r="BG99" s="94"/>
      <c r="BH99" s="96"/>
      <c r="BI99" s="117"/>
      <c r="BJ99" s="119"/>
      <c r="BK99" s="117"/>
      <c r="BL99" s="117"/>
      <c r="BM99" s="117"/>
      <c r="BN99" s="117"/>
      <c r="BO99" s="117"/>
      <c r="BP99" s="117"/>
      <c r="BQ99" s="117"/>
      <c r="BR99" s="117"/>
      <c r="BS99" s="117"/>
      <c r="BT99" s="117"/>
      <c r="BU99" s="117"/>
      <c r="BV99" s="117"/>
      <c r="BW99" s="97"/>
      <c r="BX99" s="102"/>
      <c r="BY99" s="117" t="str">
        <f t="shared" si="85"/>
        <v/>
      </c>
      <c r="BZ99" s="117" t="str">
        <f t="shared" si="86"/>
        <v/>
      </c>
      <c r="CA99" s="117" t="str">
        <f t="shared" si="87"/>
        <v/>
      </c>
      <c r="CB99" s="117" t="str">
        <f t="shared" si="88"/>
        <v/>
      </c>
      <c r="CC99" s="117" t="str">
        <f t="shared" si="89"/>
        <v/>
      </c>
      <c r="CD99" s="117" t="str">
        <f t="shared" si="90"/>
        <v/>
      </c>
      <c r="CE99" s="117" t="str">
        <f t="shared" si="91"/>
        <v/>
      </c>
      <c r="CF99" s="117" t="str">
        <f t="shared" si="92"/>
        <v/>
      </c>
      <c r="CG99" s="117" t="str">
        <f t="shared" si="93"/>
        <v/>
      </c>
      <c r="CH99" s="117" t="str">
        <f t="shared" si="94"/>
        <v/>
      </c>
      <c r="CI99" s="117" t="str">
        <f t="shared" si="95"/>
        <v/>
      </c>
      <c r="CJ99" s="117" t="str">
        <f t="shared" si="96"/>
        <v/>
      </c>
      <c r="CK99" s="117" t="str">
        <f t="shared" si="97"/>
        <v/>
      </c>
      <c r="CL99" s="117" t="str">
        <f t="shared" si="98"/>
        <v/>
      </c>
      <c r="CM99" s="117" t="str">
        <f t="shared" si="99"/>
        <v/>
      </c>
      <c r="CN99" s="117" t="str">
        <f t="shared" si="100"/>
        <v/>
      </c>
      <c r="CO99" s="121" t="str">
        <f t="shared" si="72"/>
        <v/>
      </c>
      <c r="CP99" s="117"/>
      <c r="CQ99" s="121" t="str">
        <f t="shared" si="73"/>
        <v/>
      </c>
      <c r="CR99" s="117"/>
      <c r="CS99" s="121" t="str">
        <f t="shared" si="74"/>
        <v/>
      </c>
      <c r="CT99" s="121" t="str">
        <f t="shared" si="75"/>
        <v/>
      </c>
      <c r="CU99" s="121" t="str">
        <f t="shared" si="76"/>
        <v/>
      </c>
      <c r="CV99" s="117"/>
      <c r="CW99" s="121" t="str">
        <f t="shared" si="77"/>
        <v/>
      </c>
      <c r="CX99" s="117"/>
      <c r="CY99" s="121" t="str">
        <f t="shared" si="78"/>
        <v/>
      </c>
      <c r="CZ99" s="117"/>
      <c r="DA99" s="121" t="str">
        <f t="shared" si="79"/>
        <v/>
      </c>
      <c r="DB99" s="121" t="str">
        <f t="shared" si="80"/>
        <v/>
      </c>
      <c r="DC99" s="121" t="str">
        <f t="shared" si="81"/>
        <v/>
      </c>
      <c r="DD99" s="117"/>
      <c r="DE99" s="74"/>
      <c r="DF99" s="124"/>
      <c r="DG99" s="121"/>
      <c r="DH99" s="124"/>
      <c r="DI99" s="125"/>
      <c r="DJ99" s="124"/>
      <c r="DK99" s="117"/>
      <c r="DL99" s="124"/>
      <c r="DM99" s="117"/>
      <c r="DN99" s="124"/>
      <c r="DO99" s="117"/>
    </row>
    <row r="100" spans="1:119" ht="15.75" thickBot="1">
      <c r="A100" s="13"/>
      <c r="B100" s="57" t="str">
        <f>jalons!B100</f>
        <v/>
      </c>
      <c r="C100" s="57" t="str">
        <f>jalons!C100</f>
        <v/>
      </c>
      <c r="D100" s="83"/>
      <c r="E100" s="9" t="str">
        <f>IF($A100="","",INDEX(jalons!$A$7:$K$125,MATCH('Suivi livrables'!$A100,jalons!$A$7:$A$125,0),4))</f>
        <v/>
      </c>
      <c r="F100" s="10" t="str">
        <f>IF($A100="","",INDEX(jalons!$A$7:$K$125,MATCH('Suivi livrables'!$A100,jalons!$A$7:$A$125,0),5))</f>
        <v/>
      </c>
      <c r="G100" s="10" t="str">
        <f>IF($A100="","",INDEX(jalons!$A$7:$K$125,MATCH('Suivi livrables'!$A100,jalons!$A$7:$A$125,0),6))</f>
        <v/>
      </c>
      <c r="H100" s="10" t="str">
        <f>IF($A100="","",INDEX(jalons!$A$7:$K$125,MATCH('Suivi livrables'!$A100,jalons!$A$7:$A$125,0),7))</f>
        <v/>
      </c>
      <c r="I100" s="10" t="str">
        <f>IF($A100="","",INDEX(jalons!$A$7:$K$125,MATCH('Suivi livrables'!$A100,jalons!$A$7:$A$125,0),8))</f>
        <v/>
      </c>
      <c r="J100" s="10" t="str">
        <f>IF($A100="","",INDEX(jalons!$A$7:$K$125,MATCH('Suivi livrables'!$A100,jalons!$A$7:$A$125,0),9))</f>
        <v/>
      </c>
      <c r="K100" s="10" t="str">
        <f>IF($A100="","",INDEX(jalons!$A$7:$K$125,MATCH('Suivi livrables'!$A100,jalons!$A$7:$A$125,0),10))</f>
        <v/>
      </c>
      <c r="L100" s="10" t="str">
        <f>IF($A100="","",INDEX(jalons!$A$7:$K$125,MATCH('Suivi livrables'!$A100,jalons!$A$7:$A$125,0),11))</f>
        <v/>
      </c>
      <c r="M100" s="14"/>
      <c r="N100" s="47"/>
      <c r="O100" s="49"/>
      <c r="P100" s="50"/>
      <c r="Q100" s="50"/>
      <c r="R100" s="50"/>
      <c r="S100" s="50"/>
      <c r="T100" s="50"/>
      <c r="U100" s="50"/>
      <c r="V100" s="50"/>
      <c r="W100" s="50"/>
      <c r="X100" s="50"/>
      <c r="Y100" s="48"/>
      <c r="Z100" s="48"/>
      <c r="AA100" s="50"/>
      <c r="AB100" s="94"/>
      <c r="AC100" s="48"/>
      <c r="AD100" s="128"/>
      <c r="AE100" s="132"/>
      <c r="AF100" s="50"/>
      <c r="AG100" s="48"/>
      <c r="AH100" s="50"/>
      <c r="AI100" s="48"/>
      <c r="AJ100" s="50"/>
      <c r="AK100" s="48"/>
      <c r="AL100" s="50"/>
      <c r="AM100" s="48"/>
      <c r="AN100" s="140"/>
      <c r="AO100" s="133"/>
      <c r="AP100" s="140"/>
      <c r="AQ100" s="132"/>
      <c r="AR100" s="133"/>
      <c r="AS100" s="140"/>
      <c r="AT100" s="132"/>
      <c r="AU100" s="149"/>
      <c r="AV100" s="149"/>
      <c r="AW100" s="132"/>
      <c r="AX100" s="149"/>
      <c r="AY100" s="149"/>
      <c r="AZ100" s="132"/>
      <c r="BA100" s="149"/>
      <c r="BB100" s="149"/>
      <c r="BC100" s="149"/>
      <c r="BD100" s="149"/>
      <c r="BE100" s="133"/>
      <c r="BF100" s="49"/>
      <c r="BG100" s="94"/>
      <c r="BH100" s="96"/>
      <c r="BI100" s="117"/>
      <c r="BJ100" s="119"/>
      <c r="BK100" s="117"/>
      <c r="BL100" s="117"/>
      <c r="BM100" s="117"/>
      <c r="BN100" s="117"/>
      <c r="BO100" s="117"/>
      <c r="BP100" s="117"/>
      <c r="BQ100" s="117"/>
      <c r="BR100" s="117"/>
      <c r="BS100" s="117"/>
      <c r="BT100" s="117"/>
      <c r="BU100" s="117"/>
      <c r="BV100" s="117"/>
      <c r="BW100" s="97"/>
      <c r="BX100" s="102"/>
      <c r="BY100" s="117" t="str">
        <f t="shared" si="85"/>
        <v/>
      </c>
      <c r="BZ100" s="117" t="str">
        <f t="shared" si="86"/>
        <v/>
      </c>
      <c r="CA100" s="117" t="str">
        <f t="shared" si="87"/>
        <v/>
      </c>
      <c r="CB100" s="117" t="str">
        <f t="shared" si="88"/>
        <v/>
      </c>
      <c r="CC100" s="117" t="str">
        <f t="shared" si="89"/>
        <v/>
      </c>
      <c r="CD100" s="117" t="str">
        <f t="shared" si="90"/>
        <v/>
      </c>
      <c r="CE100" s="117" t="str">
        <f t="shared" si="91"/>
        <v/>
      </c>
      <c r="CF100" s="117" t="str">
        <f t="shared" si="92"/>
        <v/>
      </c>
      <c r="CG100" s="117" t="str">
        <f t="shared" si="93"/>
        <v/>
      </c>
      <c r="CH100" s="117" t="str">
        <f t="shared" si="94"/>
        <v/>
      </c>
      <c r="CI100" s="117" t="str">
        <f t="shared" si="95"/>
        <v/>
      </c>
      <c r="CJ100" s="117" t="str">
        <f t="shared" si="96"/>
        <v/>
      </c>
      <c r="CK100" s="117" t="str">
        <f t="shared" si="97"/>
        <v/>
      </c>
      <c r="CL100" s="117" t="str">
        <f t="shared" si="98"/>
        <v/>
      </c>
      <c r="CM100" s="117" t="str">
        <f t="shared" si="99"/>
        <v/>
      </c>
      <c r="CN100" s="117" t="str">
        <f t="shared" si="100"/>
        <v/>
      </c>
      <c r="CO100" s="121" t="str">
        <f t="shared" si="72"/>
        <v/>
      </c>
      <c r="CP100" s="117"/>
      <c r="CQ100" s="121" t="str">
        <f t="shared" si="73"/>
        <v/>
      </c>
      <c r="CR100" s="117"/>
      <c r="CS100" s="121" t="str">
        <f t="shared" si="74"/>
        <v/>
      </c>
      <c r="CT100" s="121" t="str">
        <f t="shared" si="75"/>
        <v/>
      </c>
      <c r="CU100" s="121" t="str">
        <f t="shared" si="76"/>
        <v/>
      </c>
      <c r="CV100" s="117"/>
      <c r="CW100" s="121" t="str">
        <f t="shared" si="77"/>
        <v/>
      </c>
      <c r="CX100" s="117"/>
      <c r="CY100" s="121" t="str">
        <f t="shared" si="78"/>
        <v/>
      </c>
      <c r="CZ100" s="117"/>
      <c r="DA100" s="121" t="str">
        <f t="shared" si="79"/>
        <v/>
      </c>
      <c r="DB100" s="121" t="str">
        <f t="shared" si="80"/>
        <v/>
      </c>
      <c r="DC100" s="121" t="str">
        <f t="shared" si="81"/>
        <v/>
      </c>
      <c r="DD100" s="117"/>
      <c r="DE100" s="74"/>
      <c r="DF100" s="124"/>
      <c r="DG100" s="121"/>
      <c r="DH100" s="124"/>
      <c r="DI100" s="125"/>
      <c r="DJ100" s="124"/>
      <c r="DK100" s="117"/>
      <c r="DL100" s="124"/>
      <c r="DM100" s="117"/>
      <c r="DN100" s="124"/>
      <c r="DO100" s="117"/>
    </row>
    <row r="101" spans="1:119" ht="15.75" thickBot="1">
      <c r="A101" s="13"/>
      <c r="B101" s="57" t="str">
        <f>jalons!B101</f>
        <v/>
      </c>
      <c r="C101" s="57" t="str">
        <f>jalons!C101</f>
        <v/>
      </c>
      <c r="D101" s="83"/>
      <c r="E101" s="9" t="str">
        <f>IF($A101="","",INDEX(jalons!$A$7:$K$125,MATCH('Suivi livrables'!$A101,jalons!$A$7:$A$125,0),4))</f>
        <v/>
      </c>
      <c r="F101" s="10" t="str">
        <f>IF($A101="","",INDEX(jalons!$A$7:$K$125,MATCH('Suivi livrables'!$A101,jalons!$A$7:$A$125,0),5))</f>
        <v/>
      </c>
      <c r="G101" s="10" t="str">
        <f>IF($A101="","",INDEX(jalons!$A$7:$K$125,MATCH('Suivi livrables'!$A101,jalons!$A$7:$A$125,0),6))</f>
        <v/>
      </c>
      <c r="H101" s="10" t="str">
        <f>IF($A101="","",INDEX(jalons!$A$7:$K$125,MATCH('Suivi livrables'!$A101,jalons!$A$7:$A$125,0),7))</f>
        <v/>
      </c>
      <c r="I101" s="10" t="str">
        <f>IF($A101="","",INDEX(jalons!$A$7:$K$125,MATCH('Suivi livrables'!$A101,jalons!$A$7:$A$125,0),8))</f>
        <v/>
      </c>
      <c r="J101" s="10" t="str">
        <f>IF($A101="","",INDEX(jalons!$A$7:$K$125,MATCH('Suivi livrables'!$A101,jalons!$A$7:$A$125,0),9))</f>
        <v/>
      </c>
      <c r="K101" s="10" t="str">
        <f>IF($A101="","",INDEX(jalons!$A$7:$K$125,MATCH('Suivi livrables'!$A101,jalons!$A$7:$A$125,0),10))</f>
        <v/>
      </c>
      <c r="L101" s="10" t="str">
        <f>IF($A101="","",INDEX(jalons!$A$7:$K$125,MATCH('Suivi livrables'!$A101,jalons!$A$7:$A$125,0),11))</f>
        <v/>
      </c>
      <c r="M101" s="14"/>
      <c r="N101" s="47"/>
      <c r="O101" s="49"/>
      <c r="P101" s="50"/>
      <c r="Q101" s="50"/>
      <c r="R101" s="50"/>
      <c r="S101" s="50"/>
      <c r="T101" s="50"/>
      <c r="U101" s="50"/>
      <c r="V101" s="50"/>
      <c r="W101" s="50"/>
      <c r="X101" s="50"/>
      <c r="Y101" s="48"/>
      <c r="Z101" s="48"/>
      <c r="AA101" s="50"/>
      <c r="AB101" s="94"/>
      <c r="AC101" s="48"/>
      <c r="AD101" s="128"/>
      <c r="AE101" s="132"/>
      <c r="AF101" s="50"/>
      <c r="AG101" s="48"/>
      <c r="AH101" s="50"/>
      <c r="AI101" s="48"/>
      <c r="AJ101" s="50"/>
      <c r="AK101" s="48"/>
      <c r="AL101" s="50"/>
      <c r="AM101" s="48"/>
      <c r="AN101" s="140"/>
      <c r="AO101" s="133"/>
      <c r="AP101" s="140"/>
      <c r="AQ101" s="132"/>
      <c r="AR101" s="133"/>
      <c r="AS101" s="140"/>
      <c r="AT101" s="132"/>
      <c r="AU101" s="149"/>
      <c r="AV101" s="149"/>
      <c r="AW101" s="132"/>
      <c r="AX101" s="149"/>
      <c r="AY101" s="149"/>
      <c r="AZ101" s="132"/>
      <c r="BA101" s="149"/>
      <c r="BB101" s="149"/>
      <c r="BC101" s="149"/>
      <c r="BD101" s="149"/>
      <c r="BE101" s="133"/>
      <c r="BF101" s="49"/>
      <c r="BG101" s="94"/>
      <c r="BH101" s="96"/>
      <c r="BI101" s="117"/>
      <c r="BJ101" s="119"/>
      <c r="BK101" s="117"/>
      <c r="BL101" s="117"/>
      <c r="BM101" s="117"/>
      <c r="BN101" s="117"/>
      <c r="BO101" s="117"/>
      <c r="BP101" s="117"/>
      <c r="BQ101" s="117"/>
      <c r="BR101" s="117"/>
      <c r="BS101" s="117"/>
      <c r="BT101" s="117"/>
      <c r="BU101" s="117"/>
      <c r="BV101" s="117"/>
      <c r="BW101" s="97"/>
      <c r="BX101" s="102"/>
      <c r="BY101" s="117" t="str">
        <f t="shared" si="85"/>
        <v/>
      </c>
      <c r="BZ101" s="117" t="str">
        <f t="shared" si="86"/>
        <v/>
      </c>
      <c r="CA101" s="117" t="str">
        <f t="shared" si="87"/>
        <v/>
      </c>
      <c r="CB101" s="117" t="str">
        <f t="shared" si="88"/>
        <v/>
      </c>
      <c r="CC101" s="117" t="str">
        <f t="shared" si="89"/>
        <v/>
      </c>
      <c r="CD101" s="117" t="str">
        <f t="shared" si="90"/>
        <v/>
      </c>
      <c r="CE101" s="117" t="str">
        <f t="shared" si="91"/>
        <v/>
      </c>
      <c r="CF101" s="117" t="str">
        <f t="shared" si="92"/>
        <v/>
      </c>
      <c r="CG101" s="117" t="str">
        <f t="shared" si="93"/>
        <v/>
      </c>
      <c r="CH101" s="117" t="str">
        <f t="shared" si="94"/>
        <v/>
      </c>
      <c r="CI101" s="117" t="str">
        <f t="shared" si="95"/>
        <v/>
      </c>
      <c r="CJ101" s="117" t="str">
        <f t="shared" si="96"/>
        <v/>
      </c>
      <c r="CK101" s="117" t="str">
        <f t="shared" si="97"/>
        <v/>
      </c>
      <c r="CL101" s="117" t="str">
        <f t="shared" si="98"/>
        <v/>
      </c>
      <c r="CM101" s="117" t="str">
        <f t="shared" si="99"/>
        <v/>
      </c>
      <c r="CN101" s="117" t="str">
        <f t="shared" si="100"/>
        <v/>
      </c>
      <c r="CO101" s="121" t="str">
        <f t="shared" si="72"/>
        <v/>
      </c>
      <c r="CP101" s="117"/>
      <c r="CQ101" s="121" t="str">
        <f t="shared" si="73"/>
        <v/>
      </c>
      <c r="CR101" s="117"/>
      <c r="CS101" s="121" t="str">
        <f t="shared" si="74"/>
        <v/>
      </c>
      <c r="CT101" s="121" t="str">
        <f t="shared" si="75"/>
        <v/>
      </c>
      <c r="CU101" s="121" t="str">
        <f t="shared" si="76"/>
        <v/>
      </c>
      <c r="CV101" s="117"/>
      <c r="CW101" s="121" t="str">
        <f t="shared" si="77"/>
        <v/>
      </c>
      <c r="CX101" s="117"/>
      <c r="CY101" s="121" t="str">
        <f t="shared" si="78"/>
        <v/>
      </c>
      <c r="CZ101" s="117"/>
      <c r="DA101" s="121" t="str">
        <f t="shared" si="79"/>
        <v/>
      </c>
      <c r="DB101" s="121" t="str">
        <f t="shared" si="80"/>
        <v/>
      </c>
      <c r="DC101" s="121" t="str">
        <f t="shared" si="81"/>
        <v/>
      </c>
      <c r="DD101" s="117"/>
      <c r="DE101" s="74"/>
      <c r="DF101" s="124"/>
      <c r="DG101" s="121"/>
      <c r="DH101" s="124"/>
      <c r="DI101" s="125"/>
      <c r="DJ101" s="124"/>
      <c r="DK101" s="117"/>
      <c r="DL101" s="124"/>
      <c r="DM101" s="117"/>
      <c r="DN101" s="124"/>
      <c r="DO101" s="117"/>
    </row>
    <row r="102" spans="1:119" ht="15.75" thickBot="1">
      <c r="A102" s="13"/>
      <c r="B102" s="57" t="str">
        <f>jalons!B102</f>
        <v/>
      </c>
      <c r="C102" s="57" t="str">
        <f>jalons!C102</f>
        <v/>
      </c>
      <c r="D102" s="83"/>
      <c r="E102" s="9" t="str">
        <f>IF($A102="","",INDEX(jalons!$A$7:$K$125,MATCH('Suivi livrables'!$A102,jalons!$A$7:$A$125,0),4))</f>
        <v/>
      </c>
      <c r="F102" s="10" t="str">
        <f>IF($A102="","",INDEX(jalons!$A$7:$K$125,MATCH('Suivi livrables'!$A102,jalons!$A$7:$A$125,0),5))</f>
        <v/>
      </c>
      <c r="G102" s="10" t="str">
        <f>IF($A102="","",INDEX(jalons!$A$7:$K$125,MATCH('Suivi livrables'!$A102,jalons!$A$7:$A$125,0),6))</f>
        <v/>
      </c>
      <c r="H102" s="10" t="str">
        <f>IF($A102="","",INDEX(jalons!$A$7:$K$125,MATCH('Suivi livrables'!$A102,jalons!$A$7:$A$125,0),7))</f>
        <v/>
      </c>
      <c r="I102" s="10" t="str">
        <f>IF($A102="","",INDEX(jalons!$A$7:$K$125,MATCH('Suivi livrables'!$A102,jalons!$A$7:$A$125,0),8))</f>
        <v/>
      </c>
      <c r="J102" s="10" t="str">
        <f>IF($A102="","",INDEX(jalons!$A$7:$K$125,MATCH('Suivi livrables'!$A102,jalons!$A$7:$A$125,0),9))</f>
        <v/>
      </c>
      <c r="K102" s="10" t="str">
        <f>IF($A102="","",INDEX(jalons!$A$7:$K$125,MATCH('Suivi livrables'!$A102,jalons!$A$7:$A$125,0),10))</f>
        <v/>
      </c>
      <c r="L102" s="10" t="str">
        <f>IF($A102="","",INDEX(jalons!$A$7:$K$125,MATCH('Suivi livrables'!$A102,jalons!$A$7:$A$125,0),11))</f>
        <v/>
      </c>
      <c r="M102" s="14"/>
      <c r="N102" s="47"/>
      <c r="O102" s="49"/>
      <c r="P102" s="50"/>
      <c r="Q102" s="50"/>
      <c r="R102" s="50"/>
      <c r="S102" s="50"/>
      <c r="T102" s="50"/>
      <c r="U102" s="50"/>
      <c r="V102" s="50"/>
      <c r="W102" s="50"/>
      <c r="X102" s="50"/>
      <c r="Y102" s="48"/>
      <c r="Z102" s="48"/>
      <c r="AA102" s="50"/>
      <c r="AB102" s="94"/>
      <c r="AC102" s="48"/>
      <c r="AD102" s="128"/>
      <c r="AE102" s="132"/>
      <c r="AF102" s="50"/>
      <c r="AG102" s="48"/>
      <c r="AH102" s="50"/>
      <c r="AI102" s="48"/>
      <c r="AJ102" s="50"/>
      <c r="AK102" s="48"/>
      <c r="AL102" s="50"/>
      <c r="AM102" s="48"/>
      <c r="AN102" s="140"/>
      <c r="AO102" s="133"/>
      <c r="AP102" s="140"/>
      <c r="AQ102" s="132"/>
      <c r="AR102" s="133"/>
      <c r="AS102" s="140"/>
      <c r="AT102" s="132"/>
      <c r="AU102" s="149"/>
      <c r="AV102" s="149"/>
      <c r="AW102" s="132"/>
      <c r="AX102" s="149"/>
      <c r="AY102" s="149"/>
      <c r="AZ102" s="132"/>
      <c r="BA102" s="149"/>
      <c r="BB102" s="149"/>
      <c r="BC102" s="149"/>
      <c r="BD102" s="149"/>
      <c r="BE102" s="133"/>
      <c r="BF102" s="49"/>
      <c r="BG102" s="94"/>
      <c r="BH102" s="96"/>
      <c r="BI102" s="117"/>
      <c r="BJ102" s="119"/>
      <c r="BK102" s="117"/>
      <c r="BL102" s="117"/>
      <c r="BM102" s="117"/>
      <c r="BN102" s="117"/>
      <c r="BO102" s="117"/>
      <c r="BP102" s="117"/>
      <c r="BQ102" s="117"/>
      <c r="BR102" s="117"/>
      <c r="BS102" s="117"/>
      <c r="BT102" s="117"/>
      <c r="BU102" s="117"/>
      <c r="BV102" s="117"/>
      <c r="BW102" s="97"/>
      <c r="BX102" s="102"/>
      <c r="BY102" s="117" t="str">
        <f t="shared" si="85"/>
        <v/>
      </c>
      <c r="BZ102" s="117" t="str">
        <f t="shared" si="86"/>
        <v/>
      </c>
      <c r="CA102" s="117" t="str">
        <f t="shared" si="87"/>
        <v/>
      </c>
      <c r="CB102" s="117" t="str">
        <f t="shared" si="88"/>
        <v/>
      </c>
      <c r="CC102" s="117" t="str">
        <f t="shared" si="89"/>
        <v/>
      </c>
      <c r="CD102" s="117" t="str">
        <f t="shared" si="90"/>
        <v/>
      </c>
      <c r="CE102" s="117" t="str">
        <f t="shared" si="91"/>
        <v/>
      </c>
      <c r="CF102" s="117" t="str">
        <f t="shared" si="92"/>
        <v/>
      </c>
      <c r="CG102" s="117" t="str">
        <f t="shared" si="93"/>
        <v/>
      </c>
      <c r="CH102" s="117" t="str">
        <f t="shared" si="94"/>
        <v/>
      </c>
      <c r="CI102" s="117" t="str">
        <f t="shared" si="95"/>
        <v/>
      </c>
      <c r="CJ102" s="117" t="str">
        <f t="shared" si="96"/>
        <v/>
      </c>
      <c r="CK102" s="117" t="str">
        <f t="shared" si="97"/>
        <v/>
      </c>
      <c r="CL102" s="117" t="str">
        <f t="shared" si="98"/>
        <v/>
      </c>
      <c r="CM102" s="117" t="str">
        <f t="shared" si="99"/>
        <v/>
      </c>
      <c r="CN102" s="117" t="str">
        <f t="shared" si="100"/>
        <v/>
      </c>
      <c r="CO102" s="121" t="str">
        <f t="shared" si="72"/>
        <v/>
      </c>
      <c r="CP102" s="117"/>
      <c r="CQ102" s="121" t="str">
        <f t="shared" si="73"/>
        <v/>
      </c>
      <c r="CR102" s="117"/>
      <c r="CS102" s="121" t="str">
        <f t="shared" si="74"/>
        <v/>
      </c>
      <c r="CT102" s="121" t="str">
        <f t="shared" si="75"/>
        <v/>
      </c>
      <c r="CU102" s="121" t="str">
        <f t="shared" si="76"/>
        <v/>
      </c>
      <c r="CV102" s="117"/>
      <c r="CW102" s="121" t="str">
        <f t="shared" si="77"/>
        <v/>
      </c>
      <c r="CX102" s="117"/>
      <c r="CY102" s="121" t="str">
        <f t="shared" si="78"/>
        <v/>
      </c>
      <c r="CZ102" s="117"/>
      <c r="DA102" s="121" t="str">
        <f t="shared" si="79"/>
        <v/>
      </c>
      <c r="DB102" s="121" t="str">
        <f t="shared" si="80"/>
        <v/>
      </c>
      <c r="DC102" s="121" t="str">
        <f t="shared" si="81"/>
        <v/>
      </c>
      <c r="DD102" s="117"/>
      <c r="DE102" s="74"/>
      <c r="DF102" s="124"/>
      <c r="DG102" s="121"/>
      <c r="DH102" s="124"/>
      <c r="DI102" s="125"/>
      <c r="DJ102" s="124"/>
      <c r="DK102" s="117"/>
      <c r="DL102" s="124"/>
      <c r="DM102" s="117"/>
      <c r="DN102" s="124"/>
      <c r="DO102" s="117"/>
    </row>
    <row r="103" spans="1:119" ht="15.75" thickBot="1">
      <c r="A103" s="13"/>
      <c r="B103" s="57" t="str">
        <f>jalons!B103</f>
        <v/>
      </c>
      <c r="C103" s="57" t="str">
        <f>jalons!C103</f>
        <v/>
      </c>
      <c r="D103" s="83"/>
      <c r="E103" s="9" t="str">
        <f>IF($A103="","",INDEX(jalons!$A$7:$K$125,MATCH('Suivi livrables'!$A103,jalons!$A$7:$A$125,0),4))</f>
        <v/>
      </c>
      <c r="F103" s="10" t="str">
        <f>IF($A103="","",INDEX(jalons!$A$7:$K$125,MATCH('Suivi livrables'!$A103,jalons!$A$7:$A$125,0),5))</f>
        <v/>
      </c>
      <c r="G103" s="10" t="str">
        <f>IF($A103="","",INDEX(jalons!$A$7:$K$125,MATCH('Suivi livrables'!$A103,jalons!$A$7:$A$125,0),6))</f>
        <v/>
      </c>
      <c r="H103" s="10" t="str">
        <f>IF($A103="","",INDEX(jalons!$A$7:$K$125,MATCH('Suivi livrables'!$A103,jalons!$A$7:$A$125,0),7))</f>
        <v/>
      </c>
      <c r="I103" s="10" t="str">
        <f>IF($A103="","",INDEX(jalons!$A$7:$K$125,MATCH('Suivi livrables'!$A103,jalons!$A$7:$A$125,0),8))</f>
        <v/>
      </c>
      <c r="J103" s="10" t="str">
        <f>IF($A103="","",INDEX(jalons!$A$7:$K$125,MATCH('Suivi livrables'!$A103,jalons!$A$7:$A$125,0),9))</f>
        <v/>
      </c>
      <c r="K103" s="10" t="str">
        <f>IF($A103="","",INDEX(jalons!$A$7:$K$125,MATCH('Suivi livrables'!$A103,jalons!$A$7:$A$125,0),10))</f>
        <v/>
      </c>
      <c r="L103" s="10" t="str">
        <f>IF($A103="","",INDEX(jalons!$A$7:$K$125,MATCH('Suivi livrables'!$A103,jalons!$A$7:$A$125,0),11))</f>
        <v/>
      </c>
      <c r="M103" s="14"/>
      <c r="N103" s="47"/>
      <c r="O103" s="49"/>
      <c r="P103" s="50"/>
      <c r="Q103" s="50"/>
      <c r="R103" s="50"/>
      <c r="S103" s="50"/>
      <c r="T103" s="50"/>
      <c r="U103" s="50"/>
      <c r="V103" s="50"/>
      <c r="W103" s="50"/>
      <c r="X103" s="50"/>
      <c r="Y103" s="48"/>
      <c r="Z103" s="48"/>
      <c r="AA103" s="50"/>
      <c r="AB103" s="94"/>
      <c r="AC103" s="48"/>
      <c r="AD103" s="128"/>
      <c r="AE103" s="132"/>
      <c r="AF103" s="50"/>
      <c r="AG103" s="48"/>
      <c r="AH103" s="50"/>
      <c r="AI103" s="48"/>
      <c r="AJ103" s="50"/>
      <c r="AK103" s="48"/>
      <c r="AL103" s="50"/>
      <c r="AM103" s="48"/>
      <c r="AN103" s="140"/>
      <c r="AO103" s="133"/>
      <c r="AP103" s="140"/>
      <c r="AQ103" s="132"/>
      <c r="AR103" s="133"/>
      <c r="AS103" s="140"/>
      <c r="AT103" s="132"/>
      <c r="AU103" s="149"/>
      <c r="AV103" s="149"/>
      <c r="AW103" s="132"/>
      <c r="AX103" s="149"/>
      <c r="AY103" s="149"/>
      <c r="AZ103" s="132"/>
      <c r="BA103" s="149"/>
      <c r="BB103" s="149"/>
      <c r="BC103" s="149"/>
      <c r="BD103" s="149"/>
      <c r="BE103" s="133"/>
      <c r="BF103" s="49"/>
      <c r="BG103" s="94"/>
      <c r="BH103" s="96"/>
      <c r="BI103" s="117"/>
      <c r="BJ103" s="119"/>
      <c r="BK103" s="117"/>
      <c r="BL103" s="117"/>
      <c r="BM103" s="117"/>
      <c r="BN103" s="117"/>
      <c r="BO103" s="117"/>
      <c r="BP103" s="117"/>
      <c r="BQ103" s="117"/>
      <c r="BR103" s="117"/>
      <c r="BS103" s="117"/>
      <c r="BT103" s="117"/>
      <c r="BU103" s="117"/>
      <c r="BV103" s="117"/>
      <c r="BW103" s="97"/>
      <c r="BX103" s="102"/>
      <c r="BY103" s="117" t="str">
        <f t="shared" si="85"/>
        <v/>
      </c>
      <c r="BZ103" s="117" t="str">
        <f t="shared" si="86"/>
        <v/>
      </c>
      <c r="CA103" s="117" t="str">
        <f t="shared" si="87"/>
        <v/>
      </c>
      <c r="CB103" s="117" t="str">
        <f t="shared" si="88"/>
        <v/>
      </c>
      <c r="CC103" s="117" t="str">
        <f t="shared" si="89"/>
        <v/>
      </c>
      <c r="CD103" s="117" t="str">
        <f t="shared" si="90"/>
        <v/>
      </c>
      <c r="CE103" s="117" t="str">
        <f t="shared" si="91"/>
        <v/>
      </c>
      <c r="CF103" s="117" t="str">
        <f t="shared" si="92"/>
        <v/>
      </c>
      <c r="CG103" s="117" t="str">
        <f t="shared" si="93"/>
        <v/>
      </c>
      <c r="CH103" s="117" t="str">
        <f t="shared" si="94"/>
        <v/>
      </c>
      <c r="CI103" s="117" t="str">
        <f t="shared" si="95"/>
        <v/>
      </c>
      <c r="CJ103" s="117" t="str">
        <f t="shared" si="96"/>
        <v/>
      </c>
      <c r="CK103" s="117" t="str">
        <f t="shared" si="97"/>
        <v/>
      </c>
      <c r="CL103" s="117" t="str">
        <f t="shared" si="98"/>
        <v/>
      </c>
      <c r="CM103" s="117" t="str">
        <f t="shared" si="99"/>
        <v/>
      </c>
      <c r="CN103" s="117" t="str">
        <f t="shared" si="100"/>
        <v/>
      </c>
      <c r="CO103" s="121" t="str">
        <f t="shared" ref="CO103:CO125" si="102">IF(A103=0,"",IF(G103=0,"TBD",IF(OR(BZ103&lt;&gt;0,CB103&lt;&gt;0,CD103&lt;&gt;0,CF103&lt;&gt;0,CH103&lt;&gt;0,CN103&lt;&gt;0),G103-77,"N/A")))</f>
        <v/>
      </c>
      <c r="CP103" s="117"/>
      <c r="CQ103" s="121" t="str">
        <f t="shared" ref="CQ103:CQ125" si="103">IF(A103=0,"",IF(G103=0,"TBD",IF(OR(BZ103&lt;&gt;0,CB103&lt;&gt;0,CD103&lt;&gt;0,CF103&lt;&gt;0,CH103&lt;&gt;0,CN103&lt;&gt;0),G103-77,"N/A")))</f>
        <v/>
      </c>
      <c r="CR103" s="117"/>
      <c r="CS103" s="121" t="str">
        <f t="shared" ref="CS103:CS125" si="104">IF(A103=0,"",IF(G103=0,"TBD",IF(OR(BZ103&lt;&gt;0,CB103&lt;&gt;0,CD103&lt;&gt;0,CF103&lt;&gt;0,CH103&lt;&gt;0,CN103&lt;&gt;0),G103-35,"N/A")))</f>
        <v/>
      </c>
      <c r="CT103" s="121" t="str">
        <f t="shared" ref="CT103:CT125" si="105">IF(A103=0,"",IF(G103=0,"TBD",IF(OR(BZ103&lt;&gt;0,CB103&lt;&gt;0,CD103&lt;&gt;0,CF103&lt;&gt;0,CH103&lt;&gt;0,CN103&lt;&gt;0),G103-21,"N/A")))</f>
        <v/>
      </c>
      <c r="CU103" s="121" t="str">
        <f t="shared" ref="CU103:CU125" si="106">IF(A103=0,"",IF(G103=0,"TBD",IF(OR(BZ103&lt;&gt;0,CB103&lt;&gt;0,CD103&lt;&gt;0,CF103&lt;&gt;0,CH103&lt;&gt;0,CN103&lt;&gt;0),G103-49,"N/A")))</f>
        <v/>
      </c>
      <c r="CV103" s="117"/>
      <c r="CW103" s="121" t="str">
        <f t="shared" ref="CW103:CW125" si="107">IF(A103=0,"",IF(G103=0,"TBD",IF(OR(BZ103&lt;&gt;0,CB103&lt;&gt;0,CD103&lt;&gt;0,CF103&lt;&gt;0,CH103&lt;&gt;0,CN103&lt;&gt;0),G103-35,"N/A")))</f>
        <v/>
      </c>
      <c r="CX103" s="117"/>
      <c r="CY103" s="121" t="str">
        <f t="shared" ref="CY103:CY125" si="108">IF(A103=0,"",IF(G103=0,"TBD",IF(OR(BZ103&lt;&gt;0,CB103&lt;&gt;0,CD103&lt;&gt;0,CF103&lt;&gt;0,CH103&lt;&gt;0,CN103&lt;&gt;0),G103-28,"N/A")))</f>
        <v/>
      </c>
      <c r="CZ103" s="117"/>
      <c r="DA103" s="121" t="str">
        <f t="shared" ref="DA103:DA125" si="109">IF(A103=0,"",IF(G103=0,"TBD",IF(OR(BZ103&lt;&gt;0,CB103&lt;&gt;0,CD103&lt;&gt;0,CF103&lt;&gt;0,CH103&lt;&gt;0,CN103&lt;&gt;0),G103-21,"N/A")))</f>
        <v/>
      </c>
      <c r="DB103" s="121" t="str">
        <f t="shared" ref="DB103:DB125" si="110">IF(A103=0,"",IF(G103=0,"TBD",IF(OR(BZ103&lt;&gt;0,CB103&lt;&gt;0,CD103&lt;&gt;0,CF103&lt;&gt;0,CH103&lt;&gt;0,CN103&lt;&gt;0),G103+28,"N/A")))</f>
        <v/>
      </c>
      <c r="DC103" s="121" t="str">
        <f t="shared" ref="DC103:DC125" si="111">IF(A103=0,"",IF(G103=0,"TBD",IF(OR(BZ103&lt;&gt;0,CB103&lt;&gt;0,CD103&lt;&gt;0,CF103&lt;&gt;0,CH103&lt;&gt;0,CN103&lt;&gt;0),G103+28,"N/A")))</f>
        <v/>
      </c>
      <c r="DD103" s="117"/>
      <c r="DE103" s="74"/>
      <c r="DF103" s="124"/>
      <c r="DG103" s="121"/>
      <c r="DH103" s="124"/>
      <c r="DI103" s="125"/>
      <c r="DJ103" s="124"/>
      <c r="DK103" s="117"/>
      <c r="DL103" s="124"/>
      <c r="DM103" s="117"/>
      <c r="DN103" s="124"/>
      <c r="DO103" s="117"/>
    </row>
    <row r="104" spans="1:119" ht="15.75" thickBot="1">
      <c r="A104" s="13"/>
      <c r="B104" s="57" t="str">
        <f>jalons!B104</f>
        <v/>
      </c>
      <c r="C104" s="57" t="str">
        <f>jalons!C104</f>
        <v/>
      </c>
      <c r="D104" s="83"/>
      <c r="E104" s="9" t="str">
        <f>IF($A104="","",INDEX(jalons!$A$7:$K$125,MATCH('Suivi livrables'!$A104,jalons!$A$7:$A$125,0),4))</f>
        <v/>
      </c>
      <c r="F104" s="10" t="str">
        <f>IF($A104="","",INDEX(jalons!$A$7:$K$125,MATCH('Suivi livrables'!$A104,jalons!$A$7:$A$125,0),5))</f>
        <v/>
      </c>
      <c r="G104" s="10" t="str">
        <f>IF($A104="","",INDEX(jalons!$A$7:$K$125,MATCH('Suivi livrables'!$A104,jalons!$A$7:$A$125,0),6))</f>
        <v/>
      </c>
      <c r="H104" s="10" t="str">
        <f>IF($A104="","",INDEX(jalons!$A$7:$K$125,MATCH('Suivi livrables'!$A104,jalons!$A$7:$A$125,0),7))</f>
        <v/>
      </c>
      <c r="I104" s="10" t="str">
        <f>IF($A104="","",INDEX(jalons!$A$7:$K$125,MATCH('Suivi livrables'!$A104,jalons!$A$7:$A$125,0),8))</f>
        <v/>
      </c>
      <c r="J104" s="10" t="str">
        <f>IF($A104="","",INDEX(jalons!$A$7:$K$125,MATCH('Suivi livrables'!$A104,jalons!$A$7:$A$125,0),9))</f>
        <v/>
      </c>
      <c r="K104" s="10" t="str">
        <f>IF($A104="","",INDEX(jalons!$A$7:$K$125,MATCH('Suivi livrables'!$A104,jalons!$A$7:$A$125,0),10))</f>
        <v/>
      </c>
      <c r="L104" s="10" t="str">
        <f>IF($A104="","",INDEX(jalons!$A$7:$K$125,MATCH('Suivi livrables'!$A104,jalons!$A$7:$A$125,0),11))</f>
        <v/>
      </c>
      <c r="M104" s="14"/>
      <c r="N104" s="47"/>
      <c r="O104" s="49"/>
      <c r="P104" s="50"/>
      <c r="Q104" s="50"/>
      <c r="R104" s="50"/>
      <c r="S104" s="50"/>
      <c r="T104" s="50"/>
      <c r="U104" s="50"/>
      <c r="V104" s="50"/>
      <c r="W104" s="50"/>
      <c r="X104" s="50"/>
      <c r="Y104" s="48"/>
      <c r="Z104" s="48"/>
      <c r="AA104" s="50"/>
      <c r="AB104" s="94"/>
      <c r="AC104" s="48"/>
      <c r="AD104" s="128"/>
      <c r="AE104" s="132"/>
      <c r="AF104" s="50"/>
      <c r="AG104" s="48"/>
      <c r="AH104" s="50"/>
      <c r="AI104" s="48"/>
      <c r="AJ104" s="50"/>
      <c r="AK104" s="48"/>
      <c r="AL104" s="50"/>
      <c r="AM104" s="48"/>
      <c r="AN104" s="140"/>
      <c r="AO104" s="133"/>
      <c r="AP104" s="140"/>
      <c r="AQ104" s="132"/>
      <c r="AR104" s="133"/>
      <c r="AS104" s="140"/>
      <c r="AT104" s="132"/>
      <c r="AU104" s="149"/>
      <c r="AV104" s="149"/>
      <c r="AW104" s="132"/>
      <c r="AX104" s="149"/>
      <c r="AY104" s="149"/>
      <c r="AZ104" s="132"/>
      <c r="BA104" s="149"/>
      <c r="BB104" s="149"/>
      <c r="BC104" s="149"/>
      <c r="BD104" s="149"/>
      <c r="BE104" s="133"/>
      <c r="BF104" s="49"/>
      <c r="BG104" s="94"/>
      <c r="BH104" s="96"/>
      <c r="BI104" s="117"/>
      <c r="BJ104" s="119"/>
      <c r="BK104" s="117"/>
      <c r="BL104" s="117"/>
      <c r="BM104" s="117"/>
      <c r="BN104" s="117"/>
      <c r="BO104" s="117"/>
      <c r="BP104" s="117"/>
      <c r="BQ104" s="117"/>
      <c r="BR104" s="117"/>
      <c r="BS104" s="117"/>
      <c r="BT104" s="117"/>
      <c r="BU104" s="117"/>
      <c r="BV104" s="117"/>
      <c r="BW104" s="97"/>
      <c r="BX104" s="102"/>
      <c r="BY104" s="117" t="str">
        <f t="shared" ref="BY104:BY125" si="112">IF(O104="","",O104)</f>
        <v/>
      </c>
      <c r="BZ104" s="117" t="str">
        <f t="shared" ref="BZ104:BZ125" si="113">IF(P104="","",P104)</f>
        <v/>
      </c>
      <c r="CA104" s="117" t="str">
        <f t="shared" ref="CA104:CA125" si="114">IF(Q104="","",Q104)</f>
        <v/>
      </c>
      <c r="CB104" s="117" t="str">
        <f t="shared" ref="CB104:CB125" si="115">IF(R104="","",R104)</f>
        <v/>
      </c>
      <c r="CC104" s="117" t="str">
        <f t="shared" ref="CC104:CC125" si="116">IF(S104="","",S104)</f>
        <v/>
      </c>
      <c r="CD104" s="117" t="str">
        <f t="shared" ref="CD104:CD125" si="117">IF(T104="","",T104)</f>
        <v/>
      </c>
      <c r="CE104" s="117" t="str">
        <f t="shared" ref="CE104:CE125" si="118">IF(U104="","",U104)</f>
        <v/>
      </c>
      <c r="CF104" s="117" t="str">
        <f t="shared" ref="CF104:CF125" si="119">IF(V104="","",V104)</f>
        <v/>
      </c>
      <c r="CG104" s="117" t="str">
        <f t="shared" ref="CG104:CG125" si="120">IF(W104="","",W104)</f>
        <v/>
      </c>
      <c r="CH104" s="117" t="str">
        <f t="shared" ref="CH104:CH125" si="121">IF(X104="","",X104)</f>
        <v/>
      </c>
      <c r="CI104" s="117" t="str">
        <f t="shared" si="95"/>
        <v/>
      </c>
      <c r="CJ104" s="117" t="str">
        <f t="shared" si="96"/>
        <v/>
      </c>
      <c r="CK104" s="117" t="str">
        <f t="shared" si="97"/>
        <v/>
      </c>
      <c r="CL104" s="117" t="str">
        <f t="shared" si="98"/>
        <v/>
      </c>
      <c r="CM104" s="117" t="str">
        <f t="shared" si="99"/>
        <v/>
      </c>
      <c r="CN104" s="117" t="str">
        <f t="shared" si="100"/>
        <v/>
      </c>
      <c r="CO104" s="121" t="str">
        <f t="shared" si="102"/>
        <v/>
      </c>
      <c r="CP104" s="117"/>
      <c r="CQ104" s="121" t="str">
        <f t="shared" si="103"/>
        <v/>
      </c>
      <c r="CR104" s="117"/>
      <c r="CS104" s="121" t="str">
        <f t="shared" si="104"/>
        <v/>
      </c>
      <c r="CT104" s="121" t="str">
        <f t="shared" si="105"/>
        <v/>
      </c>
      <c r="CU104" s="121" t="str">
        <f t="shared" si="106"/>
        <v/>
      </c>
      <c r="CV104" s="117"/>
      <c r="CW104" s="121" t="str">
        <f t="shared" si="107"/>
        <v/>
      </c>
      <c r="CX104" s="117"/>
      <c r="CY104" s="121" t="str">
        <f t="shared" si="108"/>
        <v/>
      </c>
      <c r="CZ104" s="117"/>
      <c r="DA104" s="121" t="str">
        <f t="shared" si="109"/>
        <v/>
      </c>
      <c r="DB104" s="121" t="str">
        <f t="shared" si="110"/>
        <v/>
      </c>
      <c r="DC104" s="121" t="str">
        <f t="shared" si="111"/>
        <v/>
      </c>
      <c r="DD104" s="117"/>
      <c r="DE104" s="74"/>
      <c r="DF104" s="124"/>
      <c r="DG104" s="121"/>
      <c r="DH104" s="124"/>
      <c r="DI104" s="125"/>
      <c r="DJ104" s="124"/>
      <c r="DK104" s="117"/>
      <c r="DL104" s="124"/>
      <c r="DM104" s="117"/>
      <c r="DN104" s="124"/>
      <c r="DO104" s="117"/>
    </row>
    <row r="105" spans="1:119" ht="15.75" thickBot="1">
      <c r="A105" s="13"/>
      <c r="B105" s="57" t="str">
        <f>jalons!B105</f>
        <v/>
      </c>
      <c r="C105" s="57" t="str">
        <f>jalons!C105</f>
        <v/>
      </c>
      <c r="D105" s="83"/>
      <c r="E105" s="9" t="str">
        <f>IF($A105="","",INDEX(jalons!$A$7:$K$125,MATCH('Suivi livrables'!$A105,jalons!$A$7:$A$125,0),4))</f>
        <v/>
      </c>
      <c r="F105" s="10" t="str">
        <f>IF($A105="","",INDEX(jalons!$A$7:$K$125,MATCH('Suivi livrables'!$A105,jalons!$A$7:$A$125,0),5))</f>
        <v/>
      </c>
      <c r="G105" s="10" t="str">
        <f>IF($A105="","",INDEX(jalons!$A$7:$K$125,MATCH('Suivi livrables'!$A105,jalons!$A$7:$A$125,0),6))</f>
        <v/>
      </c>
      <c r="H105" s="10" t="str">
        <f>IF($A105="","",INDEX(jalons!$A$7:$K$125,MATCH('Suivi livrables'!$A105,jalons!$A$7:$A$125,0),7))</f>
        <v/>
      </c>
      <c r="I105" s="10" t="str">
        <f>IF($A105="","",INDEX(jalons!$A$7:$K$125,MATCH('Suivi livrables'!$A105,jalons!$A$7:$A$125,0),8))</f>
        <v/>
      </c>
      <c r="J105" s="10" t="str">
        <f>IF($A105="","",INDEX(jalons!$A$7:$K$125,MATCH('Suivi livrables'!$A105,jalons!$A$7:$A$125,0),9))</f>
        <v/>
      </c>
      <c r="K105" s="10" t="str">
        <f>IF($A105="","",INDEX(jalons!$A$7:$K$125,MATCH('Suivi livrables'!$A105,jalons!$A$7:$A$125,0),10))</f>
        <v/>
      </c>
      <c r="L105" s="10" t="str">
        <f>IF($A105="","",INDEX(jalons!$A$7:$K$125,MATCH('Suivi livrables'!$A105,jalons!$A$7:$A$125,0),11))</f>
        <v/>
      </c>
      <c r="M105" s="14"/>
      <c r="N105" s="47"/>
      <c r="O105" s="49"/>
      <c r="P105" s="50"/>
      <c r="Q105" s="50"/>
      <c r="R105" s="50"/>
      <c r="S105" s="50"/>
      <c r="T105" s="50"/>
      <c r="U105" s="50"/>
      <c r="V105" s="50"/>
      <c r="W105" s="50"/>
      <c r="X105" s="50"/>
      <c r="Y105" s="48"/>
      <c r="Z105" s="48"/>
      <c r="AA105" s="50"/>
      <c r="AB105" s="94"/>
      <c r="AC105" s="48"/>
      <c r="AD105" s="128"/>
      <c r="AE105" s="132"/>
      <c r="AF105" s="50"/>
      <c r="AG105" s="48"/>
      <c r="AH105" s="50"/>
      <c r="AI105" s="48"/>
      <c r="AJ105" s="50"/>
      <c r="AK105" s="48"/>
      <c r="AL105" s="50"/>
      <c r="AM105" s="48"/>
      <c r="AN105" s="140"/>
      <c r="AO105" s="133"/>
      <c r="AP105" s="140"/>
      <c r="AQ105" s="132"/>
      <c r="AR105" s="133"/>
      <c r="AS105" s="140"/>
      <c r="AT105" s="132"/>
      <c r="AU105" s="149"/>
      <c r="AV105" s="149"/>
      <c r="AW105" s="132"/>
      <c r="AX105" s="149"/>
      <c r="AY105" s="149"/>
      <c r="AZ105" s="132"/>
      <c r="BA105" s="149"/>
      <c r="BB105" s="149"/>
      <c r="BC105" s="149"/>
      <c r="BD105" s="149"/>
      <c r="BE105" s="133"/>
      <c r="BF105" s="49"/>
      <c r="BG105" s="94"/>
      <c r="BH105" s="96"/>
      <c r="BI105" s="117"/>
      <c r="BJ105" s="119"/>
      <c r="BK105" s="117"/>
      <c r="BL105" s="117"/>
      <c r="BM105" s="117"/>
      <c r="BN105" s="117"/>
      <c r="BO105" s="117"/>
      <c r="BP105" s="117"/>
      <c r="BQ105" s="117"/>
      <c r="BR105" s="117"/>
      <c r="BS105" s="117"/>
      <c r="BT105" s="117"/>
      <c r="BU105" s="117"/>
      <c r="BV105" s="117"/>
      <c r="BW105" s="97"/>
      <c r="BX105" s="102"/>
      <c r="BY105" s="117" t="str">
        <f t="shared" si="112"/>
        <v/>
      </c>
      <c r="BZ105" s="117" t="str">
        <f t="shared" si="113"/>
        <v/>
      </c>
      <c r="CA105" s="117" t="str">
        <f t="shared" si="114"/>
        <v/>
      </c>
      <c r="CB105" s="117" t="str">
        <f t="shared" si="115"/>
        <v/>
      </c>
      <c r="CC105" s="117" t="str">
        <f t="shared" si="116"/>
        <v/>
      </c>
      <c r="CD105" s="117" t="str">
        <f t="shared" si="117"/>
        <v/>
      </c>
      <c r="CE105" s="117" t="str">
        <f t="shared" si="118"/>
        <v/>
      </c>
      <c r="CF105" s="117" t="str">
        <f t="shared" si="119"/>
        <v/>
      </c>
      <c r="CG105" s="117" t="str">
        <f t="shared" si="120"/>
        <v/>
      </c>
      <c r="CH105" s="117" t="str">
        <f t="shared" si="121"/>
        <v/>
      </c>
      <c r="CI105" s="117" t="str">
        <f t="shared" si="95"/>
        <v/>
      </c>
      <c r="CJ105" s="117" t="str">
        <f t="shared" si="96"/>
        <v/>
      </c>
      <c r="CK105" s="117" t="str">
        <f t="shared" si="97"/>
        <v/>
      </c>
      <c r="CL105" s="117" t="str">
        <f t="shared" si="98"/>
        <v/>
      </c>
      <c r="CM105" s="117" t="str">
        <f t="shared" si="99"/>
        <v/>
      </c>
      <c r="CN105" s="117" t="str">
        <f t="shared" si="100"/>
        <v/>
      </c>
      <c r="CO105" s="121" t="str">
        <f t="shared" si="102"/>
        <v/>
      </c>
      <c r="CP105" s="117"/>
      <c r="CQ105" s="121" t="str">
        <f t="shared" si="103"/>
        <v/>
      </c>
      <c r="CR105" s="117"/>
      <c r="CS105" s="121" t="str">
        <f t="shared" si="104"/>
        <v/>
      </c>
      <c r="CT105" s="121" t="str">
        <f t="shared" si="105"/>
        <v/>
      </c>
      <c r="CU105" s="121" t="str">
        <f t="shared" si="106"/>
        <v/>
      </c>
      <c r="CV105" s="117"/>
      <c r="CW105" s="121" t="str">
        <f t="shared" si="107"/>
        <v/>
      </c>
      <c r="CX105" s="117"/>
      <c r="CY105" s="121" t="str">
        <f t="shared" si="108"/>
        <v/>
      </c>
      <c r="CZ105" s="117"/>
      <c r="DA105" s="121" t="str">
        <f t="shared" si="109"/>
        <v/>
      </c>
      <c r="DB105" s="121" t="str">
        <f t="shared" si="110"/>
        <v/>
      </c>
      <c r="DC105" s="121" t="str">
        <f t="shared" si="111"/>
        <v/>
      </c>
      <c r="DD105" s="117"/>
      <c r="DE105" s="74"/>
      <c r="DF105" s="124"/>
      <c r="DG105" s="121"/>
      <c r="DH105" s="124"/>
      <c r="DI105" s="125"/>
      <c r="DJ105" s="124"/>
      <c r="DK105" s="117"/>
      <c r="DL105" s="124"/>
      <c r="DM105" s="117"/>
      <c r="DN105" s="124"/>
      <c r="DO105" s="117"/>
    </row>
    <row r="106" spans="1:119" ht="15.75" thickBot="1">
      <c r="A106" s="13"/>
      <c r="B106" s="57" t="str">
        <f>jalons!B106</f>
        <v/>
      </c>
      <c r="C106" s="57" t="str">
        <f>jalons!C106</f>
        <v/>
      </c>
      <c r="D106" s="83"/>
      <c r="E106" s="9" t="str">
        <f>IF($A106="","",INDEX(jalons!$A$7:$K$125,MATCH('Suivi livrables'!$A106,jalons!$A$7:$A$125,0),4))</f>
        <v/>
      </c>
      <c r="F106" s="10" t="str">
        <f>IF($A106="","",INDEX(jalons!$A$7:$K$125,MATCH('Suivi livrables'!$A106,jalons!$A$7:$A$125,0),5))</f>
        <v/>
      </c>
      <c r="G106" s="10" t="str">
        <f>IF($A106="","",INDEX(jalons!$A$7:$K$125,MATCH('Suivi livrables'!$A106,jalons!$A$7:$A$125,0),6))</f>
        <v/>
      </c>
      <c r="H106" s="10" t="str">
        <f>IF($A106="","",INDEX(jalons!$A$7:$K$125,MATCH('Suivi livrables'!$A106,jalons!$A$7:$A$125,0),7))</f>
        <v/>
      </c>
      <c r="I106" s="10" t="str">
        <f>IF($A106="","",INDEX(jalons!$A$7:$K$125,MATCH('Suivi livrables'!$A106,jalons!$A$7:$A$125,0),8))</f>
        <v/>
      </c>
      <c r="J106" s="10" t="str">
        <f>IF($A106="","",INDEX(jalons!$A$7:$K$125,MATCH('Suivi livrables'!$A106,jalons!$A$7:$A$125,0),9))</f>
        <v/>
      </c>
      <c r="K106" s="10" t="str">
        <f>IF($A106="","",INDEX(jalons!$A$7:$K$125,MATCH('Suivi livrables'!$A106,jalons!$A$7:$A$125,0),10))</f>
        <v/>
      </c>
      <c r="L106" s="10" t="str">
        <f>IF($A106="","",INDEX(jalons!$A$7:$K$125,MATCH('Suivi livrables'!$A106,jalons!$A$7:$A$125,0),11))</f>
        <v/>
      </c>
      <c r="M106" s="14"/>
      <c r="N106" s="47"/>
      <c r="O106" s="49"/>
      <c r="P106" s="50"/>
      <c r="Q106" s="50"/>
      <c r="R106" s="50"/>
      <c r="S106" s="50"/>
      <c r="T106" s="50"/>
      <c r="U106" s="50"/>
      <c r="V106" s="50"/>
      <c r="W106" s="50"/>
      <c r="X106" s="50"/>
      <c r="Y106" s="48"/>
      <c r="Z106" s="48"/>
      <c r="AA106" s="50"/>
      <c r="AB106" s="94"/>
      <c r="AC106" s="48"/>
      <c r="AD106" s="128"/>
      <c r="AE106" s="132"/>
      <c r="AF106" s="50"/>
      <c r="AG106" s="48"/>
      <c r="AH106" s="50"/>
      <c r="AI106" s="48"/>
      <c r="AJ106" s="50"/>
      <c r="AK106" s="48"/>
      <c r="AL106" s="50"/>
      <c r="AM106" s="48"/>
      <c r="AN106" s="140"/>
      <c r="AO106" s="133"/>
      <c r="AP106" s="140"/>
      <c r="AQ106" s="132"/>
      <c r="AR106" s="133"/>
      <c r="AS106" s="140"/>
      <c r="AT106" s="132"/>
      <c r="AU106" s="149"/>
      <c r="AV106" s="149"/>
      <c r="AW106" s="132"/>
      <c r="AX106" s="149"/>
      <c r="AY106" s="149"/>
      <c r="AZ106" s="132"/>
      <c r="BA106" s="149"/>
      <c r="BB106" s="149"/>
      <c r="BC106" s="149"/>
      <c r="BD106" s="149"/>
      <c r="BE106" s="133"/>
      <c r="BF106" s="49"/>
      <c r="BG106" s="94"/>
      <c r="BH106" s="96"/>
      <c r="BI106" s="117"/>
      <c r="BJ106" s="119"/>
      <c r="BK106" s="117"/>
      <c r="BL106" s="117"/>
      <c r="BM106" s="117"/>
      <c r="BN106" s="117"/>
      <c r="BO106" s="117"/>
      <c r="BP106" s="117"/>
      <c r="BQ106" s="117"/>
      <c r="BR106" s="117"/>
      <c r="BS106" s="117"/>
      <c r="BT106" s="117"/>
      <c r="BU106" s="117"/>
      <c r="BV106" s="117"/>
      <c r="BW106" s="97"/>
      <c r="BX106" s="102"/>
      <c r="BY106" s="117" t="str">
        <f t="shared" si="112"/>
        <v/>
      </c>
      <c r="BZ106" s="117" t="str">
        <f t="shared" si="113"/>
        <v/>
      </c>
      <c r="CA106" s="117" t="str">
        <f t="shared" si="114"/>
        <v/>
      </c>
      <c r="CB106" s="117" t="str">
        <f t="shared" si="115"/>
        <v/>
      </c>
      <c r="CC106" s="117" t="str">
        <f t="shared" si="116"/>
        <v/>
      </c>
      <c r="CD106" s="117" t="str">
        <f t="shared" si="117"/>
        <v/>
      </c>
      <c r="CE106" s="117" t="str">
        <f t="shared" si="118"/>
        <v/>
      </c>
      <c r="CF106" s="117" t="str">
        <f t="shared" si="119"/>
        <v/>
      </c>
      <c r="CG106" s="117" t="str">
        <f t="shared" si="120"/>
        <v/>
      </c>
      <c r="CH106" s="117" t="str">
        <f t="shared" si="121"/>
        <v/>
      </c>
      <c r="CI106" s="117" t="str">
        <f t="shared" si="95"/>
        <v/>
      </c>
      <c r="CJ106" s="117" t="str">
        <f t="shared" si="96"/>
        <v/>
      </c>
      <c r="CK106" s="117" t="str">
        <f t="shared" si="97"/>
        <v/>
      </c>
      <c r="CL106" s="117" t="str">
        <f t="shared" ref="CL106:CL125" si="122">IF(AB106="","",AB106)</f>
        <v/>
      </c>
      <c r="CM106" s="117" t="str">
        <f t="shared" ref="CM106:CM125" si="123">IF(AC106="","",AC106)</f>
        <v/>
      </c>
      <c r="CN106" s="117" t="str">
        <f t="shared" ref="CN106:CN125" si="124">IF(AD106="","",AD106)</f>
        <v/>
      </c>
      <c r="CO106" s="121" t="str">
        <f t="shared" si="102"/>
        <v/>
      </c>
      <c r="CP106" s="117"/>
      <c r="CQ106" s="121" t="str">
        <f t="shared" si="103"/>
        <v/>
      </c>
      <c r="CR106" s="117"/>
      <c r="CS106" s="121" t="str">
        <f t="shared" si="104"/>
        <v/>
      </c>
      <c r="CT106" s="121" t="str">
        <f t="shared" si="105"/>
        <v/>
      </c>
      <c r="CU106" s="121" t="str">
        <f t="shared" si="106"/>
        <v/>
      </c>
      <c r="CV106" s="117"/>
      <c r="CW106" s="121" t="str">
        <f t="shared" si="107"/>
        <v/>
      </c>
      <c r="CX106" s="117"/>
      <c r="CY106" s="121" t="str">
        <f t="shared" si="108"/>
        <v/>
      </c>
      <c r="CZ106" s="117"/>
      <c r="DA106" s="121" t="str">
        <f t="shared" si="109"/>
        <v/>
      </c>
      <c r="DB106" s="121" t="str">
        <f t="shared" si="110"/>
        <v/>
      </c>
      <c r="DC106" s="121" t="str">
        <f t="shared" si="111"/>
        <v/>
      </c>
      <c r="DD106" s="117"/>
      <c r="DE106" s="74"/>
      <c r="DF106" s="124"/>
      <c r="DG106" s="121"/>
      <c r="DH106" s="124"/>
      <c r="DI106" s="125"/>
      <c r="DJ106" s="124"/>
      <c r="DK106" s="117"/>
      <c r="DL106" s="124"/>
      <c r="DM106" s="117"/>
      <c r="DN106" s="124"/>
      <c r="DO106" s="117"/>
    </row>
    <row r="107" spans="1:119" ht="15.75" thickBot="1">
      <c r="A107" s="13"/>
      <c r="B107" s="57" t="str">
        <f>jalons!B107</f>
        <v/>
      </c>
      <c r="C107" s="57" t="str">
        <f>jalons!C107</f>
        <v/>
      </c>
      <c r="D107" s="83"/>
      <c r="E107" s="9" t="str">
        <f>IF($A107="","",INDEX(jalons!$A$7:$K$125,MATCH('Suivi livrables'!$A107,jalons!$A$7:$A$125,0),4))</f>
        <v/>
      </c>
      <c r="F107" s="10" t="str">
        <f>IF($A107="","",INDEX(jalons!$A$7:$K$125,MATCH('Suivi livrables'!$A107,jalons!$A$7:$A$125,0),5))</f>
        <v/>
      </c>
      <c r="G107" s="10" t="str">
        <f>IF($A107="","",INDEX(jalons!$A$7:$K$125,MATCH('Suivi livrables'!$A107,jalons!$A$7:$A$125,0),6))</f>
        <v/>
      </c>
      <c r="H107" s="10" t="str">
        <f>IF($A107="","",INDEX(jalons!$A$7:$K$125,MATCH('Suivi livrables'!$A107,jalons!$A$7:$A$125,0),7))</f>
        <v/>
      </c>
      <c r="I107" s="10" t="str">
        <f>IF($A107="","",INDEX(jalons!$A$7:$K$125,MATCH('Suivi livrables'!$A107,jalons!$A$7:$A$125,0),8))</f>
        <v/>
      </c>
      <c r="J107" s="10" t="str">
        <f>IF($A107="","",INDEX(jalons!$A$7:$K$125,MATCH('Suivi livrables'!$A107,jalons!$A$7:$A$125,0),9))</f>
        <v/>
      </c>
      <c r="K107" s="10" t="str">
        <f>IF($A107="","",INDEX(jalons!$A$7:$K$125,MATCH('Suivi livrables'!$A107,jalons!$A$7:$A$125,0),10))</f>
        <v/>
      </c>
      <c r="L107" s="10" t="str">
        <f>IF($A107="","",INDEX(jalons!$A$7:$K$125,MATCH('Suivi livrables'!$A107,jalons!$A$7:$A$125,0),11))</f>
        <v/>
      </c>
      <c r="M107" s="14"/>
      <c r="N107" s="47"/>
      <c r="O107" s="49"/>
      <c r="P107" s="50"/>
      <c r="Q107" s="50"/>
      <c r="R107" s="50"/>
      <c r="S107" s="50"/>
      <c r="T107" s="50"/>
      <c r="U107" s="50"/>
      <c r="V107" s="50"/>
      <c r="W107" s="50"/>
      <c r="X107" s="50"/>
      <c r="Y107" s="48"/>
      <c r="Z107" s="48"/>
      <c r="AA107" s="50"/>
      <c r="AB107" s="94"/>
      <c r="AC107" s="48"/>
      <c r="AD107" s="128"/>
      <c r="AE107" s="132"/>
      <c r="AF107" s="50"/>
      <c r="AG107" s="48"/>
      <c r="AH107" s="50"/>
      <c r="AI107" s="48"/>
      <c r="AJ107" s="50"/>
      <c r="AK107" s="48"/>
      <c r="AL107" s="50"/>
      <c r="AM107" s="48"/>
      <c r="AN107" s="140"/>
      <c r="AO107" s="133"/>
      <c r="AP107" s="140"/>
      <c r="AQ107" s="132"/>
      <c r="AR107" s="133"/>
      <c r="AS107" s="140"/>
      <c r="AT107" s="132"/>
      <c r="AU107" s="149"/>
      <c r="AV107" s="149"/>
      <c r="AW107" s="132"/>
      <c r="AX107" s="149"/>
      <c r="AY107" s="149"/>
      <c r="AZ107" s="132"/>
      <c r="BA107" s="149"/>
      <c r="BB107" s="149"/>
      <c r="BC107" s="149"/>
      <c r="BD107" s="149"/>
      <c r="BE107" s="133"/>
      <c r="BF107" s="49"/>
      <c r="BG107" s="94"/>
      <c r="BH107" s="96"/>
      <c r="BI107" s="117"/>
      <c r="BJ107" s="83"/>
      <c r="BK107" s="117"/>
      <c r="BL107" s="117"/>
      <c r="BM107" s="117"/>
      <c r="BN107" s="117"/>
      <c r="BO107" s="117"/>
      <c r="BP107" s="117"/>
      <c r="BQ107" s="117"/>
      <c r="BR107" s="117"/>
      <c r="BS107" s="117"/>
      <c r="BT107" s="117"/>
      <c r="BU107" s="117"/>
      <c r="BV107" s="117"/>
      <c r="BW107" s="97"/>
      <c r="BX107" s="102"/>
      <c r="BY107" s="117" t="str">
        <f t="shared" si="112"/>
        <v/>
      </c>
      <c r="BZ107" s="117" t="str">
        <f t="shared" si="113"/>
        <v/>
      </c>
      <c r="CA107" s="117" t="str">
        <f t="shared" si="114"/>
        <v/>
      </c>
      <c r="CB107" s="117" t="str">
        <f t="shared" si="115"/>
        <v/>
      </c>
      <c r="CC107" s="117" t="str">
        <f t="shared" si="116"/>
        <v/>
      </c>
      <c r="CD107" s="117" t="str">
        <f t="shared" si="117"/>
        <v/>
      </c>
      <c r="CE107" s="117" t="str">
        <f t="shared" si="118"/>
        <v/>
      </c>
      <c r="CF107" s="117" t="str">
        <f t="shared" si="119"/>
        <v/>
      </c>
      <c r="CG107" s="117" t="str">
        <f t="shared" si="120"/>
        <v/>
      </c>
      <c r="CH107" s="117" t="str">
        <f t="shared" si="121"/>
        <v/>
      </c>
      <c r="CI107" s="117" t="str">
        <f t="shared" si="95"/>
        <v/>
      </c>
      <c r="CJ107" s="117" t="str">
        <f t="shared" si="96"/>
        <v/>
      </c>
      <c r="CK107" s="117" t="str">
        <f t="shared" si="97"/>
        <v/>
      </c>
      <c r="CL107" s="117" t="str">
        <f t="shared" si="122"/>
        <v/>
      </c>
      <c r="CM107" s="117" t="str">
        <f t="shared" si="123"/>
        <v/>
      </c>
      <c r="CN107" s="117" t="str">
        <f t="shared" si="124"/>
        <v/>
      </c>
      <c r="CO107" s="121" t="str">
        <f t="shared" si="102"/>
        <v/>
      </c>
      <c r="CP107" s="117"/>
      <c r="CQ107" s="121" t="str">
        <f t="shared" si="103"/>
        <v/>
      </c>
      <c r="CR107" s="117"/>
      <c r="CS107" s="121" t="str">
        <f t="shared" si="104"/>
        <v/>
      </c>
      <c r="CT107" s="121" t="str">
        <f t="shared" si="105"/>
        <v/>
      </c>
      <c r="CU107" s="121" t="str">
        <f t="shared" si="106"/>
        <v/>
      </c>
      <c r="CV107" s="117"/>
      <c r="CW107" s="121" t="str">
        <f t="shared" si="107"/>
        <v/>
      </c>
      <c r="CX107" s="117"/>
      <c r="CY107" s="121" t="str">
        <f t="shared" si="108"/>
        <v/>
      </c>
      <c r="CZ107" s="117"/>
      <c r="DA107" s="121" t="str">
        <f t="shared" si="109"/>
        <v/>
      </c>
      <c r="DB107" s="121" t="str">
        <f t="shared" si="110"/>
        <v/>
      </c>
      <c r="DC107" s="121" t="str">
        <f t="shared" si="111"/>
        <v/>
      </c>
      <c r="DD107" s="117"/>
      <c r="DE107" s="74"/>
      <c r="DF107" s="124"/>
      <c r="DG107" s="121"/>
      <c r="DH107" s="124"/>
      <c r="DI107" s="125"/>
      <c r="DJ107" s="124"/>
      <c r="DK107" s="117"/>
      <c r="DL107" s="124"/>
      <c r="DM107" s="117"/>
      <c r="DN107" s="124"/>
      <c r="DO107" s="117"/>
    </row>
    <row r="108" spans="1:119" ht="15.75" thickBot="1">
      <c r="A108" s="13"/>
      <c r="B108" s="57" t="str">
        <f>jalons!B108</f>
        <v/>
      </c>
      <c r="C108" s="57" t="str">
        <f>jalons!C108</f>
        <v/>
      </c>
      <c r="D108" s="83"/>
      <c r="E108" s="9" t="str">
        <f>IF($A108="","",INDEX(jalons!$A$7:$K$125,MATCH('Suivi livrables'!$A108,jalons!$A$7:$A$125,0),4))</f>
        <v/>
      </c>
      <c r="F108" s="10" t="str">
        <f>IF($A108="","",INDEX(jalons!$A$7:$K$125,MATCH('Suivi livrables'!$A108,jalons!$A$7:$A$125,0),5))</f>
        <v/>
      </c>
      <c r="G108" s="10" t="str">
        <f>IF($A108="","",INDEX(jalons!$A$7:$K$125,MATCH('Suivi livrables'!$A108,jalons!$A$7:$A$125,0),6))</f>
        <v/>
      </c>
      <c r="H108" s="10" t="str">
        <f>IF($A108="","",INDEX(jalons!$A$7:$K$125,MATCH('Suivi livrables'!$A108,jalons!$A$7:$A$125,0),7))</f>
        <v/>
      </c>
      <c r="I108" s="10" t="str">
        <f>IF($A108="","",INDEX(jalons!$A$7:$K$125,MATCH('Suivi livrables'!$A108,jalons!$A$7:$A$125,0),8))</f>
        <v/>
      </c>
      <c r="J108" s="10" t="str">
        <f>IF($A108="","",INDEX(jalons!$A$7:$K$125,MATCH('Suivi livrables'!$A108,jalons!$A$7:$A$125,0),9))</f>
        <v/>
      </c>
      <c r="K108" s="10" t="str">
        <f>IF($A108="","",INDEX(jalons!$A$7:$K$125,MATCH('Suivi livrables'!$A108,jalons!$A$7:$A$125,0),10))</f>
        <v/>
      </c>
      <c r="L108" s="10" t="str">
        <f>IF($A108="","",INDEX(jalons!$A$7:$K$125,MATCH('Suivi livrables'!$A108,jalons!$A$7:$A$125,0),11))</f>
        <v/>
      </c>
      <c r="M108" s="14"/>
      <c r="N108" s="47"/>
      <c r="O108" s="49"/>
      <c r="P108" s="50"/>
      <c r="Q108" s="50"/>
      <c r="R108" s="50"/>
      <c r="S108" s="50"/>
      <c r="T108" s="50"/>
      <c r="U108" s="50"/>
      <c r="V108" s="50"/>
      <c r="W108" s="50"/>
      <c r="X108" s="50"/>
      <c r="Y108" s="48"/>
      <c r="Z108" s="48"/>
      <c r="AA108" s="50"/>
      <c r="AB108" s="94"/>
      <c r="AC108" s="48"/>
      <c r="AD108" s="128"/>
      <c r="AE108" s="132"/>
      <c r="AF108" s="50"/>
      <c r="AG108" s="48"/>
      <c r="AH108" s="50"/>
      <c r="AI108" s="48"/>
      <c r="AJ108" s="50"/>
      <c r="AK108" s="48"/>
      <c r="AL108" s="50"/>
      <c r="AM108" s="48"/>
      <c r="AN108" s="140"/>
      <c r="AO108" s="133"/>
      <c r="AP108" s="140"/>
      <c r="AQ108" s="132"/>
      <c r="AR108" s="133"/>
      <c r="AS108" s="140"/>
      <c r="AT108" s="132"/>
      <c r="AU108" s="149"/>
      <c r="AV108" s="149"/>
      <c r="AW108" s="132"/>
      <c r="AX108" s="149"/>
      <c r="AY108" s="149"/>
      <c r="AZ108" s="132"/>
      <c r="BA108" s="149"/>
      <c r="BB108" s="149"/>
      <c r="BC108" s="149"/>
      <c r="BD108" s="149"/>
      <c r="BE108" s="133"/>
      <c r="BF108" s="49"/>
      <c r="BG108" s="94"/>
      <c r="BH108" s="96"/>
      <c r="BI108" s="117"/>
      <c r="BJ108" s="83"/>
      <c r="BK108" s="117"/>
      <c r="BL108" s="117"/>
      <c r="BM108" s="117"/>
      <c r="BN108" s="117"/>
      <c r="BO108" s="117"/>
      <c r="BP108" s="117"/>
      <c r="BQ108" s="117"/>
      <c r="BR108" s="117"/>
      <c r="BS108" s="117"/>
      <c r="BT108" s="117"/>
      <c r="BU108" s="117"/>
      <c r="BV108" s="117"/>
      <c r="BW108" s="97"/>
      <c r="BX108" s="102"/>
      <c r="BY108" s="117" t="str">
        <f t="shared" si="112"/>
        <v/>
      </c>
      <c r="BZ108" s="117" t="str">
        <f t="shared" si="113"/>
        <v/>
      </c>
      <c r="CA108" s="117" t="str">
        <f t="shared" si="114"/>
        <v/>
      </c>
      <c r="CB108" s="117" t="str">
        <f t="shared" si="115"/>
        <v/>
      </c>
      <c r="CC108" s="117" t="str">
        <f t="shared" si="116"/>
        <v/>
      </c>
      <c r="CD108" s="117" t="str">
        <f t="shared" si="117"/>
        <v/>
      </c>
      <c r="CE108" s="117" t="str">
        <f t="shared" si="118"/>
        <v/>
      </c>
      <c r="CF108" s="117" t="str">
        <f t="shared" si="119"/>
        <v/>
      </c>
      <c r="CG108" s="117" t="str">
        <f t="shared" si="120"/>
        <v/>
      </c>
      <c r="CH108" s="117" t="str">
        <f t="shared" si="121"/>
        <v/>
      </c>
      <c r="CI108" s="117" t="str">
        <f t="shared" si="95"/>
        <v/>
      </c>
      <c r="CJ108" s="117" t="str">
        <f t="shared" si="96"/>
        <v/>
      </c>
      <c r="CK108" s="117" t="str">
        <f t="shared" si="97"/>
        <v/>
      </c>
      <c r="CL108" s="117" t="str">
        <f t="shared" si="122"/>
        <v/>
      </c>
      <c r="CM108" s="117" t="str">
        <f t="shared" si="123"/>
        <v/>
      </c>
      <c r="CN108" s="117" t="str">
        <f t="shared" si="124"/>
        <v/>
      </c>
      <c r="CO108" s="121" t="str">
        <f t="shared" si="102"/>
        <v/>
      </c>
      <c r="CP108" s="117"/>
      <c r="CQ108" s="121" t="str">
        <f t="shared" si="103"/>
        <v/>
      </c>
      <c r="CR108" s="117"/>
      <c r="CS108" s="121" t="str">
        <f t="shared" si="104"/>
        <v/>
      </c>
      <c r="CT108" s="121" t="str">
        <f t="shared" si="105"/>
        <v/>
      </c>
      <c r="CU108" s="121" t="str">
        <f t="shared" si="106"/>
        <v/>
      </c>
      <c r="CV108" s="117"/>
      <c r="CW108" s="121" t="str">
        <f t="shared" si="107"/>
        <v/>
      </c>
      <c r="CX108" s="117"/>
      <c r="CY108" s="121" t="str">
        <f t="shared" si="108"/>
        <v/>
      </c>
      <c r="CZ108" s="117"/>
      <c r="DA108" s="121" t="str">
        <f t="shared" si="109"/>
        <v/>
      </c>
      <c r="DB108" s="121" t="str">
        <f t="shared" si="110"/>
        <v/>
      </c>
      <c r="DC108" s="121" t="str">
        <f t="shared" si="111"/>
        <v/>
      </c>
      <c r="DD108" s="117"/>
      <c r="DE108" s="74"/>
      <c r="DF108" s="124"/>
      <c r="DG108" s="121"/>
      <c r="DH108" s="124"/>
      <c r="DI108" s="125"/>
      <c r="DJ108" s="124"/>
      <c r="DK108" s="117"/>
      <c r="DL108" s="124"/>
      <c r="DM108" s="117"/>
      <c r="DN108" s="124"/>
      <c r="DO108" s="117"/>
    </row>
    <row r="109" spans="1:119" ht="15.75" thickBot="1">
      <c r="A109" s="13"/>
      <c r="B109" s="57" t="str">
        <f>jalons!B109</f>
        <v/>
      </c>
      <c r="C109" s="57" t="str">
        <f>jalons!C109</f>
        <v/>
      </c>
      <c r="D109" s="83"/>
      <c r="E109" s="9" t="str">
        <f>IF($A109="","",INDEX(jalons!$A$7:$K$125,MATCH('Suivi livrables'!$A109,jalons!$A$7:$A$125,0),4))</f>
        <v/>
      </c>
      <c r="F109" s="10" t="str">
        <f>IF($A109="","",INDEX(jalons!$A$7:$K$125,MATCH('Suivi livrables'!$A109,jalons!$A$7:$A$125,0),5))</f>
        <v/>
      </c>
      <c r="G109" s="10" t="str">
        <f>IF($A109="","",INDEX(jalons!$A$7:$K$125,MATCH('Suivi livrables'!$A109,jalons!$A$7:$A$125,0),6))</f>
        <v/>
      </c>
      <c r="H109" s="10" t="str">
        <f>IF($A109="","",INDEX(jalons!$A$7:$K$125,MATCH('Suivi livrables'!$A109,jalons!$A$7:$A$125,0),7))</f>
        <v/>
      </c>
      <c r="I109" s="10" t="str">
        <f>IF($A109="","",INDEX(jalons!$A$7:$K$125,MATCH('Suivi livrables'!$A109,jalons!$A$7:$A$125,0),8))</f>
        <v/>
      </c>
      <c r="J109" s="10" t="str">
        <f>IF($A109="","",INDEX(jalons!$A$7:$K$125,MATCH('Suivi livrables'!$A109,jalons!$A$7:$A$125,0),9))</f>
        <v/>
      </c>
      <c r="K109" s="10" t="str">
        <f>IF($A109="","",INDEX(jalons!$A$7:$K$125,MATCH('Suivi livrables'!$A109,jalons!$A$7:$A$125,0),10))</f>
        <v/>
      </c>
      <c r="L109" s="10" t="str">
        <f>IF($A109="","",INDEX(jalons!$A$7:$K$125,MATCH('Suivi livrables'!$A109,jalons!$A$7:$A$125,0),11))</f>
        <v/>
      </c>
      <c r="M109" s="14"/>
      <c r="N109" s="47"/>
      <c r="O109" s="49"/>
      <c r="P109" s="50"/>
      <c r="Q109" s="50"/>
      <c r="R109" s="50"/>
      <c r="S109" s="50"/>
      <c r="T109" s="50"/>
      <c r="U109" s="50"/>
      <c r="V109" s="50"/>
      <c r="W109" s="50"/>
      <c r="X109" s="50"/>
      <c r="Y109" s="48"/>
      <c r="Z109" s="48"/>
      <c r="AA109" s="50"/>
      <c r="AB109" s="94"/>
      <c r="AC109" s="48"/>
      <c r="AD109" s="128"/>
      <c r="AE109" s="132"/>
      <c r="AF109" s="50"/>
      <c r="AG109" s="48"/>
      <c r="AH109" s="50"/>
      <c r="AI109" s="48"/>
      <c r="AJ109" s="50"/>
      <c r="AK109" s="48"/>
      <c r="AL109" s="50"/>
      <c r="AM109" s="48"/>
      <c r="AN109" s="140"/>
      <c r="AO109" s="133"/>
      <c r="AP109" s="140"/>
      <c r="AQ109" s="132"/>
      <c r="AR109" s="133"/>
      <c r="AS109" s="140"/>
      <c r="AT109" s="132"/>
      <c r="AU109" s="149"/>
      <c r="AV109" s="149"/>
      <c r="AW109" s="132"/>
      <c r="AX109" s="149"/>
      <c r="AY109" s="149"/>
      <c r="AZ109" s="132"/>
      <c r="BA109" s="149"/>
      <c r="BB109" s="149"/>
      <c r="BC109" s="149"/>
      <c r="BD109" s="149"/>
      <c r="BE109" s="133"/>
      <c r="BF109" s="49"/>
      <c r="BG109" s="94"/>
      <c r="BH109" s="96"/>
      <c r="BI109" s="117"/>
      <c r="BJ109" s="83"/>
      <c r="BK109" s="117"/>
      <c r="BL109" s="117"/>
      <c r="BM109" s="117"/>
      <c r="BN109" s="117"/>
      <c r="BO109" s="117"/>
      <c r="BP109" s="117"/>
      <c r="BQ109" s="117"/>
      <c r="BR109" s="117"/>
      <c r="BS109" s="117"/>
      <c r="BT109" s="117"/>
      <c r="BU109" s="117"/>
      <c r="BV109" s="117"/>
      <c r="BW109" s="97"/>
      <c r="BX109" s="102"/>
      <c r="BY109" s="117" t="str">
        <f t="shared" si="112"/>
        <v/>
      </c>
      <c r="BZ109" s="117" t="str">
        <f t="shared" si="113"/>
        <v/>
      </c>
      <c r="CA109" s="117" t="str">
        <f t="shared" si="114"/>
        <v/>
      </c>
      <c r="CB109" s="117" t="str">
        <f t="shared" si="115"/>
        <v/>
      </c>
      <c r="CC109" s="117" t="str">
        <f t="shared" si="116"/>
        <v/>
      </c>
      <c r="CD109" s="117" t="str">
        <f t="shared" si="117"/>
        <v/>
      </c>
      <c r="CE109" s="117" t="str">
        <f t="shared" si="118"/>
        <v/>
      </c>
      <c r="CF109" s="117" t="str">
        <f t="shared" si="119"/>
        <v/>
      </c>
      <c r="CG109" s="117" t="str">
        <f t="shared" si="120"/>
        <v/>
      </c>
      <c r="CH109" s="117" t="str">
        <f t="shared" si="121"/>
        <v/>
      </c>
      <c r="CI109" s="117" t="str">
        <f t="shared" si="95"/>
        <v/>
      </c>
      <c r="CJ109" s="117" t="str">
        <f t="shared" si="96"/>
        <v/>
      </c>
      <c r="CK109" s="117" t="str">
        <f t="shared" si="97"/>
        <v/>
      </c>
      <c r="CL109" s="117" t="str">
        <f t="shared" si="122"/>
        <v/>
      </c>
      <c r="CM109" s="117" t="str">
        <f t="shared" si="123"/>
        <v/>
      </c>
      <c r="CN109" s="117" t="str">
        <f t="shared" si="124"/>
        <v/>
      </c>
      <c r="CO109" s="121" t="str">
        <f t="shared" si="102"/>
        <v/>
      </c>
      <c r="CP109" s="117"/>
      <c r="CQ109" s="121" t="str">
        <f t="shared" si="103"/>
        <v/>
      </c>
      <c r="CR109" s="117"/>
      <c r="CS109" s="121" t="str">
        <f t="shared" si="104"/>
        <v/>
      </c>
      <c r="CT109" s="121" t="str">
        <f t="shared" si="105"/>
        <v/>
      </c>
      <c r="CU109" s="121" t="str">
        <f t="shared" si="106"/>
        <v/>
      </c>
      <c r="CV109" s="117"/>
      <c r="CW109" s="121" t="str">
        <f t="shared" si="107"/>
        <v/>
      </c>
      <c r="CX109" s="117"/>
      <c r="CY109" s="121" t="str">
        <f t="shared" si="108"/>
        <v/>
      </c>
      <c r="CZ109" s="117"/>
      <c r="DA109" s="121" t="str">
        <f t="shared" si="109"/>
        <v/>
      </c>
      <c r="DB109" s="121" t="str">
        <f t="shared" si="110"/>
        <v/>
      </c>
      <c r="DC109" s="121" t="str">
        <f t="shared" si="111"/>
        <v/>
      </c>
      <c r="DD109" s="117"/>
      <c r="DE109" s="74"/>
      <c r="DF109" s="124"/>
      <c r="DG109" s="121"/>
      <c r="DH109" s="124"/>
      <c r="DI109" s="125"/>
      <c r="DJ109" s="124"/>
      <c r="DK109" s="117"/>
      <c r="DL109" s="124"/>
      <c r="DM109" s="117"/>
      <c r="DN109" s="124"/>
      <c r="DO109" s="117"/>
    </row>
    <row r="110" spans="1:119" ht="15.75" thickBot="1">
      <c r="A110" s="13"/>
      <c r="B110" s="57" t="str">
        <f>jalons!B110</f>
        <v/>
      </c>
      <c r="C110" s="57" t="str">
        <f>jalons!C110</f>
        <v/>
      </c>
      <c r="D110" s="83"/>
      <c r="E110" s="9" t="str">
        <f>IF($A110="","",INDEX(jalons!$A$7:$K$125,MATCH('Suivi livrables'!$A110,jalons!$A$7:$A$125,0),4))</f>
        <v/>
      </c>
      <c r="F110" s="10" t="str">
        <f>IF($A110="","",INDEX(jalons!$A$7:$K$125,MATCH('Suivi livrables'!$A110,jalons!$A$7:$A$125,0),5))</f>
        <v/>
      </c>
      <c r="G110" s="10" t="str">
        <f>IF($A110="","",INDEX(jalons!$A$7:$K$125,MATCH('Suivi livrables'!$A110,jalons!$A$7:$A$125,0),6))</f>
        <v/>
      </c>
      <c r="H110" s="10" t="str">
        <f>IF($A110="","",INDEX(jalons!$A$7:$K$125,MATCH('Suivi livrables'!$A110,jalons!$A$7:$A$125,0),7))</f>
        <v/>
      </c>
      <c r="I110" s="10" t="str">
        <f>IF($A110="","",INDEX(jalons!$A$7:$K$125,MATCH('Suivi livrables'!$A110,jalons!$A$7:$A$125,0),8))</f>
        <v/>
      </c>
      <c r="J110" s="10" t="str">
        <f>IF($A110="","",INDEX(jalons!$A$7:$K$125,MATCH('Suivi livrables'!$A110,jalons!$A$7:$A$125,0),9))</f>
        <v/>
      </c>
      <c r="K110" s="10" t="str">
        <f>IF($A110="","",INDEX(jalons!$A$7:$K$125,MATCH('Suivi livrables'!$A110,jalons!$A$7:$A$125,0),10))</f>
        <v/>
      </c>
      <c r="L110" s="10" t="str">
        <f>IF($A110="","",INDEX(jalons!$A$7:$K$125,MATCH('Suivi livrables'!$A110,jalons!$A$7:$A$125,0),11))</f>
        <v/>
      </c>
      <c r="M110" s="14"/>
      <c r="N110" s="47"/>
      <c r="O110" s="49"/>
      <c r="P110" s="50"/>
      <c r="Q110" s="50"/>
      <c r="R110" s="50"/>
      <c r="S110" s="50"/>
      <c r="T110" s="50"/>
      <c r="U110" s="50"/>
      <c r="V110" s="50"/>
      <c r="W110" s="50"/>
      <c r="X110" s="50"/>
      <c r="Y110" s="48"/>
      <c r="Z110" s="48"/>
      <c r="AA110" s="50"/>
      <c r="AB110" s="94"/>
      <c r="AC110" s="48"/>
      <c r="AD110" s="128"/>
      <c r="AE110" s="132"/>
      <c r="AF110" s="50"/>
      <c r="AG110" s="48"/>
      <c r="AH110" s="50"/>
      <c r="AI110" s="48"/>
      <c r="AJ110" s="50"/>
      <c r="AK110" s="48"/>
      <c r="AL110" s="50"/>
      <c r="AM110" s="48"/>
      <c r="AN110" s="140"/>
      <c r="AO110" s="133"/>
      <c r="AP110" s="140"/>
      <c r="AQ110" s="132"/>
      <c r="AR110" s="133"/>
      <c r="AS110" s="140"/>
      <c r="AT110" s="132"/>
      <c r="AU110" s="149"/>
      <c r="AV110" s="149"/>
      <c r="AW110" s="132"/>
      <c r="AX110" s="149"/>
      <c r="AY110" s="149"/>
      <c r="AZ110" s="132"/>
      <c r="BA110" s="149"/>
      <c r="BB110" s="149"/>
      <c r="BC110" s="149"/>
      <c r="BD110" s="149"/>
      <c r="BE110" s="133"/>
      <c r="BF110" s="49"/>
      <c r="BG110" s="94"/>
      <c r="BH110" s="96"/>
      <c r="BI110" s="117"/>
      <c r="BJ110" s="83"/>
      <c r="BK110" s="117"/>
      <c r="BL110" s="117"/>
      <c r="BM110" s="117"/>
      <c r="BN110" s="117"/>
      <c r="BO110" s="117"/>
      <c r="BP110" s="117"/>
      <c r="BQ110" s="117"/>
      <c r="BR110" s="117"/>
      <c r="BS110" s="117"/>
      <c r="BT110" s="117"/>
      <c r="BU110" s="117"/>
      <c r="BV110" s="117"/>
      <c r="BW110" s="97"/>
      <c r="BX110" s="102"/>
      <c r="BY110" s="117" t="str">
        <f t="shared" si="112"/>
        <v/>
      </c>
      <c r="BZ110" s="117" t="str">
        <f t="shared" si="113"/>
        <v/>
      </c>
      <c r="CA110" s="117" t="str">
        <f t="shared" si="114"/>
        <v/>
      </c>
      <c r="CB110" s="117" t="str">
        <f t="shared" si="115"/>
        <v/>
      </c>
      <c r="CC110" s="117" t="str">
        <f t="shared" si="116"/>
        <v/>
      </c>
      <c r="CD110" s="117" t="str">
        <f t="shared" si="117"/>
        <v/>
      </c>
      <c r="CE110" s="117" t="str">
        <f t="shared" si="118"/>
        <v/>
      </c>
      <c r="CF110" s="117" t="str">
        <f t="shared" si="119"/>
        <v/>
      </c>
      <c r="CG110" s="117" t="str">
        <f t="shared" si="120"/>
        <v/>
      </c>
      <c r="CH110" s="117" t="str">
        <f t="shared" si="121"/>
        <v/>
      </c>
      <c r="CI110" s="117" t="str">
        <f t="shared" si="95"/>
        <v/>
      </c>
      <c r="CJ110" s="117" t="str">
        <f t="shared" si="96"/>
        <v/>
      </c>
      <c r="CK110" s="117" t="str">
        <f t="shared" si="97"/>
        <v/>
      </c>
      <c r="CL110" s="117" t="str">
        <f t="shared" si="122"/>
        <v/>
      </c>
      <c r="CM110" s="117" t="str">
        <f t="shared" si="123"/>
        <v/>
      </c>
      <c r="CN110" s="117" t="str">
        <f t="shared" si="124"/>
        <v/>
      </c>
      <c r="CO110" s="121" t="str">
        <f t="shared" si="102"/>
        <v/>
      </c>
      <c r="CP110" s="117"/>
      <c r="CQ110" s="121" t="str">
        <f t="shared" si="103"/>
        <v/>
      </c>
      <c r="CR110" s="117"/>
      <c r="CS110" s="121" t="str">
        <f t="shared" si="104"/>
        <v/>
      </c>
      <c r="CT110" s="121" t="str">
        <f t="shared" si="105"/>
        <v/>
      </c>
      <c r="CU110" s="121" t="str">
        <f t="shared" si="106"/>
        <v/>
      </c>
      <c r="CV110" s="117"/>
      <c r="CW110" s="121" t="str">
        <f t="shared" si="107"/>
        <v/>
      </c>
      <c r="CX110" s="117"/>
      <c r="CY110" s="121" t="str">
        <f t="shared" si="108"/>
        <v/>
      </c>
      <c r="CZ110" s="117"/>
      <c r="DA110" s="121" t="str">
        <f t="shared" si="109"/>
        <v/>
      </c>
      <c r="DB110" s="121" t="str">
        <f t="shared" si="110"/>
        <v/>
      </c>
      <c r="DC110" s="121" t="str">
        <f t="shared" si="111"/>
        <v/>
      </c>
      <c r="DD110" s="117"/>
      <c r="DE110" s="74"/>
      <c r="DF110" s="124"/>
      <c r="DG110" s="121"/>
      <c r="DH110" s="124"/>
      <c r="DI110" s="125"/>
      <c r="DJ110" s="124"/>
      <c r="DK110" s="117"/>
      <c r="DL110" s="124"/>
      <c r="DM110" s="117"/>
      <c r="DN110" s="124"/>
      <c r="DO110" s="117"/>
    </row>
    <row r="111" spans="1:119" ht="15.75" thickBot="1">
      <c r="A111" s="13"/>
      <c r="B111" s="57" t="str">
        <f>jalons!B111</f>
        <v/>
      </c>
      <c r="C111" s="57" t="str">
        <f>jalons!C111</f>
        <v/>
      </c>
      <c r="D111" s="83"/>
      <c r="E111" s="9" t="str">
        <f>IF($A111="","",INDEX(jalons!$A$7:$K$125,MATCH('Suivi livrables'!$A111,jalons!$A$7:$A$125,0),4))</f>
        <v/>
      </c>
      <c r="F111" s="10" t="str">
        <f>IF($A111="","",INDEX(jalons!$A$7:$K$125,MATCH('Suivi livrables'!$A111,jalons!$A$7:$A$125,0),5))</f>
        <v/>
      </c>
      <c r="G111" s="10" t="str">
        <f>IF($A111="","",INDEX(jalons!$A$7:$K$125,MATCH('Suivi livrables'!$A111,jalons!$A$7:$A$125,0),6))</f>
        <v/>
      </c>
      <c r="H111" s="10" t="str">
        <f>IF($A111="","",INDEX(jalons!$A$7:$K$125,MATCH('Suivi livrables'!$A111,jalons!$A$7:$A$125,0),7))</f>
        <v/>
      </c>
      <c r="I111" s="10" t="str">
        <f>IF($A111="","",INDEX(jalons!$A$7:$K$125,MATCH('Suivi livrables'!$A111,jalons!$A$7:$A$125,0),8))</f>
        <v/>
      </c>
      <c r="J111" s="10" t="str">
        <f>IF($A111="","",INDEX(jalons!$A$7:$K$125,MATCH('Suivi livrables'!$A111,jalons!$A$7:$A$125,0),9))</f>
        <v/>
      </c>
      <c r="K111" s="10" t="str">
        <f>IF($A111="","",INDEX(jalons!$A$7:$K$125,MATCH('Suivi livrables'!$A111,jalons!$A$7:$A$125,0),10))</f>
        <v/>
      </c>
      <c r="L111" s="10" t="str">
        <f>IF($A111="","",INDEX(jalons!$A$7:$K$125,MATCH('Suivi livrables'!$A111,jalons!$A$7:$A$125,0),11))</f>
        <v/>
      </c>
      <c r="M111" s="14"/>
      <c r="N111" s="47"/>
      <c r="O111" s="49"/>
      <c r="P111" s="50"/>
      <c r="Q111" s="50"/>
      <c r="R111" s="50"/>
      <c r="S111" s="50"/>
      <c r="T111" s="50"/>
      <c r="U111" s="50"/>
      <c r="V111" s="50"/>
      <c r="W111" s="50"/>
      <c r="X111" s="50"/>
      <c r="Y111" s="48"/>
      <c r="Z111" s="48"/>
      <c r="AA111" s="50"/>
      <c r="AB111" s="94"/>
      <c r="AC111" s="48"/>
      <c r="AD111" s="128"/>
      <c r="AE111" s="132"/>
      <c r="AF111" s="50"/>
      <c r="AG111" s="48"/>
      <c r="AH111" s="50"/>
      <c r="AI111" s="48"/>
      <c r="AJ111" s="50"/>
      <c r="AK111" s="48"/>
      <c r="AL111" s="50"/>
      <c r="AM111" s="48"/>
      <c r="AN111" s="140"/>
      <c r="AO111" s="133"/>
      <c r="AP111" s="140"/>
      <c r="AQ111" s="132"/>
      <c r="AR111" s="133"/>
      <c r="AS111" s="140"/>
      <c r="AT111" s="132"/>
      <c r="AU111" s="149"/>
      <c r="AV111" s="149"/>
      <c r="AW111" s="132"/>
      <c r="AX111" s="149"/>
      <c r="AY111" s="149"/>
      <c r="AZ111" s="132"/>
      <c r="BA111" s="149"/>
      <c r="BB111" s="149"/>
      <c r="BC111" s="149"/>
      <c r="BD111" s="149"/>
      <c r="BE111" s="133"/>
      <c r="BF111" s="49"/>
      <c r="BG111" s="94"/>
      <c r="BH111" s="96"/>
      <c r="BI111" s="117"/>
      <c r="BJ111" s="83"/>
      <c r="BK111" s="117"/>
      <c r="BL111" s="117"/>
      <c r="BM111" s="117"/>
      <c r="BN111" s="117"/>
      <c r="BO111" s="117"/>
      <c r="BP111" s="117"/>
      <c r="BQ111" s="117"/>
      <c r="BR111" s="117"/>
      <c r="BS111" s="117"/>
      <c r="BT111" s="117"/>
      <c r="BU111" s="117"/>
      <c r="BV111" s="117"/>
      <c r="BW111" s="97"/>
      <c r="BX111" s="102"/>
      <c r="BY111" s="117" t="str">
        <f t="shared" si="112"/>
        <v/>
      </c>
      <c r="BZ111" s="117" t="str">
        <f t="shared" si="113"/>
        <v/>
      </c>
      <c r="CA111" s="117" t="str">
        <f t="shared" si="114"/>
        <v/>
      </c>
      <c r="CB111" s="117" t="str">
        <f t="shared" si="115"/>
        <v/>
      </c>
      <c r="CC111" s="117" t="str">
        <f t="shared" si="116"/>
        <v/>
      </c>
      <c r="CD111" s="117" t="str">
        <f t="shared" si="117"/>
        <v/>
      </c>
      <c r="CE111" s="117" t="str">
        <f t="shared" si="118"/>
        <v/>
      </c>
      <c r="CF111" s="117" t="str">
        <f t="shared" si="119"/>
        <v/>
      </c>
      <c r="CG111" s="117" t="str">
        <f t="shared" si="120"/>
        <v/>
      </c>
      <c r="CH111" s="117" t="str">
        <f t="shared" si="121"/>
        <v/>
      </c>
      <c r="CI111" s="117" t="str">
        <f t="shared" si="95"/>
        <v/>
      </c>
      <c r="CJ111" s="117" t="str">
        <f t="shared" si="96"/>
        <v/>
      </c>
      <c r="CK111" s="117" t="str">
        <f t="shared" si="97"/>
        <v/>
      </c>
      <c r="CL111" s="117" t="str">
        <f t="shared" si="122"/>
        <v/>
      </c>
      <c r="CM111" s="117" t="str">
        <f t="shared" si="123"/>
        <v/>
      </c>
      <c r="CN111" s="117" t="str">
        <f t="shared" si="124"/>
        <v/>
      </c>
      <c r="CO111" s="121" t="str">
        <f t="shared" si="102"/>
        <v/>
      </c>
      <c r="CP111" s="117"/>
      <c r="CQ111" s="121" t="str">
        <f t="shared" si="103"/>
        <v/>
      </c>
      <c r="CR111" s="117"/>
      <c r="CS111" s="121" t="str">
        <f t="shared" si="104"/>
        <v/>
      </c>
      <c r="CT111" s="121" t="str">
        <f t="shared" si="105"/>
        <v/>
      </c>
      <c r="CU111" s="121" t="str">
        <f t="shared" si="106"/>
        <v/>
      </c>
      <c r="CV111" s="117"/>
      <c r="CW111" s="121" t="str">
        <f t="shared" si="107"/>
        <v/>
      </c>
      <c r="CX111" s="117"/>
      <c r="CY111" s="121" t="str">
        <f t="shared" si="108"/>
        <v/>
      </c>
      <c r="CZ111" s="117"/>
      <c r="DA111" s="121" t="str">
        <f t="shared" si="109"/>
        <v/>
      </c>
      <c r="DB111" s="121" t="str">
        <f t="shared" si="110"/>
        <v/>
      </c>
      <c r="DC111" s="121" t="str">
        <f t="shared" si="111"/>
        <v/>
      </c>
      <c r="DD111" s="117"/>
      <c r="DE111" s="74"/>
      <c r="DF111" s="124"/>
      <c r="DG111" s="121"/>
      <c r="DH111" s="124"/>
      <c r="DI111" s="125"/>
      <c r="DJ111" s="124"/>
      <c r="DK111" s="117"/>
      <c r="DL111" s="124"/>
      <c r="DM111" s="117"/>
      <c r="DN111" s="124"/>
      <c r="DO111" s="117"/>
    </row>
    <row r="112" spans="1:119" ht="15.75" thickBot="1">
      <c r="A112" s="13"/>
      <c r="B112" s="57" t="str">
        <f>jalons!B112</f>
        <v/>
      </c>
      <c r="C112" s="57" t="str">
        <f>jalons!C112</f>
        <v/>
      </c>
      <c r="D112" s="83"/>
      <c r="E112" s="9" t="str">
        <f>IF($A112="","",INDEX(jalons!$A$7:$K$125,MATCH('Suivi livrables'!$A112,jalons!$A$7:$A$125,0),4))</f>
        <v/>
      </c>
      <c r="F112" s="10" t="str">
        <f>IF($A112="","",INDEX(jalons!$A$7:$K$125,MATCH('Suivi livrables'!$A112,jalons!$A$7:$A$125,0),5))</f>
        <v/>
      </c>
      <c r="G112" s="10" t="str">
        <f>IF($A112="","",INDEX(jalons!$A$7:$K$125,MATCH('Suivi livrables'!$A112,jalons!$A$7:$A$125,0),6))</f>
        <v/>
      </c>
      <c r="H112" s="10" t="str">
        <f>IF($A112="","",INDEX(jalons!$A$7:$K$125,MATCH('Suivi livrables'!$A112,jalons!$A$7:$A$125,0),7))</f>
        <v/>
      </c>
      <c r="I112" s="10" t="str">
        <f>IF($A112="","",INDEX(jalons!$A$7:$K$125,MATCH('Suivi livrables'!$A112,jalons!$A$7:$A$125,0),8))</f>
        <v/>
      </c>
      <c r="J112" s="10" t="str">
        <f>IF($A112="","",INDEX(jalons!$A$7:$K$125,MATCH('Suivi livrables'!$A112,jalons!$A$7:$A$125,0),9))</f>
        <v/>
      </c>
      <c r="K112" s="10" t="str">
        <f>IF($A112="","",INDEX(jalons!$A$7:$K$125,MATCH('Suivi livrables'!$A112,jalons!$A$7:$A$125,0),10))</f>
        <v/>
      </c>
      <c r="L112" s="10" t="str">
        <f>IF($A112="","",INDEX(jalons!$A$7:$K$125,MATCH('Suivi livrables'!$A112,jalons!$A$7:$A$125,0),11))</f>
        <v/>
      </c>
      <c r="M112" s="14"/>
      <c r="N112" s="47"/>
      <c r="O112" s="49"/>
      <c r="P112" s="50"/>
      <c r="Q112" s="50"/>
      <c r="R112" s="50"/>
      <c r="S112" s="50"/>
      <c r="T112" s="50"/>
      <c r="U112" s="50"/>
      <c r="V112" s="50"/>
      <c r="W112" s="50"/>
      <c r="X112" s="50"/>
      <c r="Y112" s="48"/>
      <c r="Z112" s="48"/>
      <c r="AA112" s="50"/>
      <c r="AB112" s="94"/>
      <c r="AC112" s="48"/>
      <c r="AD112" s="128"/>
      <c r="AE112" s="132"/>
      <c r="AF112" s="50"/>
      <c r="AG112" s="48"/>
      <c r="AH112" s="50"/>
      <c r="AI112" s="48"/>
      <c r="AJ112" s="50"/>
      <c r="AK112" s="48"/>
      <c r="AL112" s="50"/>
      <c r="AM112" s="48"/>
      <c r="AN112" s="140"/>
      <c r="AO112" s="133"/>
      <c r="AP112" s="140"/>
      <c r="AQ112" s="132"/>
      <c r="AR112" s="133"/>
      <c r="AS112" s="140"/>
      <c r="AT112" s="132"/>
      <c r="AU112" s="149"/>
      <c r="AV112" s="149"/>
      <c r="AW112" s="132"/>
      <c r="AX112" s="149"/>
      <c r="AY112" s="149"/>
      <c r="AZ112" s="132"/>
      <c r="BA112" s="149"/>
      <c r="BB112" s="149"/>
      <c r="BC112" s="149"/>
      <c r="BD112" s="149"/>
      <c r="BE112" s="133"/>
      <c r="BF112" s="49"/>
      <c r="BG112" s="94"/>
      <c r="BH112" s="96"/>
      <c r="BI112" s="117"/>
      <c r="BJ112" s="83"/>
      <c r="BK112" s="117"/>
      <c r="BL112" s="117"/>
      <c r="BM112" s="117"/>
      <c r="BN112" s="117"/>
      <c r="BO112" s="117"/>
      <c r="BP112" s="117"/>
      <c r="BQ112" s="117"/>
      <c r="BR112" s="117"/>
      <c r="BS112" s="117"/>
      <c r="BT112" s="117"/>
      <c r="BU112" s="117"/>
      <c r="BV112" s="117"/>
      <c r="BW112" s="97"/>
      <c r="BX112" s="102"/>
      <c r="BY112" s="117" t="str">
        <f t="shared" si="112"/>
        <v/>
      </c>
      <c r="BZ112" s="117" t="str">
        <f t="shared" si="113"/>
        <v/>
      </c>
      <c r="CA112" s="117" t="str">
        <f t="shared" si="114"/>
        <v/>
      </c>
      <c r="CB112" s="117" t="str">
        <f t="shared" si="115"/>
        <v/>
      </c>
      <c r="CC112" s="117" t="str">
        <f t="shared" si="116"/>
        <v/>
      </c>
      <c r="CD112" s="117" t="str">
        <f t="shared" si="117"/>
        <v/>
      </c>
      <c r="CE112" s="117" t="str">
        <f t="shared" si="118"/>
        <v/>
      </c>
      <c r="CF112" s="117" t="str">
        <f t="shared" si="119"/>
        <v/>
      </c>
      <c r="CG112" s="117" t="str">
        <f t="shared" si="120"/>
        <v/>
      </c>
      <c r="CH112" s="117" t="str">
        <f t="shared" si="121"/>
        <v/>
      </c>
      <c r="CI112" s="117" t="str">
        <f t="shared" si="95"/>
        <v/>
      </c>
      <c r="CJ112" s="117" t="str">
        <f t="shared" si="96"/>
        <v/>
      </c>
      <c r="CK112" s="117" t="str">
        <f t="shared" si="97"/>
        <v/>
      </c>
      <c r="CL112" s="117" t="str">
        <f t="shared" si="122"/>
        <v/>
      </c>
      <c r="CM112" s="117" t="str">
        <f t="shared" si="123"/>
        <v/>
      </c>
      <c r="CN112" s="117" t="str">
        <f t="shared" si="124"/>
        <v/>
      </c>
      <c r="CO112" s="121" t="str">
        <f t="shared" si="102"/>
        <v/>
      </c>
      <c r="CP112" s="117"/>
      <c r="CQ112" s="121" t="str">
        <f t="shared" si="103"/>
        <v/>
      </c>
      <c r="CR112" s="117"/>
      <c r="CS112" s="121" t="str">
        <f t="shared" si="104"/>
        <v/>
      </c>
      <c r="CT112" s="121" t="str">
        <f t="shared" si="105"/>
        <v/>
      </c>
      <c r="CU112" s="121" t="str">
        <f t="shared" si="106"/>
        <v/>
      </c>
      <c r="CV112" s="117"/>
      <c r="CW112" s="121" t="str">
        <f t="shared" si="107"/>
        <v/>
      </c>
      <c r="CX112" s="117"/>
      <c r="CY112" s="121" t="str">
        <f t="shared" si="108"/>
        <v/>
      </c>
      <c r="CZ112" s="117"/>
      <c r="DA112" s="121" t="str">
        <f t="shared" si="109"/>
        <v/>
      </c>
      <c r="DB112" s="121" t="str">
        <f t="shared" si="110"/>
        <v/>
      </c>
      <c r="DC112" s="121" t="str">
        <f t="shared" si="111"/>
        <v/>
      </c>
      <c r="DD112" s="117"/>
      <c r="DE112" s="74"/>
      <c r="DF112" s="124"/>
      <c r="DG112" s="121"/>
      <c r="DH112" s="124"/>
      <c r="DI112" s="125"/>
      <c r="DJ112" s="124"/>
      <c r="DK112" s="117"/>
      <c r="DL112" s="124"/>
      <c r="DM112" s="117"/>
      <c r="DN112" s="124"/>
      <c r="DO112" s="117"/>
    </row>
    <row r="113" spans="1:119" ht="15.75" thickBot="1">
      <c r="A113" s="13"/>
      <c r="B113" s="57" t="str">
        <f>jalons!B113</f>
        <v/>
      </c>
      <c r="C113" s="57" t="str">
        <f>jalons!C113</f>
        <v/>
      </c>
      <c r="D113" s="83"/>
      <c r="E113" s="9" t="str">
        <f>IF($A113="","",INDEX(jalons!$A$7:$K$125,MATCH('Suivi livrables'!$A113,jalons!$A$7:$A$125,0),4))</f>
        <v/>
      </c>
      <c r="F113" s="10" t="str">
        <f>IF($A113="","",INDEX(jalons!$A$7:$K$125,MATCH('Suivi livrables'!$A113,jalons!$A$7:$A$125,0),5))</f>
        <v/>
      </c>
      <c r="G113" s="10" t="str">
        <f>IF($A113="","",INDEX(jalons!$A$7:$K$125,MATCH('Suivi livrables'!$A113,jalons!$A$7:$A$125,0),6))</f>
        <v/>
      </c>
      <c r="H113" s="10" t="str">
        <f>IF($A113="","",INDEX(jalons!$A$7:$K$125,MATCH('Suivi livrables'!$A113,jalons!$A$7:$A$125,0),7))</f>
        <v/>
      </c>
      <c r="I113" s="10" t="str">
        <f>IF($A113="","",INDEX(jalons!$A$7:$K$125,MATCH('Suivi livrables'!$A113,jalons!$A$7:$A$125,0),8))</f>
        <v/>
      </c>
      <c r="J113" s="10" t="str">
        <f>IF($A113="","",INDEX(jalons!$A$7:$K$125,MATCH('Suivi livrables'!$A113,jalons!$A$7:$A$125,0),9))</f>
        <v/>
      </c>
      <c r="K113" s="10" t="str">
        <f>IF($A113="","",INDEX(jalons!$A$7:$K$125,MATCH('Suivi livrables'!$A113,jalons!$A$7:$A$125,0),10))</f>
        <v/>
      </c>
      <c r="L113" s="10" t="str">
        <f>IF($A113="","",INDEX(jalons!$A$7:$K$125,MATCH('Suivi livrables'!$A113,jalons!$A$7:$A$125,0),11))</f>
        <v/>
      </c>
      <c r="M113" s="14"/>
      <c r="N113" s="47"/>
      <c r="O113" s="49"/>
      <c r="P113" s="50"/>
      <c r="Q113" s="50"/>
      <c r="R113" s="50"/>
      <c r="S113" s="50"/>
      <c r="T113" s="50"/>
      <c r="U113" s="50"/>
      <c r="V113" s="50"/>
      <c r="W113" s="50"/>
      <c r="X113" s="50"/>
      <c r="Y113" s="48"/>
      <c r="Z113" s="48"/>
      <c r="AA113" s="50"/>
      <c r="AB113" s="94"/>
      <c r="AC113" s="48"/>
      <c r="AD113" s="128"/>
      <c r="AE113" s="132"/>
      <c r="AF113" s="50"/>
      <c r="AG113" s="48"/>
      <c r="AH113" s="50"/>
      <c r="AI113" s="48"/>
      <c r="AJ113" s="50"/>
      <c r="AK113" s="48"/>
      <c r="AL113" s="50"/>
      <c r="AM113" s="48"/>
      <c r="AN113" s="140"/>
      <c r="AO113" s="133"/>
      <c r="AP113" s="140"/>
      <c r="AQ113" s="132"/>
      <c r="AR113" s="133"/>
      <c r="AS113" s="140"/>
      <c r="AT113" s="132"/>
      <c r="AU113" s="149"/>
      <c r="AV113" s="149"/>
      <c r="AW113" s="132"/>
      <c r="AX113" s="149"/>
      <c r="AY113" s="149"/>
      <c r="AZ113" s="132"/>
      <c r="BA113" s="149"/>
      <c r="BB113" s="149"/>
      <c r="BC113" s="149"/>
      <c r="BD113" s="149"/>
      <c r="BE113" s="133"/>
      <c r="BF113" s="49"/>
      <c r="BG113" s="94"/>
      <c r="BH113" s="96"/>
      <c r="BI113" s="117"/>
      <c r="BJ113" s="83"/>
      <c r="BK113" s="117"/>
      <c r="BL113" s="117"/>
      <c r="BM113" s="117"/>
      <c r="BN113" s="117"/>
      <c r="BO113" s="117"/>
      <c r="BP113" s="117"/>
      <c r="BQ113" s="117"/>
      <c r="BR113" s="117"/>
      <c r="BS113" s="117"/>
      <c r="BT113" s="117"/>
      <c r="BU113" s="117"/>
      <c r="BV113" s="117"/>
      <c r="BW113" s="97"/>
      <c r="BX113" s="102"/>
      <c r="BY113" s="117" t="str">
        <f t="shared" si="112"/>
        <v/>
      </c>
      <c r="BZ113" s="117" t="str">
        <f t="shared" si="113"/>
        <v/>
      </c>
      <c r="CA113" s="117" t="str">
        <f t="shared" si="114"/>
        <v/>
      </c>
      <c r="CB113" s="117" t="str">
        <f t="shared" si="115"/>
        <v/>
      </c>
      <c r="CC113" s="117" t="str">
        <f t="shared" si="116"/>
        <v/>
      </c>
      <c r="CD113" s="117" t="str">
        <f t="shared" si="117"/>
        <v/>
      </c>
      <c r="CE113" s="117" t="str">
        <f t="shared" si="118"/>
        <v/>
      </c>
      <c r="CF113" s="117" t="str">
        <f t="shared" si="119"/>
        <v/>
      </c>
      <c r="CG113" s="117" t="str">
        <f t="shared" si="120"/>
        <v/>
      </c>
      <c r="CH113" s="117" t="str">
        <f t="shared" si="121"/>
        <v/>
      </c>
      <c r="CI113" s="117" t="str">
        <f t="shared" si="95"/>
        <v/>
      </c>
      <c r="CJ113" s="117" t="str">
        <f t="shared" si="96"/>
        <v/>
      </c>
      <c r="CK113" s="117" t="str">
        <f t="shared" si="97"/>
        <v/>
      </c>
      <c r="CL113" s="117" t="str">
        <f t="shared" si="122"/>
        <v/>
      </c>
      <c r="CM113" s="117" t="str">
        <f t="shared" si="123"/>
        <v/>
      </c>
      <c r="CN113" s="117" t="str">
        <f t="shared" si="124"/>
        <v/>
      </c>
      <c r="CO113" s="121" t="str">
        <f t="shared" si="102"/>
        <v/>
      </c>
      <c r="CP113" s="117"/>
      <c r="CQ113" s="121" t="str">
        <f t="shared" si="103"/>
        <v/>
      </c>
      <c r="CR113" s="117"/>
      <c r="CS113" s="121" t="str">
        <f t="shared" si="104"/>
        <v/>
      </c>
      <c r="CT113" s="121" t="str">
        <f t="shared" si="105"/>
        <v/>
      </c>
      <c r="CU113" s="121" t="str">
        <f t="shared" si="106"/>
        <v/>
      </c>
      <c r="CV113" s="117"/>
      <c r="CW113" s="121" t="str">
        <f t="shared" si="107"/>
        <v/>
      </c>
      <c r="CX113" s="117"/>
      <c r="CY113" s="121" t="str">
        <f t="shared" si="108"/>
        <v/>
      </c>
      <c r="CZ113" s="117"/>
      <c r="DA113" s="121" t="str">
        <f t="shared" si="109"/>
        <v/>
      </c>
      <c r="DB113" s="121" t="str">
        <f t="shared" si="110"/>
        <v/>
      </c>
      <c r="DC113" s="121" t="str">
        <f t="shared" si="111"/>
        <v/>
      </c>
      <c r="DD113" s="117"/>
      <c r="DE113" s="74"/>
      <c r="DF113" s="124"/>
      <c r="DG113" s="121"/>
      <c r="DH113" s="124"/>
      <c r="DI113" s="125"/>
      <c r="DJ113" s="124"/>
      <c r="DK113" s="117"/>
      <c r="DL113" s="124"/>
      <c r="DM113" s="117"/>
      <c r="DN113" s="124"/>
      <c r="DO113" s="117"/>
    </row>
    <row r="114" spans="1:119" ht="15.75" thickBot="1">
      <c r="A114" s="13"/>
      <c r="B114" s="57" t="str">
        <f>jalons!B114</f>
        <v/>
      </c>
      <c r="C114" s="57" t="str">
        <f>jalons!C114</f>
        <v/>
      </c>
      <c r="D114" s="83"/>
      <c r="E114" s="9" t="str">
        <f>IF($A114="","",INDEX(jalons!$A$7:$K$125,MATCH('Suivi livrables'!$A114,jalons!$A$7:$A$125,0),4))</f>
        <v/>
      </c>
      <c r="F114" s="10" t="str">
        <f>IF($A114="","",INDEX(jalons!$A$7:$K$125,MATCH('Suivi livrables'!$A114,jalons!$A$7:$A$125,0),5))</f>
        <v/>
      </c>
      <c r="G114" s="10" t="str">
        <f>IF($A114="","",INDEX(jalons!$A$7:$K$125,MATCH('Suivi livrables'!$A114,jalons!$A$7:$A$125,0),6))</f>
        <v/>
      </c>
      <c r="H114" s="10" t="str">
        <f>IF($A114="","",INDEX(jalons!$A$7:$K$125,MATCH('Suivi livrables'!$A114,jalons!$A$7:$A$125,0),7))</f>
        <v/>
      </c>
      <c r="I114" s="10" t="str">
        <f>IF($A114="","",INDEX(jalons!$A$7:$K$125,MATCH('Suivi livrables'!$A114,jalons!$A$7:$A$125,0),8))</f>
        <v/>
      </c>
      <c r="J114" s="10" t="str">
        <f>IF($A114="","",INDEX(jalons!$A$7:$K$125,MATCH('Suivi livrables'!$A114,jalons!$A$7:$A$125,0),9))</f>
        <v/>
      </c>
      <c r="K114" s="10" t="str">
        <f>IF($A114="","",INDEX(jalons!$A$7:$K$125,MATCH('Suivi livrables'!$A114,jalons!$A$7:$A$125,0),10))</f>
        <v/>
      </c>
      <c r="L114" s="10" t="str">
        <f>IF($A114="","",INDEX(jalons!$A$7:$K$125,MATCH('Suivi livrables'!$A114,jalons!$A$7:$A$125,0),11))</f>
        <v/>
      </c>
      <c r="M114" s="14"/>
      <c r="N114" s="47"/>
      <c r="O114" s="49"/>
      <c r="P114" s="50"/>
      <c r="Q114" s="50"/>
      <c r="R114" s="50"/>
      <c r="S114" s="50"/>
      <c r="T114" s="50"/>
      <c r="U114" s="50"/>
      <c r="V114" s="50"/>
      <c r="W114" s="50"/>
      <c r="X114" s="50"/>
      <c r="Y114" s="48"/>
      <c r="Z114" s="48"/>
      <c r="AA114" s="50"/>
      <c r="AB114" s="94"/>
      <c r="AC114" s="48"/>
      <c r="AD114" s="128"/>
      <c r="AE114" s="132"/>
      <c r="AF114" s="50"/>
      <c r="AG114" s="48"/>
      <c r="AH114" s="50"/>
      <c r="AI114" s="48"/>
      <c r="AJ114" s="50"/>
      <c r="AK114" s="48"/>
      <c r="AL114" s="50"/>
      <c r="AM114" s="48"/>
      <c r="AN114" s="140"/>
      <c r="AO114" s="133"/>
      <c r="AP114" s="140"/>
      <c r="AQ114" s="132"/>
      <c r="AR114" s="133"/>
      <c r="AS114" s="140"/>
      <c r="AT114" s="132"/>
      <c r="AU114" s="149"/>
      <c r="AV114" s="149"/>
      <c r="AW114" s="132"/>
      <c r="AX114" s="149"/>
      <c r="AY114" s="149"/>
      <c r="AZ114" s="132"/>
      <c r="BA114" s="149"/>
      <c r="BB114" s="149"/>
      <c r="BC114" s="149"/>
      <c r="BD114" s="149"/>
      <c r="BE114" s="133"/>
      <c r="BF114" s="49"/>
      <c r="BG114" s="94"/>
      <c r="BH114" s="96"/>
      <c r="BI114" s="117"/>
      <c r="BJ114" s="83"/>
      <c r="BK114" s="117"/>
      <c r="BL114" s="117"/>
      <c r="BM114" s="117"/>
      <c r="BN114" s="117"/>
      <c r="BO114" s="117"/>
      <c r="BP114" s="117"/>
      <c r="BQ114" s="117"/>
      <c r="BR114" s="117"/>
      <c r="BS114" s="117"/>
      <c r="BT114" s="117"/>
      <c r="BU114" s="117"/>
      <c r="BV114" s="117"/>
      <c r="BW114" s="97"/>
      <c r="BX114" s="102"/>
      <c r="BY114" s="117" t="str">
        <f t="shared" si="112"/>
        <v/>
      </c>
      <c r="BZ114" s="117" t="str">
        <f t="shared" si="113"/>
        <v/>
      </c>
      <c r="CA114" s="117" t="str">
        <f t="shared" si="114"/>
        <v/>
      </c>
      <c r="CB114" s="117" t="str">
        <f t="shared" si="115"/>
        <v/>
      </c>
      <c r="CC114" s="117" t="str">
        <f t="shared" si="116"/>
        <v/>
      </c>
      <c r="CD114" s="117" t="str">
        <f t="shared" si="117"/>
        <v/>
      </c>
      <c r="CE114" s="117" t="str">
        <f t="shared" si="118"/>
        <v/>
      </c>
      <c r="CF114" s="117" t="str">
        <f t="shared" si="119"/>
        <v/>
      </c>
      <c r="CG114" s="117" t="str">
        <f t="shared" si="120"/>
        <v/>
      </c>
      <c r="CH114" s="117" t="str">
        <f t="shared" si="121"/>
        <v/>
      </c>
      <c r="CI114" s="117" t="str">
        <f t="shared" si="95"/>
        <v/>
      </c>
      <c r="CJ114" s="117" t="str">
        <f t="shared" si="96"/>
        <v/>
      </c>
      <c r="CK114" s="117" t="str">
        <f t="shared" si="97"/>
        <v/>
      </c>
      <c r="CL114" s="117" t="str">
        <f t="shared" si="122"/>
        <v/>
      </c>
      <c r="CM114" s="117" t="str">
        <f t="shared" si="123"/>
        <v/>
      </c>
      <c r="CN114" s="117" t="str">
        <f t="shared" si="124"/>
        <v/>
      </c>
      <c r="CO114" s="121" t="str">
        <f t="shared" si="102"/>
        <v/>
      </c>
      <c r="CP114" s="117"/>
      <c r="CQ114" s="121" t="str">
        <f t="shared" si="103"/>
        <v/>
      </c>
      <c r="CR114" s="117"/>
      <c r="CS114" s="121" t="str">
        <f t="shared" si="104"/>
        <v/>
      </c>
      <c r="CT114" s="121" t="str">
        <f t="shared" si="105"/>
        <v/>
      </c>
      <c r="CU114" s="121" t="str">
        <f t="shared" si="106"/>
        <v/>
      </c>
      <c r="CV114" s="117"/>
      <c r="CW114" s="121" t="str">
        <f t="shared" si="107"/>
        <v/>
      </c>
      <c r="CX114" s="117"/>
      <c r="CY114" s="121" t="str">
        <f t="shared" si="108"/>
        <v/>
      </c>
      <c r="CZ114" s="117"/>
      <c r="DA114" s="121" t="str">
        <f t="shared" si="109"/>
        <v/>
      </c>
      <c r="DB114" s="121" t="str">
        <f t="shared" si="110"/>
        <v/>
      </c>
      <c r="DC114" s="121" t="str">
        <f t="shared" si="111"/>
        <v/>
      </c>
      <c r="DD114" s="117"/>
      <c r="DE114" s="74"/>
      <c r="DF114" s="124"/>
      <c r="DG114" s="121"/>
      <c r="DH114" s="124"/>
      <c r="DI114" s="125"/>
      <c r="DJ114" s="124"/>
      <c r="DK114" s="117"/>
      <c r="DL114" s="124"/>
      <c r="DM114" s="117"/>
      <c r="DN114" s="124"/>
      <c r="DO114" s="117"/>
    </row>
    <row r="115" spans="1:119" ht="15.75" thickBot="1">
      <c r="A115" s="13"/>
      <c r="B115" s="57" t="str">
        <f>jalons!B115</f>
        <v/>
      </c>
      <c r="C115" s="57" t="str">
        <f>jalons!C115</f>
        <v/>
      </c>
      <c r="D115" s="83"/>
      <c r="E115" s="9" t="str">
        <f>IF($A115="","",INDEX(jalons!$A$7:$K$125,MATCH('Suivi livrables'!$A115,jalons!$A$7:$A$125,0),4))</f>
        <v/>
      </c>
      <c r="F115" s="10" t="str">
        <f>IF($A115="","",INDEX(jalons!$A$7:$K$125,MATCH('Suivi livrables'!$A115,jalons!$A$7:$A$125,0),5))</f>
        <v/>
      </c>
      <c r="G115" s="10" t="str">
        <f>IF($A115="","",INDEX(jalons!$A$7:$K$125,MATCH('Suivi livrables'!$A115,jalons!$A$7:$A$125,0),6))</f>
        <v/>
      </c>
      <c r="H115" s="10" t="str">
        <f>IF($A115="","",INDEX(jalons!$A$7:$K$125,MATCH('Suivi livrables'!$A115,jalons!$A$7:$A$125,0),7))</f>
        <v/>
      </c>
      <c r="I115" s="10" t="str">
        <f>IF($A115="","",INDEX(jalons!$A$7:$K$125,MATCH('Suivi livrables'!$A115,jalons!$A$7:$A$125,0),8))</f>
        <v/>
      </c>
      <c r="J115" s="10" t="str">
        <f>IF($A115="","",INDEX(jalons!$A$7:$K$125,MATCH('Suivi livrables'!$A115,jalons!$A$7:$A$125,0),9))</f>
        <v/>
      </c>
      <c r="K115" s="10" t="str">
        <f>IF($A115="","",INDEX(jalons!$A$7:$K$125,MATCH('Suivi livrables'!$A115,jalons!$A$7:$A$125,0),10))</f>
        <v/>
      </c>
      <c r="L115" s="10" t="str">
        <f>IF($A115="","",INDEX(jalons!$A$7:$K$125,MATCH('Suivi livrables'!$A115,jalons!$A$7:$A$125,0),11))</f>
        <v/>
      </c>
      <c r="M115" s="14"/>
      <c r="N115" s="47"/>
      <c r="O115" s="49"/>
      <c r="P115" s="50"/>
      <c r="Q115" s="50"/>
      <c r="R115" s="50"/>
      <c r="S115" s="50"/>
      <c r="T115" s="50"/>
      <c r="U115" s="50"/>
      <c r="V115" s="50"/>
      <c r="W115" s="50"/>
      <c r="X115" s="50"/>
      <c r="Y115" s="48"/>
      <c r="Z115" s="48"/>
      <c r="AA115" s="50"/>
      <c r="AB115" s="94"/>
      <c r="AC115" s="48"/>
      <c r="AD115" s="128"/>
      <c r="AE115" s="132"/>
      <c r="AF115" s="50"/>
      <c r="AG115" s="48"/>
      <c r="AH115" s="50"/>
      <c r="AI115" s="48"/>
      <c r="AJ115" s="50"/>
      <c r="AK115" s="48"/>
      <c r="AL115" s="50"/>
      <c r="AM115" s="48"/>
      <c r="AN115" s="140"/>
      <c r="AO115" s="133"/>
      <c r="AP115" s="140"/>
      <c r="AQ115" s="132"/>
      <c r="AR115" s="133"/>
      <c r="AS115" s="140"/>
      <c r="AT115" s="132"/>
      <c r="AU115" s="149"/>
      <c r="AV115" s="149"/>
      <c r="AW115" s="132"/>
      <c r="AX115" s="149"/>
      <c r="AY115" s="149"/>
      <c r="AZ115" s="132"/>
      <c r="BA115" s="149"/>
      <c r="BB115" s="149"/>
      <c r="BC115" s="149"/>
      <c r="BD115" s="149"/>
      <c r="BE115" s="133"/>
      <c r="BF115" s="49"/>
      <c r="BG115" s="94"/>
      <c r="BH115" s="96"/>
      <c r="BI115" s="117"/>
      <c r="BJ115" s="83"/>
      <c r="BK115" s="117"/>
      <c r="BL115" s="117"/>
      <c r="BM115" s="117"/>
      <c r="BN115" s="117"/>
      <c r="BO115" s="117"/>
      <c r="BP115" s="117"/>
      <c r="BQ115" s="117"/>
      <c r="BR115" s="117"/>
      <c r="BS115" s="117"/>
      <c r="BT115" s="117"/>
      <c r="BU115" s="117"/>
      <c r="BV115" s="117"/>
      <c r="BW115" s="97"/>
      <c r="BX115" s="102"/>
      <c r="BY115" s="117" t="str">
        <f t="shared" si="112"/>
        <v/>
      </c>
      <c r="BZ115" s="117" t="str">
        <f t="shared" si="113"/>
        <v/>
      </c>
      <c r="CA115" s="117" t="str">
        <f t="shared" si="114"/>
        <v/>
      </c>
      <c r="CB115" s="117" t="str">
        <f t="shared" si="115"/>
        <v/>
      </c>
      <c r="CC115" s="117" t="str">
        <f t="shared" si="116"/>
        <v/>
      </c>
      <c r="CD115" s="117" t="str">
        <f t="shared" si="117"/>
        <v/>
      </c>
      <c r="CE115" s="117" t="str">
        <f t="shared" si="118"/>
        <v/>
      </c>
      <c r="CF115" s="117" t="str">
        <f t="shared" si="119"/>
        <v/>
      </c>
      <c r="CG115" s="117" t="str">
        <f t="shared" si="120"/>
        <v/>
      </c>
      <c r="CH115" s="117" t="str">
        <f t="shared" si="121"/>
        <v/>
      </c>
      <c r="CI115" s="117" t="str">
        <f t="shared" si="95"/>
        <v/>
      </c>
      <c r="CJ115" s="117" t="str">
        <f t="shared" si="96"/>
        <v/>
      </c>
      <c r="CK115" s="117" t="str">
        <f t="shared" si="97"/>
        <v/>
      </c>
      <c r="CL115" s="117" t="str">
        <f t="shared" si="122"/>
        <v/>
      </c>
      <c r="CM115" s="117" t="str">
        <f t="shared" si="123"/>
        <v/>
      </c>
      <c r="CN115" s="117" t="str">
        <f t="shared" si="124"/>
        <v/>
      </c>
      <c r="CO115" s="121" t="str">
        <f t="shared" si="102"/>
        <v/>
      </c>
      <c r="CP115" s="117"/>
      <c r="CQ115" s="121" t="str">
        <f t="shared" si="103"/>
        <v/>
      </c>
      <c r="CR115" s="117"/>
      <c r="CS115" s="121" t="str">
        <f t="shared" si="104"/>
        <v/>
      </c>
      <c r="CT115" s="121" t="str">
        <f t="shared" si="105"/>
        <v/>
      </c>
      <c r="CU115" s="121" t="str">
        <f t="shared" si="106"/>
        <v/>
      </c>
      <c r="CV115" s="117"/>
      <c r="CW115" s="121" t="str">
        <f t="shared" si="107"/>
        <v/>
      </c>
      <c r="CX115" s="117"/>
      <c r="CY115" s="121" t="str">
        <f t="shared" si="108"/>
        <v/>
      </c>
      <c r="CZ115" s="117"/>
      <c r="DA115" s="121" t="str">
        <f t="shared" si="109"/>
        <v/>
      </c>
      <c r="DB115" s="121" t="str">
        <f t="shared" si="110"/>
        <v/>
      </c>
      <c r="DC115" s="121" t="str">
        <f t="shared" si="111"/>
        <v/>
      </c>
      <c r="DD115" s="117"/>
      <c r="DE115" s="74"/>
      <c r="DF115" s="124"/>
      <c r="DG115" s="121"/>
      <c r="DH115" s="124"/>
      <c r="DI115" s="125"/>
      <c r="DJ115" s="124"/>
      <c r="DK115" s="117"/>
      <c r="DL115" s="124"/>
      <c r="DM115" s="117"/>
      <c r="DN115" s="124"/>
      <c r="DO115" s="117"/>
    </row>
    <row r="116" spans="1:119" ht="15.75" thickBot="1">
      <c r="A116" s="13"/>
      <c r="B116" s="57" t="str">
        <f>jalons!B116</f>
        <v/>
      </c>
      <c r="C116" s="57" t="str">
        <f>jalons!C116</f>
        <v/>
      </c>
      <c r="D116" s="83"/>
      <c r="E116" s="9" t="str">
        <f>IF($A116="","",INDEX(jalons!$A$7:$K$125,MATCH('Suivi livrables'!$A116,jalons!$A$7:$A$125,0),4))</f>
        <v/>
      </c>
      <c r="F116" s="10" t="str">
        <f>IF($A116="","",INDEX(jalons!$A$7:$K$125,MATCH('Suivi livrables'!$A116,jalons!$A$7:$A$125,0),5))</f>
        <v/>
      </c>
      <c r="G116" s="10" t="str">
        <f>IF($A116="","",INDEX(jalons!$A$7:$K$125,MATCH('Suivi livrables'!$A116,jalons!$A$7:$A$125,0),6))</f>
        <v/>
      </c>
      <c r="H116" s="10" t="str">
        <f>IF($A116="","",INDEX(jalons!$A$7:$K$125,MATCH('Suivi livrables'!$A116,jalons!$A$7:$A$125,0),7))</f>
        <v/>
      </c>
      <c r="I116" s="10" t="str">
        <f>IF($A116="","",INDEX(jalons!$A$7:$K$125,MATCH('Suivi livrables'!$A116,jalons!$A$7:$A$125,0),8))</f>
        <v/>
      </c>
      <c r="J116" s="10" t="str">
        <f>IF($A116="","",INDEX(jalons!$A$7:$K$125,MATCH('Suivi livrables'!$A116,jalons!$A$7:$A$125,0),9))</f>
        <v/>
      </c>
      <c r="K116" s="10" t="str">
        <f>IF($A116="","",INDEX(jalons!$A$7:$K$125,MATCH('Suivi livrables'!$A116,jalons!$A$7:$A$125,0),10))</f>
        <v/>
      </c>
      <c r="L116" s="10" t="str">
        <f>IF($A116="","",INDEX(jalons!$A$7:$K$125,MATCH('Suivi livrables'!$A116,jalons!$A$7:$A$125,0),11))</f>
        <v/>
      </c>
      <c r="M116" s="14"/>
      <c r="N116" s="47"/>
      <c r="O116" s="49"/>
      <c r="P116" s="50"/>
      <c r="Q116" s="50"/>
      <c r="R116" s="50"/>
      <c r="S116" s="50"/>
      <c r="T116" s="50"/>
      <c r="U116" s="50"/>
      <c r="V116" s="50"/>
      <c r="W116" s="50"/>
      <c r="X116" s="50"/>
      <c r="Y116" s="48"/>
      <c r="Z116" s="48"/>
      <c r="AA116" s="50"/>
      <c r="AB116" s="94"/>
      <c r="AC116" s="48"/>
      <c r="AD116" s="128"/>
      <c r="AE116" s="132"/>
      <c r="AF116" s="50"/>
      <c r="AG116" s="48"/>
      <c r="AH116" s="50"/>
      <c r="AI116" s="48"/>
      <c r="AJ116" s="50"/>
      <c r="AK116" s="48"/>
      <c r="AL116" s="50"/>
      <c r="AM116" s="48"/>
      <c r="AN116" s="140"/>
      <c r="AO116" s="133"/>
      <c r="AP116" s="140"/>
      <c r="AQ116" s="132"/>
      <c r="AR116" s="133"/>
      <c r="AS116" s="140"/>
      <c r="AT116" s="132"/>
      <c r="AU116" s="149"/>
      <c r="AV116" s="149"/>
      <c r="AW116" s="132"/>
      <c r="AX116" s="149"/>
      <c r="AY116" s="149"/>
      <c r="AZ116" s="132"/>
      <c r="BA116" s="149"/>
      <c r="BB116" s="149"/>
      <c r="BC116" s="149"/>
      <c r="BD116" s="149"/>
      <c r="BE116" s="133"/>
      <c r="BF116" s="49"/>
      <c r="BG116" s="94"/>
      <c r="BH116" s="96"/>
      <c r="BI116" s="117"/>
      <c r="BJ116" s="83"/>
      <c r="BK116" s="117"/>
      <c r="BL116" s="117"/>
      <c r="BM116" s="117"/>
      <c r="BN116" s="117"/>
      <c r="BO116" s="117"/>
      <c r="BP116" s="117"/>
      <c r="BQ116" s="117"/>
      <c r="BR116" s="117"/>
      <c r="BS116" s="117"/>
      <c r="BT116" s="117"/>
      <c r="BU116" s="117"/>
      <c r="BV116" s="117"/>
      <c r="BW116" s="97"/>
      <c r="BX116" s="102"/>
      <c r="BY116" s="117" t="str">
        <f t="shared" si="112"/>
        <v/>
      </c>
      <c r="BZ116" s="117" t="str">
        <f t="shared" si="113"/>
        <v/>
      </c>
      <c r="CA116" s="117" t="str">
        <f t="shared" si="114"/>
        <v/>
      </c>
      <c r="CB116" s="117" t="str">
        <f t="shared" si="115"/>
        <v/>
      </c>
      <c r="CC116" s="117" t="str">
        <f t="shared" si="116"/>
        <v/>
      </c>
      <c r="CD116" s="117" t="str">
        <f t="shared" si="117"/>
        <v/>
      </c>
      <c r="CE116" s="117" t="str">
        <f t="shared" si="118"/>
        <v/>
      </c>
      <c r="CF116" s="117" t="str">
        <f t="shared" si="119"/>
        <v/>
      </c>
      <c r="CG116" s="117" t="str">
        <f t="shared" si="120"/>
        <v/>
      </c>
      <c r="CH116" s="117" t="str">
        <f t="shared" si="121"/>
        <v/>
      </c>
      <c r="CI116" s="117" t="str">
        <f t="shared" si="95"/>
        <v/>
      </c>
      <c r="CJ116" s="117" t="str">
        <f t="shared" si="96"/>
        <v/>
      </c>
      <c r="CK116" s="117" t="str">
        <f t="shared" si="97"/>
        <v/>
      </c>
      <c r="CL116" s="117" t="str">
        <f t="shared" si="122"/>
        <v/>
      </c>
      <c r="CM116" s="117" t="str">
        <f t="shared" si="123"/>
        <v/>
      </c>
      <c r="CN116" s="117" t="str">
        <f t="shared" si="124"/>
        <v/>
      </c>
      <c r="CO116" s="121" t="str">
        <f t="shared" si="102"/>
        <v/>
      </c>
      <c r="CP116" s="117"/>
      <c r="CQ116" s="121" t="str">
        <f t="shared" si="103"/>
        <v/>
      </c>
      <c r="CR116" s="117"/>
      <c r="CS116" s="121" t="str">
        <f t="shared" si="104"/>
        <v/>
      </c>
      <c r="CT116" s="121" t="str">
        <f t="shared" si="105"/>
        <v/>
      </c>
      <c r="CU116" s="121" t="str">
        <f t="shared" si="106"/>
        <v/>
      </c>
      <c r="CV116" s="117"/>
      <c r="CW116" s="121" t="str">
        <f t="shared" si="107"/>
        <v/>
      </c>
      <c r="CX116" s="117"/>
      <c r="CY116" s="121" t="str">
        <f t="shared" si="108"/>
        <v/>
      </c>
      <c r="CZ116" s="117"/>
      <c r="DA116" s="121" t="str">
        <f t="shared" si="109"/>
        <v/>
      </c>
      <c r="DB116" s="121" t="str">
        <f t="shared" si="110"/>
        <v/>
      </c>
      <c r="DC116" s="121" t="str">
        <f t="shared" si="111"/>
        <v/>
      </c>
      <c r="DD116" s="117"/>
      <c r="DE116" s="74"/>
      <c r="DF116" s="124"/>
      <c r="DG116" s="121"/>
      <c r="DH116" s="124"/>
      <c r="DI116" s="125"/>
      <c r="DJ116" s="124"/>
      <c r="DK116" s="117"/>
      <c r="DL116" s="124"/>
      <c r="DM116" s="117"/>
      <c r="DN116" s="124"/>
      <c r="DO116" s="117"/>
    </row>
    <row r="117" spans="1:119" ht="15.75" thickBot="1">
      <c r="A117" s="13"/>
      <c r="B117" s="57" t="str">
        <f>jalons!B117</f>
        <v/>
      </c>
      <c r="C117" s="57" t="str">
        <f>jalons!C117</f>
        <v/>
      </c>
      <c r="D117" s="83"/>
      <c r="E117" s="9" t="str">
        <f>IF($A117="","",INDEX(jalons!$A$7:$K$125,MATCH('Suivi livrables'!$A117,jalons!$A$7:$A$125,0),4))</f>
        <v/>
      </c>
      <c r="F117" s="10" t="str">
        <f>IF($A117="","",INDEX(jalons!$A$7:$K$125,MATCH('Suivi livrables'!$A117,jalons!$A$7:$A$125,0),5))</f>
        <v/>
      </c>
      <c r="G117" s="10" t="str">
        <f>IF($A117="","",INDEX(jalons!$A$7:$K$125,MATCH('Suivi livrables'!$A117,jalons!$A$7:$A$125,0),6))</f>
        <v/>
      </c>
      <c r="H117" s="10" t="str">
        <f>IF($A117="","",INDEX(jalons!$A$7:$K$125,MATCH('Suivi livrables'!$A117,jalons!$A$7:$A$125,0),7))</f>
        <v/>
      </c>
      <c r="I117" s="10" t="str">
        <f>IF($A117="","",INDEX(jalons!$A$7:$K$125,MATCH('Suivi livrables'!$A117,jalons!$A$7:$A$125,0),8))</f>
        <v/>
      </c>
      <c r="J117" s="10" t="str">
        <f>IF($A117="","",INDEX(jalons!$A$7:$K$125,MATCH('Suivi livrables'!$A117,jalons!$A$7:$A$125,0),9))</f>
        <v/>
      </c>
      <c r="K117" s="10" t="str">
        <f>IF($A117="","",INDEX(jalons!$A$7:$K$125,MATCH('Suivi livrables'!$A117,jalons!$A$7:$A$125,0),10))</f>
        <v/>
      </c>
      <c r="L117" s="10" t="str">
        <f>IF($A117="","",INDEX(jalons!$A$7:$K$125,MATCH('Suivi livrables'!$A117,jalons!$A$7:$A$125,0),11))</f>
        <v/>
      </c>
      <c r="M117" s="14"/>
      <c r="N117" s="47"/>
      <c r="O117" s="49"/>
      <c r="P117" s="50"/>
      <c r="Q117" s="50"/>
      <c r="R117" s="50"/>
      <c r="S117" s="50"/>
      <c r="T117" s="50"/>
      <c r="U117" s="50"/>
      <c r="V117" s="50"/>
      <c r="W117" s="50"/>
      <c r="X117" s="50"/>
      <c r="Y117" s="48"/>
      <c r="Z117" s="48"/>
      <c r="AA117" s="50"/>
      <c r="AB117" s="94"/>
      <c r="AC117" s="48"/>
      <c r="AD117" s="128"/>
      <c r="AE117" s="132"/>
      <c r="AF117" s="50"/>
      <c r="AG117" s="48"/>
      <c r="AH117" s="50"/>
      <c r="AI117" s="48"/>
      <c r="AJ117" s="50"/>
      <c r="AK117" s="48"/>
      <c r="AL117" s="50"/>
      <c r="AM117" s="48"/>
      <c r="AN117" s="140"/>
      <c r="AO117" s="133"/>
      <c r="AP117" s="140"/>
      <c r="AQ117" s="132"/>
      <c r="AR117" s="133"/>
      <c r="AS117" s="140"/>
      <c r="AT117" s="132"/>
      <c r="AU117" s="149"/>
      <c r="AV117" s="149"/>
      <c r="AW117" s="132"/>
      <c r="AX117" s="149"/>
      <c r="AY117" s="149"/>
      <c r="AZ117" s="132"/>
      <c r="BA117" s="149"/>
      <c r="BB117" s="149"/>
      <c r="BC117" s="149"/>
      <c r="BD117" s="149"/>
      <c r="BE117" s="133"/>
      <c r="BF117" s="49"/>
      <c r="BG117" s="94"/>
      <c r="BH117" s="96"/>
      <c r="BI117" s="117"/>
      <c r="BJ117" s="83"/>
      <c r="BK117" s="117"/>
      <c r="BL117" s="117"/>
      <c r="BM117" s="117"/>
      <c r="BN117" s="117"/>
      <c r="BO117" s="117"/>
      <c r="BP117" s="117"/>
      <c r="BQ117" s="117"/>
      <c r="BR117" s="117"/>
      <c r="BS117" s="117"/>
      <c r="BT117" s="117"/>
      <c r="BU117" s="117"/>
      <c r="BV117" s="117"/>
      <c r="BW117" s="97"/>
      <c r="BX117" s="102"/>
      <c r="BY117" s="117" t="str">
        <f t="shared" si="112"/>
        <v/>
      </c>
      <c r="BZ117" s="117" t="str">
        <f t="shared" si="113"/>
        <v/>
      </c>
      <c r="CA117" s="117" t="str">
        <f t="shared" si="114"/>
        <v/>
      </c>
      <c r="CB117" s="117" t="str">
        <f t="shared" si="115"/>
        <v/>
      </c>
      <c r="CC117" s="117" t="str">
        <f t="shared" si="116"/>
        <v/>
      </c>
      <c r="CD117" s="117" t="str">
        <f t="shared" si="117"/>
        <v/>
      </c>
      <c r="CE117" s="117" t="str">
        <f t="shared" si="118"/>
        <v/>
      </c>
      <c r="CF117" s="117" t="str">
        <f t="shared" si="119"/>
        <v/>
      </c>
      <c r="CG117" s="117" t="str">
        <f t="shared" si="120"/>
        <v/>
      </c>
      <c r="CH117" s="117" t="str">
        <f t="shared" si="121"/>
        <v/>
      </c>
      <c r="CI117" s="117" t="str">
        <f t="shared" si="95"/>
        <v/>
      </c>
      <c r="CJ117" s="117" t="str">
        <f t="shared" si="96"/>
        <v/>
      </c>
      <c r="CK117" s="117" t="str">
        <f t="shared" si="97"/>
        <v/>
      </c>
      <c r="CL117" s="117" t="str">
        <f t="shared" si="122"/>
        <v/>
      </c>
      <c r="CM117" s="117" t="str">
        <f t="shared" si="123"/>
        <v/>
      </c>
      <c r="CN117" s="117" t="str">
        <f t="shared" si="124"/>
        <v/>
      </c>
      <c r="CO117" s="121" t="str">
        <f t="shared" si="102"/>
        <v/>
      </c>
      <c r="CP117" s="117"/>
      <c r="CQ117" s="121" t="str">
        <f t="shared" si="103"/>
        <v/>
      </c>
      <c r="CR117" s="117"/>
      <c r="CS117" s="121" t="str">
        <f t="shared" si="104"/>
        <v/>
      </c>
      <c r="CT117" s="121" t="str">
        <f t="shared" si="105"/>
        <v/>
      </c>
      <c r="CU117" s="121" t="str">
        <f t="shared" si="106"/>
        <v/>
      </c>
      <c r="CV117" s="117"/>
      <c r="CW117" s="121" t="str">
        <f t="shared" si="107"/>
        <v/>
      </c>
      <c r="CX117" s="117"/>
      <c r="CY117" s="121" t="str">
        <f t="shared" si="108"/>
        <v/>
      </c>
      <c r="CZ117" s="117"/>
      <c r="DA117" s="121" t="str">
        <f t="shared" si="109"/>
        <v/>
      </c>
      <c r="DB117" s="121" t="str">
        <f t="shared" si="110"/>
        <v/>
      </c>
      <c r="DC117" s="121" t="str">
        <f t="shared" si="111"/>
        <v/>
      </c>
      <c r="DD117" s="117"/>
      <c r="DE117" s="74"/>
      <c r="DF117" s="124"/>
      <c r="DG117" s="121"/>
      <c r="DH117" s="124"/>
      <c r="DI117" s="125"/>
      <c r="DJ117" s="124"/>
      <c r="DK117" s="117"/>
      <c r="DL117" s="124"/>
      <c r="DM117" s="117"/>
      <c r="DN117" s="124"/>
      <c r="DO117" s="117"/>
    </row>
    <row r="118" spans="1:119" ht="15.75" thickBot="1">
      <c r="A118" s="13"/>
      <c r="B118" s="57" t="str">
        <f>jalons!B118</f>
        <v/>
      </c>
      <c r="C118" s="57" t="str">
        <f>jalons!C118</f>
        <v/>
      </c>
      <c r="D118" s="83"/>
      <c r="E118" s="9" t="str">
        <f>IF($A118="","",INDEX(jalons!$A$7:$K$125,MATCH('Suivi livrables'!$A118,jalons!$A$7:$A$125,0),4))</f>
        <v/>
      </c>
      <c r="F118" s="10" t="str">
        <f>IF($A118="","",INDEX(jalons!$A$7:$K$125,MATCH('Suivi livrables'!$A118,jalons!$A$7:$A$125,0),5))</f>
        <v/>
      </c>
      <c r="G118" s="10" t="str">
        <f>IF($A118="","",INDEX(jalons!$A$7:$K$125,MATCH('Suivi livrables'!$A118,jalons!$A$7:$A$125,0),6))</f>
        <v/>
      </c>
      <c r="H118" s="10" t="str">
        <f>IF($A118="","",INDEX(jalons!$A$7:$K$125,MATCH('Suivi livrables'!$A118,jalons!$A$7:$A$125,0),7))</f>
        <v/>
      </c>
      <c r="I118" s="10" t="str">
        <f>IF($A118="","",INDEX(jalons!$A$7:$K$125,MATCH('Suivi livrables'!$A118,jalons!$A$7:$A$125,0),8))</f>
        <v/>
      </c>
      <c r="J118" s="10" t="str">
        <f>IF($A118="","",INDEX(jalons!$A$7:$K$125,MATCH('Suivi livrables'!$A118,jalons!$A$7:$A$125,0),9))</f>
        <v/>
      </c>
      <c r="K118" s="10" t="str">
        <f>IF($A118="","",INDEX(jalons!$A$7:$K$125,MATCH('Suivi livrables'!$A118,jalons!$A$7:$A$125,0),10))</f>
        <v/>
      </c>
      <c r="L118" s="10" t="str">
        <f>IF($A118="","",INDEX(jalons!$A$7:$K$125,MATCH('Suivi livrables'!$A118,jalons!$A$7:$A$125,0),11))</f>
        <v/>
      </c>
      <c r="M118" s="14"/>
      <c r="N118" s="47"/>
      <c r="O118" s="49"/>
      <c r="P118" s="50"/>
      <c r="Q118" s="50"/>
      <c r="R118" s="50"/>
      <c r="S118" s="50"/>
      <c r="T118" s="50"/>
      <c r="U118" s="50"/>
      <c r="V118" s="50"/>
      <c r="W118" s="50"/>
      <c r="X118" s="50"/>
      <c r="Y118" s="48"/>
      <c r="Z118" s="48"/>
      <c r="AA118" s="50"/>
      <c r="AB118" s="94"/>
      <c r="AC118" s="48"/>
      <c r="AD118" s="128"/>
      <c r="AE118" s="132"/>
      <c r="AF118" s="50"/>
      <c r="AG118" s="48"/>
      <c r="AH118" s="50"/>
      <c r="AI118" s="48"/>
      <c r="AJ118" s="50"/>
      <c r="AK118" s="48"/>
      <c r="AL118" s="50"/>
      <c r="AM118" s="48"/>
      <c r="AN118" s="140"/>
      <c r="AO118" s="133"/>
      <c r="AP118" s="140"/>
      <c r="AQ118" s="132"/>
      <c r="AR118" s="133"/>
      <c r="AS118" s="140"/>
      <c r="AT118" s="132"/>
      <c r="AU118" s="149"/>
      <c r="AV118" s="149"/>
      <c r="AW118" s="132"/>
      <c r="AX118" s="149"/>
      <c r="AY118" s="149"/>
      <c r="AZ118" s="132"/>
      <c r="BA118" s="149"/>
      <c r="BB118" s="149"/>
      <c r="BC118" s="149"/>
      <c r="BD118" s="149"/>
      <c r="BE118" s="133"/>
      <c r="BF118" s="49"/>
      <c r="BG118" s="94"/>
      <c r="BH118" s="96"/>
      <c r="BI118" s="117"/>
      <c r="BJ118" s="83"/>
      <c r="BK118" s="117"/>
      <c r="BL118" s="117"/>
      <c r="BM118" s="117"/>
      <c r="BN118" s="117"/>
      <c r="BO118" s="117"/>
      <c r="BP118" s="117"/>
      <c r="BQ118" s="117"/>
      <c r="BR118" s="117"/>
      <c r="BS118" s="117"/>
      <c r="BT118" s="117"/>
      <c r="BU118" s="117"/>
      <c r="BV118" s="117"/>
      <c r="BW118" s="97"/>
      <c r="BX118" s="102"/>
      <c r="BY118" s="117" t="str">
        <f t="shared" si="112"/>
        <v/>
      </c>
      <c r="BZ118" s="117" t="str">
        <f t="shared" si="113"/>
        <v/>
      </c>
      <c r="CA118" s="117" t="str">
        <f t="shared" si="114"/>
        <v/>
      </c>
      <c r="CB118" s="117" t="str">
        <f t="shared" si="115"/>
        <v/>
      </c>
      <c r="CC118" s="117" t="str">
        <f t="shared" si="116"/>
        <v/>
      </c>
      <c r="CD118" s="117" t="str">
        <f t="shared" si="117"/>
        <v/>
      </c>
      <c r="CE118" s="117" t="str">
        <f t="shared" si="118"/>
        <v/>
      </c>
      <c r="CF118" s="117" t="str">
        <f t="shared" si="119"/>
        <v/>
      </c>
      <c r="CG118" s="117" t="str">
        <f t="shared" si="120"/>
        <v/>
      </c>
      <c r="CH118" s="117" t="str">
        <f t="shared" si="121"/>
        <v/>
      </c>
      <c r="CI118" s="117" t="str">
        <f t="shared" si="95"/>
        <v/>
      </c>
      <c r="CJ118" s="117" t="str">
        <f t="shared" si="96"/>
        <v/>
      </c>
      <c r="CK118" s="117" t="str">
        <f t="shared" si="97"/>
        <v/>
      </c>
      <c r="CL118" s="117" t="str">
        <f t="shared" si="122"/>
        <v/>
      </c>
      <c r="CM118" s="117" t="str">
        <f t="shared" si="123"/>
        <v/>
      </c>
      <c r="CN118" s="117" t="str">
        <f t="shared" si="124"/>
        <v/>
      </c>
      <c r="CO118" s="121" t="str">
        <f t="shared" si="102"/>
        <v/>
      </c>
      <c r="CP118" s="117"/>
      <c r="CQ118" s="121" t="str">
        <f t="shared" si="103"/>
        <v/>
      </c>
      <c r="CR118" s="117"/>
      <c r="CS118" s="121" t="str">
        <f t="shared" si="104"/>
        <v/>
      </c>
      <c r="CT118" s="121" t="str">
        <f t="shared" si="105"/>
        <v/>
      </c>
      <c r="CU118" s="121" t="str">
        <f t="shared" si="106"/>
        <v/>
      </c>
      <c r="CV118" s="117"/>
      <c r="CW118" s="121" t="str">
        <f t="shared" si="107"/>
        <v/>
      </c>
      <c r="CX118" s="117"/>
      <c r="CY118" s="121" t="str">
        <f t="shared" si="108"/>
        <v/>
      </c>
      <c r="CZ118" s="117"/>
      <c r="DA118" s="121" t="str">
        <f t="shared" si="109"/>
        <v/>
      </c>
      <c r="DB118" s="121" t="str">
        <f t="shared" si="110"/>
        <v/>
      </c>
      <c r="DC118" s="121" t="str">
        <f t="shared" si="111"/>
        <v/>
      </c>
      <c r="DD118" s="117"/>
      <c r="DE118" s="74"/>
      <c r="DF118" s="124"/>
      <c r="DG118" s="121"/>
      <c r="DH118" s="124"/>
      <c r="DI118" s="125"/>
      <c r="DJ118" s="124"/>
      <c r="DK118" s="117"/>
      <c r="DL118" s="124"/>
      <c r="DM118" s="117"/>
      <c r="DN118" s="124"/>
      <c r="DO118" s="117"/>
    </row>
    <row r="119" spans="1:119" ht="15.75" thickBot="1">
      <c r="A119" s="13"/>
      <c r="B119" s="57" t="str">
        <f>jalons!B119</f>
        <v/>
      </c>
      <c r="C119" s="57" t="str">
        <f>jalons!C119</f>
        <v/>
      </c>
      <c r="D119" s="83"/>
      <c r="E119" s="9" t="str">
        <f>IF($A119="","",INDEX(jalons!$A$7:$K$125,MATCH('Suivi livrables'!$A119,jalons!$A$7:$A$125,0),4))</f>
        <v/>
      </c>
      <c r="F119" s="10" t="str">
        <f>IF($A119="","",INDEX(jalons!$A$7:$K$125,MATCH('Suivi livrables'!$A119,jalons!$A$7:$A$125,0),5))</f>
        <v/>
      </c>
      <c r="G119" s="10" t="str">
        <f>IF($A119="","",INDEX(jalons!$A$7:$K$125,MATCH('Suivi livrables'!$A119,jalons!$A$7:$A$125,0),6))</f>
        <v/>
      </c>
      <c r="H119" s="10" t="str">
        <f>IF($A119="","",INDEX(jalons!$A$7:$K$125,MATCH('Suivi livrables'!$A119,jalons!$A$7:$A$125,0),7))</f>
        <v/>
      </c>
      <c r="I119" s="10" t="str">
        <f>IF($A119="","",INDEX(jalons!$A$7:$K$125,MATCH('Suivi livrables'!$A119,jalons!$A$7:$A$125,0),8))</f>
        <v/>
      </c>
      <c r="J119" s="10" t="str">
        <f>IF($A119="","",INDEX(jalons!$A$7:$K$125,MATCH('Suivi livrables'!$A119,jalons!$A$7:$A$125,0),9))</f>
        <v/>
      </c>
      <c r="K119" s="10" t="str">
        <f>IF($A119="","",INDEX(jalons!$A$7:$K$125,MATCH('Suivi livrables'!$A119,jalons!$A$7:$A$125,0),10))</f>
        <v/>
      </c>
      <c r="L119" s="10" t="str">
        <f>IF($A119="","",INDEX(jalons!$A$7:$K$125,MATCH('Suivi livrables'!$A119,jalons!$A$7:$A$125,0),11))</f>
        <v/>
      </c>
      <c r="M119" s="14"/>
      <c r="N119" s="47"/>
      <c r="O119" s="49"/>
      <c r="P119" s="50"/>
      <c r="Q119" s="50"/>
      <c r="R119" s="50"/>
      <c r="S119" s="50"/>
      <c r="T119" s="50"/>
      <c r="U119" s="50"/>
      <c r="V119" s="50"/>
      <c r="W119" s="50"/>
      <c r="X119" s="50"/>
      <c r="Y119" s="48"/>
      <c r="Z119" s="48"/>
      <c r="AA119" s="50"/>
      <c r="AB119" s="94"/>
      <c r="AC119" s="48"/>
      <c r="AD119" s="128"/>
      <c r="AE119" s="132"/>
      <c r="AF119" s="50"/>
      <c r="AG119" s="48"/>
      <c r="AH119" s="50"/>
      <c r="AI119" s="48"/>
      <c r="AJ119" s="50"/>
      <c r="AK119" s="48"/>
      <c r="AL119" s="50"/>
      <c r="AM119" s="48"/>
      <c r="AN119" s="140"/>
      <c r="AO119" s="133"/>
      <c r="AP119" s="140"/>
      <c r="AQ119" s="132"/>
      <c r="AR119" s="133"/>
      <c r="AS119" s="140"/>
      <c r="AT119" s="132"/>
      <c r="AU119" s="149"/>
      <c r="AV119" s="149"/>
      <c r="AW119" s="132"/>
      <c r="AX119" s="149"/>
      <c r="AY119" s="149"/>
      <c r="AZ119" s="132"/>
      <c r="BA119" s="149"/>
      <c r="BB119" s="149"/>
      <c r="BC119" s="149"/>
      <c r="BD119" s="149"/>
      <c r="BE119" s="133"/>
      <c r="BF119" s="49"/>
      <c r="BG119" s="94"/>
      <c r="BH119" s="96"/>
      <c r="BI119" s="117"/>
      <c r="BJ119" s="83"/>
      <c r="BK119" s="117"/>
      <c r="BL119" s="117"/>
      <c r="BM119" s="117"/>
      <c r="BN119" s="117"/>
      <c r="BO119" s="117"/>
      <c r="BP119" s="117"/>
      <c r="BQ119" s="117"/>
      <c r="BR119" s="117"/>
      <c r="BS119" s="117"/>
      <c r="BT119" s="117"/>
      <c r="BU119" s="117"/>
      <c r="BV119" s="117"/>
      <c r="BW119" s="97"/>
      <c r="BX119" s="102"/>
      <c r="BY119" s="117" t="str">
        <f t="shared" si="112"/>
        <v/>
      </c>
      <c r="BZ119" s="117" t="str">
        <f t="shared" si="113"/>
        <v/>
      </c>
      <c r="CA119" s="117" t="str">
        <f t="shared" si="114"/>
        <v/>
      </c>
      <c r="CB119" s="117" t="str">
        <f t="shared" si="115"/>
        <v/>
      </c>
      <c r="CC119" s="117" t="str">
        <f t="shared" si="116"/>
        <v/>
      </c>
      <c r="CD119" s="117" t="str">
        <f t="shared" si="117"/>
        <v/>
      </c>
      <c r="CE119" s="117" t="str">
        <f t="shared" si="118"/>
        <v/>
      </c>
      <c r="CF119" s="117" t="str">
        <f t="shared" si="119"/>
        <v/>
      </c>
      <c r="CG119" s="117" t="str">
        <f t="shared" si="120"/>
        <v/>
      </c>
      <c r="CH119" s="117" t="str">
        <f t="shared" si="121"/>
        <v/>
      </c>
      <c r="CI119" s="117" t="str">
        <f t="shared" si="95"/>
        <v/>
      </c>
      <c r="CJ119" s="117" t="str">
        <f t="shared" si="96"/>
        <v/>
      </c>
      <c r="CK119" s="117" t="str">
        <f t="shared" si="97"/>
        <v/>
      </c>
      <c r="CL119" s="117" t="str">
        <f t="shared" si="122"/>
        <v/>
      </c>
      <c r="CM119" s="117" t="str">
        <f t="shared" si="123"/>
        <v/>
      </c>
      <c r="CN119" s="117" t="str">
        <f t="shared" si="124"/>
        <v/>
      </c>
      <c r="CO119" s="121" t="str">
        <f t="shared" si="102"/>
        <v/>
      </c>
      <c r="CP119" s="117"/>
      <c r="CQ119" s="121" t="str">
        <f t="shared" si="103"/>
        <v/>
      </c>
      <c r="CR119" s="117"/>
      <c r="CS119" s="121" t="str">
        <f t="shared" si="104"/>
        <v/>
      </c>
      <c r="CT119" s="121" t="str">
        <f t="shared" si="105"/>
        <v/>
      </c>
      <c r="CU119" s="121" t="str">
        <f t="shared" si="106"/>
        <v/>
      </c>
      <c r="CV119" s="117"/>
      <c r="CW119" s="121" t="str">
        <f t="shared" si="107"/>
        <v/>
      </c>
      <c r="CX119" s="117"/>
      <c r="CY119" s="121" t="str">
        <f t="shared" si="108"/>
        <v/>
      </c>
      <c r="CZ119" s="117"/>
      <c r="DA119" s="121" t="str">
        <f t="shared" si="109"/>
        <v/>
      </c>
      <c r="DB119" s="121" t="str">
        <f t="shared" si="110"/>
        <v/>
      </c>
      <c r="DC119" s="121" t="str">
        <f t="shared" si="111"/>
        <v/>
      </c>
      <c r="DD119" s="117"/>
      <c r="DE119" s="74"/>
      <c r="DF119" s="124"/>
      <c r="DG119" s="121"/>
      <c r="DH119" s="124"/>
      <c r="DI119" s="125"/>
      <c r="DJ119" s="124"/>
      <c r="DK119" s="117"/>
      <c r="DL119" s="124"/>
      <c r="DM119" s="117"/>
      <c r="DN119" s="124"/>
      <c r="DO119" s="117"/>
    </row>
    <row r="120" spans="1:119" ht="15.75" thickBot="1">
      <c r="A120" s="13"/>
      <c r="B120" s="57" t="str">
        <f>jalons!B120</f>
        <v/>
      </c>
      <c r="C120" s="57" t="str">
        <f>jalons!C120</f>
        <v/>
      </c>
      <c r="D120" s="83"/>
      <c r="E120" s="9" t="str">
        <f>IF($A120="","",INDEX(jalons!$A$7:$K$125,MATCH('Suivi livrables'!$A120,jalons!$A$7:$A$125,0),4))</f>
        <v/>
      </c>
      <c r="F120" s="10" t="str">
        <f>IF($A120="","",INDEX(jalons!$A$7:$K$125,MATCH('Suivi livrables'!$A120,jalons!$A$7:$A$125,0),5))</f>
        <v/>
      </c>
      <c r="G120" s="10" t="str">
        <f>IF($A120="","",INDEX(jalons!$A$7:$K$125,MATCH('Suivi livrables'!$A120,jalons!$A$7:$A$125,0),6))</f>
        <v/>
      </c>
      <c r="H120" s="10" t="str">
        <f>IF($A120="","",INDEX(jalons!$A$7:$K$125,MATCH('Suivi livrables'!$A120,jalons!$A$7:$A$125,0),7))</f>
        <v/>
      </c>
      <c r="I120" s="10" t="str">
        <f>IF($A120="","",INDEX(jalons!$A$7:$K$125,MATCH('Suivi livrables'!$A120,jalons!$A$7:$A$125,0),8))</f>
        <v/>
      </c>
      <c r="J120" s="10" t="str">
        <f>IF($A120="","",INDEX(jalons!$A$7:$K$125,MATCH('Suivi livrables'!$A120,jalons!$A$7:$A$125,0),9))</f>
        <v/>
      </c>
      <c r="K120" s="10" t="str">
        <f>IF($A120="","",INDEX(jalons!$A$7:$K$125,MATCH('Suivi livrables'!$A120,jalons!$A$7:$A$125,0),10))</f>
        <v/>
      </c>
      <c r="L120" s="10" t="str">
        <f>IF($A120="","",INDEX(jalons!$A$7:$K$125,MATCH('Suivi livrables'!$A120,jalons!$A$7:$A$125,0),11))</f>
        <v/>
      </c>
      <c r="M120" s="14"/>
      <c r="N120" s="47"/>
      <c r="O120" s="49"/>
      <c r="P120" s="50"/>
      <c r="Q120" s="50"/>
      <c r="R120" s="50"/>
      <c r="S120" s="50"/>
      <c r="T120" s="50"/>
      <c r="U120" s="50"/>
      <c r="V120" s="50"/>
      <c r="W120" s="50"/>
      <c r="X120" s="50"/>
      <c r="Y120" s="48"/>
      <c r="Z120" s="48"/>
      <c r="AA120" s="50"/>
      <c r="AB120" s="94"/>
      <c r="AC120" s="48"/>
      <c r="AD120" s="128"/>
      <c r="AE120" s="132"/>
      <c r="AF120" s="50"/>
      <c r="AG120" s="48"/>
      <c r="AH120" s="50"/>
      <c r="AI120" s="48"/>
      <c r="AJ120" s="50"/>
      <c r="AK120" s="48"/>
      <c r="AL120" s="50"/>
      <c r="AM120" s="48"/>
      <c r="AN120" s="140"/>
      <c r="AO120" s="133"/>
      <c r="AP120" s="140"/>
      <c r="AQ120" s="132"/>
      <c r="AR120" s="133"/>
      <c r="AS120" s="140"/>
      <c r="AT120" s="132"/>
      <c r="AU120" s="149"/>
      <c r="AV120" s="149"/>
      <c r="AW120" s="132"/>
      <c r="AX120" s="149"/>
      <c r="AY120" s="149"/>
      <c r="AZ120" s="132"/>
      <c r="BA120" s="149"/>
      <c r="BB120" s="149"/>
      <c r="BC120" s="149"/>
      <c r="BD120" s="149"/>
      <c r="BE120" s="133"/>
      <c r="BF120" s="49"/>
      <c r="BG120" s="94"/>
      <c r="BH120" s="96"/>
      <c r="BI120" s="117"/>
      <c r="BJ120" s="83"/>
      <c r="BK120" s="117"/>
      <c r="BL120" s="117"/>
      <c r="BM120" s="117"/>
      <c r="BN120" s="117"/>
      <c r="BO120" s="117"/>
      <c r="BP120" s="117"/>
      <c r="BQ120" s="117"/>
      <c r="BR120" s="117"/>
      <c r="BS120" s="117"/>
      <c r="BT120" s="117"/>
      <c r="BU120" s="117"/>
      <c r="BV120" s="117"/>
      <c r="BW120" s="97"/>
      <c r="BX120" s="102"/>
      <c r="BY120" s="117" t="str">
        <f t="shared" si="112"/>
        <v/>
      </c>
      <c r="BZ120" s="117" t="str">
        <f t="shared" si="113"/>
        <v/>
      </c>
      <c r="CA120" s="117" t="str">
        <f t="shared" si="114"/>
        <v/>
      </c>
      <c r="CB120" s="117" t="str">
        <f t="shared" si="115"/>
        <v/>
      </c>
      <c r="CC120" s="117" t="str">
        <f t="shared" si="116"/>
        <v/>
      </c>
      <c r="CD120" s="117" t="str">
        <f t="shared" si="117"/>
        <v/>
      </c>
      <c r="CE120" s="117" t="str">
        <f t="shared" si="118"/>
        <v/>
      </c>
      <c r="CF120" s="117" t="str">
        <f t="shared" si="119"/>
        <v/>
      </c>
      <c r="CG120" s="117" t="str">
        <f t="shared" si="120"/>
        <v/>
      </c>
      <c r="CH120" s="117" t="str">
        <f t="shared" si="121"/>
        <v/>
      </c>
      <c r="CI120" s="117" t="str">
        <f t="shared" si="95"/>
        <v/>
      </c>
      <c r="CJ120" s="117" t="str">
        <f t="shared" si="96"/>
        <v/>
      </c>
      <c r="CK120" s="117" t="str">
        <f t="shared" si="97"/>
        <v/>
      </c>
      <c r="CL120" s="117" t="str">
        <f t="shared" si="122"/>
        <v/>
      </c>
      <c r="CM120" s="117" t="str">
        <f t="shared" si="123"/>
        <v/>
      </c>
      <c r="CN120" s="117" t="str">
        <f t="shared" si="124"/>
        <v/>
      </c>
      <c r="CO120" s="121" t="str">
        <f t="shared" si="102"/>
        <v/>
      </c>
      <c r="CP120" s="117"/>
      <c r="CQ120" s="121" t="str">
        <f t="shared" si="103"/>
        <v/>
      </c>
      <c r="CR120" s="117"/>
      <c r="CS120" s="121" t="str">
        <f t="shared" si="104"/>
        <v/>
      </c>
      <c r="CT120" s="121" t="str">
        <f t="shared" si="105"/>
        <v/>
      </c>
      <c r="CU120" s="121" t="str">
        <f t="shared" si="106"/>
        <v/>
      </c>
      <c r="CV120" s="117"/>
      <c r="CW120" s="121" t="str">
        <f t="shared" si="107"/>
        <v/>
      </c>
      <c r="CX120" s="117"/>
      <c r="CY120" s="121" t="str">
        <f t="shared" si="108"/>
        <v/>
      </c>
      <c r="CZ120" s="117"/>
      <c r="DA120" s="121" t="str">
        <f t="shared" si="109"/>
        <v/>
      </c>
      <c r="DB120" s="121" t="str">
        <f t="shared" si="110"/>
        <v/>
      </c>
      <c r="DC120" s="121" t="str">
        <f t="shared" si="111"/>
        <v/>
      </c>
      <c r="DD120" s="117"/>
      <c r="DE120" s="74"/>
      <c r="DF120" s="124"/>
      <c r="DG120" s="121"/>
      <c r="DH120" s="124"/>
      <c r="DI120" s="125"/>
      <c r="DJ120" s="124"/>
      <c r="DK120" s="117"/>
      <c r="DL120" s="124"/>
      <c r="DM120" s="117"/>
      <c r="DN120" s="124"/>
      <c r="DO120" s="117"/>
    </row>
    <row r="121" spans="1:119" ht="15.75" thickBot="1">
      <c r="A121" s="13"/>
      <c r="B121" s="57" t="str">
        <f>jalons!B121</f>
        <v/>
      </c>
      <c r="C121" s="57" t="str">
        <f>jalons!C121</f>
        <v/>
      </c>
      <c r="D121" s="83"/>
      <c r="E121" s="9" t="str">
        <f>IF($A121="","",INDEX(jalons!$A$7:$K$125,MATCH('Suivi livrables'!$A121,jalons!$A$7:$A$125,0),4))</f>
        <v/>
      </c>
      <c r="F121" s="10" t="str">
        <f>IF($A121="","",INDEX(jalons!$A$7:$K$125,MATCH('Suivi livrables'!$A121,jalons!$A$7:$A$125,0),5))</f>
        <v/>
      </c>
      <c r="G121" s="10" t="str">
        <f>IF($A121="","",INDEX(jalons!$A$7:$K$125,MATCH('Suivi livrables'!$A121,jalons!$A$7:$A$125,0),6))</f>
        <v/>
      </c>
      <c r="H121" s="10" t="str">
        <f>IF($A121="","",INDEX(jalons!$A$7:$K$125,MATCH('Suivi livrables'!$A121,jalons!$A$7:$A$125,0),7))</f>
        <v/>
      </c>
      <c r="I121" s="10" t="str">
        <f>IF($A121="","",INDEX(jalons!$A$7:$K$125,MATCH('Suivi livrables'!$A121,jalons!$A$7:$A$125,0),8))</f>
        <v/>
      </c>
      <c r="J121" s="10" t="str">
        <f>IF($A121="","",INDEX(jalons!$A$7:$K$125,MATCH('Suivi livrables'!$A121,jalons!$A$7:$A$125,0),9))</f>
        <v/>
      </c>
      <c r="K121" s="10" t="str">
        <f>IF($A121="","",INDEX(jalons!$A$7:$K$125,MATCH('Suivi livrables'!$A121,jalons!$A$7:$A$125,0),10))</f>
        <v/>
      </c>
      <c r="L121" s="10" t="str">
        <f>IF($A121="","",INDEX(jalons!$A$7:$K$125,MATCH('Suivi livrables'!$A121,jalons!$A$7:$A$125,0),11))</f>
        <v/>
      </c>
      <c r="M121" s="14"/>
      <c r="N121" s="47"/>
      <c r="O121" s="49"/>
      <c r="P121" s="50"/>
      <c r="Q121" s="50"/>
      <c r="R121" s="50"/>
      <c r="S121" s="50"/>
      <c r="T121" s="50"/>
      <c r="U121" s="50"/>
      <c r="V121" s="50"/>
      <c r="W121" s="50"/>
      <c r="X121" s="50"/>
      <c r="Y121" s="48"/>
      <c r="Z121" s="48"/>
      <c r="AA121" s="50"/>
      <c r="AB121" s="94"/>
      <c r="AC121" s="48"/>
      <c r="AD121" s="128"/>
      <c r="AE121" s="132"/>
      <c r="AF121" s="50"/>
      <c r="AG121" s="48"/>
      <c r="AH121" s="50"/>
      <c r="AI121" s="48"/>
      <c r="AJ121" s="50"/>
      <c r="AK121" s="48"/>
      <c r="AL121" s="50"/>
      <c r="AM121" s="48"/>
      <c r="AN121" s="140"/>
      <c r="AO121" s="133"/>
      <c r="AP121" s="140"/>
      <c r="AQ121" s="132"/>
      <c r="AR121" s="133"/>
      <c r="AS121" s="140"/>
      <c r="AT121" s="132"/>
      <c r="AU121" s="149"/>
      <c r="AV121" s="149"/>
      <c r="AW121" s="132"/>
      <c r="AX121" s="149"/>
      <c r="AY121" s="149"/>
      <c r="AZ121" s="132"/>
      <c r="BA121" s="149"/>
      <c r="BB121" s="149"/>
      <c r="BC121" s="149"/>
      <c r="BD121" s="149"/>
      <c r="BE121" s="133"/>
      <c r="BF121" s="49"/>
      <c r="BG121" s="94"/>
      <c r="BH121" s="96"/>
      <c r="BI121" s="117"/>
      <c r="BJ121" s="83"/>
      <c r="BK121" s="117"/>
      <c r="BL121" s="117"/>
      <c r="BM121" s="117"/>
      <c r="BN121" s="117"/>
      <c r="BO121" s="117"/>
      <c r="BP121" s="117"/>
      <c r="BQ121" s="117"/>
      <c r="BR121" s="117"/>
      <c r="BS121" s="117"/>
      <c r="BT121" s="117"/>
      <c r="BU121" s="117"/>
      <c r="BV121" s="117"/>
      <c r="BW121" s="97"/>
      <c r="BX121" s="102"/>
      <c r="BY121" s="117" t="str">
        <f t="shared" si="112"/>
        <v/>
      </c>
      <c r="BZ121" s="117" t="str">
        <f t="shared" si="113"/>
        <v/>
      </c>
      <c r="CA121" s="117" t="str">
        <f t="shared" si="114"/>
        <v/>
      </c>
      <c r="CB121" s="117" t="str">
        <f t="shared" si="115"/>
        <v/>
      </c>
      <c r="CC121" s="117" t="str">
        <f t="shared" si="116"/>
        <v/>
      </c>
      <c r="CD121" s="117" t="str">
        <f t="shared" si="117"/>
        <v/>
      </c>
      <c r="CE121" s="117" t="str">
        <f t="shared" si="118"/>
        <v/>
      </c>
      <c r="CF121" s="117" t="str">
        <f t="shared" si="119"/>
        <v/>
      </c>
      <c r="CG121" s="117" t="str">
        <f t="shared" si="120"/>
        <v/>
      </c>
      <c r="CH121" s="117" t="str">
        <f t="shared" si="121"/>
        <v/>
      </c>
      <c r="CI121" s="117" t="str">
        <f t="shared" si="95"/>
        <v/>
      </c>
      <c r="CJ121" s="117" t="str">
        <f t="shared" si="96"/>
        <v/>
      </c>
      <c r="CK121" s="117" t="str">
        <f t="shared" si="97"/>
        <v/>
      </c>
      <c r="CL121" s="117" t="str">
        <f t="shared" si="122"/>
        <v/>
      </c>
      <c r="CM121" s="117" t="str">
        <f t="shared" si="123"/>
        <v/>
      </c>
      <c r="CN121" s="117" t="str">
        <f t="shared" si="124"/>
        <v/>
      </c>
      <c r="CO121" s="121" t="str">
        <f t="shared" si="102"/>
        <v/>
      </c>
      <c r="CP121" s="117"/>
      <c r="CQ121" s="121" t="str">
        <f t="shared" si="103"/>
        <v/>
      </c>
      <c r="CR121" s="117"/>
      <c r="CS121" s="121" t="str">
        <f t="shared" si="104"/>
        <v/>
      </c>
      <c r="CT121" s="121" t="str">
        <f t="shared" si="105"/>
        <v/>
      </c>
      <c r="CU121" s="121" t="str">
        <f t="shared" si="106"/>
        <v/>
      </c>
      <c r="CV121" s="117"/>
      <c r="CW121" s="121" t="str">
        <f t="shared" si="107"/>
        <v/>
      </c>
      <c r="CX121" s="117"/>
      <c r="CY121" s="121" t="str">
        <f t="shared" si="108"/>
        <v/>
      </c>
      <c r="CZ121" s="117"/>
      <c r="DA121" s="121" t="str">
        <f t="shared" si="109"/>
        <v/>
      </c>
      <c r="DB121" s="121" t="str">
        <f t="shared" si="110"/>
        <v/>
      </c>
      <c r="DC121" s="121" t="str">
        <f t="shared" si="111"/>
        <v/>
      </c>
      <c r="DD121" s="117"/>
      <c r="DE121" s="74"/>
      <c r="DF121" s="124"/>
      <c r="DG121" s="121"/>
      <c r="DH121" s="124"/>
      <c r="DI121" s="125"/>
      <c r="DJ121" s="124"/>
      <c r="DK121" s="117"/>
      <c r="DL121" s="124"/>
      <c r="DM121" s="117"/>
      <c r="DN121" s="124"/>
      <c r="DO121" s="117"/>
    </row>
    <row r="122" spans="1:119" ht="15.75" thickBot="1">
      <c r="A122" s="13"/>
      <c r="B122" s="57" t="str">
        <f>jalons!B122</f>
        <v/>
      </c>
      <c r="C122" s="57" t="str">
        <f>jalons!C122</f>
        <v/>
      </c>
      <c r="D122" s="83"/>
      <c r="E122" s="9" t="str">
        <f>IF($A122="","",INDEX(jalons!$A$7:$K$125,MATCH('Suivi livrables'!$A122,jalons!$A$7:$A$125,0),4))</f>
        <v/>
      </c>
      <c r="F122" s="10" t="str">
        <f>IF($A122="","",INDEX(jalons!$A$7:$K$125,MATCH('Suivi livrables'!$A122,jalons!$A$7:$A$125,0),5))</f>
        <v/>
      </c>
      <c r="G122" s="10" t="str">
        <f>IF($A122="","",INDEX(jalons!$A$7:$K$125,MATCH('Suivi livrables'!$A122,jalons!$A$7:$A$125,0),6))</f>
        <v/>
      </c>
      <c r="H122" s="10" t="str">
        <f>IF($A122="","",INDEX(jalons!$A$7:$K$125,MATCH('Suivi livrables'!$A122,jalons!$A$7:$A$125,0),7))</f>
        <v/>
      </c>
      <c r="I122" s="10" t="str">
        <f>IF($A122="","",INDEX(jalons!$A$7:$K$125,MATCH('Suivi livrables'!$A122,jalons!$A$7:$A$125,0),8))</f>
        <v/>
      </c>
      <c r="J122" s="10" t="str">
        <f>IF($A122="","",INDEX(jalons!$A$7:$K$125,MATCH('Suivi livrables'!$A122,jalons!$A$7:$A$125,0),9))</f>
        <v/>
      </c>
      <c r="K122" s="10" t="str">
        <f>IF($A122="","",INDEX(jalons!$A$7:$K$125,MATCH('Suivi livrables'!$A122,jalons!$A$7:$A$125,0),10))</f>
        <v/>
      </c>
      <c r="L122" s="10" t="str">
        <f>IF($A122="","",INDEX(jalons!$A$7:$K$125,MATCH('Suivi livrables'!$A122,jalons!$A$7:$A$125,0),11))</f>
        <v/>
      </c>
      <c r="M122" s="14"/>
      <c r="N122" s="47"/>
      <c r="O122" s="49"/>
      <c r="P122" s="50"/>
      <c r="Q122" s="50"/>
      <c r="R122" s="50"/>
      <c r="S122" s="50"/>
      <c r="T122" s="50"/>
      <c r="U122" s="50"/>
      <c r="V122" s="50"/>
      <c r="W122" s="50"/>
      <c r="X122" s="50"/>
      <c r="Y122" s="48"/>
      <c r="Z122" s="48"/>
      <c r="AA122" s="50"/>
      <c r="AB122" s="94"/>
      <c r="AC122" s="48"/>
      <c r="AD122" s="128"/>
      <c r="AE122" s="132"/>
      <c r="AF122" s="50"/>
      <c r="AG122" s="48"/>
      <c r="AH122" s="50"/>
      <c r="AI122" s="48"/>
      <c r="AJ122" s="50"/>
      <c r="AK122" s="48"/>
      <c r="AL122" s="50"/>
      <c r="AM122" s="48"/>
      <c r="AN122" s="140"/>
      <c r="AO122" s="133"/>
      <c r="AP122" s="140"/>
      <c r="AQ122" s="132"/>
      <c r="AR122" s="133"/>
      <c r="AS122" s="140"/>
      <c r="AT122" s="132"/>
      <c r="AU122" s="149"/>
      <c r="AV122" s="149"/>
      <c r="AW122" s="132"/>
      <c r="AX122" s="149"/>
      <c r="AY122" s="149"/>
      <c r="AZ122" s="132"/>
      <c r="BA122" s="149"/>
      <c r="BB122" s="149"/>
      <c r="BC122" s="149"/>
      <c r="BD122" s="149"/>
      <c r="BE122" s="133"/>
      <c r="BF122" s="49"/>
      <c r="BG122" s="94"/>
      <c r="BH122" s="96"/>
      <c r="BI122" s="117"/>
      <c r="BJ122" s="83"/>
      <c r="BK122" s="117"/>
      <c r="BL122" s="117"/>
      <c r="BM122" s="117"/>
      <c r="BN122" s="117"/>
      <c r="BO122" s="117"/>
      <c r="BP122" s="117"/>
      <c r="BQ122" s="117"/>
      <c r="BR122" s="117"/>
      <c r="BS122" s="117"/>
      <c r="BT122" s="117"/>
      <c r="BU122" s="117"/>
      <c r="BV122" s="117"/>
      <c r="BW122" s="97"/>
      <c r="BX122" s="102"/>
      <c r="BY122" s="117" t="str">
        <f t="shared" si="112"/>
        <v/>
      </c>
      <c r="BZ122" s="117" t="str">
        <f t="shared" si="113"/>
        <v/>
      </c>
      <c r="CA122" s="117" t="str">
        <f t="shared" si="114"/>
        <v/>
      </c>
      <c r="CB122" s="117" t="str">
        <f t="shared" si="115"/>
        <v/>
      </c>
      <c r="CC122" s="117" t="str">
        <f t="shared" si="116"/>
        <v/>
      </c>
      <c r="CD122" s="117" t="str">
        <f t="shared" si="117"/>
        <v/>
      </c>
      <c r="CE122" s="117" t="str">
        <f t="shared" si="118"/>
        <v/>
      </c>
      <c r="CF122" s="117" t="str">
        <f t="shared" si="119"/>
        <v/>
      </c>
      <c r="CG122" s="117" t="str">
        <f t="shared" si="120"/>
        <v/>
      </c>
      <c r="CH122" s="117" t="str">
        <f t="shared" si="121"/>
        <v/>
      </c>
      <c r="CI122" s="117" t="str">
        <f t="shared" si="95"/>
        <v/>
      </c>
      <c r="CJ122" s="117" t="str">
        <f t="shared" si="96"/>
        <v/>
      </c>
      <c r="CK122" s="117" t="str">
        <f t="shared" si="97"/>
        <v/>
      </c>
      <c r="CL122" s="117" t="str">
        <f t="shared" si="122"/>
        <v/>
      </c>
      <c r="CM122" s="117" t="str">
        <f t="shared" si="123"/>
        <v/>
      </c>
      <c r="CN122" s="117" t="str">
        <f t="shared" si="124"/>
        <v/>
      </c>
      <c r="CO122" s="121" t="str">
        <f t="shared" si="102"/>
        <v/>
      </c>
      <c r="CP122" s="117"/>
      <c r="CQ122" s="121" t="str">
        <f t="shared" si="103"/>
        <v/>
      </c>
      <c r="CR122" s="117"/>
      <c r="CS122" s="121" t="str">
        <f t="shared" si="104"/>
        <v/>
      </c>
      <c r="CT122" s="121" t="str">
        <f t="shared" si="105"/>
        <v/>
      </c>
      <c r="CU122" s="121" t="str">
        <f t="shared" si="106"/>
        <v/>
      </c>
      <c r="CV122" s="117"/>
      <c r="CW122" s="121" t="str">
        <f t="shared" si="107"/>
        <v/>
      </c>
      <c r="CX122" s="117"/>
      <c r="CY122" s="121" t="str">
        <f t="shared" si="108"/>
        <v/>
      </c>
      <c r="CZ122" s="117"/>
      <c r="DA122" s="121" t="str">
        <f t="shared" si="109"/>
        <v/>
      </c>
      <c r="DB122" s="121" t="str">
        <f t="shared" si="110"/>
        <v/>
      </c>
      <c r="DC122" s="121" t="str">
        <f t="shared" si="111"/>
        <v/>
      </c>
      <c r="DD122" s="117"/>
      <c r="DE122" s="74"/>
      <c r="DF122" s="124"/>
      <c r="DG122" s="121"/>
      <c r="DH122" s="124"/>
      <c r="DI122" s="125"/>
      <c r="DJ122" s="124"/>
      <c r="DK122" s="117"/>
      <c r="DL122" s="124"/>
      <c r="DM122" s="117"/>
      <c r="DN122" s="124"/>
      <c r="DO122" s="117"/>
    </row>
    <row r="123" spans="1:119" ht="15.75" thickBot="1">
      <c r="A123" s="13"/>
      <c r="B123" s="57" t="str">
        <f>jalons!B123</f>
        <v/>
      </c>
      <c r="C123" s="57" t="str">
        <f>jalons!C123</f>
        <v/>
      </c>
      <c r="D123" s="83"/>
      <c r="E123" s="9" t="str">
        <f>IF($A123="","",INDEX(jalons!$A$7:$K$125,MATCH('Suivi livrables'!$A123,jalons!$A$7:$A$125,0),4))</f>
        <v/>
      </c>
      <c r="F123" s="10" t="str">
        <f>IF($A123="","",INDEX(jalons!$A$7:$K$125,MATCH('Suivi livrables'!$A123,jalons!$A$7:$A$125,0),5))</f>
        <v/>
      </c>
      <c r="G123" s="10" t="str">
        <f>IF($A123="","",INDEX(jalons!$A$7:$K$125,MATCH('Suivi livrables'!$A123,jalons!$A$7:$A$125,0),6))</f>
        <v/>
      </c>
      <c r="H123" s="10" t="str">
        <f>IF($A123="","",INDEX(jalons!$A$7:$K$125,MATCH('Suivi livrables'!$A123,jalons!$A$7:$A$125,0),7))</f>
        <v/>
      </c>
      <c r="I123" s="10" t="str">
        <f>IF($A123="","",INDEX(jalons!$A$7:$K$125,MATCH('Suivi livrables'!$A123,jalons!$A$7:$A$125,0),8))</f>
        <v/>
      </c>
      <c r="J123" s="10" t="str">
        <f>IF($A123="","",INDEX(jalons!$A$7:$K$125,MATCH('Suivi livrables'!$A123,jalons!$A$7:$A$125,0),9))</f>
        <v/>
      </c>
      <c r="K123" s="10" t="str">
        <f>IF($A123="","",INDEX(jalons!$A$7:$K$125,MATCH('Suivi livrables'!$A123,jalons!$A$7:$A$125,0),10))</f>
        <v/>
      </c>
      <c r="L123" s="10" t="str">
        <f>IF($A123="","",INDEX(jalons!$A$7:$K$125,MATCH('Suivi livrables'!$A123,jalons!$A$7:$A$125,0),11))</f>
        <v/>
      </c>
      <c r="M123" s="14"/>
      <c r="N123" s="47"/>
      <c r="O123" s="49"/>
      <c r="P123" s="50"/>
      <c r="Q123" s="50"/>
      <c r="R123" s="50"/>
      <c r="S123" s="50"/>
      <c r="T123" s="50"/>
      <c r="U123" s="50"/>
      <c r="V123" s="50"/>
      <c r="W123" s="50"/>
      <c r="X123" s="50"/>
      <c r="Y123" s="48"/>
      <c r="Z123" s="48"/>
      <c r="AA123" s="50"/>
      <c r="AB123" s="94"/>
      <c r="AC123" s="48"/>
      <c r="AD123" s="128"/>
      <c r="AE123" s="132"/>
      <c r="AF123" s="50"/>
      <c r="AG123" s="48"/>
      <c r="AH123" s="50"/>
      <c r="AI123" s="48"/>
      <c r="AJ123" s="50"/>
      <c r="AK123" s="48"/>
      <c r="AL123" s="50"/>
      <c r="AM123" s="48"/>
      <c r="AN123" s="140"/>
      <c r="AO123" s="133"/>
      <c r="AP123" s="140"/>
      <c r="AQ123" s="132"/>
      <c r="AR123" s="133"/>
      <c r="AS123" s="140"/>
      <c r="AT123" s="132"/>
      <c r="AU123" s="149"/>
      <c r="AV123" s="149"/>
      <c r="AW123" s="132"/>
      <c r="AX123" s="149"/>
      <c r="AY123" s="149"/>
      <c r="AZ123" s="132"/>
      <c r="BA123" s="149"/>
      <c r="BB123" s="149"/>
      <c r="BC123" s="149"/>
      <c r="BD123" s="149"/>
      <c r="BE123" s="133"/>
      <c r="BF123" s="49"/>
      <c r="BG123" s="94"/>
      <c r="BH123" s="96"/>
      <c r="BI123" s="117"/>
      <c r="BJ123" s="83"/>
      <c r="BK123" s="117"/>
      <c r="BL123" s="117"/>
      <c r="BM123" s="117"/>
      <c r="BN123" s="117"/>
      <c r="BO123" s="117"/>
      <c r="BP123" s="117"/>
      <c r="BQ123" s="117"/>
      <c r="BR123" s="117"/>
      <c r="BS123" s="117"/>
      <c r="BT123" s="117"/>
      <c r="BU123" s="117"/>
      <c r="BV123" s="117"/>
      <c r="BW123" s="97"/>
      <c r="BX123" s="102"/>
      <c r="BY123" s="117" t="str">
        <f t="shared" si="112"/>
        <v/>
      </c>
      <c r="BZ123" s="117" t="str">
        <f t="shared" si="113"/>
        <v/>
      </c>
      <c r="CA123" s="117" t="str">
        <f t="shared" si="114"/>
        <v/>
      </c>
      <c r="CB123" s="117" t="str">
        <f t="shared" si="115"/>
        <v/>
      </c>
      <c r="CC123" s="117" t="str">
        <f t="shared" si="116"/>
        <v/>
      </c>
      <c r="CD123" s="117" t="str">
        <f t="shared" si="117"/>
        <v/>
      </c>
      <c r="CE123" s="117" t="str">
        <f t="shared" si="118"/>
        <v/>
      </c>
      <c r="CF123" s="117" t="str">
        <f t="shared" si="119"/>
        <v/>
      </c>
      <c r="CG123" s="117" t="str">
        <f t="shared" si="120"/>
        <v/>
      </c>
      <c r="CH123" s="117" t="str">
        <f t="shared" si="121"/>
        <v/>
      </c>
      <c r="CI123" s="117" t="str">
        <f t="shared" si="95"/>
        <v/>
      </c>
      <c r="CJ123" s="117" t="str">
        <f t="shared" si="96"/>
        <v/>
      </c>
      <c r="CK123" s="117" t="str">
        <f t="shared" si="97"/>
        <v/>
      </c>
      <c r="CL123" s="117" t="str">
        <f t="shared" si="122"/>
        <v/>
      </c>
      <c r="CM123" s="117" t="str">
        <f t="shared" si="123"/>
        <v/>
      </c>
      <c r="CN123" s="117" t="str">
        <f t="shared" si="124"/>
        <v/>
      </c>
      <c r="CO123" s="121" t="str">
        <f t="shared" si="102"/>
        <v/>
      </c>
      <c r="CP123" s="117"/>
      <c r="CQ123" s="121" t="str">
        <f t="shared" si="103"/>
        <v/>
      </c>
      <c r="CR123" s="117"/>
      <c r="CS123" s="121" t="str">
        <f t="shared" si="104"/>
        <v/>
      </c>
      <c r="CT123" s="121" t="str">
        <f t="shared" si="105"/>
        <v/>
      </c>
      <c r="CU123" s="121" t="str">
        <f t="shared" si="106"/>
        <v/>
      </c>
      <c r="CV123" s="117"/>
      <c r="CW123" s="121" t="str">
        <f t="shared" si="107"/>
        <v/>
      </c>
      <c r="CX123" s="117"/>
      <c r="CY123" s="121" t="str">
        <f t="shared" si="108"/>
        <v/>
      </c>
      <c r="CZ123" s="117"/>
      <c r="DA123" s="121" t="str">
        <f t="shared" si="109"/>
        <v/>
      </c>
      <c r="DB123" s="121" t="str">
        <f t="shared" si="110"/>
        <v/>
      </c>
      <c r="DC123" s="121" t="str">
        <f t="shared" si="111"/>
        <v/>
      </c>
      <c r="DD123" s="117"/>
      <c r="DE123" s="74"/>
      <c r="DF123" s="124"/>
      <c r="DG123" s="121"/>
      <c r="DH123" s="124"/>
      <c r="DI123" s="125"/>
      <c r="DJ123" s="124"/>
      <c r="DK123" s="117"/>
      <c r="DL123" s="124"/>
      <c r="DM123" s="117"/>
      <c r="DN123" s="124"/>
      <c r="DO123" s="117"/>
    </row>
    <row r="124" spans="1:119">
      <c r="A124" s="13"/>
      <c r="B124" s="57" t="str">
        <f>jalons!B124</f>
        <v/>
      </c>
      <c r="C124" s="57" t="str">
        <f>jalons!C124</f>
        <v/>
      </c>
      <c r="D124" s="83"/>
      <c r="E124" s="9" t="str">
        <f>IF($A124="","",INDEX(jalons!$A$7:$K$125,MATCH('Suivi livrables'!$A124,jalons!$A$7:$A$125,0),4))</f>
        <v/>
      </c>
      <c r="F124" s="10" t="str">
        <f>IF($A124="","",INDEX(jalons!$A$7:$K$125,MATCH('Suivi livrables'!$A124,jalons!$A$7:$A$125,0),5))</f>
        <v/>
      </c>
      <c r="G124" s="10" t="str">
        <f>IF($A124="","",INDEX(jalons!$A$7:$K$125,MATCH('Suivi livrables'!$A124,jalons!$A$7:$A$125,0),6))</f>
        <v/>
      </c>
      <c r="H124" s="10" t="str">
        <f>IF($A124="","",INDEX(jalons!$A$7:$K$125,MATCH('Suivi livrables'!$A124,jalons!$A$7:$A$125,0),7))</f>
        <v/>
      </c>
      <c r="I124" s="10" t="str">
        <f>IF($A124="","",INDEX(jalons!$A$7:$K$125,MATCH('Suivi livrables'!$A124,jalons!$A$7:$A$125,0),8))</f>
        <v/>
      </c>
      <c r="J124" s="10" t="str">
        <f>IF($A124="","",INDEX(jalons!$A$7:$K$125,MATCH('Suivi livrables'!$A124,jalons!$A$7:$A$125,0),9))</f>
        <v/>
      </c>
      <c r="K124" s="10" t="str">
        <f>IF($A124="","",INDEX(jalons!$A$7:$K$125,MATCH('Suivi livrables'!$A124,jalons!$A$7:$A$125,0),10))</f>
        <v/>
      </c>
      <c r="L124" s="10" t="str">
        <f>IF($A124="","",INDEX(jalons!$A$7:$K$125,MATCH('Suivi livrables'!$A124,jalons!$A$7:$A$125,0),11))</f>
        <v/>
      </c>
      <c r="M124" s="14"/>
      <c r="N124" s="47"/>
      <c r="O124" s="49"/>
      <c r="P124" s="50"/>
      <c r="Q124" s="50"/>
      <c r="R124" s="50"/>
      <c r="S124" s="50"/>
      <c r="T124" s="50"/>
      <c r="U124" s="50"/>
      <c r="V124" s="50"/>
      <c r="W124" s="50"/>
      <c r="X124" s="50"/>
      <c r="Y124" s="48"/>
      <c r="Z124" s="48"/>
      <c r="AA124" s="50"/>
      <c r="AB124" s="94"/>
      <c r="AC124" s="48"/>
      <c r="AD124" s="128"/>
      <c r="AE124" s="132"/>
      <c r="AF124" s="50"/>
      <c r="AG124" s="48"/>
      <c r="AH124" s="50"/>
      <c r="AI124" s="48"/>
      <c r="AJ124" s="50"/>
      <c r="AK124" s="48"/>
      <c r="AL124" s="50"/>
      <c r="AM124" s="48"/>
      <c r="AN124" s="140"/>
      <c r="AO124" s="133"/>
      <c r="AP124" s="140"/>
      <c r="AQ124" s="132"/>
      <c r="AR124" s="133"/>
      <c r="AS124" s="140"/>
      <c r="AT124" s="132"/>
      <c r="AU124" s="149"/>
      <c r="AV124" s="149"/>
      <c r="AW124" s="132"/>
      <c r="AX124" s="149"/>
      <c r="AY124" s="149"/>
      <c r="AZ124" s="132"/>
      <c r="BA124" s="149"/>
      <c r="BB124" s="149"/>
      <c r="BC124" s="149"/>
      <c r="BD124" s="149"/>
      <c r="BE124" s="133"/>
      <c r="BF124" s="49"/>
      <c r="BG124" s="94"/>
      <c r="BH124" s="96"/>
      <c r="BI124" s="117"/>
      <c r="BJ124" s="83"/>
      <c r="BK124" s="117"/>
      <c r="BL124" s="117"/>
      <c r="BM124" s="117"/>
      <c r="BN124" s="117"/>
      <c r="BO124" s="117"/>
      <c r="BP124" s="117"/>
      <c r="BQ124" s="117"/>
      <c r="BR124" s="117"/>
      <c r="BS124" s="117"/>
      <c r="BT124" s="117"/>
      <c r="BU124" s="117"/>
      <c r="BV124" s="117"/>
      <c r="BW124" s="97"/>
      <c r="BX124" s="102"/>
      <c r="BY124" s="117" t="str">
        <f t="shared" si="112"/>
        <v/>
      </c>
      <c r="BZ124" s="117" t="str">
        <f t="shared" si="113"/>
        <v/>
      </c>
      <c r="CA124" s="117" t="str">
        <f t="shared" si="114"/>
        <v/>
      </c>
      <c r="CB124" s="117" t="str">
        <f t="shared" si="115"/>
        <v/>
      </c>
      <c r="CC124" s="117" t="str">
        <f t="shared" si="116"/>
        <v/>
      </c>
      <c r="CD124" s="117" t="str">
        <f t="shared" si="117"/>
        <v/>
      </c>
      <c r="CE124" s="117" t="str">
        <f t="shared" si="118"/>
        <v/>
      </c>
      <c r="CF124" s="117" t="str">
        <f t="shared" si="119"/>
        <v/>
      </c>
      <c r="CG124" s="117" t="str">
        <f t="shared" si="120"/>
        <v/>
      </c>
      <c r="CH124" s="117" t="str">
        <f t="shared" si="121"/>
        <v/>
      </c>
      <c r="CI124" s="117" t="str">
        <f t="shared" si="95"/>
        <v/>
      </c>
      <c r="CJ124" s="117" t="str">
        <f t="shared" si="96"/>
        <v/>
      </c>
      <c r="CK124" s="117" t="str">
        <f t="shared" si="97"/>
        <v/>
      </c>
      <c r="CL124" s="117" t="str">
        <f t="shared" si="122"/>
        <v/>
      </c>
      <c r="CM124" s="117" t="str">
        <f t="shared" si="123"/>
        <v/>
      </c>
      <c r="CN124" s="117" t="str">
        <f t="shared" si="124"/>
        <v/>
      </c>
      <c r="CO124" s="121" t="str">
        <f t="shared" si="102"/>
        <v/>
      </c>
      <c r="CP124" s="117"/>
      <c r="CQ124" s="121" t="str">
        <f t="shared" si="103"/>
        <v/>
      </c>
      <c r="CR124" s="117"/>
      <c r="CS124" s="121" t="str">
        <f t="shared" si="104"/>
        <v/>
      </c>
      <c r="CT124" s="121" t="str">
        <f t="shared" si="105"/>
        <v/>
      </c>
      <c r="CU124" s="121" t="str">
        <f t="shared" si="106"/>
        <v/>
      </c>
      <c r="CV124" s="117"/>
      <c r="CW124" s="121" t="str">
        <f t="shared" si="107"/>
        <v/>
      </c>
      <c r="CX124" s="117"/>
      <c r="CY124" s="121" t="str">
        <f t="shared" si="108"/>
        <v/>
      </c>
      <c r="CZ124" s="117"/>
      <c r="DA124" s="121" t="str">
        <f t="shared" si="109"/>
        <v/>
      </c>
      <c r="DB124" s="121" t="str">
        <f t="shared" si="110"/>
        <v/>
      </c>
      <c r="DC124" s="121" t="str">
        <f t="shared" si="111"/>
        <v/>
      </c>
      <c r="DD124" s="117"/>
      <c r="DE124" s="74"/>
      <c r="DF124" s="124"/>
      <c r="DG124" s="121"/>
      <c r="DH124" s="124"/>
      <c r="DI124" s="125"/>
      <c r="DJ124" s="124"/>
      <c r="DK124" s="117"/>
      <c r="DL124" s="124"/>
      <c r="DM124" s="117"/>
      <c r="DN124" s="124"/>
      <c r="DO124" s="117"/>
    </row>
    <row r="125" spans="1:119" ht="15.75" thickBot="1">
      <c r="A125" s="13"/>
      <c r="B125" s="57" t="str">
        <f>jalons!B125</f>
        <v/>
      </c>
      <c r="C125" s="57" t="str">
        <f>jalons!C125</f>
        <v/>
      </c>
      <c r="D125" s="84"/>
      <c r="E125" s="39" t="str">
        <f>IF($A125="","",INDEX(jalons!$A$7:$K$125,MATCH('Suivi livrables'!$A125,jalons!$A$7:$A$125,0),4))</f>
        <v/>
      </c>
      <c r="F125" s="40" t="str">
        <f>IF($A125="","",INDEX(jalons!$A$7:$K$125,MATCH('Suivi livrables'!$A125,jalons!$A$7:$A$125,0),5))</f>
        <v/>
      </c>
      <c r="G125" s="40" t="str">
        <f>IF($A125="","",INDEX(jalons!$A$7:$K$125,MATCH('Suivi livrables'!$A125,jalons!$A$7:$A$125,0),6))</f>
        <v/>
      </c>
      <c r="H125" s="40" t="str">
        <f>IF($A125="","",INDEX(jalons!$A$7:$K$125,MATCH('Suivi livrables'!$A125,jalons!$A$7:$A$125,0),7))</f>
        <v/>
      </c>
      <c r="I125" s="40" t="str">
        <f>IF($A125="","",INDEX(jalons!$A$7:$K$125,MATCH('Suivi livrables'!$A125,jalons!$A$7:$A$125,0),8))</f>
        <v/>
      </c>
      <c r="J125" s="40" t="str">
        <f>IF($A125="","",INDEX(jalons!$A$7:$K$125,MATCH('Suivi livrables'!$A125,jalons!$A$7:$A$125,0),9))</f>
        <v/>
      </c>
      <c r="K125" s="40" t="str">
        <f>IF($A125="","",INDEX(jalons!$A$7:$K$125,MATCH('Suivi livrables'!$A125,jalons!$A$7:$A$125,0),10))</f>
        <v/>
      </c>
      <c r="L125" s="40" t="str">
        <f>IF($A125="","",INDEX(jalons!$A$7:$K$125,MATCH('Suivi livrables'!$A125,jalons!$A$7:$A$125,0),11))</f>
        <v/>
      </c>
      <c r="M125" s="14"/>
      <c r="N125" s="88"/>
      <c r="O125" s="55"/>
      <c r="P125" s="56"/>
      <c r="Q125" s="56"/>
      <c r="R125" s="56"/>
      <c r="S125" s="56"/>
      <c r="T125" s="56"/>
      <c r="U125" s="56"/>
      <c r="V125" s="56"/>
      <c r="W125" s="56"/>
      <c r="X125" s="56"/>
      <c r="Y125" s="147"/>
      <c r="Z125" s="147"/>
      <c r="AA125" s="56"/>
      <c r="AB125" s="126"/>
      <c r="AC125" s="147"/>
      <c r="AD125" s="130"/>
      <c r="AE125" s="132"/>
      <c r="AF125" s="50"/>
      <c r="AG125" s="48"/>
      <c r="AH125" s="50"/>
      <c r="AI125" s="48"/>
      <c r="AJ125" s="50"/>
      <c r="AK125" s="48"/>
      <c r="AL125" s="50"/>
      <c r="AM125" s="48"/>
      <c r="AN125" s="142"/>
      <c r="AO125" s="133"/>
      <c r="AP125" s="142"/>
      <c r="AQ125" s="132"/>
      <c r="AR125" s="133"/>
      <c r="AS125" s="142"/>
      <c r="AT125" s="132"/>
      <c r="AU125" s="151"/>
      <c r="AV125" s="151"/>
      <c r="AW125" s="132"/>
      <c r="AX125" s="151"/>
      <c r="AY125" s="151"/>
      <c r="AZ125" s="132"/>
      <c r="BA125" s="151"/>
      <c r="BB125" s="151"/>
      <c r="BC125" s="151"/>
      <c r="BD125" s="151"/>
      <c r="BE125" s="133"/>
      <c r="BF125" s="55"/>
      <c r="BG125" s="94"/>
      <c r="BH125" s="98"/>
      <c r="BI125" s="117"/>
      <c r="BJ125" s="84"/>
      <c r="BK125" s="117"/>
      <c r="BL125" s="123"/>
      <c r="BM125" s="123"/>
      <c r="BN125" s="117"/>
      <c r="BO125" s="123"/>
      <c r="BP125" s="117"/>
      <c r="BQ125" s="123"/>
      <c r="BR125" s="123"/>
      <c r="BS125" s="117"/>
      <c r="BT125" s="123"/>
      <c r="BU125" s="123"/>
      <c r="BV125" s="117"/>
      <c r="BW125" s="98"/>
      <c r="BX125" s="103"/>
      <c r="BY125" s="117" t="str">
        <f t="shared" si="112"/>
        <v/>
      </c>
      <c r="BZ125" s="117" t="str">
        <f t="shared" si="113"/>
        <v/>
      </c>
      <c r="CA125" s="117" t="str">
        <f t="shared" si="114"/>
        <v/>
      </c>
      <c r="CB125" s="117" t="str">
        <f t="shared" si="115"/>
        <v/>
      </c>
      <c r="CC125" s="117" t="str">
        <f t="shared" si="116"/>
        <v/>
      </c>
      <c r="CD125" s="117" t="str">
        <f t="shared" si="117"/>
        <v/>
      </c>
      <c r="CE125" s="117" t="str">
        <f t="shared" si="118"/>
        <v/>
      </c>
      <c r="CF125" s="117" t="str">
        <f t="shared" si="119"/>
        <v/>
      </c>
      <c r="CG125" s="117" t="str">
        <f t="shared" si="120"/>
        <v/>
      </c>
      <c r="CH125" s="117" t="str">
        <f t="shared" si="121"/>
        <v/>
      </c>
      <c r="CI125" s="117" t="str">
        <f t="shared" si="95"/>
        <v/>
      </c>
      <c r="CJ125" s="117" t="str">
        <f t="shared" si="96"/>
        <v/>
      </c>
      <c r="CK125" s="117" t="str">
        <f t="shared" si="97"/>
        <v/>
      </c>
      <c r="CL125" s="117" t="str">
        <f t="shared" si="122"/>
        <v/>
      </c>
      <c r="CM125" s="117" t="str">
        <f t="shared" si="123"/>
        <v/>
      </c>
      <c r="CN125" s="117" t="str">
        <f t="shared" si="124"/>
        <v/>
      </c>
      <c r="CO125" s="121" t="str">
        <f t="shared" si="102"/>
        <v/>
      </c>
      <c r="CP125" s="117"/>
      <c r="CQ125" s="121" t="str">
        <f t="shared" si="103"/>
        <v/>
      </c>
      <c r="CR125" s="117"/>
      <c r="CS125" s="121" t="str">
        <f t="shared" si="104"/>
        <v/>
      </c>
      <c r="CT125" s="121" t="str">
        <f t="shared" si="105"/>
        <v/>
      </c>
      <c r="CU125" s="121" t="str">
        <f t="shared" si="106"/>
        <v/>
      </c>
      <c r="CV125" s="117"/>
      <c r="CW125" s="121" t="str">
        <f t="shared" si="107"/>
        <v/>
      </c>
      <c r="CX125" s="117"/>
      <c r="CY125" s="121" t="str">
        <f t="shared" si="108"/>
        <v/>
      </c>
      <c r="CZ125" s="117"/>
      <c r="DA125" s="121" t="str">
        <f t="shared" si="109"/>
        <v/>
      </c>
      <c r="DB125" s="121" t="str">
        <f t="shared" si="110"/>
        <v/>
      </c>
      <c r="DC125" s="121" t="str">
        <f t="shared" si="111"/>
        <v/>
      </c>
      <c r="DD125" s="117"/>
      <c r="DE125" s="74"/>
      <c r="DF125" s="124"/>
      <c r="DG125" s="121"/>
      <c r="DH125" s="124"/>
      <c r="DI125" s="125"/>
      <c r="DJ125" s="124"/>
      <c r="DK125" s="117"/>
      <c r="DL125" s="124"/>
      <c r="DM125" s="117"/>
      <c r="DN125" s="124"/>
      <c r="DO125" s="117"/>
    </row>
    <row r="128" spans="1:119">
      <c r="E128" t="s">
        <v>101</v>
      </c>
      <c r="G128" t="s">
        <v>102</v>
      </c>
    </row>
    <row r="131" spans="5:6">
      <c r="E131" t="s">
        <v>163</v>
      </c>
    </row>
    <row r="132" spans="5:6">
      <c r="E132" t="s">
        <v>164</v>
      </c>
      <c r="F132" t="s">
        <v>165</v>
      </c>
    </row>
    <row r="133" spans="5:6">
      <c r="E133" t="s">
        <v>167</v>
      </c>
      <c r="F133" t="s">
        <v>169</v>
      </c>
    </row>
    <row r="134" spans="5:6">
      <c r="E134" t="s">
        <v>166</v>
      </c>
      <c r="F134" t="s">
        <v>168</v>
      </c>
    </row>
  </sheetData>
  <mergeCells count="73">
    <mergeCell ref="H4:H6"/>
    <mergeCell ref="I4:I6"/>
    <mergeCell ref="J4:J6"/>
    <mergeCell ref="N4:N6"/>
    <mergeCell ref="L4:L6"/>
    <mergeCell ref="S4:T5"/>
    <mergeCell ref="W4:X5"/>
    <mergeCell ref="AB4:AD5"/>
    <mergeCell ref="BL4:BP4"/>
    <mergeCell ref="BQ4:BS5"/>
    <mergeCell ref="BL5:BN5"/>
    <mergeCell ref="BO5:BP5"/>
    <mergeCell ref="CO4:CP5"/>
    <mergeCell ref="CQ4:CR5"/>
    <mergeCell ref="M4:M6"/>
    <mergeCell ref="BF4:BG5"/>
    <mergeCell ref="A3:M3"/>
    <mergeCell ref="BF3:BG3"/>
    <mergeCell ref="A4:A6"/>
    <mergeCell ref="E4:E6"/>
    <mergeCell ref="F4:F6"/>
    <mergeCell ref="G4:G6"/>
    <mergeCell ref="AI4:AJ5"/>
    <mergeCell ref="AK4:AL5"/>
    <mergeCell ref="O3:AD3"/>
    <mergeCell ref="O4:P5"/>
    <mergeCell ref="Q4:R5"/>
    <mergeCell ref="U4:V5"/>
    <mergeCell ref="DD3:DD6"/>
    <mergeCell ref="CS4:CT4"/>
    <mergeCell ref="CU4:CV5"/>
    <mergeCell ref="B4:B6"/>
    <mergeCell ref="AZ4:BD5"/>
    <mergeCell ref="C4:C6"/>
    <mergeCell ref="D4:D6"/>
    <mergeCell ref="K4:K6"/>
    <mergeCell ref="BX3:BX6"/>
    <mergeCell ref="BW3:BW6"/>
    <mergeCell ref="Y4:AA5"/>
    <mergeCell ref="CO3:CT3"/>
    <mergeCell ref="CU3:CZ3"/>
    <mergeCell ref="DA3:DC3"/>
    <mergeCell ref="BY4:BZ5"/>
    <mergeCell ref="CA4:CB5"/>
    <mergeCell ref="CW4:CX5"/>
    <mergeCell ref="CY4:CZ5"/>
    <mergeCell ref="DA4:DA5"/>
    <mergeCell ref="DB4:DB5"/>
    <mergeCell ref="DC4:DC5"/>
    <mergeCell ref="DO3:DO6"/>
    <mergeCell ref="DE4:DF5"/>
    <mergeCell ref="DG4:DH5"/>
    <mergeCell ref="DI4:DJ5"/>
    <mergeCell ref="DK4:DL5"/>
    <mergeCell ref="DM4:DN5"/>
    <mergeCell ref="DE3:DH3"/>
    <mergeCell ref="BY3:CN3"/>
    <mergeCell ref="BH3:BV3"/>
    <mergeCell ref="BH4:BK5"/>
    <mergeCell ref="AE3:BD3"/>
    <mergeCell ref="AE4:AF5"/>
    <mergeCell ref="AG4:AH5"/>
    <mergeCell ref="CC4:CD5"/>
    <mergeCell ref="CE4:CF5"/>
    <mergeCell ref="CL4:CN5"/>
    <mergeCell ref="BT4:BV5"/>
    <mergeCell ref="AO4:AP5"/>
    <mergeCell ref="AQ4:AS5"/>
    <mergeCell ref="AT4:AV5"/>
    <mergeCell ref="CI4:CK5"/>
    <mergeCell ref="AM4:AN5"/>
    <mergeCell ref="AW4:AY5"/>
    <mergeCell ref="CG4:CH5"/>
  </mergeCells>
  <conditionalFormatting sqref="BF7:BG93 BF117:BG125 M7:N125">
    <cfRule type="cellIs" dxfId="122" priority="185" stopIfTrue="1" operator="equal">
      <formula>"Passed"</formula>
    </cfRule>
    <cfRule type="cellIs" dxfId="121" priority="186" stopIfTrue="1" operator="equal">
      <formula>"Failed"</formula>
    </cfRule>
  </conditionalFormatting>
  <conditionalFormatting sqref="E7:J16 E18:J93 E117:J125">
    <cfRule type="cellIs" priority="182" stopIfTrue="1" operator="equal">
      <formula>""</formula>
    </cfRule>
    <cfRule type="expression" dxfId="120" priority="183" stopIfTrue="1">
      <formula>E7&lt;TODAY()</formula>
    </cfRule>
    <cfRule type="expression" dxfId="119" priority="184" stopIfTrue="1">
      <formula>E7&lt;(TODAY()+30)</formula>
    </cfRule>
  </conditionalFormatting>
  <conditionalFormatting sqref="K7:K16 K18:K93 K117:K125">
    <cfRule type="cellIs" priority="178" stopIfTrue="1" operator="equal">
      <formula>""</formula>
    </cfRule>
    <cfRule type="expression" dxfId="118" priority="179" stopIfTrue="1">
      <formula>K7&lt;TODAY()</formula>
    </cfRule>
    <cfRule type="expression" dxfId="117" priority="180" stopIfTrue="1">
      <formula>K7&lt;(TODAY()+10)</formula>
    </cfRule>
    <cfRule type="expression" dxfId="116" priority="181" stopIfTrue="1">
      <formula>K7&lt;(TODAY()+30)</formula>
    </cfRule>
  </conditionalFormatting>
  <conditionalFormatting sqref="O7:Q93 O117:Q125">
    <cfRule type="cellIs" dxfId="115" priority="171" stopIfTrue="1" operator="equal">
      <formula>"Passed"</formula>
    </cfRule>
    <cfRule type="cellIs" dxfId="114" priority="172" stopIfTrue="1" operator="equal">
      <formula>"Failed"</formula>
    </cfRule>
  </conditionalFormatting>
  <conditionalFormatting sqref="R7:R93 U7:V93 U117:V125 R117:R125">
    <cfRule type="cellIs" dxfId="113" priority="169" stopIfTrue="1" operator="equal">
      <formula>"Passed"</formula>
    </cfRule>
    <cfRule type="cellIs" dxfId="112" priority="170" stopIfTrue="1" operator="equal">
      <formula>"Failed"</formula>
    </cfRule>
  </conditionalFormatting>
  <conditionalFormatting sqref="AC7:AD7 AD117:AD125 AC8:AC125 AF7 AN117:AN125 AL7:AL93 AL117:AL125 AJ7:AJ93 AJ117:AJ125 AH117:AH125 AD8:AF8 AD9:AD93 AF9:AF93 AF117:AF125 AE9:AE125 AH7:AH93 AN7:AN93 AP117:AP125 AP7:AQ7 AS117:AS125 AP8:AP93 AS7:BD7 AQ8:AQ125 AS8:AS93 AU8:AV93 AU117:AV125 AT8:AT125 AX117:AY125 AX8:AY93 AW8:AW125 BA8:BD93 BA117:BD125 AZ8:AZ125">
    <cfRule type="cellIs" dxfId="111" priority="167" stopIfTrue="1" operator="equal">
      <formula>"Passed"</formula>
    </cfRule>
    <cfRule type="cellIs" dxfId="110" priority="168" stopIfTrue="1" operator="equal">
      <formula>"Failed"</formula>
    </cfRule>
  </conditionalFormatting>
  <conditionalFormatting sqref="BE7:BE9">
    <cfRule type="cellIs" dxfId="109" priority="165" stopIfTrue="1" operator="equal">
      <formula>"Passed"</formula>
    </cfRule>
    <cfRule type="cellIs" dxfId="108" priority="166" stopIfTrue="1" operator="equal">
      <formula>"Failed"</formula>
    </cfRule>
  </conditionalFormatting>
  <conditionalFormatting sqref="S7:T93 S117:T125">
    <cfRule type="cellIs" dxfId="107" priority="163" stopIfTrue="1" operator="equal">
      <formula>"Passed"</formula>
    </cfRule>
    <cfRule type="cellIs" dxfId="106" priority="164" stopIfTrue="1" operator="equal">
      <formula>"Failed"</formula>
    </cfRule>
  </conditionalFormatting>
  <conditionalFormatting sqref="W117:X125 W7:Y7 AA117:AB125 AA7:AB93 W8:X93 Y8:Y125">
    <cfRule type="cellIs" dxfId="105" priority="161" stopIfTrue="1" operator="equal">
      <formula>"Passed"</formula>
    </cfRule>
    <cfRule type="cellIs" dxfId="104" priority="162" stopIfTrue="1" operator="equal">
      <formula>"Failed"</formula>
    </cfRule>
  </conditionalFormatting>
  <conditionalFormatting sqref="L7:L93 L117:L125">
    <cfRule type="cellIs" priority="157" stopIfTrue="1" operator="equal">
      <formula>""</formula>
    </cfRule>
    <cfRule type="expression" dxfId="103" priority="158" stopIfTrue="1">
      <formula>L7&lt;TODAY()</formula>
    </cfRule>
    <cfRule type="expression" dxfId="102" priority="159" stopIfTrue="1">
      <formula>L7&lt;(TODAY()+10)</formula>
    </cfRule>
    <cfRule type="expression" dxfId="101" priority="160" stopIfTrue="1">
      <formula>L7&lt;(TODAY()+30)</formula>
    </cfRule>
  </conditionalFormatting>
  <conditionalFormatting sqref="E17:J17">
    <cfRule type="cellIs" priority="154" stopIfTrue="1" operator="equal">
      <formula>""</formula>
    </cfRule>
    <cfRule type="expression" dxfId="100" priority="155" stopIfTrue="1">
      <formula>E17&lt;TODAY()</formula>
    </cfRule>
    <cfRule type="expression" dxfId="99" priority="156" stopIfTrue="1">
      <formula>E17&lt;(TODAY()+30)</formula>
    </cfRule>
  </conditionalFormatting>
  <conditionalFormatting sqref="K17">
    <cfRule type="cellIs" priority="150" stopIfTrue="1" operator="equal">
      <formula>""</formula>
    </cfRule>
    <cfRule type="expression" dxfId="98" priority="151" stopIfTrue="1">
      <formula>K17&lt;TODAY()</formula>
    </cfRule>
    <cfRule type="expression" dxfId="97" priority="152" stopIfTrue="1">
      <formula>K17&lt;(TODAY()+10)</formula>
    </cfRule>
    <cfRule type="expression" dxfId="96" priority="153" stopIfTrue="1">
      <formula>K17&lt;(TODAY()+30)</formula>
    </cfRule>
  </conditionalFormatting>
  <conditionalFormatting sqref="BF109:BG116">
    <cfRule type="cellIs" dxfId="95" priority="148" stopIfTrue="1" operator="equal">
      <formula>"Passed"</formula>
    </cfRule>
    <cfRule type="cellIs" dxfId="94" priority="149" stopIfTrue="1" operator="equal">
      <formula>"Failed"</formula>
    </cfRule>
  </conditionalFormatting>
  <conditionalFormatting sqref="E109:J116">
    <cfRule type="cellIs" priority="145" stopIfTrue="1" operator="equal">
      <formula>""</formula>
    </cfRule>
    <cfRule type="expression" dxfId="93" priority="146" stopIfTrue="1">
      <formula>E109&lt;TODAY()</formula>
    </cfRule>
    <cfRule type="expression" dxfId="92" priority="147" stopIfTrue="1">
      <formula>E109&lt;(TODAY()+30)</formula>
    </cfRule>
  </conditionalFormatting>
  <conditionalFormatting sqref="K109:K116">
    <cfRule type="cellIs" priority="141" stopIfTrue="1" operator="equal">
      <formula>""</formula>
    </cfRule>
    <cfRule type="expression" dxfId="91" priority="142" stopIfTrue="1">
      <formula>K109&lt;TODAY()</formula>
    </cfRule>
    <cfRule type="expression" dxfId="90" priority="143" stopIfTrue="1">
      <formula>K109&lt;(TODAY()+10)</formula>
    </cfRule>
    <cfRule type="expression" dxfId="89" priority="144" stopIfTrue="1">
      <formula>K109&lt;(TODAY()+30)</formula>
    </cfRule>
  </conditionalFormatting>
  <conditionalFormatting sqref="O109:Q116">
    <cfRule type="cellIs" dxfId="88" priority="139" stopIfTrue="1" operator="equal">
      <formula>"Passed"</formula>
    </cfRule>
    <cfRule type="cellIs" dxfId="87" priority="140" stopIfTrue="1" operator="equal">
      <formula>"Failed"</formula>
    </cfRule>
  </conditionalFormatting>
  <conditionalFormatting sqref="U109:V116 R109:R116">
    <cfRule type="cellIs" dxfId="86" priority="137" stopIfTrue="1" operator="equal">
      <formula>"Passed"</formula>
    </cfRule>
    <cfRule type="cellIs" dxfId="85" priority="138" stopIfTrue="1" operator="equal">
      <formula>"Failed"</formula>
    </cfRule>
  </conditionalFormatting>
  <conditionalFormatting sqref="AD109:AD116 AN109:AN116 AL109:AL116 AJ109:AJ116 AH109:AH116 AF109:AF116 AP109:AP116 AS109:AS116 AU109:AV116 AX109:AY116 BA109:BD116">
    <cfRule type="cellIs" dxfId="84" priority="135" stopIfTrue="1" operator="equal">
      <formula>"Passed"</formula>
    </cfRule>
    <cfRule type="cellIs" dxfId="83" priority="136" stopIfTrue="1" operator="equal">
      <formula>"Failed"</formula>
    </cfRule>
  </conditionalFormatting>
  <conditionalFormatting sqref="S109:T116">
    <cfRule type="cellIs" dxfId="82" priority="131" stopIfTrue="1" operator="equal">
      <formula>"Passed"</formula>
    </cfRule>
    <cfRule type="cellIs" dxfId="81" priority="132" stopIfTrue="1" operator="equal">
      <formula>"Failed"</formula>
    </cfRule>
  </conditionalFormatting>
  <conditionalFormatting sqref="W109:X116 AA109:AB116">
    <cfRule type="cellIs" dxfId="80" priority="129" stopIfTrue="1" operator="equal">
      <formula>"Passed"</formula>
    </cfRule>
    <cfRule type="cellIs" dxfId="79" priority="130" stopIfTrue="1" operator="equal">
      <formula>"Failed"</formula>
    </cfRule>
  </conditionalFormatting>
  <conditionalFormatting sqref="L109:L116">
    <cfRule type="cellIs" priority="125" stopIfTrue="1" operator="equal">
      <formula>""</formula>
    </cfRule>
    <cfRule type="expression" dxfId="78" priority="126" stopIfTrue="1">
      <formula>L109&lt;TODAY()</formula>
    </cfRule>
    <cfRule type="expression" dxfId="77" priority="127" stopIfTrue="1">
      <formula>L109&lt;(TODAY()+10)</formula>
    </cfRule>
    <cfRule type="expression" dxfId="76" priority="128" stopIfTrue="1">
      <formula>L109&lt;(TODAY()+30)</formula>
    </cfRule>
  </conditionalFormatting>
  <conditionalFormatting sqref="BF102:BG108">
    <cfRule type="cellIs" dxfId="75" priority="123" stopIfTrue="1" operator="equal">
      <formula>"Passed"</formula>
    </cfRule>
    <cfRule type="cellIs" dxfId="74" priority="124" stopIfTrue="1" operator="equal">
      <formula>"Failed"</formula>
    </cfRule>
  </conditionalFormatting>
  <conditionalFormatting sqref="E102:J108">
    <cfRule type="cellIs" priority="120" stopIfTrue="1" operator="equal">
      <formula>""</formula>
    </cfRule>
    <cfRule type="expression" dxfId="73" priority="121" stopIfTrue="1">
      <formula>E102&lt;TODAY()</formula>
    </cfRule>
    <cfRule type="expression" dxfId="72" priority="122" stopIfTrue="1">
      <formula>E102&lt;(TODAY()+30)</formula>
    </cfRule>
  </conditionalFormatting>
  <conditionalFormatting sqref="K102:K108">
    <cfRule type="cellIs" priority="116" stopIfTrue="1" operator="equal">
      <formula>""</formula>
    </cfRule>
    <cfRule type="expression" dxfId="71" priority="117" stopIfTrue="1">
      <formula>K102&lt;TODAY()</formula>
    </cfRule>
    <cfRule type="expression" dxfId="70" priority="118" stopIfTrue="1">
      <formula>K102&lt;(TODAY()+10)</formula>
    </cfRule>
    <cfRule type="expression" dxfId="69" priority="119" stopIfTrue="1">
      <formula>K102&lt;(TODAY()+30)</formula>
    </cfRule>
  </conditionalFormatting>
  <conditionalFormatting sqref="O102:Q108">
    <cfRule type="cellIs" dxfId="68" priority="114" stopIfTrue="1" operator="equal">
      <formula>"Passed"</formula>
    </cfRule>
    <cfRule type="cellIs" dxfId="67" priority="115" stopIfTrue="1" operator="equal">
      <formula>"Failed"</formula>
    </cfRule>
  </conditionalFormatting>
  <conditionalFormatting sqref="U102:V108 R102:R108">
    <cfRule type="cellIs" dxfId="66" priority="112" stopIfTrue="1" operator="equal">
      <formula>"Passed"</formula>
    </cfRule>
    <cfRule type="cellIs" dxfId="65" priority="113" stopIfTrue="1" operator="equal">
      <formula>"Failed"</formula>
    </cfRule>
  </conditionalFormatting>
  <conditionalFormatting sqref="AD102:AD108 AN102:AN108 AL102:AL108 AJ102:AJ108 AH102:AH108 AF102:AF108 AP102:AP108 AS102:AS108 AU102:AV108 AX102:AY108 BA102:BD108">
    <cfRule type="cellIs" dxfId="64" priority="110" stopIfTrue="1" operator="equal">
      <formula>"Passed"</formula>
    </cfRule>
    <cfRule type="cellIs" dxfId="63" priority="111" stopIfTrue="1" operator="equal">
      <formula>"Failed"</formula>
    </cfRule>
  </conditionalFormatting>
  <conditionalFormatting sqref="S102:T108">
    <cfRule type="cellIs" dxfId="62" priority="106" stopIfTrue="1" operator="equal">
      <formula>"Passed"</formula>
    </cfRule>
    <cfRule type="cellIs" dxfId="61" priority="107" stopIfTrue="1" operator="equal">
      <formula>"Failed"</formula>
    </cfRule>
  </conditionalFormatting>
  <conditionalFormatting sqref="W102:X108 AA102:AB108">
    <cfRule type="cellIs" dxfId="60" priority="104" stopIfTrue="1" operator="equal">
      <formula>"Passed"</formula>
    </cfRule>
    <cfRule type="cellIs" dxfId="59" priority="105" stopIfTrue="1" operator="equal">
      <formula>"Failed"</formula>
    </cfRule>
  </conditionalFormatting>
  <conditionalFormatting sqref="L102:L108">
    <cfRule type="cellIs" priority="100" stopIfTrue="1" operator="equal">
      <formula>""</formula>
    </cfRule>
    <cfRule type="expression" dxfId="58" priority="101" stopIfTrue="1">
      <formula>L102&lt;TODAY()</formula>
    </cfRule>
    <cfRule type="expression" dxfId="57" priority="102" stopIfTrue="1">
      <formula>L102&lt;(TODAY()+10)</formula>
    </cfRule>
    <cfRule type="expression" dxfId="56" priority="103" stopIfTrue="1">
      <formula>L102&lt;(TODAY()+30)</formula>
    </cfRule>
  </conditionalFormatting>
  <conditionalFormatting sqref="BF94:BG101">
    <cfRule type="cellIs" dxfId="55" priority="98" stopIfTrue="1" operator="equal">
      <formula>"Passed"</formula>
    </cfRule>
    <cfRule type="cellIs" dxfId="54" priority="99" stopIfTrue="1" operator="equal">
      <formula>"Failed"</formula>
    </cfRule>
  </conditionalFormatting>
  <conditionalFormatting sqref="E94:J101">
    <cfRule type="cellIs" priority="95" stopIfTrue="1" operator="equal">
      <formula>""</formula>
    </cfRule>
    <cfRule type="expression" dxfId="53" priority="96" stopIfTrue="1">
      <formula>E94&lt;TODAY()</formula>
    </cfRule>
    <cfRule type="expression" dxfId="52" priority="97" stopIfTrue="1">
      <formula>E94&lt;(TODAY()+30)</formula>
    </cfRule>
  </conditionalFormatting>
  <conditionalFormatting sqref="K94:K101">
    <cfRule type="cellIs" priority="91" stopIfTrue="1" operator="equal">
      <formula>""</formula>
    </cfRule>
    <cfRule type="expression" dxfId="51" priority="92" stopIfTrue="1">
      <formula>K94&lt;TODAY()</formula>
    </cfRule>
    <cfRule type="expression" dxfId="50" priority="93" stopIfTrue="1">
      <formula>K94&lt;(TODAY()+10)</formula>
    </cfRule>
    <cfRule type="expression" dxfId="49" priority="94" stopIfTrue="1">
      <formula>K94&lt;(TODAY()+30)</formula>
    </cfRule>
  </conditionalFormatting>
  <conditionalFormatting sqref="O94:Q101">
    <cfRule type="cellIs" dxfId="48" priority="89" stopIfTrue="1" operator="equal">
      <formula>"Passed"</formula>
    </cfRule>
    <cfRule type="cellIs" dxfId="47" priority="90" stopIfTrue="1" operator="equal">
      <formula>"Failed"</formula>
    </cfRule>
  </conditionalFormatting>
  <conditionalFormatting sqref="U94:V101 R94:R101">
    <cfRule type="cellIs" dxfId="46" priority="87" stopIfTrue="1" operator="equal">
      <formula>"Passed"</formula>
    </cfRule>
    <cfRule type="cellIs" dxfId="45" priority="88" stopIfTrue="1" operator="equal">
      <formula>"Failed"</formula>
    </cfRule>
  </conditionalFormatting>
  <conditionalFormatting sqref="AD94:AD101 AN94:AN101 AL94:AL101 AJ94:AJ101 AH94:AH101 AF94:AF101 AP94:AP101 AS94:AS101 AU94:AV101 AX94:AY101 BA94:BD101">
    <cfRule type="cellIs" dxfId="44" priority="85" stopIfTrue="1" operator="equal">
      <formula>"Passed"</formula>
    </cfRule>
    <cfRule type="cellIs" dxfId="43" priority="86" stopIfTrue="1" operator="equal">
      <formula>"Failed"</formula>
    </cfRule>
  </conditionalFormatting>
  <conditionalFormatting sqref="S94:T101">
    <cfRule type="cellIs" dxfId="42" priority="81" stopIfTrue="1" operator="equal">
      <formula>"Passed"</formula>
    </cfRule>
    <cfRule type="cellIs" dxfId="41" priority="82" stopIfTrue="1" operator="equal">
      <formula>"Failed"</formula>
    </cfRule>
  </conditionalFormatting>
  <conditionalFormatting sqref="W94:X101 AA94:AB101">
    <cfRule type="cellIs" dxfId="40" priority="79" stopIfTrue="1" operator="equal">
      <formula>"Passed"</formula>
    </cfRule>
    <cfRule type="cellIs" dxfId="39" priority="80" stopIfTrue="1" operator="equal">
      <formula>"Failed"</formula>
    </cfRule>
  </conditionalFormatting>
  <conditionalFormatting sqref="L94:L101">
    <cfRule type="cellIs" priority="75" stopIfTrue="1" operator="equal">
      <formula>""</formula>
    </cfRule>
    <cfRule type="expression" dxfId="38" priority="76" stopIfTrue="1">
      <formula>L94&lt;TODAY()</formula>
    </cfRule>
    <cfRule type="expression" dxfId="37" priority="77" stopIfTrue="1">
      <formula>L94&lt;(TODAY()+10)</formula>
    </cfRule>
    <cfRule type="expression" dxfId="36" priority="78" stopIfTrue="1">
      <formula>L94&lt;(TODAY()+30)</formula>
    </cfRule>
  </conditionalFormatting>
  <conditionalFormatting sqref="BN7">
    <cfRule type="cellIs" dxfId="35" priority="71" stopIfTrue="1" operator="equal">
      <formula>$DY$46</formula>
    </cfRule>
  </conditionalFormatting>
  <conditionalFormatting sqref="BH7:BH124">
    <cfRule type="expression" dxfId="34" priority="56" stopIfTrue="1">
      <formula>BI7="Released"</formula>
    </cfRule>
  </conditionalFormatting>
  <conditionalFormatting sqref="BI7:BI125">
    <cfRule type="cellIs" dxfId="33" priority="59" stopIfTrue="1" operator="equal">
      <formula>"Released"</formula>
    </cfRule>
  </conditionalFormatting>
  <conditionalFormatting sqref="BH13">
    <cfRule type="expression" dxfId="32" priority="57" stopIfTrue="1">
      <formula>BI7= ""</formula>
    </cfRule>
    <cfRule type="cellIs" priority="60" stopIfTrue="1" operator="equal">
      <formula>0</formula>
    </cfRule>
  </conditionalFormatting>
  <conditionalFormatting sqref="BK12:BK125">
    <cfRule type="cellIs" dxfId="31" priority="52" stopIfTrue="1" operator="equal">
      <formula>"Released"</formula>
    </cfRule>
  </conditionalFormatting>
  <conditionalFormatting sqref="Z7:Z125">
    <cfRule type="cellIs" dxfId="30" priority="49" stopIfTrue="1" operator="equal">
      <formula>"Passed"</formula>
    </cfRule>
    <cfRule type="cellIs" dxfId="29" priority="50" stopIfTrue="1" operator="equal">
      <formula>"Failed"</formula>
    </cfRule>
  </conditionalFormatting>
  <conditionalFormatting sqref="AM8:AM125">
    <cfRule type="cellIs" dxfId="28" priority="37" stopIfTrue="1" operator="equal">
      <formula>"Passed"</formula>
    </cfRule>
    <cfRule type="cellIs" dxfId="27" priority="38" stopIfTrue="1" operator="equal">
      <formula>"Failed"</formula>
    </cfRule>
  </conditionalFormatting>
  <conditionalFormatting sqref="AG8:AG125">
    <cfRule type="cellIs" dxfId="26" priority="21" stopIfTrue="1" operator="equal">
      <formula>"Passed"</formula>
    </cfRule>
    <cfRule type="cellIs" dxfId="25" priority="22" stopIfTrue="1" operator="equal">
      <formula>"Failed"</formula>
    </cfRule>
  </conditionalFormatting>
  <conditionalFormatting sqref="AI7">
    <cfRule type="cellIs" dxfId="24" priority="19" stopIfTrue="1" operator="equal">
      <formula>"Passed"</formula>
    </cfRule>
    <cfRule type="cellIs" dxfId="23" priority="20" stopIfTrue="1" operator="equal">
      <formula>"Failed"</formula>
    </cfRule>
  </conditionalFormatting>
  <conditionalFormatting sqref="AI8:AI125">
    <cfRule type="cellIs" dxfId="22" priority="17" stopIfTrue="1" operator="equal">
      <formula>"Passed"</formula>
    </cfRule>
    <cfRule type="cellIs" dxfId="21" priority="18" stopIfTrue="1" operator="equal">
      <formula>"Failed"</formula>
    </cfRule>
  </conditionalFormatting>
  <conditionalFormatting sqref="AE7">
    <cfRule type="cellIs" dxfId="20" priority="25" stopIfTrue="1" operator="equal">
      <formula>"Passed"</formula>
    </cfRule>
    <cfRule type="cellIs" dxfId="19" priority="26" stopIfTrue="1" operator="equal">
      <formula>"Failed"</formula>
    </cfRule>
  </conditionalFormatting>
  <conditionalFormatting sqref="AG7">
    <cfRule type="cellIs" dxfId="18" priority="23" stopIfTrue="1" operator="equal">
      <formula>"Passed"</formula>
    </cfRule>
    <cfRule type="cellIs" dxfId="17" priority="24" stopIfTrue="1" operator="equal">
      <formula>"Failed"</formula>
    </cfRule>
  </conditionalFormatting>
  <conditionalFormatting sqref="AK7">
    <cfRule type="cellIs" dxfId="16" priority="15" stopIfTrue="1" operator="equal">
      <formula>"Passed"</formula>
    </cfRule>
    <cfRule type="cellIs" dxfId="15" priority="16" stopIfTrue="1" operator="equal">
      <formula>"Failed"</formula>
    </cfRule>
  </conditionalFormatting>
  <conditionalFormatting sqref="AK8:AK125">
    <cfRule type="cellIs" dxfId="14" priority="13" stopIfTrue="1" operator="equal">
      <formula>"Passed"</formula>
    </cfRule>
    <cfRule type="cellIs" dxfId="13" priority="14" stopIfTrue="1" operator="equal">
      <formula>"Failed"</formula>
    </cfRule>
  </conditionalFormatting>
  <conditionalFormatting sqref="AM7">
    <cfRule type="cellIs" dxfId="12" priority="11" stopIfTrue="1" operator="equal">
      <formula>"Passed"</formula>
    </cfRule>
    <cfRule type="cellIs" dxfId="11" priority="12" stopIfTrue="1" operator="equal">
      <formula>"Failed"</formula>
    </cfRule>
  </conditionalFormatting>
  <conditionalFormatting sqref="AO7">
    <cfRule type="cellIs" dxfId="10" priority="9" stopIfTrue="1" operator="equal">
      <formula>"Passed"</formula>
    </cfRule>
    <cfRule type="cellIs" dxfId="9" priority="10" stopIfTrue="1" operator="equal">
      <formula>"Failed"</formula>
    </cfRule>
  </conditionalFormatting>
  <conditionalFormatting sqref="AO8:AO125">
    <cfRule type="cellIs" dxfId="8" priority="7" stopIfTrue="1" operator="equal">
      <formula>"Passed"</formula>
    </cfRule>
    <cfRule type="cellIs" dxfId="7" priority="8" stopIfTrue="1" operator="equal">
      <formula>"Failed"</formula>
    </cfRule>
  </conditionalFormatting>
  <conditionalFormatting sqref="AR7">
    <cfRule type="cellIs" dxfId="6" priority="5" stopIfTrue="1" operator="equal">
      <formula>"Passed"</formula>
    </cfRule>
    <cfRule type="cellIs" dxfId="5" priority="6" stopIfTrue="1" operator="equal">
      <formula>"Failed"</formula>
    </cfRule>
  </conditionalFormatting>
  <conditionalFormatting sqref="AR8:AR125">
    <cfRule type="cellIs" dxfId="4" priority="3" stopIfTrue="1" operator="equal">
      <formula>"Passed"</formula>
    </cfRule>
    <cfRule type="cellIs" dxfId="3" priority="4" stopIfTrue="1" operator="equal">
      <formula>"Failed"</formula>
    </cfRule>
  </conditionalFormatting>
  <conditionalFormatting sqref="BE10:BE125">
    <cfRule type="cellIs" dxfId="2" priority="1" stopIfTrue="1" operator="equal">
      <formula>"Passed"</formula>
    </cfRule>
    <cfRule type="cellIs" dxfId="1" priority="2" stopIfTrue="1" operator="equal">
      <formula>"Failed"</formula>
    </cfRule>
  </conditionalFormatting>
  <dataValidations count="9">
    <dataValidation type="list" allowBlank="1" showInputMessage="1" showErrorMessage="1" sqref="S7:S27 BE7:BE9 BF7:BF30 U7:U11 U13:U26 AM8:AM125">
      <formula1>$BR$7:$BR$29</formula1>
    </dataValidation>
    <dataValidation type="list" allowBlank="1" showInputMessage="1" showErrorMessage="1" sqref="M7:M125">
      <formula1>$DX$38:$DX$40</formula1>
    </dataValidation>
    <dataValidation type="list" allowBlank="1" showInputMessage="1" showErrorMessage="1" sqref="BI7:BI125 BN7:BN125 BV7:BV125 BS7:BS125 BP7:BP125 BK7:BK125">
      <formula1>$DY$38:$DY$46</formula1>
    </dataValidation>
    <dataValidation type="list" allowBlank="1" showInputMessage="1" showErrorMessage="1" sqref="CP7 CZ7:CZ125 CX7 CV7:CV93 CR7:CR125">
      <formula1>$EG$40:$EG$45</formula1>
    </dataValidation>
    <dataValidation type="list" allowBlank="1" showInputMessage="1" showErrorMessage="1" sqref="O7:O125 BE10:BE125 AO7:AO125 AC7:AC125 S28:S125 U27:U125 W7:W125 Q7:Q125 AR7:AR125 BF31:BF125 Z7:Z125 U12 AG7:AG125 AE7:AE125 AI7:AI125 AK7:AK125 AM7">
      <formula1>$EE$41:$EE$57</formula1>
    </dataValidation>
    <dataValidation type="list" allowBlank="1" showInputMessage="1" showErrorMessage="1" sqref="DF7:DF125 DH7:DH125 DJ7:DJ125 DL7:DL125 DN7:DN125">
      <formula1>$EI$41:$EI$43</formula1>
    </dataValidation>
    <dataValidation type="list" allowBlank="1" showInputMessage="1" showErrorMessage="1" sqref="Y7:Y18 Y20:Y125">
      <formula1>$EJ$41:$EJ$44</formula1>
    </dataValidation>
    <dataValidation type="list" allowBlank="1" showInputMessage="1" showErrorMessage="1" sqref="Y19">
      <formula1>$EJ$41:$EJ$45</formula1>
    </dataValidation>
    <dataValidation type="list" allowBlank="1" showInputMessage="1" showErrorMessage="1" sqref="AZ7:AZ125 AT7:AT125 AW7:AW125 AQ7:AQ125">
      <formula1>$EK$41:$EK$49</formula1>
    </dataValidation>
  </dataValidations>
  <pageMargins left="0" right="0" top="0.74803149606299213" bottom="0.74803149606299213" header="0.31496062992125984" footer="0.31496062992125984"/>
  <pageSetup paperSize="8" scale="81" fitToHeight="0" orientation="portrait" copies="2" r:id="rId1"/>
  <headerFooter>
    <oddHeader>&amp;C&amp;"-,Gras italique"&amp;24JALONS PROGRAMMES</oddHead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BK125"/>
  <sheetViews>
    <sheetView zoomScale="70" zoomScaleNormal="70" workbookViewId="0">
      <pane xSplit="1" ySplit="6" topLeftCell="B7" activePane="bottomRight" state="frozen"/>
      <selection activeCell="I9" sqref="I9"/>
      <selection pane="topRight" activeCell="I9" sqref="I9"/>
      <selection pane="bottomLeft" activeCell="I9" sqref="I9"/>
      <selection pane="bottomRight" activeCell="I40" sqref="I40"/>
    </sheetView>
  </sheetViews>
  <sheetFormatPr baseColWidth="10" defaultRowHeight="15"/>
  <cols>
    <col min="1" max="1" width="14.28515625" customWidth="1"/>
    <col min="2" max="2" width="17.140625" bestFit="1" customWidth="1"/>
    <col min="3" max="3" width="13.85546875" customWidth="1"/>
    <col min="4" max="11" width="13.85546875" bestFit="1" customWidth="1"/>
    <col min="12" max="13" width="14.7109375" hidden="1" customWidth="1"/>
    <col min="14" max="14" width="14.28515625" hidden="1" customWidth="1"/>
    <col min="15" max="24" width="12.7109375" hidden="1" customWidth="1"/>
    <col min="25" max="26" width="0" hidden="1" customWidth="1"/>
    <col min="27" max="27" width="11.42578125" hidden="1" customWidth="1"/>
    <col min="28" max="29" width="12.7109375" hidden="1" customWidth="1"/>
    <col min="30" max="34" width="12.7109375" customWidth="1"/>
    <col min="37" max="37" width="11.42578125" customWidth="1"/>
    <col min="38" max="39" width="12.7109375" customWidth="1"/>
    <col min="40" max="47" width="13.85546875" bestFit="1" customWidth="1"/>
    <col min="48" max="49" width="12.7109375" style="66" customWidth="1"/>
    <col min="50" max="63" width="11.42578125" customWidth="1"/>
  </cols>
  <sheetData>
    <row r="1" spans="1:63" ht="26.25">
      <c r="A1" s="22"/>
      <c r="B1" s="22" t="s">
        <v>240</v>
      </c>
      <c r="C1" s="22"/>
      <c r="D1" s="291">
        <v>42294</v>
      </c>
      <c r="E1" s="291"/>
      <c r="F1" s="22"/>
      <c r="G1" s="22"/>
      <c r="H1" s="22"/>
      <c r="I1" s="22"/>
      <c r="J1" s="22"/>
      <c r="K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62"/>
      <c r="AW1" s="62"/>
    </row>
    <row r="2" spans="1:63" s="2" customFormat="1" ht="15" customHeight="1">
      <c r="A2" s="1"/>
      <c r="B2" s="1"/>
      <c r="C2" s="1"/>
      <c r="D2" s="1"/>
      <c r="E2" s="1"/>
      <c r="F2" s="1"/>
      <c r="G2" s="1"/>
      <c r="H2" s="1"/>
      <c r="I2" s="1"/>
      <c r="J2" s="1"/>
      <c r="K2" s="1"/>
      <c r="L2" s="1"/>
      <c r="M2" s="1"/>
      <c r="N2" s="1"/>
      <c r="O2" s="3"/>
      <c r="P2" s="4"/>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63"/>
      <c r="AW2" s="63"/>
    </row>
    <row r="3" spans="1:63" ht="15" customHeight="1">
      <c r="A3" s="73"/>
      <c r="B3" s="292" t="s">
        <v>241</v>
      </c>
      <c r="C3" s="293"/>
      <c r="D3" s="293"/>
      <c r="E3" s="293"/>
      <c r="F3" s="293"/>
      <c r="G3" s="293"/>
      <c r="H3" s="293"/>
      <c r="I3" s="293"/>
      <c r="J3" s="293"/>
      <c r="K3" s="294"/>
      <c r="L3" s="301" t="s">
        <v>214</v>
      </c>
      <c r="M3" s="301"/>
      <c r="N3" s="301"/>
      <c r="O3" s="301"/>
      <c r="P3" s="301"/>
      <c r="Q3" s="301"/>
      <c r="R3" s="301"/>
      <c r="S3" s="301"/>
      <c r="T3" s="67"/>
      <c r="U3" s="67"/>
      <c r="V3" s="304" t="s">
        <v>216</v>
      </c>
      <c r="W3" s="304"/>
      <c r="X3" s="304"/>
      <c r="Y3" s="304"/>
      <c r="Z3" s="304"/>
      <c r="AA3" s="304"/>
      <c r="AB3" s="304"/>
      <c r="AC3" s="304"/>
      <c r="AD3" s="285" t="s">
        <v>219</v>
      </c>
      <c r="AE3" s="286"/>
      <c r="AF3" s="286"/>
      <c r="AG3" s="286"/>
      <c r="AH3" s="286"/>
      <c r="AI3" s="286"/>
      <c r="AJ3" s="286"/>
      <c r="AK3" s="286"/>
      <c r="AL3" s="286"/>
      <c r="AM3" s="287"/>
      <c r="AN3" s="298" t="s">
        <v>234</v>
      </c>
      <c r="AO3" s="298"/>
      <c r="AP3" s="298"/>
      <c r="AQ3" s="298"/>
      <c r="AR3" s="298"/>
      <c r="AS3" s="298"/>
      <c r="AT3" s="298"/>
      <c r="AU3" s="298"/>
      <c r="AV3" s="64"/>
      <c r="AW3" s="64"/>
      <c r="BA3" s="41"/>
      <c r="BB3" s="41"/>
      <c r="BC3" s="41"/>
      <c r="BD3" s="41"/>
      <c r="BE3" s="41"/>
      <c r="BF3" s="41"/>
      <c r="BG3" s="41"/>
      <c r="BH3" s="41"/>
    </row>
    <row r="4" spans="1:63" ht="15" customHeight="1">
      <c r="A4" s="271" t="s">
        <v>0</v>
      </c>
      <c r="B4" s="295" t="s">
        <v>212</v>
      </c>
      <c r="C4" s="295" t="s">
        <v>215</v>
      </c>
      <c r="D4" s="288" t="s">
        <v>39</v>
      </c>
      <c r="E4" s="288" t="s">
        <v>2</v>
      </c>
      <c r="F4" s="288" t="s">
        <v>1</v>
      </c>
      <c r="G4" s="288" t="s">
        <v>4</v>
      </c>
      <c r="H4" s="288" t="s">
        <v>3</v>
      </c>
      <c r="I4" s="288" t="s">
        <v>40</v>
      </c>
      <c r="J4" s="288" t="s">
        <v>217</v>
      </c>
      <c r="K4" s="289" t="s">
        <v>236</v>
      </c>
      <c r="L4" s="290" t="s">
        <v>212</v>
      </c>
      <c r="M4" s="290" t="s">
        <v>215</v>
      </c>
      <c r="N4" s="290" t="s">
        <v>39</v>
      </c>
      <c r="O4" s="290" t="s">
        <v>2</v>
      </c>
      <c r="P4" s="290" t="s">
        <v>1</v>
      </c>
      <c r="Q4" s="290" t="s">
        <v>4</v>
      </c>
      <c r="R4" s="290" t="s">
        <v>3</v>
      </c>
      <c r="S4" s="290" t="s">
        <v>40</v>
      </c>
      <c r="T4" s="290" t="s">
        <v>217</v>
      </c>
      <c r="U4" s="302" t="s">
        <v>218</v>
      </c>
      <c r="V4" s="288" t="s">
        <v>39</v>
      </c>
      <c r="W4" s="288" t="s">
        <v>2</v>
      </c>
      <c r="X4" s="288" t="s">
        <v>1</v>
      </c>
      <c r="Y4" s="288" t="s">
        <v>4</v>
      </c>
      <c r="Z4" s="288" t="s">
        <v>3</v>
      </c>
      <c r="AA4" s="288" t="s">
        <v>40</v>
      </c>
      <c r="AB4" s="288" t="s">
        <v>217</v>
      </c>
      <c r="AC4" s="289" t="s">
        <v>218</v>
      </c>
      <c r="AD4" s="284" t="s">
        <v>212</v>
      </c>
      <c r="AE4" s="284" t="s">
        <v>215</v>
      </c>
      <c r="AF4" s="284" t="s">
        <v>39</v>
      </c>
      <c r="AG4" s="284" t="s">
        <v>2</v>
      </c>
      <c r="AH4" s="284" t="s">
        <v>1</v>
      </c>
      <c r="AI4" s="284" t="s">
        <v>4</v>
      </c>
      <c r="AJ4" s="284" t="s">
        <v>3</v>
      </c>
      <c r="AK4" s="284" t="s">
        <v>40</v>
      </c>
      <c r="AL4" s="284" t="s">
        <v>217</v>
      </c>
      <c r="AM4" s="303" t="s">
        <v>218</v>
      </c>
      <c r="AN4" s="299" t="s">
        <v>39</v>
      </c>
      <c r="AO4" s="299" t="s">
        <v>2</v>
      </c>
      <c r="AP4" s="299" t="s">
        <v>1</v>
      </c>
      <c r="AQ4" s="299" t="s">
        <v>4</v>
      </c>
      <c r="AR4" s="299" t="s">
        <v>3</v>
      </c>
      <c r="AS4" s="299" t="s">
        <v>40</v>
      </c>
      <c r="AT4" s="299" t="s">
        <v>217</v>
      </c>
      <c r="AU4" s="300" t="s">
        <v>236</v>
      </c>
      <c r="AV4" s="65"/>
      <c r="AW4" s="65"/>
      <c r="BA4" s="41"/>
      <c r="BB4" s="41"/>
      <c r="BC4" s="41"/>
      <c r="BD4" s="41"/>
      <c r="BE4" s="41"/>
      <c r="BF4" s="41"/>
      <c r="BG4" s="41"/>
      <c r="BH4" s="41"/>
    </row>
    <row r="5" spans="1:63" ht="30" customHeight="1">
      <c r="A5" s="271"/>
      <c r="B5" s="296"/>
      <c r="C5" s="296"/>
      <c r="D5" s="288"/>
      <c r="E5" s="288"/>
      <c r="F5" s="288"/>
      <c r="G5" s="288"/>
      <c r="H5" s="288"/>
      <c r="I5" s="288"/>
      <c r="J5" s="288"/>
      <c r="K5" s="288"/>
      <c r="L5" s="290"/>
      <c r="M5" s="290"/>
      <c r="N5" s="290"/>
      <c r="O5" s="290"/>
      <c r="P5" s="290"/>
      <c r="Q5" s="290"/>
      <c r="R5" s="290"/>
      <c r="S5" s="290"/>
      <c r="T5" s="290"/>
      <c r="U5" s="302"/>
      <c r="V5" s="288"/>
      <c r="W5" s="288"/>
      <c r="X5" s="288"/>
      <c r="Y5" s="288"/>
      <c r="Z5" s="288"/>
      <c r="AA5" s="288"/>
      <c r="AB5" s="288"/>
      <c r="AC5" s="289"/>
      <c r="AD5" s="284"/>
      <c r="AE5" s="284"/>
      <c r="AF5" s="284"/>
      <c r="AG5" s="284"/>
      <c r="AH5" s="284"/>
      <c r="AI5" s="284"/>
      <c r="AJ5" s="284"/>
      <c r="AK5" s="284"/>
      <c r="AL5" s="284"/>
      <c r="AM5" s="303"/>
      <c r="AN5" s="299"/>
      <c r="AO5" s="299"/>
      <c r="AP5" s="299"/>
      <c r="AQ5" s="299"/>
      <c r="AR5" s="299"/>
      <c r="AS5" s="299"/>
      <c r="AT5" s="299"/>
      <c r="AU5" s="299"/>
      <c r="AV5" s="65"/>
      <c r="AW5" s="65"/>
      <c r="BA5" s="41"/>
      <c r="BB5" s="41"/>
      <c r="BC5" s="41"/>
      <c r="BD5" s="41"/>
      <c r="BE5" s="41"/>
      <c r="BF5" s="41"/>
      <c r="BG5" s="41"/>
      <c r="BH5" s="41"/>
    </row>
    <row r="6" spans="1:63" ht="15.75">
      <c r="A6" s="271"/>
      <c r="B6" s="297"/>
      <c r="C6" s="297"/>
      <c r="D6" s="288"/>
      <c r="E6" s="288"/>
      <c r="F6" s="288"/>
      <c r="G6" s="288"/>
      <c r="H6" s="288"/>
      <c r="I6" s="288"/>
      <c r="J6" s="288"/>
      <c r="K6" s="288"/>
      <c r="L6" s="290"/>
      <c r="M6" s="290"/>
      <c r="N6" s="290"/>
      <c r="O6" s="290"/>
      <c r="P6" s="290"/>
      <c r="Q6" s="290"/>
      <c r="R6" s="290"/>
      <c r="S6" s="290"/>
      <c r="T6" s="290"/>
      <c r="U6" s="302"/>
      <c r="V6" s="288"/>
      <c r="W6" s="288"/>
      <c r="X6" s="288"/>
      <c r="Y6" s="288"/>
      <c r="Z6" s="288"/>
      <c r="AA6" s="288"/>
      <c r="AB6" s="288"/>
      <c r="AC6" s="289"/>
      <c r="AD6" s="284"/>
      <c r="AE6" s="284"/>
      <c r="AF6" s="284"/>
      <c r="AG6" s="284"/>
      <c r="AH6" s="284"/>
      <c r="AI6" s="284"/>
      <c r="AJ6" s="284"/>
      <c r="AK6" s="284"/>
      <c r="AL6" s="284"/>
      <c r="AM6" s="303"/>
      <c r="AN6" s="299"/>
      <c r="AO6" s="299"/>
      <c r="AP6" s="299"/>
      <c r="AQ6" s="299"/>
      <c r="AR6" s="299"/>
      <c r="AS6" s="299"/>
      <c r="AT6" s="299"/>
      <c r="AU6" s="299"/>
      <c r="AV6" s="307" t="s">
        <v>39</v>
      </c>
      <c r="AW6" s="307"/>
      <c r="AX6" s="306" t="s">
        <v>2</v>
      </c>
      <c r="AY6" s="306"/>
      <c r="AZ6" s="306" t="s">
        <v>1</v>
      </c>
      <c r="BA6" s="306"/>
      <c r="BB6" s="305" t="s">
        <v>4</v>
      </c>
      <c r="BC6" s="305"/>
      <c r="BD6" s="305" t="s">
        <v>235</v>
      </c>
      <c r="BE6" s="305"/>
      <c r="BF6" s="305" t="s">
        <v>40</v>
      </c>
      <c r="BG6" s="305"/>
      <c r="BH6" s="305" t="s">
        <v>217</v>
      </c>
      <c r="BI6" s="305"/>
      <c r="BJ6" s="306" t="s">
        <v>218</v>
      </c>
      <c r="BK6" s="306"/>
    </row>
    <row r="7" spans="1:63">
      <c r="A7" s="42" t="s">
        <v>187</v>
      </c>
      <c r="B7" s="74">
        <f t="shared" ref="B7:B38" si="0">IF($A7=0,"",IF(ISNA(L7),AD7,L7))</f>
        <v>0</v>
      </c>
      <c r="C7" s="74">
        <f t="shared" ref="C7:C38" si="1">IF($A7=0,"",IF(ISNA(M7),AE7,M7))</f>
        <v>0</v>
      </c>
      <c r="D7" s="7">
        <v>41989</v>
      </c>
      <c r="E7" s="7">
        <v>42160</v>
      </c>
      <c r="F7" s="7">
        <v>42290</v>
      </c>
      <c r="G7" s="7">
        <v>42414</v>
      </c>
      <c r="H7" s="59">
        <v>42444</v>
      </c>
      <c r="I7" s="60" t="s">
        <v>242</v>
      </c>
      <c r="J7" s="59">
        <v>42399</v>
      </c>
      <c r="K7" s="59">
        <v>42324</v>
      </c>
      <c r="L7" s="57" t="e">
        <f>IF($A7="","",INDEX([1]Portfolio!$A$3:$AU$63,MATCH($A7,[1]Portfolio!$B$3:$B$63,0),3))</f>
        <v>#N/A</v>
      </c>
      <c r="M7" s="57" t="e">
        <f>IF($A7="","",INDEX([1]Portfolio!$A$3:$AU$63,MATCH($A7,[1]Portfolio!$B$3:$B$63,0),5))</f>
        <v>#N/A</v>
      </c>
      <c r="N7" s="6" t="e">
        <f>IF($A7="","",INDEX([1]Portfolio!$A$3:$AU$63,MATCH($A7,[1]Portfolio!$B$3:$B$63,0),29))</f>
        <v>#N/A</v>
      </c>
      <c r="O7" s="6" t="e">
        <f>IF($A7="","",INDEX([1]Portfolio!$A$3:$AU$63,MATCH($A7,[1]Portfolio!$B$3:$B$63,0),32))</f>
        <v>#N/A</v>
      </c>
      <c r="P7" s="7" t="e">
        <f>IF($A7="","",INDEX([1]Portfolio!$A$3:$AU$63,MATCH($A7,[1]Portfolio!$B$3:$B$63,0),35))</f>
        <v>#N/A</v>
      </c>
      <c r="Q7" s="7" t="e">
        <f>IF($A7="","",INDEX([1]Portfolio!$A$3:$AU$63,MATCH($A7,[1]Portfolio!$B$3:$B$63,0),38))</f>
        <v>#N/A</v>
      </c>
      <c r="R7" s="7" t="e">
        <f>IF($A7="","",INDEX([1]Portfolio!$A$3:$AU$63,MATCH($A7,[1]Portfolio!$B$3:$B$63,0),42))</f>
        <v>#N/A</v>
      </c>
      <c r="S7" s="7" t="e">
        <f>IF($A7="","",INDEX([1]Portfolio!$A$3:$AU$63,MATCH($A7,[1]Portfolio!$B$3:$B$63,0),43))</f>
        <v>#N/A</v>
      </c>
      <c r="T7" s="7" t="e">
        <f>IF($A7="","",INDEX([1]Portfolio!$A$3:$AU$63,MATCH($A7,[1]Portfolio!$B$3:$B$63,0),37))</f>
        <v>#N/A</v>
      </c>
      <c r="U7" s="7" t="e">
        <f>IF($A7="","",INDEX([1]Portfolio!$A$3:$AU$63,MATCH($A7,[1]Portfolio!$B$3:$B$63,0),36))</f>
        <v>#N/A</v>
      </c>
      <c r="V7" s="7">
        <f>IF($A7="","",(INDEX([2]Programmesjalons!$A$4:$AH$140,MATCH($A7,[2]Programmesjalons!$A$4:$A$140,0),8)))</f>
        <v>41989</v>
      </c>
      <c r="W7" s="7">
        <f>IF($A7="","",(INDEX([2]Programmesjalons!$A$4:$AH$140,MATCH($A7,[2]Programmesjalons!$A$4:$A$140,0),12)))</f>
        <v>42160</v>
      </c>
      <c r="X7" s="7">
        <f>IF($A7="","",(INDEX([2]Programmesjalons!$A$4:$AH$140,MATCH($A7,[2]Programmesjalons!$A$4:$A$140,0),16)))</f>
        <v>42290</v>
      </c>
      <c r="Y7" s="7">
        <f>IF($A7="","",(INDEX([2]Programmesjalons!$A$4:$AH$140,MATCH($A7,[2]Programmesjalons!$A$4:$A$140,0),30)))</f>
        <v>42414</v>
      </c>
      <c r="Z7" s="59">
        <f>IF($A7="","",(INDEX([2]Programmesjalons!$A$4:$AH$140,MATCH($A7,[2]Programmesjalons!$A$4:$A$140,0),32)))</f>
        <v>42444</v>
      </c>
      <c r="AA7" s="60">
        <f>IF($A7="","",(INDEX([2]Programmesjalons!$A$4:$AH$140,MATCH($A7,[2]Programmesjalons!$A$4:$A$140,0),34)))</f>
        <v>0</v>
      </c>
      <c r="AB7" s="59">
        <f>IF($A7="","",(INDEX([2]Programmesjalons!$A$4:$AH$140,MATCH($A7,[2]Programmesjalons!$A$4:$A$140,0),26)))</f>
        <v>42399</v>
      </c>
      <c r="AC7" s="59">
        <f>IF($A7="","",(INDEX([2]Programmesjalons!$A$4:$AH$140,MATCH($A7,[2]Programmesjalons!$A$4:$A$140,0),18)))</f>
        <v>42324</v>
      </c>
      <c r="AD7" s="68"/>
      <c r="AE7" s="68"/>
      <c r="AF7" s="68"/>
      <c r="AG7" s="68"/>
      <c r="AH7" s="68"/>
      <c r="AI7" s="68"/>
      <c r="AJ7" s="69"/>
      <c r="AK7" s="70"/>
      <c r="AL7" s="69"/>
      <c r="AM7" s="69"/>
      <c r="AN7" s="7">
        <f>IF($A7=0,"",IF(AF7&lt;&gt;0,IF(AV7=0,AF7,MIN(AF7,AV7)),IF(AW7=0,"manque date",AW7)))</f>
        <v>41989</v>
      </c>
      <c r="AO7" s="7">
        <f>IF($A7=0,"",IF(AG7&lt;&gt;0,IF(AX7=0,AG7,MIN(AG7,AX7)),IF(AY7=0,"manque date",AY7)))</f>
        <v>42160</v>
      </c>
      <c r="AP7" s="7">
        <f>IF($A7=0,"",IF(AH7&lt;&gt;0,IF(AZ7=0,AH7,MIN(AH7,AZ7)),IF(BA7=0,"manque date",BA7)))</f>
        <v>42290</v>
      </c>
      <c r="AQ7" s="7">
        <f>IF($A7=0,"",IF(AI7&lt;&gt;0,IF(BB7=0,AI7,MIN(AI7,BB7)),IF(BC7=0,"manque date",BC7)))</f>
        <v>42414</v>
      </c>
      <c r="AR7" s="59">
        <f>IF($A7=0,"",IF(AJ7&lt;&gt;0,IF(BD7=0,AJ7,MIN(AJ7,BD7)),IF(BE7=0,"manque date",BE7)))</f>
        <v>42444</v>
      </c>
      <c r="AS7" s="60" t="str">
        <f>IF($A7=0,"",IF(AK7&lt;&gt;0,IF(BF7=0,AK7,MIN(AK7,BF7)),IF(BG7=0,"manque date",BG7)))</f>
        <v>manque date</v>
      </c>
      <c r="AT7" s="59">
        <f>IF($A7=0,"",IF(AL7&lt;&gt;0,IF(BH7=0,AL7,MIN(AL7,BH7)),IF(BI7=0,"manque date",BI7)))</f>
        <v>42399</v>
      </c>
      <c r="AU7" s="59">
        <f>IF($A7=0,"",IF(AM7&lt;&gt;0,IF(BJ7=0,AM7,MIN(AM7,BJ7)),IF(BK7=0,"manque date",BK7)))</f>
        <v>42324</v>
      </c>
      <c r="AV7" s="76">
        <f>IF(AND(OR(ISNA(N7),ISTEXT(N7)),OR(ISNA(V7),ISTEXT(V7))),AF7,IF(OR(ISNA(N7),ISTEXT(N7)),IF(V7=0,AF7,MIN(V7,AF7)),IF(OR(ISNA(V7),ISTEXT(V7)),IF(N7=0,AF7,MIN(N7,AF7)),IF(N7=0,IF(V7=0,AF7,MIN(V7,AF7)),MIN(N7,V7,AF7)))))</f>
        <v>41989</v>
      </c>
      <c r="AW7" s="76">
        <f>IF(AND(OR(ISNA(N7),ISTEXT(N7)),OR(ISNA(V7),ISTEXT(V7))),"manque date",IF(OR(ISNA(N7),ISTEXT(N7)),V7,IF(OR(ISNA(V7),ISTEXT(V7)),N7,IF(N7=0,V7,IF(V7=0,N7,MIN(N7,V7))))))</f>
        <v>41989</v>
      </c>
      <c r="AX7" s="76">
        <f>IF(AND(OR(ISNA(O7),ISTEXT(O7)),OR(ISNA(W7),ISTEXT(W7))),AG7,IF(OR(ISNA(O7),ISTEXT(O7)),IF(W7=0,AG7,MIN(W7,AG7)),IF(OR(ISNA(W7),ISTEXT(W7)),IF(O7=0,AG7,MIN(O7,AG7)),IF(O7=0,IF(W7=0,AG7,MIN(W7,AG7)),MIN(O7,W7,AG7)))))</f>
        <v>42160</v>
      </c>
      <c r="AY7" s="76">
        <f>IF(AND(OR(ISNA(O7),ISTEXT(O7)),OR(ISNA(W7),ISTEXT(W7))),"manque date",IF(OR(ISNA(O7),ISTEXT(O7)),W7,IF(OR(ISNA(W7),ISTEXT(W7)),O7,IF(O7=0,W7,IF(W7=0,O7,MIN(O7,W7))))))</f>
        <v>42160</v>
      </c>
      <c r="AZ7" s="76">
        <f>IF(AND(OR(ISNA(P7),ISTEXT(P7)),OR(ISNA(X7),ISTEXT(X7))),AH7,IF(OR(ISNA(P7),ISTEXT(P7)),IF(X7=0,AH7,MIN(X7,AH7)),IF(OR(ISNA(X7),ISTEXT(X7)),IF(P7=0,AH7,MIN(P7,AH7)),IF(P7=0,IF(X7=0,AH7,MIN(X7,AH7)),MIN(P7,X7,AH7)))))</f>
        <v>42290</v>
      </c>
      <c r="BA7" s="76">
        <f>IF(AND(OR(ISNA(P7),ISTEXT(P7)),OR(ISNA(X7),ISTEXT(X7))),"manque date",IF(OR(ISNA(P7),ISTEXT(P7)),X7,IF(OR(ISNA(X7),ISTEXT(X7)),P7,IF(P7=0,X7,IF(X7=0,P7,MIN(P7,X7))))))</f>
        <v>42290</v>
      </c>
      <c r="BB7" s="76">
        <f>IF(AND(OR(ISNA(Q7),ISTEXT(Q7)),OR(ISNA(Y7),ISTEXT(Y7))),AI7,IF(OR(ISNA(Q7),ISTEXT(Q7)),IF(Y7=0,AI7,MIN(Y7,AI7)),IF(OR(ISNA(Y7),ISTEXT(Y7)),IF(Q7=0,AI7,MIN(Q7,AI7)),IF(Q7=0,IF(Y7=0,AI7,MIN(Y7,AI7)),MIN(Q7,Y7,AI7)))))</f>
        <v>42414</v>
      </c>
      <c r="BC7" s="76">
        <f>IF(AND(OR(ISNA(Q7),ISTEXT(Q7)),OR(ISNA(Y7),ISTEXT(Y7))),"manque date",IF(OR(ISNA(Q7),ISTEXT(Q7)),Y7,IF(OR(ISNA(Y7),ISTEXT(Y7)),Q7,IF(Q7=0,Y7,IF(Y7=0,Q7,MIN(Q7,Y7))))))</f>
        <v>42414</v>
      </c>
      <c r="BD7" s="76">
        <f>IF(AND(OR(ISNA(S7),ISTEXT(S7)),OR(ISNA(Z7),ISTEXT(Z7))),AJ7,IF(OR(ISNA(S7),ISTEXT(S7)),IF(Z7=0,AJ7,MIN(Z7,AJ7)),IF(OR(ISNA(Z7),ISTEXT(Z7)),IF(S7=0,AJ7,MIN(S7,AJ7)),IF(S7=0,IF(Z7=0,AJ7,MIN(Z7,AJ7)),MIN(S7,Z7,AJ7)))))</f>
        <v>42444</v>
      </c>
      <c r="BE7" s="76">
        <f>IF(AND(OR(ISNA(R7),ISTEXT(R7)),OR(ISNA(Z7),ISTEXT(Z7))),"manque date",IF(OR(ISNA(R7),ISTEXT(R7)),Z7,IF(OR(ISNA(Z7),ISTEXT(Z7)),R7,IF(R7=0,Z7,IF(Z7=0,R7,MIN(R7,Z7))))))</f>
        <v>42444</v>
      </c>
      <c r="BF7" s="76">
        <f>IF(AND(OR(ISNA(S7),ISTEXT(S7)),OR(ISNA(AA7),ISTEXT(AA7))),AK7,IF(OR(ISNA(S7),ISTEXT(S7)),IF(AA7=0,AK7,MIN(AA7,AK7)),IF(OR(ISNA(AA7),ISTEXT(AA7)),IF(S7=0,AK7,MIN(S7,AK7)),IF(S7=0,IF(AA7=0,AK7,MIN(AA7,AK7)),MIN(S7,AA7,AK7)))))</f>
        <v>0</v>
      </c>
      <c r="BG7" s="76">
        <f>IF(AND(OR(ISNA(S7),ISTEXT(S7)),OR(ISNA(AA7),ISTEXT(AA7))),"manque date",IF(OR(ISNA(S7),ISTEXT(S7)),AA7,IF(OR(ISNA(AA7),ISTEXT(AA7)),S7,IF(S7=0,AA7,IF(AA7=0,S7,MIN(S7,AA7))))))</f>
        <v>0</v>
      </c>
      <c r="BH7" s="76">
        <f>IF(AND(OR(ISNA(T7),ISTEXT(T7)),OR(ISNA(AB7),ISTEXT(AB7))),AL7,IF(OR(ISNA(T7),ISTEXT(T7)),IF(AB7=0,AL7,MIN(AB7,AL7)),IF(OR(ISNA(AB7),ISTEXT(AB7)),IF(T7=0,AL7,MIN(T7,AL7)),IF(T7=0,IF(AB7=0,AL7,MIN(AB7,AL7)),MIN(T7,AB7,AL7)))))</f>
        <v>42399</v>
      </c>
      <c r="BI7" s="76">
        <f>IF(AND(OR(ISNA(T7),ISTEXT(T7)),OR(ISNA(AB7),ISTEXT(AB7))),"manque date",IF(OR(ISNA(T7),ISTEXT(T7)),AB7,IF(OR(ISNA(AB7),ISTEXT(AB7)),T7,IF(T7=0,AB7,IF(AB7=0,T7,MIN(T7,AB7))))))</f>
        <v>42399</v>
      </c>
      <c r="BJ7" s="76">
        <f>IF(AND(OR(ISNA(U7),ISTEXT(U7)),OR(ISNA(AC7),ISTEXT(AC7))),AM7,IF(OR(ISNA(U7),ISTEXT(U7)),IF(AC7=0,AM7,MIN(AC7,AM7)),IF(OR(ISNA(AC7),ISTEXT(AC7)),IF(U7=0,AM7,MIN(U7,AM7)),IF(U7=0,IF(AC7=0,AM7,MIN(AC7,AM7)),MIN(U7,AC7,AM7)))))</f>
        <v>42324</v>
      </c>
      <c r="BK7" s="76">
        <f>IF(AND(OR(ISNA(U7),ISTEXT(U7)),OR(ISNA(AC7),ISTEXT(AC7))),"manque date",IF(OR(ISNA(U7),ISTEXT(U7)),AC7,IF(OR(ISNA(AC7),ISTEXT(AC7)),U7,IF(U7=0,AC7,IF(AC7=0,U7,MIN(U7,AC7))))))</f>
        <v>42324</v>
      </c>
    </row>
    <row r="8" spans="1:63" ht="15.75">
      <c r="A8" s="25" t="s">
        <v>78</v>
      </c>
      <c r="B8" s="74">
        <f t="shared" si="0"/>
        <v>0</v>
      </c>
      <c r="C8" s="74">
        <f t="shared" si="1"/>
        <v>0</v>
      </c>
      <c r="D8" s="7" t="s">
        <v>242</v>
      </c>
      <c r="E8" s="7" t="s">
        <v>242</v>
      </c>
      <c r="F8" s="7" t="s">
        <v>242</v>
      </c>
      <c r="G8" s="7" t="s">
        <v>242</v>
      </c>
      <c r="H8" s="59" t="s">
        <v>242</v>
      </c>
      <c r="I8" s="60" t="s">
        <v>242</v>
      </c>
      <c r="J8" s="59" t="s">
        <v>242</v>
      </c>
      <c r="K8" s="59" t="s">
        <v>242</v>
      </c>
      <c r="L8" s="57" t="e">
        <f>IF($A8="","",INDEX([1]Portfolio!$A$3:$AU$63,MATCH($A8,[1]Portfolio!$B$3:$B$63,0),3))</f>
        <v>#N/A</v>
      </c>
      <c r="M8" s="57" t="e">
        <f>IF($A8="","",INDEX([1]Portfolio!$A$3:$AU$63,MATCH($A8,[1]Portfolio!$B$3:$B$63,0),5))</f>
        <v>#N/A</v>
      </c>
      <c r="N8" s="6" t="e">
        <f>IF($A8="","",INDEX([1]Portfolio!$A$3:$AU$63,MATCH($A8,[1]Portfolio!$B$3:$B$63,0),29))</f>
        <v>#N/A</v>
      </c>
      <c r="O8" s="6" t="e">
        <f>IF($A8="","",INDEX([1]Portfolio!$A$3:$AU$63,MATCH($A8,[1]Portfolio!$B$3:$B$63,0),32))</f>
        <v>#N/A</v>
      </c>
      <c r="P8" s="7" t="e">
        <f>IF($A8="","",INDEX([1]Portfolio!$A$3:$AU$63,MATCH($A8,[1]Portfolio!$B$3:$B$63,0),35))</f>
        <v>#N/A</v>
      </c>
      <c r="Q8" s="7" t="e">
        <f>IF($A8="","",INDEX([1]Portfolio!$A$3:$AU$63,MATCH($A8,[1]Portfolio!$B$3:$B$63,0),38))</f>
        <v>#N/A</v>
      </c>
      <c r="R8" s="7" t="e">
        <f>IF($A8="","",INDEX([1]Portfolio!$A$3:$AU$63,MATCH($A8,[1]Portfolio!$B$3:$B$63,0),42))</f>
        <v>#N/A</v>
      </c>
      <c r="S8" s="7" t="e">
        <f>IF($A8="","",INDEX([1]Portfolio!$A$3:$AU$63,MATCH($A8,[1]Portfolio!$B$3:$B$63,0),43))</f>
        <v>#N/A</v>
      </c>
      <c r="T8" s="7" t="e">
        <f>IF($A8="","",INDEX([1]Portfolio!$A$3:$AU$63,MATCH($A8,[1]Portfolio!$B$3:$B$63,0),37))</f>
        <v>#N/A</v>
      </c>
      <c r="U8" s="7" t="e">
        <f>IF($A8="","",INDEX([1]Portfolio!$A$3:$AU$63,MATCH($A8,[1]Portfolio!$B$3:$B$63,0),36))</f>
        <v>#N/A</v>
      </c>
      <c r="V8" s="7" t="e">
        <f>IF($A8="","",(INDEX([2]Programmesjalons!$A$4:$AH$140,MATCH($A8,[2]Programmesjalons!$A$4:$A$140,0),8)))</f>
        <v>#N/A</v>
      </c>
      <c r="W8" s="7" t="e">
        <f>IF($A8="","",(INDEX([2]Programmesjalons!$A$4:$AH$140,MATCH($A8,[2]Programmesjalons!$A$4:$A$140,0),12)))</f>
        <v>#N/A</v>
      </c>
      <c r="X8" s="7" t="e">
        <f>IF($A8="","",(INDEX([2]Programmesjalons!$A$4:$AH$140,MATCH($A8,[2]Programmesjalons!$A$4:$A$140,0),16)))</f>
        <v>#N/A</v>
      </c>
      <c r="Y8" s="7" t="e">
        <f>IF($A8="","",(INDEX([2]Programmesjalons!$A$4:$AH$140,MATCH($A8,[2]Programmesjalons!$A$4:$A$140,0),30)))</f>
        <v>#N/A</v>
      </c>
      <c r="Z8" s="59" t="e">
        <f>IF($A8="","",(INDEX([2]Programmesjalons!$A$4:$AH$140,MATCH($A8,[2]Programmesjalons!$A$4:$A$140,0),32)))</f>
        <v>#N/A</v>
      </c>
      <c r="AA8" s="60" t="e">
        <f>IF($A8="","",(INDEX([2]Programmesjalons!$A$4:$AH$140,MATCH($A8,[2]Programmesjalons!$A$4:$A$140,0),34)))</f>
        <v>#N/A</v>
      </c>
      <c r="AB8" s="59" t="e">
        <f>IF($A8="","",(INDEX([2]Programmesjalons!$A$4:$AH$140,MATCH($A8,[2]Programmesjalons!$A$4:$A$140,0),26)))</f>
        <v>#N/A</v>
      </c>
      <c r="AC8" s="59" t="e">
        <f>IF($A8="","",(INDEX([2]Programmesjalons!$A$4:$AH$140,MATCH($A8,[2]Programmesjalons!$A$4:$A$140,0),18)))</f>
        <v>#N/A</v>
      </c>
      <c r="AD8" s="68"/>
      <c r="AE8" s="68"/>
      <c r="AF8" s="68"/>
      <c r="AG8" s="68"/>
      <c r="AH8" s="68"/>
      <c r="AI8" s="68"/>
      <c r="AJ8" s="69"/>
      <c r="AK8" s="70"/>
      <c r="AL8" s="69"/>
      <c r="AM8" s="69"/>
      <c r="AN8" s="7" t="str">
        <f t="shared" ref="AN8:AN71" si="2">IF($A8=0,"",IF(AF8&lt;&gt;0,IF(AV8=0,AF8,MIN(AF8,AV8)),IF(AW8=0,"manque date",AW8)))</f>
        <v>manque date</v>
      </c>
      <c r="AO8" s="7" t="str">
        <f t="shared" ref="AO8:AO71" si="3">IF($A8=0,"",IF(AG8&lt;&gt;0,IF(AX8=0,AG8,MIN(AG8,AX8)),IF(AY8=0,"manque date",AY8)))</f>
        <v>manque date</v>
      </c>
      <c r="AP8" s="7" t="str">
        <f t="shared" ref="AP8:AP71" si="4">IF($A8=0,"",IF(AH8&lt;&gt;0,IF(AZ8=0,AH8,MIN(AH8,AZ8)),IF(BA8=0,"manque date",BA8)))</f>
        <v>manque date</v>
      </c>
      <c r="AQ8" s="7" t="str">
        <f t="shared" ref="AQ8:AQ71" si="5">IF($A8=0,"",IF(AI8&lt;&gt;0,IF(BB8=0,AI8,MIN(AI8,BB8)),IF(BC8=0,"manque date",BC8)))</f>
        <v>manque date</v>
      </c>
      <c r="AR8" s="59" t="str">
        <f t="shared" ref="AR8:AR71" si="6">IF($A8=0,"",IF(AJ8&lt;&gt;0,IF(BD8=0,AJ8,MIN(AJ8,BD8)),IF(BE8=0,"manque date",BE8)))</f>
        <v>manque date</v>
      </c>
      <c r="AS8" s="60" t="str">
        <f t="shared" ref="AS8:AS71" si="7">IF($A8=0,"",IF(AK8&lt;&gt;0,IF(BF8=0,AK8,MIN(AK8,BF8)),IF(BG8=0,"manque date",BG8)))</f>
        <v>manque date</v>
      </c>
      <c r="AT8" s="59" t="str">
        <f t="shared" ref="AT8:AT71" si="8">IF($A8=0,"",IF(AL8&lt;&gt;0,IF(BH8=0,AL8,MIN(AL8,BH8)),IF(BI8=0,"manque date",BI8)))</f>
        <v>manque date</v>
      </c>
      <c r="AU8" s="59" t="str">
        <f t="shared" ref="AU8:AU71" si="9">IF($A8=0,"",IF(AM8&lt;&gt;0,IF(BJ8=0,AM8,MIN(AM8,BJ8)),IF(BK8=0,"manque date",BK8)))</f>
        <v>manque date</v>
      </c>
      <c r="AV8" s="76">
        <f t="shared" ref="AV8:AV71" si="10">IF(AND(OR(ISNA(N8),ISTEXT(N8)),OR(ISNA(V8),ISTEXT(V8))),AF8,IF(OR(ISNA(N8),ISTEXT(N8)),IF(V8=0,AF8,MIN(V8,AF8)),IF(OR(ISNA(V8),ISTEXT(V8)),IF(N8=0,AF8,MIN(N8,AF8)),IF(N8=0,IF(V8=0,AF8,MIN(V8,AF8)),MIN(N8,V8,AF8)))))</f>
        <v>0</v>
      </c>
      <c r="AW8" s="76" t="str">
        <f t="shared" ref="AW8:AW71" si="11">IF(AND(OR(ISNA(N8),ISTEXT(N8)),OR(ISNA(V8),ISTEXT(V8))),"manque date",IF(OR(ISNA(N8),ISTEXT(N8)),V8,IF(OR(ISNA(V8),ISTEXT(V8)),N8,IF(N8=0,V8,IF(V8=0,N8,MIN(N8,V8))))))</f>
        <v>manque date</v>
      </c>
      <c r="AX8" s="61">
        <f t="shared" ref="AX8:AX71" si="12">IF(AND(OR(ISNA(O8),ISTEXT(O8)),OR(ISNA(W8),ISTEXT(W8))),AG8,IF(OR(ISNA(O8),ISTEXT(O8)),IF(W8=0,AG8,MIN(W8,AG8)),IF(OR(ISNA(W8),ISTEXT(W8)),IF(O8=0,AG8,MIN(O8,AG8)),IF(O8=0,IF(W8=0,AG8,MIN(W8,AG8)),MIN(O8,W8,AG8)))))</f>
        <v>0</v>
      </c>
      <c r="AY8" s="61" t="str">
        <f t="shared" ref="AY8:AY71" si="13">IF(AND(OR(ISNA(O8),ISTEXT(O8)),OR(ISNA(W8),ISTEXT(W8))),"manque date",IF(OR(ISNA(O8),ISTEXT(O8)),W8,IF(OR(ISNA(W8),ISTEXT(W8)),O8,IF(O8=0,W8,IF(W8=0,O8,MIN(O8,W8))))))</f>
        <v>manque date</v>
      </c>
      <c r="AZ8" s="61">
        <f t="shared" ref="AZ8:AZ71" si="14">IF(AND(OR(ISNA(P8),ISTEXT(P8)),OR(ISNA(X8),ISTEXT(X8))),AH8,IF(OR(ISNA(P8),ISTEXT(P8)),IF(X8=0,AH8,MIN(X8,AH8)),IF(OR(ISNA(X8),ISTEXT(X8)),IF(P8=0,AH8,MIN(P8,AH8)),IF(P8=0,IF(X8=0,AH8,MIN(X8,AH8)),MIN(P8,X8,AH8)))))</f>
        <v>0</v>
      </c>
      <c r="BA8" s="77" t="str">
        <f t="shared" ref="BA8:BA71" si="15">IF(AND(OR(ISNA(P8),ISTEXT(P8)),OR(ISNA(X8),ISTEXT(X8))),"manque date",IF(OR(ISNA(P8),ISTEXT(P8)),X8,IF(OR(ISNA(X8),ISTEXT(X8)),P8,IF(P8=0,X8,IF(X8=0,P8,MIN(P8,X8))))))</f>
        <v>manque date</v>
      </c>
      <c r="BB8" s="77">
        <f t="shared" ref="BB8:BB71" si="16">IF(AND(OR(ISNA(Q8),ISTEXT(Q8)),OR(ISNA(Y8),ISTEXT(Y8))),AI8,IF(OR(ISNA(Q8),ISTEXT(Q8)),IF(Y8=0,AI8,MIN(Y8,AI8)),IF(OR(ISNA(Y8),ISTEXT(Y8)),IF(Q8=0,AI8,MIN(Q8,AI8)),IF(Q8=0,IF(Y8=0,AI8,MIN(Y8,AI8)),MIN(Q8,Y8,AI8)))))</f>
        <v>0</v>
      </c>
      <c r="BC8" s="77" t="str">
        <f t="shared" ref="BC8:BC71" si="17">IF(AND(OR(ISNA(Q8),ISTEXT(Q8)),OR(ISNA(Y8),ISTEXT(Y8))),"manque date",IF(OR(ISNA(Q8),ISTEXT(Q8)),Y8,IF(OR(ISNA(Y8),ISTEXT(Y8)),Q8,IF(Q8=0,Y8,IF(Y8=0,Q8,MIN(Q8,Y8))))))</f>
        <v>manque date</v>
      </c>
      <c r="BD8" s="77">
        <f t="shared" ref="BD8:BD71" si="18">IF(AND(OR(ISNA(S8),ISTEXT(S8)),OR(ISNA(Z8),ISTEXT(Z8))),AJ8,IF(OR(ISNA(S8),ISTEXT(S8)),IF(Z8=0,AJ8,MIN(Z8,AJ8)),IF(OR(ISNA(Z8),ISTEXT(Z8)),IF(S8=0,AJ8,MIN(S8,AJ8)),IF(S8=0,IF(Z8=0,AJ8,MIN(Z8,AJ8)),MIN(S8,Z8,AJ8)))))</f>
        <v>0</v>
      </c>
      <c r="BE8" s="77" t="str">
        <f t="shared" ref="BE8:BE71" si="19">IF(AND(OR(ISNA(R8),ISTEXT(R8)),OR(ISNA(Z8),ISTEXT(Z8))),"manque date",IF(OR(ISNA(R8),ISTEXT(R8)),Z8,IF(OR(ISNA(Z8),ISTEXT(Z8)),R8,IF(R8=0,Z8,IF(Z8=0,R8,MIN(R8,Z8))))))</f>
        <v>manque date</v>
      </c>
      <c r="BF8" s="77">
        <f t="shared" ref="BF8:BF71" si="20">IF(AND(OR(ISNA(S8),ISTEXT(S8)),OR(ISNA(AA8),ISTEXT(AA8))),AK8,IF(OR(ISNA(S8),ISTEXT(S8)),IF(AA8=0,AK8,MIN(AA8,AK8)),IF(OR(ISNA(AA8),ISTEXT(AA8)),IF(S8=0,AK8,MIN(S8,AK8)),IF(S8=0,IF(AA8=0,AK8,MIN(AA8,AK8)),MIN(S8,AA8,AK8)))))</f>
        <v>0</v>
      </c>
      <c r="BG8" s="77" t="str">
        <f t="shared" ref="BG8:BG71" si="21">IF(AND(OR(ISNA(S8),ISTEXT(S8)),OR(ISNA(AA8),ISTEXT(AA8))),"manque date",IF(OR(ISNA(S8),ISTEXT(S8)),AA8,IF(OR(ISNA(AA8),ISTEXT(AA8)),S8,IF(S8=0,AA8,IF(AA8=0,S8,MIN(S8,AA8))))))</f>
        <v>manque date</v>
      </c>
      <c r="BH8" s="77">
        <f t="shared" ref="BH8:BH71" si="22">IF(AND(OR(ISNA(T8),ISTEXT(T8)),OR(ISNA(AB8),ISTEXT(AB8))),AL8,IF(OR(ISNA(T8),ISTEXT(T8)),IF(AB8=0,AL8,MIN(AB8,AL8)),IF(OR(ISNA(AB8),ISTEXT(AB8)),IF(T8=0,AL8,MIN(T8,AL8)),IF(T8=0,IF(AB8=0,AL8,MIN(AB8,AL8)),MIN(T8,AB8,AL8)))))</f>
        <v>0</v>
      </c>
      <c r="BI8" s="61" t="str">
        <f t="shared" ref="BI8:BI71" si="23">IF(AND(OR(ISNA(T8),ISTEXT(T8)),OR(ISNA(AB8),ISTEXT(AB8))),"manque date",IF(OR(ISNA(T8),ISTEXT(T8)),AB8,IF(OR(ISNA(AB8),ISTEXT(AB8)),T8,IF(T8=0,AB8,IF(AB8=0,T8,MIN(T8,AB8))))))</f>
        <v>manque date</v>
      </c>
      <c r="BJ8" s="61">
        <f t="shared" ref="BJ8:BJ71" si="24">IF(AND(OR(ISNA(U8),ISTEXT(U8)),OR(ISNA(AC8),ISTEXT(AC8))),AM8,IF(OR(ISNA(U8),ISTEXT(U8)),IF(AC8=0,AM8,MIN(AC8,AM8)),IF(OR(ISNA(AC8),ISTEXT(AC8)),IF(U8=0,AM8,MIN(U8,AM8)),IF(U8=0,IF(AC8=0,AM8,MIN(AC8,AM8)),MIN(U8,AC8,AM8)))))</f>
        <v>0</v>
      </c>
      <c r="BK8" s="61" t="str">
        <f t="shared" ref="BK8:BK71" si="25">IF(AND(OR(ISNA(U8),ISTEXT(U8)),OR(ISNA(AC8),ISTEXT(AC8))),"manque date",IF(OR(ISNA(U8),ISTEXT(U8)),AC8,IF(OR(ISNA(AC8),ISTEXT(AC8)),U8,IF(U8=0,AC8,IF(AC8=0,U8,MIN(U8,AC8))))))</f>
        <v>manque date</v>
      </c>
    </row>
    <row r="9" spans="1:63" ht="15.75">
      <c r="A9" s="25" t="s">
        <v>35</v>
      </c>
      <c r="B9" s="74" t="str">
        <f t="shared" si="0"/>
        <v>JAL</v>
      </c>
      <c r="C9" s="74" t="str">
        <f t="shared" si="1"/>
        <v>B737</v>
      </c>
      <c r="D9" s="7">
        <v>41250</v>
      </c>
      <c r="E9" s="7">
        <v>41347</v>
      </c>
      <c r="F9" s="7">
        <v>41431</v>
      </c>
      <c r="G9" s="7" t="s">
        <v>242</v>
      </c>
      <c r="H9" s="59">
        <v>41724</v>
      </c>
      <c r="I9" s="60" t="s">
        <v>242</v>
      </c>
      <c r="J9" s="59" t="s">
        <v>242</v>
      </c>
      <c r="K9" s="59" t="s">
        <v>242</v>
      </c>
      <c r="L9" s="57" t="str">
        <f>IF($A9="","",INDEX([1]Portfolio!$A$3:$AU$63,MATCH($A9,[1]Portfolio!$B$3:$B$63,0),3))</f>
        <v>JAL</v>
      </c>
      <c r="M9" s="57" t="str">
        <f>IF($A9="","",INDEX([1]Portfolio!$A$3:$AU$63,MATCH($A9,[1]Portfolio!$B$3:$B$63,0),5))</f>
        <v>B737</v>
      </c>
      <c r="N9" s="6">
        <f>IF($A9="","",INDEX([1]Portfolio!$A$3:$AU$63,MATCH($A9,[1]Portfolio!$B$3:$B$63,0),29))</f>
        <v>41250</v>
      </c>
      <c r="O9" s="6">
        <f>IF($A9="","",INDEX([1]Portfolio!$A$3:$AU$63,MATCH($A9,[1]Portfolio!$B$3:$B$63,0),32))</f>
        <v>41347</v>
      </c>
      <c r="P9" s="7">
        <f>IF($A9="","",INDEX([1]Portfolio!$A$3:$AU$63,MATCH($A9,[1]Portfolio!$B$3:$B$63,0),35))</f>
        <v>41431</v>
      </c>
      <c r="Q9" s="7">
        <f>IF($A9="","",INDEX([1]Portfolio!$A$3:$AU$63,MATCH($A9,[1]Portfolio!$B$3:$B$63,0),38))</f>
        <v>0</v>
      </c>
      <c r="R9" s="7">
        <f>IF($A9="","",INDEX([1]Portfolio!$A$3:$AU$63,MATCH($A9,[1]Portfolio!$B$3:$B$63,0),42))</f>
        <v>41724</v>
      </c>
      <c r="S9" s="7">
        <f>IF($A9="","",INDEX([1]Portfolio!$A$3:$AU$63,MATCH($A9,[1]Portfolio!$B$3:$B$63,0),43))</f>
        <v>0</v>
      </c>
      <c r="T9" s="7">
        <f>IF($A9="","",INDEX([1]Portfolio!$A$3:$AU$63,MATCH($A9,[1]Portfolio!$B$3:$B$63,0),37))</f>
        <v>0</v>
      </c>
      <c r="U9" s="7" t="str">
        <f>IF($A9="","",INDEX([1]Portfolio!$A$3:$AU$63,MATCH($A9,[1]Portfolio!$B$3:$B$63,0),36))</f>
        <v>**</v>
      </c>
      <c r="V9" s="7" t="e">
        <f>IF($A9="","",(INDEX([2]Programmesjalons!$A$4:$AH$140,MATCH($A9,[2]Programmesjalons!$A$4:$A$140,0),8)))</f>
        <v>#N/A</v>
      </c>
      <c r="W9" s="7" t="e">
        <f>IF($A9="","",(INDEX([2]Programmesjalons!$A$4:$AH$140,MATCH($A9,[2]Programmesjalons!$A$4:$A$140,0),12)))</f>
        <v>#N/A</v>
      </c>
      <c r="X9" s="7" t="e">
        <f>IF($A9="","",(INDEX([2]Programmesjalons!$A$4:$AH$140,MATCH($A9,[2]Programmesjalons!$A$4:$A$140,0),16)))</f>
        <v>#N/A</v>
      </c>
      <c r="Y9" s="7" t="e">
        <f>IF($A9="","",(INDEX([2]Programmesjalons!$A$4:$AH$140,MATCH($A9,[2]Programmesjalons!$A$4:$A$140,0),30)))</f>
        <v>#N/A</v>
      </c>
      <c r="Z9" s="59" t="e">
        <f>IF($A9="","",(INDEX([2]Programmesjalons!$A$4:$AH$140,MATCH($A9,[2]Programmesjalons!$A$4:$A$140,0),32)))</f>
        <v>#N/A</v>
      </c>
      <c r="AA9" s="60" t="e">
        <f>IF($A9="","",(INDEX([2]Programmesjalons!$A$4:$AH$140,MATCH($A9,[2]Programmesjalons!$A$4:$A$140,0),34)))</f>
        <v>#N/A</v>
      </c>
      <c r="AB9" s="59" t="e">
        <f>IF($A9="","",(INDEX([2]Programmesjalons!$A$4:$AH$140,MATCH($A9,[2]Programmesjalons!$A$4:$A$140,0),26)))</f>
        <v>#N/A</v>
      </c>
      <c r="AC9" s="59" t="e">
        <f>IF($A9="","",(INDEX([2]Programmesjalons!$A$4:$AH$140,MATCH($A9,[2]Programmesjalons!$A$4:$A$140,0),18)))</f>
        <v>#N/A</v>
      </c>
      <c r="AD9" s="68"/>
      <c r="AE9" s="68"/>
      <c r="AF9" s="68"/>
      <c r="AG9" s="68"/>
      <c r="AH9" s="68"/>
      <c r="AI9" s="68"/>
      <c r="AJ9" s="69"/>
      <c r="AK9" s="70"/>
      <c r="AL9" s="69"/>
      <c r="AM9" s="69"/>
      <c r="AN9" s="7">
        <f t="shared" si="2"/>
        <v>41250</v>
      </c>
      <c r="AO9" s="7">
        <f t="shared" si="3"/>
        <v>41347</v>
      </c>
      <c r="AP9" s="7">
        <f t="shared" si="4"/>
        <v>41431</v>
      </c>
      <c r="AQ9" s="7" t="str">
        <f t="shared" si="5"/>
        <v>manque date</v>
      </c>
      <c r="AR9" s="59">
        <f t="shared" si="6"/>
        <v>41724</v>
      </c>
      <c r="AS9" s="60" t="str">
        <f t="shared" si="7"/>
        <v>manque date</v>
      </c>
      <c r="AT9" s="59" t="str">
        <f t="shared" si="8"/>
        <v>manque date</v>
      </c>
      <c r="AU9" s="59" t="str">
        <f t="shared" si="9"/>
        <v>manque date</v>
      </c>
      <c r="AV9" s="76">
        <f t="shared" si="10"/>
        <v>41250</v>
      </c>
      <c r="AW9" s="76">
        <f t="shared" si="11"/>
        <v>41250</v>
      </c>
      <c r="AX9" s="61">
        <f t="shared" si="12"/>
        <v>41347</v>
      </c>
      <c r="AY9" s="61">
        <f t="shared" si="13"/>
        <v>41347</v>
      </c>
      <c r="AZ9" s="61">
        <f t="shared" si="14"/>
        <v>41431</v>
      </c>
      <c r="BA9" s="77">
        <f t="shared" si="15"/>
        <v>41431</v>
      </c>
      <c r="BB9" s="77">
        <f t="shared" si="16"/>
        <v>0</v>
      </c>
      <c r="BC9" s="77">
        <f t="shared" si="17"/>
        <v>0</v>
      </c>
      <c r="BD9" s="77">
        <f t="shared" si="18"/>
        <v>0</v>
      </c>
      <c r="BE9" s="77">
        <f t="shared" si="19"/>
        <v>41724</v>
      </c>
      <c r="BF9" s="77">
        <f t="shared" si="20"/>
        <v>0</v>
      </c>
      <c r="BG9" s="77">
        <f t="shared" si="21"/>
        <v>0</v>
      </c>
      <c r="BH9" s="77">
        <f t="shared" si="22"/>
        <v>0</v>
      </c>
      <c r="BI9" s="61">
        <f t="shared" si="23"/>
        <v>0</v>
      </c>
      <c r="BJ9" s="61">
        <f t="shared" si="24"/>
        <v>0</v>
      </c>
      <c r="BK9" s="61" t="str">
        <f t="shared" si="25"/>
        <v>manque date</v>
      </c>
    </row>
    <row r="10" spans="1:63" ht="15.75">
      <c r="A10" s="25" t="s">
        <v>31</v>
      </c>
      <c r="B10" s="74" t="str">
        <f t="shared" si="0"/>
        <v>SMBC / PEACH</v>
      </c>
      <c r="C10" s="74" t="str">
        <f t="shared" si="1"/>
        <v>A320</v>
      </c>
      <c r="D10" s="7">
        <v>41733</v>
      </c>
      <c r="E10" s="7">
        <v>41787</v>
      </c>
      <c r="F10" s="7">
        <v>41823</v>
      </c>
      <c r="G10" s="7">
        <v>42058</v>
      </c>
      <c r="H10" s="59">
        <v>42088</v>
      </c>
      <c r="I10" s="60">
        <v>42142</v>
      </c>
      <c r="J10" s="59">
        <v>42043</v>
      </c>
      <c r="K10" s="59">
        <v>41968</v>
      </c>
      <c r="L10" s="57" t="str">
        <f>IF($A10="","",INDEX([1]Portfolio!$A$3:$AU$63,MATCH($A10,[1]Portfolio!$B$3:$B$63,0),3))</f>
        <v>SMBC / PEACH</v>
      </c>
      <c r="M10" s="57" t="str">
        <f>IF($A10="","",INDEX([1]Portfolio!$A$3:$AU$63,MATCH($A10,[1]Portfolio!$B$3:$B$63,0),5))</f>
        <v>A320</v>
      </c>
      <c r="N10" s="6">
        <f>IF($A10="","",INDEX([1]Portfolio!$A$3:$AU$63,MATCH($A10,[1]Portfolio!$B$3:$B$63,0),29))</f>
        <v>41733</v>
      </c>
      <c r="O10" s="6">
        <f>IF($A10="","",INDEX([1]Portfolio!$A$3:$AU$63,MATCH($A10,[1]Portfolio!$B$3:$B$63,0),32))</f>
        <v>41787</v>
      </c>
      <c r="P10" s="7">
        <f>IF($A10="","",INDEX([1]Portfolio!$A$3:$AU$63,MATCH($A10,[1]Portfolio!$B$3:$B$63,0),35))</f>
        <v>41823</v>
      </c>
      <c r="Q10" s="7">
        <f>IF($A10="","",INDEX([1]Portfolio!$A$3:$AU$63,MATCH($A10,[1]Portfolio!$B$3:$B$63,0),38))</f>
        <v>42081</v>
      </c>
      <c r="R10" s="7">
        <f>IF($A10="","",INDEX([1]Portfolio!$A$3:$AU$63,MATCH($A10,[1]Portfolio!$B$3:$B$63,0),42))</f>
        <v>42088</v>
      </c>
      <c r="S10" s="7">
        <f>IF($A10="","",INDEX([1]Portfolio!$A$3:$AU$63,MATCH($A10,[1]Portfolio!$B$3:$B$63,0),43))</f>
        <v>42142</v>
      </c>
      <c r="T10" s="7">
        <f>IF($A10="","",INDEX([1]Portfolio!$A$3:$AU$63,MATCH($A10,[1]Portfolio!$B$3:$B$63,0),37))</f>
        <v>42061</v>
      </c>
      <c r="U10" s="7" t="str">
        <f>IF($A10="","",INDEX([1]Portfolio!$A$3:$AU$63,MATCH($A10,[1]Portfolio!$B$3:$B$63,0),36))</f>
        <v>**</v>
      </c>
      <c r="V10" s="7">
        <f>IF($A10="","",(INDEX([2]Programmesjalons!$A$4:$AH$140,MATCH($A10,[2]Programmesjalons!$A$4:$A$140,0),8)))</f>
        <v>41733</v>
      </c>
      <c r="W10" s="7">
        <f>IF($A10="","",(INDEX([2]Programmesjalons!$A$4:$AH$140,MATCH($A10,[2]Programmesjalons!$A$4:$A$140,0),12)))</f>
        <v>41787</v>
      </c>
      <c r="X10" s="7">
        <f>IF($A10="","",(INDEX([2]Programmesjalons!$A$4:$AH$140,MATCH($A10,[2]Programmesjalons!$A$4:$A$140,0),16)))</f>
        <v>41823</v>
      </c>
      <c r="Y10" s="7">
        <f>IF($A10="","",(INDEX([2]Programmesjalons!$A$4:$AH$140,MATCH($A10,[2]Programmesjalons!$A$4:$A$140,0),30)))</f>
        <v>42058</v>
      </c>
      <c r="Z10" s="59">
        <f>IF($A10="","",(INDEX([2]Programmesjalons!$A$4:$AH$140,MATCH($A10,[2]Programmesjalons!$A$4:$A$140,0),32)))</f>
        <v>42088</v>
      </c>
      <c r="AA10" s="60">
        <f>IF($A10="","",(INDEX([2]Programmesjalons!$A$4:$AH$140,MATCH($A10,[2]Programmesjalons!$A$4:$A$140,0),34)))</f>
        <v>42142</v>
      </c>
      <c r="AB10" s="59">
        <f>IF($A10="","",(INDEX([2]Programmesjalons!$A$4:$AH$140,MATCH($A10,[2]Programmesjalons!$A$4:$A$140,0),26)))</f>
        <v>42043</v>
      </c>
      <c r="AC10" s="59">
        <f>IF($A10="","",(INDEX([2]Programmesjalons!$A$4:$AH$140,MATCH($A10,[2]Programmesjalons!$A$4:$A$140,0),18)))</f>
        <v>41968</v>
      </c>
      <c r="AD10" s="68"/>
      <c r="AE10" s="68"/>
      <c r="AF10" s="68"/>
      <c r="AG10" s="68"/>
      <c r="AH10" s="68"/>
      <c r="AI10" s="68"/>
      <c r="AJ10" s="69"/>
      <c r="AK10" s="70"/>
      <c r="AL10" s="69"/>
      <c r="AM10" s="69"/>
      <c r="AN10" s="7">
        <f t="shared" si="2"/>
        <v>41733</v>
      </c>
      <c r="AO10" s="7">
        <f t="shared" si="3"/>
        <v>41787</v>
      </c>
      <c r="AP10" s="7">
        <f t="shared" si="4"/>
        <v>41823</v>
      </c>
      <c r="AQ10" s="7">
        <f t="shared" si="5"/>
        <v>42058</v>
      </c>
      <c r="AR10" s="59">
        <f t="shared" si="6"/>
        <v>42088</v>
      </c>
      <c r="AS10" s="60">
        <f t="shared" si="7"/>
        <v>42142</v>
      </c>
      <c r="AT10" s="59">
        <f t="shared" si="8"/>
        <v>42043</v>
      </c>
      <c r="AU10" s="59">
        <f t="shared" si="9"/>
        <v>41968</v>
      </c>
      <c r="AV10" s="76">
        <f t="shared" si="10"/>
        <v>41733</v>
      </c>
      <c r="AW10" s="76">
        <f t="shared" si="11"/>
        <v>41733</v>
      </c>
      <c r="AX10" s="61">
        <f t="shared" si="12"/>
        <v>41787</v>
      </c>
      <c r="AY10" s="61">
        <f t="shared" si="13"/>
        <v>41787</v>
      </c>
      <c r="AZ10" s="61">
        <f t="shared" si="14"/>
        <v>41823</v>
      </c>
      <c r="BA10" s="77">
        <f t="shared" si="15"/>
        <v>41823</v>
      </c>
      <c r="BB10" s="77">
        <f t="shared" si="16"/>
        <v>42058</v>
      </c>
      <c r="BC10" s="77">
        <f t="shared" si="17"/>
        <v>42058</v>
      </c>
      <c r="BD10" s="77">
        <f t="shared" si="18"/>
        <v>42088</v>
      </c>
      <c r="BE10" s="77">
        <f t="shared" si="19"/>
        <v>42088</v>
      </c>
      <c r="BF10" s="77">
        <f t="shared" si="20"/>
        <v>42142</v>
      </c>
      <c r="BG10" s="77">
        <f t="shared" si="21"/>
        <v>42142</v>
      </c>
      <c r="BH10" s="77">
        <f t="shared" si="22"/>
        <v>42043</v>
      </c>
      <c r="BI10" s="61">
        <f t="shared" si="23"/>
        <v>42043</v>
      </c>
      <c r="BJ10" s="61">
        <f t="shared" si="24"/>
        <v>41968</v>
      </c>
      <c r="BK10" s="61">
        <f t="shared" si="25"/>
        <v>41968</v>
      </c>
    </row>
    <row r="11" spans="1:63" ht="15.75">
      <c r="A11" s="25" t="s">
        <v>80</v>
      </c>
      <c r="B11" s="74" t="str">
        <f t="shared" si="0"/>
        <v>PEGASUS</v>
      </c>
      <c r="C11" s="74" t="str">
        <f t="shared" si="1"/>
        <v>B737</v>
      </c>
      <c r="D11" s="7">
        <v>41737</v>
      </c>
      <c r="E11" s="7" t="s">
        <v>242</v>
      </c>
      <c r="F11" s="7">
        <v>41766</v>
      </c>
      <c r="G11" s="7" t="s">
        <v>242</v>
      </c>
      <c r="H11" s="59">
        <v>41878</v>
      </c>
      <c r="I11" s="60" t="s">
        <v>242</v>
      </c>
      <c r="J11" s="59">
        <v>41862</v>
      </c>
      <c r="K11" s="59" t="s">
        <v>242</v>
      </c>
      <c r="L11" s="57" t="str">
        <f>IF($A11="","",INDEX([1]Portfolio!$A$3:$AU$63,MATCH($A11,[1]Portfolio!$B$3:$B$63,0),3))</f>
        <v>PEGASUS</v>
      </c>
      <c r="M11" s="57" t="str">
        <f>IF($A11="","",INDEX([1]Portfolio!$A$3:$AU$63,MATCH($A11,[1]Portfolio!$B$3:$B$63,0),5))</f>
        <v>B737</v>
      </c>
      <c r="N11" s="6">
        <f>IF($A11="","",INDEX([1]Portfolio!$A$3:$AU$63,MATCH($A11,[1]Portfolio!$B$3:$B$63,0),29))</f>
        <v>41737</v>
      </c>
      <c r="O11" s="6" t="str">
        <f>IF($A11="","",INDEX([1]Portfolio!$A$3:$AU$63,MATCH($A11,[1]Portfolio!$B$3:$B$63,0),32))</f>
        <v>NA</v>
      </c>
      <c r="P11" s="7">
        <f>IF($A11="","",INDEX([1]Portfolio!$A$3:$AU$63,MATCH($A11,[1]Portfolio!$B$3:$B$63,0),35))</f>
        <v>41766</v>
      </c>
      <c r="Q11" s="7">
        <f>IF($A11="","",INDEX([1]Portfolio!$A$3:$AU$63,MATCH($A11,[1]Portfolio!$B$3:$B$63,0),38))</f>
        <v>41926</v>
      </c>
      <c r="R11" s="7">
        <f>IF($A11="","",INDEX([1]Portfolio!$A$3:$AU$63,MATCH($A11,[1]Portfolio!$B$3:$B$63,0),42))</f>
        <v>41878</v>
      </c>
      <c r="S11" s="7">
        <f>IF($A11="","",INDEX([1]Portfolio!$A$3:$AU$63,MATCH($A11,[1]Portfolio!$B$3:$B$63,0),43))</f>
        <v>41971</v>
      </c>
      <c r="T11" s="7">
        <f>IF($A11="","",INDEX([1]Portfolio!$A$3:$AU$63,MATCH($A11,[1]Portfolio!$B$3:$B$63,0),37))</f>
        <v>41862</v>
      </c>
      <c r="U11" s="7" t="str">
        <f>IF($A11="","",INDEX([1]Portfolio!$A$3:$AU$63,MATCH($A11,[1]Portfolio!$B$3:$B$63,0),36))</f>
        <v>**</v>
      </c>
      <c r="V11" s="7" t="e">
        <f>IF($A11="","",(INDEX([2]Programmesjalons!$A$4:$AH$140,MATCH($A11,[2]Programmesjalons!$A$4:$A$140,0),8)))</f>
        <v>#N/A</v>
      </c>
      <c r="W11" s="7" t="e">
        <f>IF($A11="","",(INDEX([2]Programmesjalons!$A$4:$AH$140,MATCH($A11,[2]Programmesjalons!$A$4:$A$140,0),12)))</f>
        <v>#N/A</v>
      </c>
      <c r="X11" s="7" t="e">
        <f>IF($A11="","",(INDEX([2]Programmesjalons!$A$4:$AH$140,MATCH($A11,[2]Programmesjalons!$A$4:$A$140,0),16)))</f>
        <v>#N/A</v>
      </c>
      <c r="Y11" s="7" t="e">
        <f>IF($A11="","",(INDEX([2]Programmesjalons!$A$4:$AH$140,MATCH($A11,[2]Programmesjalons!$A$4:$A$140,0),30)))</f>
        <v>#N/A</v>
      </c>
      <c r="Z11" s="59" t="e">
        <f>IF($A11="","",(INDEX([2]Programmesjalons!$A$4:$AH$140,MATCH($A11,[2]Programmesjalons!$A$4:$A$140,0),32)))</f>
        <v>#N/A</v>
      </c>
      <c r="AA11" s="60" t="e">
        <f>IF($A11="","",(INDEX([2]Programmesjalons!$A$4:$AH$140,MATCH($A11,[2]Programmesjalons!$A$4:$A$140,0),34)))</f>
        <v>#N/A</v>
      </c>
      <c r="AB11" s="59" t="e">
        <f>IF($A11="","",(INDEX([2]Programmesjalons!$A$4:$AH$140,MATCH($A11,[2]Programmesjalons!$A$4:$A$140,0),26)))</f>
        <v>#N/A</v>
      </c>
      <c r="AC11" s="59" t="e">
        <f>IF($A11="","",(INDEX([2]Programmesjalons!$A$4:$AH$140,MATCH($A11,[2]Programmesjalons!$A$4:$A$140,0),18)))</f>
        <v>#N/A</v>
      </c>
      <c r="AD11" s="68" t="s">
        <v>254</v>
      </c>
      <c r="AE11" s="68" t="s">
        <v>255</v>
      </c>
      <c r="AF11" s="68"/>
      <c r="AG11" s="68"/>
      <c r="AH11" s="68"/>
      <c r="AI11" s="68"/>
      <c r="AJ11" s="69"/>
      <c r="AK11" s="70"/>
      <c r="AL11" s="69"/>
      <c r="AM11" s="69"/>
      <c r="AN11" s="7">
        <f t="shared" si="2"/>
        <v>41737</v>
      </c>
      <c r="AO11" s="7" t="str">
        <f t="shared" si="3"/>
        <v>manque date</v>
      </c>
      <c r="AP11" s="7">
        <f t="shared" si="4"/>
        <v>41766</v>
      </c>
      <c r="AQ11" s="7">
        <f t="shared" si="5"/>
        <v>41926</v>
      </c>
      <c r="AR11" s="59">
        <f t="shared" si="6"/>
        <v>41878</v>
      </c>
      <c r="AS11" s="60">
        <f t="shared" si="7"/>
        <v>41971</v>
      </c>
      <c r="AT11" s="59">
        <f t="shared" si="8"/>
        <v>41862</v>
      </c>
      <c r="AU11" s="59" t="str">
        <f t="shared" si="9"/>
        <v>manque date</v>
      </c>
      <c r="AV11" s="76">
        <f t="shared" si="10"/>
        <v>41737</v>
      </c>
      <c r="AW11" s="76">
        <f t="shared" si="11"/>
        <v>41737</v>
      </c>
      <c r="AX11" s="61">
        <f t="shared" si="12"/>
        <v>0</v>
      </c>
      <c r="AY11" s="61" t="str">
        <f t="shared" si="13"/>
        <v>manque date</v>
      </c>
      <c r="AZ11" s="61">
        <f t="shared" si="14"/>
        <v>41766</v>
      </c>
      <c r="BA11" s="77">
        <f t="shared" si="15"/>
        <v>41766</v>
      </c>
      <c r="BB11" s="77">
        <f t="shared" si="16"/>
        <v>41926</v>
      </c>
      <c r="BC11" s="77">
        <f t="shared" si="17"/>
        <v>41926</v>
      </c>
      <c r="BD11" s="77">
        <f t="shared" si="18"/>
        <v>41971</v>
      </c>
      <c r="BE11" s="77">
        <f t="shared" si="19"/>
        <v>41878</v>
      </c>
      <c r="BF11" s="77">
        <f t="shared" si="20"/>
        <v>41971</v>
      </c>
      <c r="BG11" s="77">
        <f t="shared" si="21"/>
        <v>41971</v>
      </c>
      <c r="BH11" s="77">
        <f t="shared" si="22"/>
        <v>41862</v>
      </c>
      <c r="BI11" s="61">
        <f t="shared" si="23"/>
        <v>41862</v>
      </c>
      <c r="BJ11" s="61">
        <f t="shared" si="24"/>
        <v>0</v>
      </c>
      <c r="BK11" s="61" t="str">
        <f t="shared" si="25"/>
        <v>manque date</v>
      </c>
    </row>
    <row r="12" spans="1:63" ht="15.75">
      <c r="A12" s="25" t="s">
        <v>220</v>
      </c>
      <c r="B12" s="74" t="str">
        <f t="shared" si="0"/>
        <v>Donghai</v>
      </c>
      <c r="C12" s="74" t="str">
        <f t="shared" si="1"/>
        <v>B737</v>
      </c>
      <c r="D12" s="7">
        <v>42156</v>
      </c>
      <c r="E12" s="7">
        <v>42186</v>
      </c>
      <c r="F12" s="7">
        <v>42217</v>
      </c>
      <c r="G12" s="7">
        <v>42241</v>
      </c>
      <c r="H12" s="59">
        <v>42248</v>
      </c>
      <c r="I12" s="60">
        <v>42278</v>
      </c>
      <c r="J12" s="59">
        <v>42239</v>
      </c>
      <c r="K12" s="59">
        <v>42223</v>
      </c>
      <c r="L12" s="57" t="e">
        <f>IF($A12="","",INDEX([1]Portfolio!$A$3:$AU$63,MATCH($A12,[1]Portfolio!$B$3:$B$63,0),3))</f>
        <v>#N/A</v>
      </c>
      <c r="M12" s="57" t="e">
        <f>IF($A12="","",INDEX([1]Portfolio!$A$3:$AU$63,MATCH($A12,[1]Portfolio!$B$3:$B$63,0),5))</f>
        <v>#N/A</v>
      </c>
      <c r="N12" s="6" t="e">
        <f>IF($A12="","",INDEX([1]Portfolio!$A$3:$AU$63,MATCH($A12,[1]Portfolio!$B$3:$B$63,0),29))</f>
        <v>#N/A</v>
      </c>
      <c r="O12" s="6" t="e">
        <f>IF($A12="","",INDEX([1]Portfolio!$A$3:$AU$63,MATCH($A12,[1]Portfolio!$B$3:$B$63,0),32))</f>
        <v>#N/A</v>
      </c>
      <c r="P12" s="7" t="e">
        <f>IF($A12="","",INDEX([1]Portfolio!$A$3:$AU$63,MATCH($A12,[1]Portfolio!$B$3:$B$63,0),35))</f>
        <v>#N/A</v>
      </c>
      <c r="Q12" s="7" t="e">
        <f>IF($A12="","",INDEX([1]Portfolio!$A$3:$AU$63,MATCH($A12,[1]Portfolio!$B$3:$B$63,0),38))</f>
        <v>#N/A</v>
      </c>
      <c r="R12" s="7" t="e">
        <f>IF($A12="","",INDEX([1]Portfolio!$A$3:$AU$63,MATCH($A12,[1]Portfolio!$B$3:$B$63,0),42))</f>
        <v>#N/A</v>
      </c>
      <c r="S12" s="7" t="e">
        <f>IF($A12="","",INDEX([1]Portfolio!$A$3:$AU$63,MATCH($A12,[1]Portfolio!$B$3:$B$63,0),43))</f>
        <v>#N/A</v>
      </c>
      <c r="T12" s="7" t="e">
        <f>IF($A12="","",INDEX([1]Portfolio!$A$3:$AU$63,MATCH($A12,[1]Portfolio!$B$3:$B$63,0),37))</f>
        <v>#N/A</v>
      </c>
      <c r="U12" s="7" t="e">
        <f>IF($A12="","",INDEX([1]Portfolio!$A$3:$AU$63,MATCH($A12,[1]Portfolio!$B$3:$B$63,0),36))</f>
        <v>#N/A</v>
      </c>
      <c r="V12" s="7">
        <f>IF($A12="","",(INDEX([2]Programmesjalons!$A$4:$AH$140,MATCH($A12,[2]Programmesjalons!$A$4:$A$140,0),8)))</f>
        <v>42156</v>
      </c>
      <c r="W12" s="7">
        <f>IF($A12="","",(INDEX([2]Programmesjalons!$A$4:$AH$140,MATCH($A12,[2]Programmesjalons!$A$4:$A$140,0),12)))</f>
        <v>42186</v>
      </c>
      <c r="X12" s="7">
        <f>IF($A12="","",(INDEX([2]Programmesjalons!$A$4:$AH$140,MATCH($A12,[2]Programmesjalons!$A$4:$A$140,0),16)))</f>
        <v>42217</v>
      </c>
      <c r="Y12" s="7">
        <f>IF($A12="","",(INDEX([2]Programmesjalons!$A$4:$AH$140,MATCH($A12,[2]Programmesjalons!$A$4:$A$140,0),30)))</f>
        <v>42241</v>
      </c>
      <c r="Z12" s="59">
        <f>IF($A12="","",(INDEX([2]Programmesjalons!$A$4:$AH$140,MATCH($A12,[2]Programmesjalons!$A$4:$A$140,0),32)))</f>
        <v>42248</v>
      </c>
      <c r="AA12" s="60">
        <f>IF($A12="","",(INDEX([2]Programmesjalons!$A$4:$AH$140,MATCH($A12,[2]Programmesjalons!$A$4:$A$140,0),34)))</f>
        <v>42278</v>
      </c>
      <c r="AB12" s="59">
        <f>IF($A12="","",(INDEX([2]Programmesjalons!$A$4:$AH$140,MATCH($A12,[2]Programmesjalons!$A$4:$A$140,0),26)))</f>
        <v>42239</v>
      </c>
      <c r="AC12" s="59">
        <f>IF($A12="","",(INDEX([2]Programmesjalons!$A$4:$AH$140,MATCH($A12,[2]Programmesjalons!$A$4:$A$140,0),18)))</f>
        <v>42223</v>
      </c>
      <c r="AD12" s="68" t="s">
        <v>256</v>
      </c>
      <c r="AE12" s="68" t="s">
        <v>255</v>
      </c>
      <c r="AF12" s="68">
        <v>42156</v>
      </c>
      <c r="AG12" s="68">
        <v>42309</v>
      </c>
      <c r="AH12" s="68">
        <v>42339</v>
      </c>
      <c r="AI12" s="68">
        <v>42415</v>
      </c>
      <c r="AJ12" s="69">
        <v>42430</v>
      </c>
      <c r="AK12" s="70">
        <v>42461</v>
      </c>
      <c r="AL12" s="69">
        <v>42380</v>
      </c>
      <c r="AM12" s="69">
        <v>42353</v>
      </c>
      <c r="AN12" s="7">
        <f t="shared" si="2"/>
        <v>42156</v>
      </c>
      <c r="AO12" s="7">
        <f t="shared" si="3"/>
        <v>42186</v>
      </c>
      <c r="AP12" s="7">
        <f t="shared" si="4"/>
        <v>42217</v>
      </c>
      <c r="AQ12" s="7">
        <f t="shared" si="5"/>
        <v>42241</v>
      </c>
      <c r="AR12" s="59">
        <f t="shared" si="6"/>
        <v>42248</v>
      </c>
      <c r="AS12" s="60">
        <f t="shared" si="7"/>
        <v>42278</v>
      </c>
      <c r="AT12" s="59">
        <f t="shared" si="8"/>
        <v>42239</v>
      </c>
      <c r="AU12" s="59">
        <f t="shared" si="9"/>
        <v>42223</v>
      </c>
      <c r="AV12" s="76">
        <f t="shared" si="10"/>
        <v>42156</v>
      </c>
      <c r="AW12" s="76">
        <f t="shared" si="11"/>
        <v>42156</v>
      </c>
      <c r="AX12" s="61">
        <f t="shared" si="12"/>
        <v>42186</v>
      </c>
      <c r="AY12" s="61">
        <f t="shared" si="13"/>
        <v>42186</v>
      </c>
      <c r="AZ12" s="61">
        <f t="shared" si="14"/>
        <v>42217</v>
      </c>
      <c r="BA12" s="77">
        <f t="shared" si="15"/>
        <v>42217</v>
      </c>
      <c r="BB12" s="77">
        <f t="shared" si="16"/>
        <v>42241</v>
      </c>
      <c r="BC12" s="77">
        <f t="shared" si="17"/>
        <v>42241</v>
      </c>
      <c r="BD12" s="77">
        <f t="shared" si="18"/>
        <v>42248</v>
      </c>
      <c r="BE12" s="77">
        <f t="shared" si="19"/>
        <v>42248</v>
      </c>
      <c r="BF12" s="77">
        <f t="shared" si="20"/>
        <v>42278</v>
      </c>
      <c r="BG12" s="77">
        <f t="shared" si="21"/>
        <v>42278</v>
      </c>
      <c r="BH12" s="77">
        <f t="shared" si="22"/>
        <v>42239</v>
      </c>
      <c r="BI12" s="61">
        <f t="shared" si="23"/>
        <v>42239</v>
      </c>
      <c r="BJ12" s="61">
        <f t="shared" si="24"/>
        <v>42223</v>
      </c>
      <c r="BK12" s="61">
        <f t="shared" si="25"/>
        <v>42223</v>
      </c>
    </row>
    <row r="13" spans="1:63" ht="15.75">
      <c r="A13" s="25" t="s">
        <v>33</v>
      </c>
      <c r="B13" s="74" t="str">
        <f t="shared" si="0"/>
        <v>Air India (CALC) AIC</v>
      </c>
      <c r="C13" s="74" t="str">
        <f t="shared" si="1"/>
        <v>A320</v>
      </c>
      <c r="D13" s="7">
        <v>41793</v>
      </c>
      <c r="E13" s="7">
        <v>41821</v>
      </c>
      <c r="F13" s="7">
        <v>41849</v>
      </c>
      <c r="G13" s="7">
        <v>41927</v>
      </c>
      <c r="H13" s="59">
        <v>41941</v>
      </c>
      <c r="I13" s="60">
        <v>41971</v>
      </c>
      <c r="J13" s="59">
        <v>41945</v>
      </c>
      <c r="K13" s="59" t="s">
        <v>242</v>
      </c>
      <c r="L13" s="57" t="str">
        <f>IF($A13="","",INDEX([1]Portfolio!$A$3:$AU$63,MATCH($A13,[1]Portfolio!$B$3:$B$63,0),3))</f>
        <v>Air India (CALC) AIC</v>
      </c>
      <c r="M13" s="57" t="str">
        <f>IF($A13="","",INDEX([1]Portfolio!$A$3:$AU$63,MATCH($A13,[1]Portfolio!$B$3:$B$63,0),5))</f>
        <v>A320</v>
      </c>
      <c r="N13" s="6">
        <f>IF($A13="","",INDEX([1]Portfolio!$A$3:$AU$63,MATCH($A13,[1]Portfolio!$B$3:$B$63,0),29))</f>
        <v>41793</v>
      </c>
      <c r="O13" s="6">
        <f>IF($A13="","",INDEX([1]Portfolio!$A$3:$AU$63,MATCH($A13,[1]Portfolio!$B$3:$B$63,0),32))</f>
        <v>41821</v>
      </c>
      <c r="P13" s="7">
        <f>IF($A13="","",INDEX([1]Portfolio!$A$3:$AU$63,MATCH($A13,[1]Portfolio!$B$3:$B$63,0),35))</f>
        <v>41849</v>
      </c>
      <c r="Q13" s="7">
        <f>IF($A13="","",INDEX([1]Portfolio!$A$3:$AU$63,MATCH($A13,[1]Portfolio!$B$3:$B$63,0),38))</f>
        <v>41927</v>
      </c>
      <c r="R13" s="7">
        <f>IF($A13="","",INDEX([1]Portfolio!$A$3:$AU$63,MATCH($A13,[1]Portfolio!$B$3:$B$63,0),42))</f>
        <v>41941</v>
      </c>
      <c r="S13" s="7">
        <f>IF($A13="","",INDEX([1]Portfolio!$A$3:$AU$63,MATCH($A13,[1]Portfolio!$B$3:$B$63,0),43))</f>
        <v>41971</v>
      </c>
      <c r="T13" s="7">
        <f>IF($A13="","",INDEX([1]Portfolio!$A$3:$AU$63,MATCH($A13,[1]Portfolio!$B$3:$B$63,0),37))</f>
        <v>41945</v>
      </c>
      <c r="U13" s="7" t="str">
        <f>IF($A13="","",INDEX([1]Portfolio!$A$3:$AU$63,MATCH($A13,[1]Portfolio!$B$3:$B$63,0),36))</f>
        <v>**</v>
      </c>
      <c r="V13" s="7" t="e">
        <f>IF($A13="","",(INDEX([2]Programmesjalons!$A$4:$AH$140,MATCH($A13,[2]Programmesjalons!$A$4:$A$140,0),8)))</f>
        <v>#N/A</v>
      </c>
      <c r="W13" s="7" t="e">
        <f>IF($A13="","",(INDEX([2]Programmesjalons!$A$4:$AH$140,MATCH($A13,[2]Programmesjalons!$A$4:$A$140,0),12)))</f>
        <v>#N/A</v>
      </c>
      <c r="X13" s="7" t="e">
        <f>IF($A13="","",(INDEX([2]Programmesjalons!$A$4:$AH$140,MATCH($A13,[2]Programmesjalons!$A$4:$A$140,0),16)))</f>
        <v>#N/A</v>
      </c>
      <c r="Y13" s="7" t="e">
        <f>IF($A13="","",(INDEX([2]Programmesjalons!$A$4:$AH$140,MATCH($A13,[2]Programmesjalons!$A$4:$A$140,0),30)))</f>
        <v>#N/A</v>
      </c>
      <c r="Z13" s="59" t="e">
        <f>IF($A13="","",(INDEX([2]Programmesjalons!$A$4:$AH$140,MATCH($A13,[2]Programmesjalons!$A$4:$A$140,0),32)))</f>
        <v>#N/A</v>
      </c>
      <c r="AA13" s="60" t="e">
        <f>IF($A13="","",(INDEX([2]Programmesjalons!$A$4:$AH$140,MATCH($A13,[2]Programmesjalons!$A$4:$A$140,0),34)))</f>
        <v>#N/A</v>
      </c>
      <c r="AB13" s="59" t="e">
        <f>IF($A13="","",(INDEX([2]Programmesjalons!$A$4:$AH$140,MATCH($A13,[2]Programmesjalons!$A$4:$A$140,0),26)))</f>
        <v>#N/A</v>
      </c>
      <c r="AC13" s="59" t="e">
        <f>IF($A13="","",(INDEX([2]Programmesjalons!$A$4:$AH$140,MATCH($A13,[2]Programmesjalons!$A$4:$A$140,0),18)))</f>
        <v>#N/A</v>
      </c>
      <c r="AD13" s="68"/>
      <c r="AE13" s="68"/>
      <c r="AF13" s="68"/>
      <c r="AG13" s="68"/>
      <c r="AH13" s="68"/>
      <c r="AI13" s="68"/>
      <c r="AJ13" s="69"/>
      <c r="AK13" s="70"/>
      <c r="AL13" s="69"/>
      <c r="AM13" s="69"/>
      <c r="AN13" s="7">
        <f t="shared" si="2"/>
        <v>41793</v>
      </c>
      <c r="AO13" s="7">
        <f t="shared" si="3"/>
        <v>41821</v>
      </c>
      <c r="AP13" s="7">
        <f t="shared" si="4"/>
        <v>41849</v>
      </c>
      <c r="AQ13" s="7">
        <f t="shared" si="5"/>
        <v>41927</v>
      </c>
      <c r="AR13" s="59">
        <f t="shared" si="6"/>
        <v>41941</v>
      </c>
      <c r="AS13" s="60">
        <f t="shared" si="7"/>
        <v>41971</v>
      </c>
      <c r="AT13" s="59">
        <f t="shared" si="8"/>
        <v>41945</v>
      </c>
      <c r="AU13" s="59" t="str">
        <f t="shared" si="9"/>
        <v>manque date</v>
      </c>
      <c r="AV13" s="76">
        <f t="shared" si="10"/>
        <v>41793</v>
      </c>
      <c r="AW13" s="76">
        <f t="shared" si="11"/>
        <v>41793</v>
      </c>
      <c r="AX13" s="61">
        <f t="shared" si="12"/>
        <v>41821</v>
      </c>
      <c r="AY13" s="61">
        <f t="shared" si="13"/>
        <v>41821</v>
      </c>
      <c r="AZ13" s="61">
        <f t="shared" si="14"/>
        <v>41849</v>
      </c>
      <c r="BA13" s="77">
        <f t="shared" si="15"/>
        <v>41849</v>
      </c>
      <c r="BB13" s="77">
        <f t="shared" si="16"/>
        <v>41927</v>
      </c>
      <c r="BC13" s="77">
        <f t="shared" si="17"/>
        <v>41927</v>
      </c>
      <c r="BD13" s="77">
        <f t="shared" si="18"/>
        <v>41971</v>
      </c>
      <c r="BE13" s="77">
        <f t="shared" si="19"/>
        <v>41941</v>
      </c>
      <c r="BF13" s="77">
        <f t="shared" si="20"/>
        <v>41971</v>
      </c>
      <c r="BG13" s="77">
        <f t="shared" si="21"/>
        <v>41971</v>
      </c>
      <c r="BH13" s="77">
        <f t="shared" si="22"/>
        <v>41945</v>
      </c>
      <c r="BI13" s="61">
        <f t="shared" si="23"/>
        <v>41945</v>
      </c>
      <c r="BJ13" s="61">
        <f t="shared" si="24"/>
        <v>0</v>
      </c>
      <c r="BK13" s="61" t="str">
        <f t="shared" si="25"/>
        <v>manque date</v>
      </c>
    </row>
    <row r="14" spans="1:63" ht="15.75">
      <c r="A14" s="25" t="s">
        <v>44</v>
      </c>
      <c r="B14" s="74">
        <f t="shared" si="0"/>
        <v>0</v>
      </c>
      <c r="C14" s="74">
        <f t="shared" si="1"/>
        <v>0</v>
      </c>
      <c r="D14" s="7">
        <v>41828</v>
      </c>
      <c r="E14" s="7">
        <v>41913</v>
      </c>
      <c r="F14" s="7">
        <v>41983</v>
      </c>
      <c r="G14" s="7">
        <v>42065</v>
      </c>
      <c r="H14" s="59">
        <v>42095</v>
      </c>
      <c r="I14" s="60">
        <v>42132</v>
      </c>
      <c r="J14" s="59">
        <v>42050</v>
      </c>
      <c r="K14" s="59">
        <v>41985</v>
      </c>
      <c r="L14" s="57" t="e">
        <f>IF($A14="","",INDEX([1]Portfolio!$A$3:$AU$63,MATCH($A14,[1]Portfolio!$B$3:$B$63,0),3))</f>
        <v>#N/A</v>
      </c>
      <c r="M14" s="57" t="e">
        <f>IF($A14="","",INDEX([1]Portfolio!$A$3:$AU$63,MATCH($A14,[1]Portfolio!$B$3:$B$63,0),5))</f>
        <v>#N/A</v>
      </c>
      <c r="N14" s="6" t="e">
        <f>IF($A14="","",INDEX([1]Portfolio!$A$3:$AU$63,MATCH($A14,[1]Portfolio!$B$3:$B$63,0),29))</f>
        <v>#N/A</v>
      </c>
      <c r="O14" s="6" t="e">
        <f>IF($A14="","",INDEX([1]Portfolio!$A$3:$AU$63,MATCH($A14,[1]Portfolio!$B$3:$B$63,0),32))</f>
        <v>#N/A</v>
      </c>
      <c r="P14" s="7" t="e">
        <f>IF($A14="","",INDEX([1]Portfolio!$A$3:$AU$63,MATCH($A14,[1]Portfolio!$B$3:$B$63,0),35))</f>
        <v>#N/A</v>
      </c>
      <c r="Q14" s="7" t="e">
        <f>IF($A14="","",INDEX([1]Portfolio!$A$3:$AU$63,MATCH($A14,[1]Portfolio!$B$3:$B$63,0),38))</f>
        <v>#N/A</v>
      </c>
      <c r="R14" s="7" t="e">
        <f>IF($A14="","",INDEX([1]Portfolio!$A$3:$AU$63,MATCH($A14,[1]Portfolio!$B$3:$B$63,0),42))</f>
        <v>#N/A</v>
      </c>
      <c r="S14" s="7" t="e">
        <f>IF($A14="","",INDEX([1]Portfolio!$A$3:$AU$63,MATCH($A14,[1]Portfolio!$B$3:$B$63,0),43))</f>
        <v>#N/A</v>
      </c>
      <c r="T14" s="7" t="e">
        <f>IF($A14="","",INDEX([1]Portfolio!$A$3:$AU$63,MATCH($A14,[1]Portfolio!$B$3:$B$63,0),37))</f>
        <v>#N/A</v>
      </c>
      <c r="U14" s="7" t="e">
        <f>IF($A14="","",INDEX([1]Portfolio!$A$3:$AU$63,MATCH($A14,[1]Portfolio!$B$3:$B$63,0),36))</f>
        <v>#N/A</v>
      </c>
      <c r="V14" s="7">
        <f>IF($A14="","",(INDEX([2]Programmesjalons!$A$4:$AH$140,MATCH($A14,[2]Programmesjalons!$A$4:$A$140,0),8)))</f>
        <v>41828</v>
      </c>
      <c r="W14" s="7">
        <f>IF($A14="","",(INDEX([2]Programmesjalons!$A$4:$AH$140,MATCH($A14,[2]Programmesjalons!$A$4:$A$140,0),12)))</f>
        <v>41913</v>
      </c>
      <c r="X14" s="7">
        <f>IF($A14="","",(INDEX([2]Programmesjalons!$A$4:$AH$140,MATCH($A14,[2]Programmesjalons!$A$4:$A$140,0),16)))</f>
        <v>41983</v>
      </c>
      <c r="Y14" s="7">
        <f>IF($A14="","",(INDEX([2]Programmesjalons!$A$4:$AH$140,MATCH($A14,[2]Programmesjalons!$A$4:$A$140,0),30)))</f>
        <v>42065</v>
      </c>
      <c r="Z14" s="59">
        <f>IF($A14="","",(INDEX([2]Programmesjalons!$A$4:$AH$140,MATCH($A14,[2]Programmesjalons!$A$4:$A$140,0),32)))</f>
        <v>42095</v>
      </c>
      <c r="AA14" s="60">
        <f>IF($A14="","",(INDEX([2]Programmesjalons!$A$4:$AH$140,MATCH($A14,[2]Programmesjalons!$A$4:$A$140,0),34)))</f>
        <v>42132</v>
      </c>
      <c r="AB14" s="59">
        <f>IF($A14="","",(INDEX([2]Programmesjalons!$A$4:$AH$140,MATCH($A14,[2]Programmesjalons!$A$4:$A$140,0),26)))</f>
        <v>42050</v>
      </c>
      <c r="AC14" s="59">
        <f>IF($A14="","",(INDEX([2]Programmesjalons!$A$4:$AH$140,MATCH($A14,[2]Programmesjalons!$A$4:$A$140,0),18)))</f>
        <v>41985</v>
      </c>
      <c r="AD14" s="68"/>
      <c r="AE14" s="68"/>
      <c r="AF14" s="68"/>
      <c r="AG14" s="68"/>
      <c r="AH14" s="68"/>
      <c r="AI14" s="68"/>
      <c r="AJ14" s="69"/>
      <c r="AK14" s="70"/>
      <c r="AL14" s="69"/>
      <c r="AM14" s="69"/>
      <c r="AN14" s="7">
        <f t="shared" si="2"/>
        <v>41828</v>
      </c>
      <c r="AO14" s="7">
        <f t="shared" si="3"/>
        <v>41913</v>
      </c>
      <c r="AP14" s="7">
        <f t="shared" si="4"/>
        <v>41983</v>
      </c>
      <c r="AQ14" s="7">
        <f t="shared" si="5"/>
        <v>42065</v>
      </c>
      <c r="AR14" s="59">
        <f t="shared" si="6"/>
        <v>42095</v>
      </c>
      <c r="AS14" s="60">
        <f t="shared" si="7"/>
        <v>42132</v>
      </c>
      <c r="AT14" s="59">
        <f t="shared" si="8"/>
        <v>42050</v>
      </c>
      <c r="AU14" s="59">
        <f t="shared" si="9"/>
        <v>41985</v>
      </c>
      <c r="AV14" s="76">
        <f t="shared" si="10"/>
        <v>41828</v>
      </c>
      <c r="AW14" s="76">
        <f t="shared" si="11"/>
        <v>41828</v>
      </c>
      <c r="AX14" s="61">
        <f t="shared" si="12"/>
        <v>41913</v>
      </c>
      <c r="AY14" s="61">
        <f t="shared" si="13"/>
        <v>41913</v>
      </c>
      <c r="AZ14" s="61">
        <f t="shared" si="14"/>
        <v>41983</v>
      </c>
      <c r="BA14" s="77">
        <f t="shared" si="15"/>
        <v>41983</v>
      </c>
      <c r="BB14" s="77">
        <f t="shared" si="16"/>
        <v>42065</v>
      </c>
      <c r="BC14" s="77">
        <f t="shared" si="17"/>
        <v>42065</v>
      </c>
      <c r="BD14" s="77">
        <f t="shared" si="18"/>
        <v>42095</v>
      </c>
      <c r="BE14" s="77">
        <f t="shared" si="19"/>
        <v>42095</v>
      </c>
      <c r="BF14" s="77">
        <f t="shared" si="20"/>
        <v>42132</v>
      </c>
      <c r="BG14" s="77">
        <f t="shared" si="21"/>
        <v>42132</v>
      </c>
      <c r="BH14" s="77">
        <f t="shared" si="22"/>
        <v>42050</v>
      </c>
      <c r="BI14" s="61">
        <f t="shared" si="23"/>
        <v>42050</v>
      </c>
      <c r="BJ14" s="61">
        <f t="shared" si="24"/>
        <v>41985</v>
      </c>
      <c r="BK14" s="61">
        <f t="shared" si="25"/>
        <v>41985</v>
      </c>
    </row>
    <row r="15" spans="1:63">
      <c r="A15" s="13" t="s">
        <v>221</v>
      </c>
      <c r="B15" s="74">
        <f t="shared" si="0"/>
        <v>0</v>
      </c>
      <c r="C15" s="74">
        <f t="shared" si="1"/>
        <v>0</v>
      </c>
      <c r="D15" s="7">
        <v>42292</v>
      </c>
      <c r="E15" s="7">
        <v>42322</v>
      </c>
      <c r="F15" s="7">
        <v>42322</v>
      </c>
      <c r="G15" s="7" t="s">
        <v>242</v>
      </c>
      <c r="H15" s="59">
        <v>42384</v>
      </c>
      <c r="I15" s="60">
        <v>42460</v>
      </c>
      <c r="J15" s="59" t="s">
        <v>242</v>
      </c>
      <c r="K15" s="59" t="s">
        <v>242</v>
      </c>
      <c r="L15" s="57" t="e">
        <f>IF($A15="","",INDEX([1]Portfolio!$A$3:$AU$63,MATCH($A15,[1]Portfolio!$B$3:$B$63,0),3))</f>
        <v>#N/A</v>
      </c>
      <c r="M15" s="57" t="e">
        <f>IF($A15="","",INDEX([1]Portfolio!$A$3:$AU$63,MATCH($A15,[1]Portfolio!$B$3:$B$63,0),5))</f>
        <v>#N/A</v>
      </c>
      <c r="N15" s="6" t="e">
        <f>IF($A15="","",INDEX([1]Portfolio!$A$3:$AU$63,MATCH($A15,[1]Portfolio!$B$3:$B$63,0),29))</f>
        <v>#N/A</v>
      </c>
      <c r="O15" s="6" t="e">
        <f>IF($A15="","",INDEX([1]Portfolio!$A$3:$AU$63,MATCH($A15,[1]Portfolio!$B$3:$B$63,0),32))</f>
        <v>#N/A</v>
      </c>
      <c r="P15" s="7" t="e">
        <f>IF($A15="","",INDEX([1]Portfolio!$A$3:$AU$63,MATCH($A15,[1]Portfolio!$B$3:$B$63,0),35))</f>
        <v>#N/A</v>
      </c>
      <c r="Q15" s="7" t="e">
        <f>IF($A15="","",INDEX([1]Portfolio!$A$3:$AU$63,MATCH($A15,[1]Portfolio!$B$3:$B$63,0),38))</f>
        <v>#N/A</v>
      </c>
      <c r="R15" s="7" t="e">
        <f>IF($A15="","",INDEX([1]Portfolio!$A$3:$AU$63,MATCH($A15,[1]Portfolio!$B$3:$B$63,0),42))</f>
        <v>#N/A</v>
      </c>
      <c r="S15" s="7" t="e">
        <f>IF($A15="","",INDEX([1]Portfolio!$A$3:$AU$63,MATCH($A15,[1]Portfolio!$B$3:$B$63,0),43))</f>
        <v>#N/A</v>
      </c>
      <c r="T15" s="7" t="e">
        <f>IF($A15="","",INDEX([1]Portfolio!$A$3:$AU$63,MATCH($A15,[1]Portfolio!$B$3:$B$63,0),37))</f>
        <v>#N/A</v>
      </c>
      <c r="U15" s="7" t="e">
        <f>IF($A15="","",INDEX([1]Portfolio!$A$3:$AU$63,MATCH($A15,[1]Portfolio!$B$3:$B$63,0),36))</f>
        <v>#N/A</v>
      </c>
      <c r="V15" s="7">
        <f>IF($A15="","",(INDEX([2]Programmesjalons!$A$4:$AH$140,MATCH($A15,[2]Programmesjalons!$A$4:$A$140,0),8)))</f>
        <v>42292</v>
      </c>
      <c r="W15" s="7">
        <f>IF($A15="","",(INDEX([2]Programmesjalons!$A$4:$AH$140,MATCH($A15,[2]Programmesjalons!$A$4:$A$140,0),12)))</f>
        <v>42322</v>
      </c>
      <c r="X15" s="7">
        <f>IF($A15="","",(INDEX([2]Programmesjalons!$A$4:$AH$140,MATCH($A15,[2]Programmesjalons!$A$4:$A$140,0),16)))</f>
        <v>42322</v>
      </c>
      <c r="Y15" s="7">
        <f>IF($A15="","",(INDEX([2]Programmesjalons!$A$4:$AH$140,MATCH($A15,[2]Programmesjalons!$A$4:$A$140,0),30)))</f>
        <v>0</v>
      </c>
      <c r="Z15" s="59">
        <f>IF($A15="","",(INDEX([2]Programmesjalons!$A$4:$AH$140,MATCH($A15,[2]Programmesjalons!$A$4:$A$140,0),32)))</f>
        <v>42384</v>
      </c>
      <c r="AA15" s="60">
        <f>IF($A15="","",(INDEX([2]Programmesjalons!$A$4:$AH$140,MATCH($A15,[2]Programmesjalons!$A$4:$A$140,0),34)))</f>
        <v>42460</v>
      </c>
      <c r="AB15" s="59">
        <f>IF($A15="","",(INDEX([2]Programmesjalons!$A$4:$AH$140,MATCH($A15,[2]Programmesjalons!$A$4:$A$140,0),26)))</f>
        <v>0</v>
      </c>
      <c r="AC15" s="59">
        <f>IF($A15="","",(INDEX([2]Programmesjalons!$A$4:$AH$140,MATCH($A15,[2]Programmesjalons!$A$4:$A$140,0),18)))</f>
        <v>0</v>
      </c>
      <c r="AD15" s="68"/>
      <c r="AE15" s="68"/>
      <c r="AF15" s="68"/>
      <c r="AG15" s="68"/>
      <c r="AH15" s="68"/>
      <c r="AI15" s="68"/>
      <c r="AJ15" s="69"/>
      <c r="AK15" s="70"/>
      <c r="AL15" s="69"/>
      <c r="AM15" s="69"/>
      <c r="AN15" s="7">
        <f t="shared" si="2"/>
        <v>42292</v>
      </c>
      <c r="AO15" s="7">
        <f t="shared" si="3"/>
        <v>42322</v>
      </c>
      <c r="AP15" s="7">
        <f t="shared" si="4"/>
        <v>42322</v>
      </c>
      <c r="AQ15" s="7" t="str">
        <f t="shared" si="5"/>
        <v>manque date</v>
      </c>
      <c r="AR15" s="59">
        <f t="shared" si="6"/>
        <v>42384</v>
      </c>
      <c r="AS15" s="60">
        <f t="shared" si="7"/>
        <v>42460</v>
      </c>
      <c r="AT15" s="59" t="str">
        <f t="shared" si="8"/>
        <v>manque date</v>
      </c>
      <c r="AU15" s="59" t="str">
        <f t="shared" si="9"/>
        <v>manque date</v>
      </c>
      <c r="AV15" s="76">
        <f t="shared" si="10"/>
        <v>42292</v>
      </c>
      <c r="AW15" s="76">
        <f t="shared" si="11"/>
        <v>42292</v>
      </c>
      <c r="AX15" s="61">
        <f t="shared" si="12"/>
        <v>42322</v>
      </c>
      <c r="AY15" s="61">
        <f t="shared" si="13"/>
        <v>42322</v>
      </c>
      <c r="AZ15" s="61">
        <f t="shared" si="14"/>
        <v>42322</v>
      </c>
      <c r="BA15" s="61">
        <f t="shared" si="15"/>
        <v>42322</v>
      </c>
      <c r="BB15" s="61">
        <f t="shared" si="16"/>
        <v>0</v>
      </c>
      <c r="BC15" s="61">
        <f t="shared" si="17"/>
        <v>0</v>
      </c>
      <c r="BD15" s="61">
        <f t="shared" si="18"/>
        <v>42384</v>
      </c>
      <c r="BE15" s="61">
        <f t="shared" si="19"/>
        <v>42384</v>
      </c>
      <c r="BF15" s="61">
        <f t="shared" si="20"/>
        <v>42460</v>
      </c>
      <c r="BG15" s="61">
        <f t="shared" si="21"/>
        <v>42460</v>
      </c>
      <c r="BH15" s="61">
        <f t="shared" si="22"/>
        <v>0</v>
      </c>
      <c r="BI15" s="61">
        <f t="shared" si="23"/>
        <v>0</v>
      </c>
      <c r="BJ15" s="61">
        <f t="shared" si="24"/>
        <v>0</v>
      </c>
      <c r="BK15" s="61">
        <f t="shared" si="25"/>
        <v>0</v>
      </c>
    </row>
    <row r="16" spans="1:63">
      <c r="A16" s="25" t="s">
        <v>45</v>
      </c>
      <c r="B16" s="74" t="str">
        <f t="shared" si="0"/>
        <v>Japan TransOcean Air</v>
      </c>
      <c r="C16" s="74" t="str">
        <f t="shared" si="1"/>
        <v>B737</v>
      </c>
      <c r="D16" s="7">
        <v>41872</v>
      </c>
      <c r="E16" s="7">
        <v>41934</v>
      </c>
      <c r="F16" s="7">
        <v>42025</v>
      </c>
      <c r="G16" s="7">
        <v>42205</v>
      </c>
      <c r="H16" s="59">
        <v>42235</v>
      </c>
      <c r="I16" s="60">
        <v>42331</v>
      </c>
      <c r="J16" s="59">
        <v>42135</v>
      </c>
      <c r="K16" s="59">
        <v>42115</v>
      </c>
      <c r="L16" s="57" t="str">
        <f>IF($A16="","",INDEX([1]Portfolio!$A$3:$AU$63,MATCH($A16,[1]Portfolio!$B$3:$B$63,0),3))</f>
        <v>Japan TransOcean Air</v>
      </c>
      <c r="M16" s="57" t="str">
        <f>IF($A16="","",INDEX([1]Portfolio!$A$3:$AU$63,MATCH($A16,[1]Portfolio!$B$3:$B$63,0),5))</f>
        <v>B737</v>
      </c>
      <c r="N16" s="6">
        <f>IF($A16="","",INDEX([1]Portfolio!$A$3:$AU$63,MATCH($A16,[1]Portfolio!$B$3:$B$63,0),29))</f>
        <v>41872</v>
      </c>
      <c r="O16" s="6">
        <f>IF($A16="","",INDEX([1]Portfolio!$A$3:$AU$63,MATCH($A16,[1]Portfolio!$B$3:$B$63,0),32))</f>
        <v>41934</v>
      </c>
      <c r="P16" s="7">
        <f>IF($A16="","",INDEX([1]Portfolio!$A$3:$AU$63,MATCH($A16,[1]Portfolio!$B$3:$B$63,0),35))</f>
        <v>42025</v>
      </c>
      <c r="Q16" s="7">
        <f>IF($A16="","",INDEX([1]Portfolio!$A$3:$AU$63,MATCH($A16,[1]Portfolio!$B$3:$B$63,0),38))</f>
        <v>42228</v>
      </c>
      <c r="R16" s="7">
        <f>IF($A16="","",INDEX([1]Portfolio!$A$3:$AU$63,MATCH($A16,[1]Portfolio!$B$3:$B$63,0),42))</f>
        <v>42235</v>
      </c>
      <c r="S16" s="7">
        <f>IF($A16="","",INDEX([1]Portfolio!$A$3:$AU$63,MATCH($A16,[1]Portfolio!$B$3:$B$63,0),43))</f>
        <v>42331</v>
      </c>
      <c r="T16" s="7">
        <f>IF($A16="","",INDEX([1]Portfolio!$A$3:$AU$63,MATCH($A16,[1]Portfolio!$B$3:$B$63,0),37))</f>
        <v>42135</v>
      </c>
      <c r="U16" s="7">
        <f>IF($A16="","",INDEX([1]Portfolio!$A$3:$AU$63,MATCH($A16,[1]Portfolio!$B$3:$B$63,0),36))</f>
        <v>0</v>
      </c>
      <c r="V16" s="7">
        <f>IF($A16="","",(INDEX([2]Programmesjalons!$A$4:$AH$140,MATCH($A16,[2]Programmesjalons!$A$4:$A$140,0),8)))</f>
        <v>41872</v>
      </c>
      <c r="W16" s="7">
        <f>IF($A16="","",(INDEX([2]Programmesjalons!$A$4:$AH$140,MATCH($A16,[2]Programmesjalons!$A$4:$A$140,0),12)))</f>
        <v>41934</v>
      </c>
      <c r="X16" s="7">
        <f>IF($A16="","",(INDEX([2]Programmesjalons!$A$4:$AH$140,MATCH($A16,[2]Programmesjalons!$A$4:$A$140,0),16)))</f>
        <v>42025</v>
      </c>
      <c r="Y16" s="7">
        <f>IF($A16="","",(INDEX([2]Programmesjalons!$A$4:$AH$140,MATCH($A16,[2]Programmesjalons!$A$4:$A$140,0),30)))</f>
        <v>42205</v>
      </c>
      <c r="Z16" s="59">
        <f>IF($A16="","",(INDEX([2]Programmesjalons!$A$4:$AH$140,MATCH($A16,[2]Programmesjalons!$A$4:$A$140,0),32)))</f>
        <v>42235</v>
      </c>
      <c r="AA16" s="60">
        <f>IF($A16="","",(INDEX([2]Programmesjalons!$A$4:$AH$140,MATCH($A16,[2]Programmesjalons!$A$4:$A$140,0),34)))</f>
        <v>42331</v>
      </c>
      <c r="AB16" s="59">
        <f>IF($A16="","",(INDEX([2]Programmesjalons!$A$4:$AH$140,MATCH($A16,[2]Programmesjalons!$A$4:$A$140,0),26)))</f>
        <v>42165</v>
      </c>
      <c r="AC16" s="59">
        <f>IF($A16="","",(INDEX([2]Programmesjalons!$A$4:$AH$140,MATCH($A16,[2]Programmesjalons!$A$4:$A$140,0),18)))</f>
        <v>42115</v>
      </c>
      <c r="AD16" s="68"/>
      <c r="AE16" s="68"/>
      <c r="AF16" s="68"/>
      <c r="AG16" s="68"/>
      <c r="AH16" s="68"/>
      <c r="AI16" s="68"/>
      <c r="AJ16" s="69"/>
      <c r="AK16" s="70"/>
      <c r="AL16" s="69"/>
      <c r="AM16" s="69"/>
      <c r="AN16" s="7">
        <f t="shared" si="2"/>
        <v>41872</v>
      </c>
      <c r="AO16" s="7">
        <f t="shared" si="3"/>
        <v>41934</v>
      </c>
      <c r="AP16" s="7">
        <f t="shared" si="4"/>
        <v>42025</v>
      </c>
      <c r="AQ16" s="7">
        <f t="shared" si="5"/>
        <v>42205</v>
      </c>
      <c r="AR16" s="59">
        <f t="shared" si="6"/>
        <v>42235</v>
      </c>
      <c r="AS16" s="60">
        <f t="shared" si="7"/>
        <v>42331</v>
      </c>
      <c r="AT16" s="59">
        <f t="shared" si="8"/>
        <v>42135</v>
      </c>
      <c r="AU16" s="59">
        <f t="shared" si="9"/>
        <v>42115</v>
      </c>
      <c r="AV16" s="76">
        <f t="shared" si="10"/>
        <v>41872</v>
      </c>
      <c r="AW16" s="76">
        <f t="shared" si="11"/>
        <v>41872</v>
      </c>
      <c r="AX16" s="61">
        <f t="shared" si="12"/>
        <v>41934</v>
      </c>
      <c r="AY16" s="61">
        <f t="shared" si="13"/>
        <v>41934</v>
      </c>
      <c r="AZ16" s="61">
        <f t="shared" si="14"/>
        <v>42025</v>
      </c>
      <c r="BA16" s="61">
        <f t="shared" si="15"/>
        <v>42025</v>
      </c>
      <c r="BB16" s="61">
        <f t="shared" si="16"/>
        <v>42205</v>
      </c>
      <c r="BC16" s="61">
        <f t="shared" si="17"/>
        <v>42205</v>
      </c>
      <c r="BD16" s="61">
        <f t="shared" si="18"/>
        <v>42235</v>
      </c>
      <c r="BE16" s="61">
        <f t="shared" si="19"/>
        <v>42235</v>
      </c>
      <c r="BF16" s="61">
        <f t="shared" si="20"/>
        <v>42331</v>
      </c>
      <c r="BG16" s="61">
        <f t="shared" si="21"/>
        <v>42331</v>
      </c>
      <c r="BH16" s="61">
        <f t="shared" si="22"/>
        <v>42135</v>
      </c>
      <c r="BI16" s="61">
        <f t="shared" si="23"/>
        <v>42135</v>
      </c>
      <c r="BJ16" s="61">
        <f t="shared" si="24"/>
        <v>42115</v>
      </c>
      <c r="BK16" s="61">
        <f t="shared" si="25"/>
        <v>42115</v>
      </c>
    </row>
    <row r="17" spans="1:63">
      <c r="A17" s="25" t="s">
        <v>81</v>
      </c>
      <c r="B17" s="74">
        <f t="shared" si="0"/>
        <v>0</v>
      </c>
      <c r="C17" s="74">
        <f t="shared" si="1"/>
        <v>0</v>
      </c>
      <c r="D17" s="7">
        <v>41843</v>
      </c>
      <c r="E17" s="7">
        <v>41918</v>
      </c>
      <c r="F17" s="7">
        <v>42010</v>
      </c>
      <c r="G17" s="7">
        <v>42128</v>
      </c>
      <c r="H17" s="59">
        <v>42158</v>
      </c>
      <c r="I17" s="60">
        <v>42173</v>
      </c>
      <c r="J17" s="59">
        <v>42113</v>
      </c>
      <c r="K17" s="59">
        <v>42038</v>
      </c>
      <c r="L17" s="57" t="e">
        <f>IF($A17="","",INDEX([1]Portfolio!$A$3:$AU$63,MATCH($A17,[1]Portfolio!$B$3:$B$63,0),3))</f>
        <v>#N/A</v>
      </c>
      <c r="M17" s="57" t="e">
        <f>IF($A17="","",INDEX([1]Portfolio!$A$3:$AU$63,MATCH($A17,[1]Portfolio!$B$3:$B$63,0),5))</f>
        <v>#N/A</v>
      </c>
      <c r="N17" s="6" t="e">
        <f>IF($A17="","",INDEX([1]Portfolio!$A$3:$AU$63,MATCH($A17,[1]Portfolio!$B$3:$B$63,0),29))</f>
        <v>#N/A</v>
      </c>
      <c r="O17" s="6" t="e">
        <f>IF($A17="","",INDEX([1]Portfolio!$A$3:$AU$63,MATCH($A17,[1]Portfolio!$B$3:$B$63,0),32))</f>
        <v>#N/A</v>
      </c>
      <c r="P17" s="7" t="e">
        <f>IF($A17="","",INDEX([1]Portfolio!$A$3:$AU$63,MATCH($A17,[1]Portfolio!$B$3:$B$63,0),35))</f>
        <v>#N/A</v>
      </c>
      <c r="Q17" s="7" t="e">
        <f>IF($A17="","",INDEX([1]Portfolio!$A$3:$AU$63,MATCH($A17,[1]Portfolio!$B$3:$B$63,0),38))</f>
        <v>#N/A</v>
      </c>
      <c r="R17" s="7" t="e">
        <f>IF($A17="","",INDEX([1]Portfolio!$A$3:$AU$63,MATCH($A17,[1]Portfolio!$B$3:$B$63,0),42))</f>
        <v>#N/A</v>
      </c>
      <c r="S17" s="7" t="e">
        <f>IF($A17="","",INDEX([1]Portfolio!$A$3:$AU$63,MATCH($A17,[1]Portfolio!$B$3:$B$63,0),43))</f>
        <v>#N/A</v>
      </c>
      <c r="T17" s="7" t="e">
        <f>IF($A17="","",INDEX([1]Portfolio!$A$3:$AU$63,MATCH($A17,[1]Portfolio!$B$3:$B$63,0),37))</f>
        <v>#N/A</v>
      </c>
      <c r="U17" s="7" t="e">
        <f>IF($A17="","",INDEX([1]Portfolio!$A$3:$AU$63,MATCH($A17,[1]Portfolio!$B$3:$B$63,0),36))</f>
        <v>#N/A</v>
      </c>
      <c r="V17" s="7">
        <f>IF($A17="","",(INDEX([2]Programmesjalons!$A$4:$AH$140,MATCH($A17,[2]Programmesjalons!$A$4:$A$140,0),8)))</f>
        <v>41843</v>
      </c>
      <c r="W17" s="7">
        <f>IF($A17="","",(INDEX([2]Programmesjalons!$A$4:$AH$140,MATCH($A17,[2]Programmesjalons!$A$4:$A$140,0),12)))</f>
        <v>41918</v>
      </c>
      <c r="X17" s="7">
        <f>IF($A17="","",(INDEX([2]Programmesjalons!$A$4:$AH$140,MATCH($A17,[2]Programmesjalons!$A$4:$A$140,0),16)))</f>
        <v>42010</v>
      </c>
      <c r="Y17" s="7">
        <f>IF($A17="","",(INDEX([2]Programmesjalons!$A$4:$AH$140,MATCH($A17,[2]Programmesjalons!$A$4:$A$140,0),30)))</f>
        <v>42128</v>
      </c>
      <c r="Z17" s="59">
        <f>IF($A17="","",(INDEX([2]Programmesjalons!$A$4:$AH$140,MATCH($A17,[2]Programmesjalons!$A$4:$A$140,0),32)))</f>
        <v>42158</v>
      </c>
      <c r="AA17" s="60">
        <f>IF($A17="","",(INDEX([2]Programmesjalons!$A$4:$AH$140,MATCH($A17,[2]Programmesjalons!$A$4:$A$140,0),34)))</f>
        <v>42173</v>
      </c>
      <c r="AB17" s="59">
        <f>IF($A17="","",(INDEX([2]Programmesjalons!$A$4:$AH$140,MATCH($A17,[2]Programmesjalons!$A$4:$A$140,0),26)))</f>
        <v>42113</v>
      </c>
      <c r="AC17" s="59">
        <f>IF($A17="","",(INDEX([2]Programmesjalons!$A$4:$AH$140,MATCH($A17,[2]Programmesjalons!$A$4:$A$140,0),18)))</f>
        <v>42038</v>
      </c>
      <c r="AD17" s="68"/>
      <c r="AE17" s="68"/>
      <c r="AF17" s="68"/>
      <c r="AG17" s="68"/>
      <c r="AH17" s="68"/>
      <c r="AI17" s="68"/>
      <c r="AJ17" s="69"/>
      <c r="AK17" s="70"/>
      <c r="AL17" s="69"/>
      <c r="AM17" s="69"/>
      <c r="AN17" s="7">
        <f t="shared" si="2"/>
        <v>41843</v>
      </c>
      <c r="AO17" s="7">
        <f t="shared" si="3"/>
        <v>41918</v>
      </c>
      <c r="AP17" s="7">
        <f t="shared" si="4"/>
        <v>42010</v>
      </c>
      <c r="AQ17" s="7">
        <f t="shared" si="5"/>
        <v>42128</v>
      </c>
      <c r="AR17" s="59">
        <f t="shared" si="6"/>
        <v>42158</v>
      </c>
      <c r="AS17" s="60">
        <f t="shared" si="7"/>
        <v>42173</v>
      </c>
      <c r="AT17" s="59">
        <f t="shared" si="8"/>
        <v>42113</v>
      </c>
      <c r="AU17" s="59">
        <f t="shared" si="9"/>
        <v>42038</v>
      </c>
      <c r="AV17" s="76">
        <f t="shared" si="10"/>
        <v>41843</v>
      </c>
      <c r="AW17" s="76">
        <f t="shared" si="11"/>
        <v>41843</v>
      </c>
      <c r="AX17" s="61">
        <f t="shared" si="12"/>
        <v>41918</v>
      </c>
      <c r="AY17" s="61">
        <f t="shared" si="13"/>
        <v>41918</v>
      </c>
      <c r="AZ17" s="61">
        <f t="shared" si="14"/>
        <v>42010</v>
      </c>
      <c r="BA17" s="61">
        <f t="shared" si="15"/>
        <v>42010</v>
      </c>
      <c r="BB17" s="61">
        <f t="shared" si="16"/>
        <v>42128</v>
      </c>
      <c r="BC17" s="61">
        <f t="shared" si="17"/>
        <v>42128</v>
      </c>
      <c r="BD17" s="61">
        <f t="shared" si="18"/>
        <v>42158</v>
      </c>
      <c r="BE17" s="61">
        <f t="shared" si="19"/>
        <v>42158</v>
      </c>
      <c r="BF17" s="61">
        <f t="shared" si="20"/>
        <v>42173</v>
      </c>
      <c r="BG17" s="61">
        <f t="shared" si="21"/>
        <v>42173</v>
      </c>
      <c r="BH17" s="61">
        <f t="shared" si="22"/>
        <v>42113</v>
      </c>
      <c r="BI17" s="61">
        <f t="shared" si="23"/>
        <v>42113</v>
      </c>
      <c r="BJ17" s="61">
        <f t="shared" si="24"/>
        <v>42038</v>
      </c>
      <c r="BK17" s="61">
        <f t="shared" si="25"/>
        <v>42038</v>
      </c>
    </row>
    <row r="18" spans="1:63">
      <c r="A18" s="25" t="s">
        <v>213</v>
      </c>
      <c r="B18" s="74" t="str">
        <f t="shared" si="0"/>
        <v>NOK Air</v>
      </c>
      <c r="C18" s="74" t="str">
        <f t="shared" si="1"/>
        <v>B737</v>
      </c>
      <c r="D18" s="7">
        <v>41872</v>
      </c>
      <c r="E18" s="7">
        <v>41934</v>
      </c>
      <c r="F18" s="7">
        <v>42031</v>
      </c>
      <c r="G18" s="7">
        <v>42122</v>
      </c>
      <c r="H18" s="59">
        <v>42151</v>
      </c>
      <c r="I18" s="60">
        <v>42181</v>
      </c>
      <c r="J18" s="59">
        <v>42107</v>
      </c>
      <c r="K18" s="59">
        <v>42052</v>
      </c>
      <c r="L18" s="57" t="str">
        <f>IF($A18="","",INDEX([1]Portfolio!$A$3:$AU$63,MATCH($A18,[1]Portfolio!$B$3:$B$63,0),3))</f>
        <v>NOK Air</v>
      </c>
      <c r="M18" s="57" t="str">
        <f>IF($A18="","",INDEX([1]Portfolio!$A$3:$AU$63,MATCH($A18,[1]Portfolio!$B$3:$B$63,0),5))</f>
        <v>B737</v>
      </c>
      <c r="N18" s="6">
        <f>IF($A18="","",INDEX([1]Portfolio!$A$3:$AU$63,MATCH($A18,[1]Portfolio!$B$3:$B$63,0),29))</f>
        <v>41872</v>
      </c>
      <c r="O18" s="6">
        <f>IF($A18="","",INDEX([1]Portfolio!$A$3:$AU$63,MATCH($A18,[1]Portfolio!$B$3:$B$63,0),32))</f>
        <v>41934</v>
      </c>
      <c r="P18" s="7">
        <f>IF($A18="","",INDEX([1]Portfolio!$A$3:$AU$63,MATCH($A18,[1]Portfolio!$B$3:$B$63,0),35))</f>
        <v>42031</v>
      </c>
      <c r="Q18" s="7">
        <f>IF($A18="","",INDEX([1]Portfolio!$A$3:$AU$63,MATCH($A18,[1]Portfolio!$B$3:$B$63,0),38))</f>
        <v>42228</v>
      </c>
      <c r="R18" s="7">
        <f>IF($A18="","",INDEX([1]Portfolio!$A$3:$AU$63,MATCH($A18,[1]Portfolio!$B$3:$B$63,0),42))</f>
        <v>42151</v>
      </c>
      <c r="S18" s="7">
        <f>IF($A18="","",INDEX([1]Portfolio!$A$3:$AU$63,MATCH($A18,[1]Portfolio!$B$3:$B$63,0),43))</f>
        <v>42181</v>
      </c>
      <c r="T18" s="7">
        <f>IF($A18="","",INDEX([1]Portfolio!$A$3:$AU$63,MATCH($A18,[1]Portfolio!$B$3:$B$63,0),37))</f>
        <v>42127</v>
      </c>
      <c r="U18" s="7">
        <f>IF($A18="","",INDEX([1]Portfolio!$A$3:$AU$63,MATCH($A18,[1]Portfolio!$B$3:$B$63,0),36))</f>
        <v>0</v>
      </c>
      <c r="V18" s="7">
        <f>IF($A18="","",(INDEX([2]Programmesjalons!$A$4:$AH$140,MATCH($A18,[2]Programmesjalons!$A$4:$A$140,0),8)))</f>
        <v>41872</v>
      </c>
      <c r="W18" s="7">
        <f>IF($A18="","",(INDEX([2]Programmesjalons!$A$4:$AH$140,MATCH($A18,[2]Programmesjalons!$A$4:$A$140,0),12)))</f>
        <v>41935</v>
      </c>
      <c r="X18" s="7">
        <f>IF($A18="","",(INDEX([2]Programmesjalons!$A$4:$AH$140,MATCH($A18,[2]Programmesjalons!$A$4:$A$140,0),16)))</f>
        <v>42031</v>
      </c>
      <c r="Y18" s="7">
        <f>IF($A18="","",(INDEX([2]Programmesjalons!$A$4:$AH$140,MATCH($A18,[2]Programmesjalons!$A$4:$A$140,0),30)))</f>
        <v>42122</v>
      </c>
      <c r="Z18" s="59">
        <f>IF($A18="","",(INDEX([2]Programmesjalons!$A$4:$AH$140,MATCH($A18,[2]Programmesjalons!$A$4:$A$140,0),32)))</f>
        <v>42152</v>
      </c>
      <c r="AA18" s="60">
        <f>IF($A18="","",(INDEX([2]Programmesjalons!$A$4:$AH$140,MATCH($A18,[2]Programmesjalons!$A$4:$A$140,0),34)))</f>
        <v>42181</v>
      </c>
      <c r="AB18" s="59">
        <f>IF($A18="","",(INDEX([2]Programmesjalons!$A$4:$AH$140,MATCH($A18,[2]Programmesjalons!$A$4:$A$140,0),26)))</f>
        <v>42107</v>
      </c>
      <c r="AC18" s="59">
        <f>IF($A18="","",(INDEX([2]Programmesjalons!$A$4:$AH$140,MATCH($A18,[2]Programmesjalons!$A$4:$A$140,0),18)))</f>
        <v>42052</v>
      </c>
      <c r="AD18" s="68"/>
      <c r="AE18" s="68"/>
      <c r="AF18" s="68"/>
      <c r="AG18" s="68"/>
      <c r="AH18" s="68"/>
      <c r="AI18" s="68"/>
      <c r="AJ18" s="69"/>
      <c r="AK18" s="70"/>
      <c r="AL18" s="69"/>
      <c r="AM18" s="69"/>
      <c r="AN18" s="7">
        <f t="shared" si="2"/>
        <v>41872</v>
      </c>
      <c r="AO18" s="7">
        <f t="shared" si="3"/>
        <v>41934</v>
      </c>
      <c r="AP18" s="7">
        <f t="shared" si="4"/>
        <v>42031</v>
      </c>
      <c r="AQ18" s="7">
        <f t="shared" si="5"/>
        <v>42122</v>
      </c>
      <c r="AR18" s="59">
        <f t="shared" si="6"/>
        <v>42151</v>
      </c>
      <c r="AS18" s="60">
        <f t="shared" si="7"/>
        <v>42181</v>
      </c>
      <c r="AT18" s="59">
        <f t="shared" si="8"/>
        <v>42107</v>
      </c>
      <c r="AU18" s="59">
        <f t="shared" si="9"/>
        <v>42052</v>
      </c>
      <c r="AV18" s="76">
        <f t="shared" si="10"/>
        <v>41872</v>
      </c>
      <c r="AW18" s="76">
        <f t="shared" si="11"/>
        <v>41872</v>
      </c>
      <c r="AX18" s="61">
        <f t="shared" si="12"/>
        <v>41934</v>
      </c>
      <c r="AY18" s="61">
        <f t="shared" si="13"/>
        <v>41934</v>
      </c>
      <c r="AZ18" s="61">
        <f t="shared" si="14"/>
        <v>42031</v>
      </c>
      <c r="BA18" s="61">
        <f t="shared" si="15"/>
        <v>42031</v>
      </c>
      <c r="BB18" s="61">
        <f t="shared" si="16"/>
        <v>42122</v>
      </c>
      <c r="BC18" s="61">
        <f t="shared" si="17"/>
        <v>42122</v>
      </c>
      <c r="BD18" s="61">
        <f t="shared" si="18"/>
        <v>42152</v>
      </c>
      <c r="BE18" s="61">
        <f t="shared" si="19"/>
        <v>42151</v>
      </c>
      <c r="BF18" s="61">
        <f t="shared" si="20"/>
        <v>42181</v>
      </c>
      <c r="BG18" s="61">
        <f t="shared" si="21"/>
        <v>42181</v>
      </c>
      <c r="BH18" s="61">
        <f t="shared" si="22"/>
        <v>42107</v>
      </c>
      <c r="BI18" s="61">
        <f t="shared" si="23"/>
        <v>42107</v>
      </c>
      <c r="BJ18" s="61">
        <f t="shared" si="24"/>
        <v>42052</v>
      </c>
      <c r="BK18" s="61">
        <f t="shared" si="25"/>
        <v>42052</v>
      </c>
    </row>
    <row r="19" spans="1:63">
      <c r="A19" s="25" t="s">
        <v>47</v>
      </c>
      <c r="B19" s="74" t="str">
        <f t="shared" si="0"/>
        <v>Korean Airlines</v>
      </c>
      <c r="C19" s="74" t="str">
        <f t="shared" si="1"/>
        <v>B777</v>
      </c>
      <c r="D19" s="7">
        <v>41884</v>
      </c>
      <c r="E19" s="7">
        <v>41927</v>
      </c>
      <c r="F19" s="7">
        <v>41988</v>
      </c>
      <c r="G19" s="7">
        <v>42193</v>
      </c>
      <c r="H19" s="59">
        <v>42201</v>
      </c>
      <c r="I19" s="60">
        <v>42272</v>
      </c>
      <c r="J19" s="59">
        <v>42156</v>
      </c>
      <c r="K19" s="59">
        <v>42129</v>
      </c>
      <c r="L19" s="57" t="str">
        <f>IF($A19="","",INDEX([1]Portfolio!$A$3:$AU$63,MATCH($A19,[1]Portfolio!$B$3:$B$63,0),3))</f>
        <v>Korean Airlines</v>
      </c>
      <c r="M19" s="57" t="str">
        <f>IF($A19="","",INDEX([1]Portfolio!$A$3:$AU$63,MATCH($A19,[1]Portfolio!$B$3:$B$63,0),5))</f>
        <v>B777</v>
      </c>
      <c r="N19" s="6">
        <f>IF($A19="","",INDEX([1]Portfolio!$A$3:$AU$63,MATCH($A19,[1]Portfolio!$B$3:$B$63,0),29))</f>
        <v>41884</v>
      </c>
      <c r="O19" s="6">
        <f>IF($A19="","",INDEX([1]Portfolio!$A$3:$AU$63,MATCH($A19,[1]Portfolio!$B$3:$B$63,0),32))</f>
        <v>41927</v>
      </c>
      <c r="P19" s="7">
        <f>IF($A19="","",INDEX([1]Portfolio!$A$3:$AU$63,MATCH($A19,[1]Portfolio!$B$3:$B$63,0),35))</f>
        <v>41988</v>
      </c>
      <c r="Q19" s="7">
        <f>IF($A19="","",INDEX([1]Portfolio!$A$3:$AU$63,MATCH($A19,[1]Portfolio!$B$3:$B$63,0),38))</f>
        <v>42193</v>
      </c>
      <c r="R19" s="7">
        <f>IF($A19="","",INDEX([1]Portfolio!$A$3:$AU$63,MATCH($A19,[1]Portfolio!$B$3:$B$63,0),42))</f>
        <v>42201</v>
      </c>
      <c r="S19" s="7">
        <f>IF($A19="","",INDEX([1]Portfolio!$A$3:$AU$63,MATCH($A19,[1]Portfolio!$B$3:$B$63,0),43))</f>
        <v>42181</v>
      </c>
      <c r="T19" s="7">
        <f>IF($A19="","",INDEX([1]Portfolio!$A$3:$AU$63,MATCH($A19,[1]Portfolio!$B$3:$B$63,0),37))</f>
        <v>42156</v>
      </c>
      <c r="U19" s="7">
        <f>IF($A19="","",INDEX([1]Portfolio!$A$3:$AU$63,MATCH($A19,[1]Portfolio!$B$3:$B$63,0),36))</f>
        <v>0</v>
      </c>
      <c r="V19" s="7">
        <f>IF($A19="","",(INDEX([2]Programmesjalons!$A$4:$AH$140,MATCH($A19,[2]Programmesjalons!$A$4:$A$140,0),8)))</f>
        <v>41885</v>
      </c>
      <c r="W19" s="7">
        <f>IF($A19="","",(INDEX([2]Programmesjalons!$A$4:$AH$140,MATCH($A19,[2]Programmesjalons!$A$4:$A$140,0),12)))</f>
        <v>41927</v>
      </c>
      <c r="X19" s="7">
        <f>IF($A19="","",(INDEX([2]Programmesjalons!$A$4:$AH$140,MATCH($A19,[2]Programmesjalons!$A$4:$A$140,0),16)))</f>
        <v>41988</v>
      </c>
      <c r="Y19" s="7">
        <f>IF($A19="","",(INDEX([2]Programmesjalons!$A$4:$AH$140,MATCH($A19,[2]Programmesjalons!$A$4:$A$140,0),30)))</f>
        <v>42219</v>
      </c>
      <c r="Z19" s="59">
        <f>IF($A19="","",(INDEX([2]Programmesjalons!$A$4:$AH$140,MATCH($A19,[2]Programmesjalons!$A$4:$A$140,0),32)))</f>
        <v>42229</v>
      </c>
      <c r="AA19" s="60">
        <f>IF($A19="","",(INDEX([2]Programmesjalons!$A$4:$AH$140,MATCH($A19,[2]Programmesjalons!$A$4:$A$140,0),34)))</f>
        <v>42272</v>
      </c>
      <c r="AB19" s="59">
        <f>IF($A19="","",(INDEX([2]Programmesjalons!$A$4:$AH$140,MATCH($A19,[2]Programmesjalons!$A$4:$A$140,0),26)))</f>
        <v>42188</v>
      </c>
      <c r="AC19" s="59">
        <f>IF($A19="","",(INDEX([2]Programmesjalons!$A$4:$AH$140,MATCH($A19,[2]Programmesjalons!$A$4:$A$140,0),18)))</f>
        <v>42129</v>
      </c>
      <c r="AD19" s="68"/>
      <c r="AE19" s="68"/>
      <c r="AF19" s="68"/>
      <c r="AG19" s="68"/>
      <c r="AH19" s="68"/>
      <c r="AI19" s="68"/>
      <c r="AJ19" s="69"/>
      <c r="AK19" s="70"/>
      <c r="AL19" s="69"/>
      <c r="AM19" s="69"/>
      <c r="AN19" s="7">
        <f t="shared" si="2"/>
        <v>41884</v>
      </c>
      <c r="AO19" s="7">
        <f t="shared" si="3"/>
        <v>41927</v>
      </c>
      <c r="AP19" s="7">
        <f t="shared" si="4"/>
        <v>41988</v>
      </c>
      <c r="AQ19" s="7">
        <f t="shared" si="5"/>
        <v>42193</v>
      </c>
      <c r="AR19" s="59">
        <f t="shared" si="6"/>
        <v>42201</v>
      </c>
      <c r="AS19" s="60">
        <f t="shared" si="7"/>
        <v>42181</v>
      </c>
      <c r="AT19" s="59">
        <f t="shared" si="8"/>
        <v>42156</v>
      </c>
      <c r="AU19" s="59">
        <f t="shared" si="9"/>
        <v>42129</v>
      </c>
      <c r="AV19" s="76">
        <f t="shared" si="10"/>
        <v>41884</v>
      </c>
      <c r="AW19" s="76">
        <f t="shared" si="11"/>
        <v>41884</v>
      </c>
      <c r="AX19" s="61">
        <f t="shared" si="12"/>
        <v>41927</v>
      </c>
      <c r="AY19" s="61">
        <f t="shared" si="13"/>
        <v>41927</v>
      </c>
      <c r="AZ19" s="61">
        <f t="shared" si="14"/>
        <v>41988</v>
      </c>
      <c r="BA19" s="61">
        <f t="shared" si="15"/>
        <v>41988</v>
      </c>
      <c r="BB19" s="61">
        <f t="shared" si="16"/>
        <v>42193</v>
      </c>
      <c r="BC19" s="61">
        <f t="shared" si="17"/>
        <v>42193</v>
      </c>
      <c r="BD19" s="61">
        <f t="shared" si="18"/>
        <v>42181</v>
      </c>
      <c r="BE19" s="61">
        <f t="shared" si="19"/>
        <v>42201</v>
      </c>
      <c r="BF19" s="61">
        <f t="shared" si="20"/>
        <v>42181</v>
      </c>
      <c r="BG19" s="61">
        <f t="shared" si="21"/>
        <v>42181</v>
      </c>
      <c r="BH19" s="61">
        <f t="shared" si="22"/>
        <v>42156</v>
      </c>
      <c r="BI19" s="61">
        <f t="shared" si="23"/>
        <v>42156</v>
      </c>
      <c r="BJ19" s="61">
        <f t="shared" si="24"/>
        <v>42129</v>
      </c>
      <c r="BK19" s="61">
        <f t="shared" si="25"/>
        <v>42129</v>
      </c>
    </row>
    <row r="20" spans="1:63">
      <c r="A20" s="25" t="s">
        <v>43</v>
      </c>
      <c r="B20" s="74">
        <f t="shared" si="0"/>
        <v>0</v>
      </c>
      <c r="C20" s="74">
        <f t="shared" si="1"/>
        <v>0</v>
      </c>
      <c r="D20" s="7">
        <v>41892</v>
      </c>
      <c r="E20" s="7">
        <v>41921</v>
      </c>
      <c r="F20" s="7">
        <v>41934</v>
      </c>
      <c r="G20" s="7">
        <v>42320</v>
      </c>
      <c r="H20" s="59">
        <v>42350</v>
      </c>
      <c r="I20" s="60">
        <v>42074</v>
      </c>
      <c r="J20" s="59">
        <v>42305</v>
      </c>
      <c r="K20" s="59">
        <v>42230</v>
      </c>
      <c r="L20" s="57" t="e">
        <f>IF($A20="","",INDEX([1]Portfolio!$A$3:$AU$63,MATCH($A20,[1]Portfolio!$B$3:$B$63,0),3))</f>
        <v>#N/A</v>
      </c>
      <c r="M20" s="57" t="e">
        <f>IF($A20="","",INDEX([1]Portfolio!$A$3:$AU$63,MATCH($A20,[1]Portfolio!$B$3:$B$63,0),5))</f>
        <v>#N/A</v>
      </c>
      <c r="N20" s="6" t="e">
        <f>IF($A20="","",INDEX([1]Portfolio!$A$3:$AU$63,MATCH($A20,[1]Portfolio!$B$3:$B$63,0),29))</f>
        <v>#N/A</v>
      </c>
      <c r="O20" s="6" t="e">
        <f>IF($A20="","",INDEX([1]Portfolio!$A$3:$AU$63,MATCH($A20,[1]Portfolio!$B$3:$B$63,0),32))</f>
        <v>#N/A</v>
      </c>
      <c r="P20" s="7" t="e">
        <f>IF($A20="","",INDEX([1]Portfolio!$A$3:$AU$63,MATCH($A20,[1]Portfolio!$B$3:$B$63,0),35))</f>
        <v>#N/A</v>
      </c>
      <c r="Q20" s="7" t="e">
        <f>IF($A20="","",INDEX([1]Portfolio!$A$3:$AU$63,MATCH($A20,[1]Portfolio!$B$3:$B$63,0),38))</f>
        <v>#N/A</v>
      </c>
      <c r="R20" s="7" t="e">
        <f>IF($A20="","",INDEX([1]Portfolio!$A$3:$AU$63,MATCH($A20,[1]Portfolio!$B$3:$B$63,0),42))</f>
        <v>#N/A</v>
      </c>
      <c r="S20" s="7" t="e">
        <f>IF($A20="","",INDEX([1]Portfolio!$A$3:$AU$63,MATCH($A20,[1]Portfolio!$B$3:$B$63,0),43))</f>
        <v>#N/A</v>
      </c>
      <c r="T20" s="7" t="e">
        <f>IF($A20="","",INDEX([1]Portfolio!$A$3:$AU$63,MATCH($A20,[1]Portfolio!$B$3:$B$63,0),37))</f>
        <v>#N/A</v>
      </c>
      <c r="U20" s="7" t="e">
        <f>IF($A20="","",INDEX([1]Portfolio!$A$3:$AU$63,MATCH($A20,[1]Portfolio!$B$3:$B$63,0),36))</f>
        <v>#N/A</v>
      </c>
      <c r="V20" s="7">
        <f>IF($A20="","",(INDEX([2]Programmesjalons!$A$4:$AH$140,MATCH($A20,[2]Programmesjalons!$A$4:$A$140,0),8)))</f>
        <v>41892</v>
      </c>
      <c r="W20" s="7">
        <f>IF($A20="","",(INDEX([2]Programmesjalons!$A$4:$AH$140,MATCH($A20,[2]Programmesjalons!$A$4:$A$140,0),12)))</f>
        <v>41921</v>
      </c>
      <c r="X20" s="7">
        <f>IF($A20="","",(INDEX([2]Programmesjalons!$A$4:$AH$140,MATCH($A20,[2]Programmesjalons!$A$4:$A$140,0),16)))</f>
        <v>41934</v>
      </c>
      <c r="Y20" s="7">
        <f>IF($A20="","",(INDEX([2]Programmesjalons!$A$4:$AH$140,MATCH($A20,[2]Programmesjalons!$A$4:$A$140,0),30)))</f>
        <v>42320</v>
      </c>
      <c r="Z20" s="59">
        <f>IF($A20="","",(INDEX([2]Programmesjalons!$A$4:$AH$140,MATCH($A20,[2]Programmesjalons!$A$4:$A$140,0),32)))</f>
        <v>42350</v>
      </c>
      <c r="AA20" s="60">
        <f>IF($A20="","",(INDEX([2]Programmesjalons!$A$4:$AH$140,MATCH($A20,[2]Programmesjalons!$A$4:$A$140,0),34)))</f>
        <v>42074</v>
      </c>
      <c r="AB20" s="59">
        <f>IF($A20="","",(INDEX([2]Programmesjalons!$A$4:$AH$140,MATCH($A20,[2]Programmesjalons!$A$4:$A$140,0),26)))</f>
        <v>42305</v>
      </c>
      <c r="AC20" s="59">
        <f>IF($A20="","",(INDEX([2]Programmesjalons!$A$4:$AH$140,MATCH($A20,[2]Programmesjalons!$A$4:$A$140,0),18)))</f>
        <v>42230</v>
      </c>
      <c r="AD20" s="68"/>
      <c r="AE20" s="68"/>
      <c r="AF20" s="68"/>
      <c r="AG20" s="68"/>
      <c r="AH20" s="68"/>
      <c r="AI20" s="68"/>
      <c r="AJ20" s="69"/>
      <c r="AK20" s="70"/>
      <c r="AL20" s="69"/>
      <c r="AM20" s="69"/>
      <c r="AN20" s="7">
        <f t="shared" si="2"/>
        <v>41892</v>
      </c>
      <c r="AO20" s="7">
        <f t="shared" si="3"/>
        <v>41921</v>
      </c>
      <c r="AP20" s="7">
        <f t="shared" si="4"/>
        <v>41934</v>
      </c>
      <c r="AQ20" s="7">
        <f t="shared" si="5"/>
        <v>42320</v>
      </c>
      <c r="AR20" s="59">
        <f t="shared" si="6"/>
        <v>42350</v>
      </c>
      <c r="AS20" s="60">
        <f t="shared" si="7"/>
        <v>42074</v>
      </c>
      <c r="AT20" s="59">
        <f t="shared" si="8"/>
        <v>42305</v>
      </c>
      <c r="AU20" s="59">
        <f t="shared" si="9"/>
        <v>42230</v>
      </c>
      <c r="AV20" s="76">
        <f t="shared" si="10"/>
        <v>41892</v>
      </c>
      <c r="AW20" s="76">
        <f t="shared" si="11"/>
        <v>41892</v>
      </c>
      <c r="AX20" s="61">
        <f t="shared" si="12"/>
        <v>41921</v>
      </c>
      <c r="AY20" s="61">
        <f t="shared" si="13"/>
        <v>41921</v>
      </c>
      <c r="AZ20" s="61">
        <f t="shared" si="14"/>
        <v>41934</v>
      </c>
      <c r="BA20" s="61">
        <f t="shared" si="15"/>
        <v>41934</v>
      </c>
      <c r="BB20" s="61">
        <f t="shared" si="16"/>
        <v>42320</v>
      </c>
      <c r="BC20" s="61">
        <f t="shared" si="17"/>
        <v>42320</v>
      </c>
      <c r="BD20" s="61">
        <f t="shared" si="18"/>
        <v>42350</v>
      </c>
      <c r="BE20" s="61">
        <f t="shared" si="19"/>
        <v>42350</v>
      </c>
      <c r="BF20" s="61">
        <f t="shared" si="20"/>
        <v>42074</v>
      </c>
      <c r="BG20" s="61">
        <f t="shared" si="21"/>
        <v>42074</v>
      </c>
      <c r="BH20" s="61">
        <f t="shared" si="22"/>
        <v>42305</v>
      </c>
      <c r="BI20" s="61">
        <f t="shared" si="23"/>
        <v>42305</v>
      </c>
      <c r="BJ20" s="61">
        <f t="shared" si="24"/>
        <v>42230</v>
      </c>
      <c r="BK20" s="61">
        <f t="shared" si="25"/>
        <v>42230</v>
      </c>
    </row>
    <row r="21" spans="1:63">
      <c r="A21" s="25" t="s">
        <v>58</v>
      </c>
      <c r="B21" s="74">
        <f t="shared" si="0"/>
        <v>0</v>
      </c>
      <c r="C21" s="74">
        <f t="shared" si="1"/>
        <v>0</v>
      </c>
      <c r="D21" s="7">
        <v>41919</v>
      </c>
      <c r="E21" s="7">
        <v>41963</v>
      </c>
      <c r="F21" s="7">
        <v>42037</v>
      </c>
      <c r="G21" s="7">
        <v>42100</v>
      </c>
      <c r="H21" s="59">
        <v>42130</v>
      </c>
      <c r="I21" s="60">
        <v>42195</v>
      </c>
      <c r="J21" s="59">
        <v>42085</v>
      </c>
      <c r="K21" s="59">
        <v>42040</v>
      </c>
      <c r="L21" s="57" t="e">
        <f>IF($A21="","",INDEX([1]Portfolio!$A$3:$AU$63,MATCH($A21,[1]Portfolio!$B$3:$B$63,0),3))</f>
        <v>#N/A</v>
      </c>
      <c r="M21" s="57" t="e">
        <f>IF($A21="","",INDEX([1]Portfolio!$A$3:$AU$63,MATCH($A21,[1]Portfolio!$B$3:$B$63,0),5))</f>
        <v>#N/A</v>
      </c>
      <c r="N21" s="6" t="e">
        <f>IF($A21="","",INDEX([1]Portfolio!$A$3:$AU$63,MATCH($A21,[1]Portfolio!$B$3:$B$63,0),29))</f>
        <v>#N/A</v>
      </c>
      <c r="O21" s="6" t="e">
        <f>IF($A21="","",INDEX([1]Portfolio!$A$3:$AU$63,MATCH($A21,[1]Portfolio!$B$3:$B$63,0),32))</f>
        <v>#N/A</v>
      </c>
      <c r="P21" s="7" t="e">
        <f>IF($A21="","",INDEX([1]Portfolio!$A$3:$AU$63,MATCH($A21,[1]Portfolio!$B$3:$B$63,0),35))</f>
        <v>#N/A</v>
      </c>
      <c r="Q21" s="7" t="e">
        <f>IF($A21="","",INDEX([1]Portfolio!$A$3:$AU$63,MATCH($A21,[1]Portfolio!$B$3:$B$63,0),38))</f>
        <v>#N/A</v>
      </c>
      <c r="R21" s="7" t="e">
        <f>IF($A21="","",INDEX([1]Portfolio!$A$3:$AU$63,MATCH($A21,[1]Portfolio!$B$3:$B$63,0),42))</f>
        <v>#N/A</v>
      </c>
      <c r="S21" s="7" t="e">
        <f>IF($A21="","",INDEX([1]Portfolio!$A$3:$AU$63,MATCH($A21,[1]Portfolio!$B$3:$B$63,0),43))</f>
        <v>#N/A</v>
      </c>
      <c r="T21" s="7" t="e">
        <f>IF($A21="","",INDEX([1]Portfolio!$A$3:$AU$63,MATCH($A21,[1]Portfolio!$B$3:$B$63,0),37))</f>
        <v>#N/A</v>
      </c>
      <c r="U21" s="7" t="e">
        <f>IF($A21="","",INDEX([1]Portfolio!$A$3:$AU$63,MATCH($A21,[1]Portfolio!$B$3:$B$63,0),36))</f>
        <v>#N/A</v>
      </c>
      <c r="V21" s="7">
        <f>IF($A21="","",(INDEX([2]Programmesjalons!$A$4:$AH$140,MATCH($A21,[2]Programmesjalons!$A$4:$A$140,0),8)))</f>
        <v>41919</v>
      </c>
      <c r="W21" s="7">
        <f>IF($A21="","",(INDEX([2]Programmesjalons!$A$4:$AH$140,MATCH($A21,[2]Programmesjalons!$A$4:$A$140,0),12)))</f>
        <v>41963</v>
      </c>
      <c r="X21" s="7">
        <f>IF($A21="","",(INDEX([2]Programmesjalons!$A$4:$AH$140,MATCH($A21,[2]Programmesjalons!$A$4:$A$140,0),16)))</f>
        <v>42037</v>
      </c>
      <c r="Y21" s="7">
        <f>IF($A21="","",(INDEX([2]Programmesjalons!$A$4:$AH$140,MATCH($A21,[2]Programmesjalons!$A$4:$A$140,0),30)))</f>
        <v>42100</v>
      </c>
      <c r="Z21" s="59">
        <f>IF($A21="","",(INDEX([2]Programmesjalons!$A$4:$AH$140,MATCH($A21,[2]Programmesjalons!$A$4:$A$140,0),32)))</f>
        <v>42130</v>
      </c>
      <c r="AA21" s="60">
        <f>IF($A21="","",(INDEX([2]Programmesjalons!$A$4:$AH$140,MATCH($A21,[2]Programmesjalons!$A$4:$A$140,0),34)))</f>
        <v>42195</v>
      </c>
      <c r="AB21" s="59">
        <f>IF($A21="","",(INDEX([2]Programmesjalons!$A$4:$AH$140,MATCH($A21,[2]Programmesjalons!$A$4:$A$140,0),26)))</f>
        <v>42085</v>
      </c>
      <c r="AC21" s="59">
        <f>IF($A21="","",(INDEX([2]Programmesjalons!$A$4:$AH$140,MATCH($A21,[2]Programmesjalons!$A$4:$A$140,0),18)))</f>
        <v>42040</v>
      </c>
      <c r="AD21" s="68"/>
      <c r="AE21" s="68"/>
      <c r="AF21" s="68"/>
      <c r="AG21" s="68"/>
      <c r="AH21" s="68"/>
      <c r="AI21" s="68"/>
      <c r="AJ21" s="69"/>
      <c r="AK21" s="70"/>
      <c r="AL21" s="69"/>
      <c r="AM21" s="69"/>
      <c r="AN21" s="7">
        <f t="shared" si="2"/>
        <v>41919</v>
      </c>
      <c r="AO21" s="7">
        <f t="shared" si="3"/>
        <v>41963</v>
      </c>
      <c r="AP21" s="7">
        <f t="shared" si="4"/>
        <v>42037</v>
      </c>
      <c r="AQ21" s="7">
        <f t="shared" si="5"/>
        <v>42100</v>
      </c>
      <c r="AR21" s="59">
        <f t="shared" si="6"/>
        <v>42130</v>
      </c>
      <c r="AS21" s="60">
        <f t="shared" si="7"/>
        <v>42195</v>
      </c>
      <c r="AT21" s="59">
        <f t="shared" si="8"/>
        <v>42085</v>
      </c>
      <c r="AU21" s="59">
        <f t="shared" si="9"/>
        <v>42040</v>
      </c>
      <c r="AV21" s="76">
        <f t="shared" si="10"/>
        <v>41919</v>
      </c>
      <c r="AW21" s="76">
        <f t="shared" si="11"/>
        <v>41919</v>
      </c>
      <c r="AX21" s="61">
        <f t="shared" si="12"/>
        <v>41963</v>
      </c>
      <c r="AY21" s="61">
        <f t="shared" si="13"/>
        <v>41963</v>
      </c>
      <c r="AZ21" s="61">
        <f t="shared" si="14"/>
        <v>42037</v>
      </c>
      <c r="BA21" s="61">
        <f t="shared" si="15"/>
        <v>42037</v>
      </c>
      <c r="BB21" s="61">
        <f t="shared" si="16"/>
        <v>42100</v>
      </c>
      <c r="BC21" s="61">
        <f t="shared" si="17"/>
        <v>42100</v>
      </c>
      <c r="BD21" s="61">
        <f t="shared" si="18"/>
        <v>42130</v>
      </c>
      <c r="BE21" s="61">
        <f t="shared" si="19"/>
        <v>42130</v>
      </c>
      <c r="BF21" s="61">
        <f t="shared" si="20"/>
        <v>42195</v>
      </c>
      <c r="BG21" s="61">
        <f t="shared" si="21"/>
        <v>42195</v>
      </c>
      <c r="BH21" s="61">
        <f t="shared" si="22"/>
        <v>42085</v>
      </c>
      <c r="BI21" s="61">
        <f t="shared" si="23"/>
        <v>42085</v>
      </c>
      <c r="BJ21" s="61">
        <f t="shared" si="24"/>
        <v>42040</v>
      </c>
      <c r="BK21" s="61">
        <f t="shared" si="25"/>
        <v>42040</v>
      </c>
    </row>
    <row r="22" spans="1:63">
      <c r="A22" s="25" t="s">
        <v>57</v>
      </c>
      <c r="B22" s="74" t="str">
        <f t="shared" si="0"/>
        <v>JAL</v>
      </c>
      <c r="C22" s="74" t="str">
        <f t="shared" si="1"/>
        <v>B777-200</v>
      </c>
      <c r="D22" s="7">
        <v>41863</v>
      </c>
      <c r="E22" s="7">
        <v>41913</v>
      </c>
      <c r="F22" s="7">
        <v>41948</v>
      </c>
      <c r="G22" s="7">
        <v>42209</v>
      </c>
      <c r="H22" s="59">
        <v>42249</v>
      </c>
      <c r="I22" s="60">
        <v>42300</v>
      </c>
      <c r="J22" s="59">
        <v>42139</v>
      </c>
      <c r="K22" s="59">
        <v>42129</v>
      </c>
      <c r="L22" s="57" t="str">
        <f>IF($A22="","",INDEX([1]Portfolio!$A$3:$AU$63,MATCH($A22,[1]Portfolio!$B$3:$B$63,0),3))</f>
        <v>JAL</v>
      </c>
      <c r="M22" s="57" t="str">
        <f>IF($A22="","",INDEX([1]Portfolio!$A$3:$AU$63,MATCH($A22,[1]Portfolio!$B$3:$B$63,0),5))</f>
        <v>B777-200</v>
      </c>
      <c r="N22" s="6">
        <f>IF($A22="","",INDEX([1]Portfolio!$A$3:$AU$63,MATCH($A22,[1]Portfolio!$B$3:$B$63,0),29))</f>
        <v>41863</v>
      </c>
      <c r="O22" s="6">
        <f>IF($A22="","",INDEX([1]Portfolio!$A$3:$AU$63,MATCH($A22,[1]Portfolio!$B$3:$B$63,0),32))</f>
        <v>41913</v>
      </c>
      <c r="P22" s="7">
        <f>IF($A22="","",INDEX([1]Portfolio!$A$3:$AU$63,MATCH($A22,[1]Portfolio!$B$3:$B$63,0),35))</f>
        <v>41948</v>
      </c>
      <c r="Q22" s="7">
        <f>IF($A22="","",INDEX([1]Portfolio!$A$3:$AU$63,MATCH($A22,[1]Portfolio!$B$3:$B$63,0),38))</f>
        <v>42235</v>
      </c>
      <c r="R22" s="7">
        <f>IF($A22="","",INDEX([1]Portfolio!$A$3:$AU$63,MATCH($A22,[1]Portfolio!$B$3:$B$63,0),42))</f>
        <v>42249</v>
      </c>
      <c r="S22" s="7">
        <f>IF($A22="","",INDEX([1]Portfolio!$A$3:$AU$63,MATCH($A22,[1]Portfolio!$B$3:$B$63,0),43))</f>
        <v>42300</v>
      </c>
      <c r="T22" s="7">
        <f>IF($A22="","",INDEX([1]Portfolio!$A$3:$AU$63,MATCH($A22,[1]Portfolio!$B$3:$B$63,0),37))</f>
        <v>42139</v>
      </c>
      <c r="U22" s="7">
        <f>IF($A22="","",INDEX([1]Portfolio!$A$3:$AU$63,MATCH($A22,[1]Portfolio!$B$3:$B$63,0),36))</f>
        <v>0</v>
      </c>
      <c r="V22" s="7">
        <f>IF($A22="","",(INDEX([2]Programmesjalons!$A$4:$AH$140,MATCH($A22,[2]Programmesjalons!$A$4:$A$140,0),8)))</f>
        <v>41863</v>
      </c>
      <c r="W22" s="7">
        <f>IF($A22="","",(INDEX([2]Programmesjalons!$A$4:$AH$140,MATCH($A22,[2]Programmesjalons!$A$4:$A$140,0),12)))</f>
        <v>41913</v>
      </c>
      <c r="X22" s="7">
        <f>IF($A22="","",(INDEX([2]Programmesjalons!$A$4:$AH$140,MATCH($A22,[2]Programmesjalons!$A$4:$A$140,0),16)))</f>
        <v>41948</v>
      </c>
      <c r="Y22" s="7">
        <f>IF($A22="","",(INDEX([2]Programmesjalons!$A$4:$AH$140,MATCH($A22,[2]Programmesjalons!$A$4:$A$140,0),30)))</f>
        <v>42209</v>
      </c>
      <c r="Z22" s="59">
        <f>IF($A22="","",(INDEX([2]Programmesjalons!$A$4:$AH$140,MATCH($A22,[2]Programmesjalons!$A$4:$A$140,0),32)))</f>
        <v>42249</v>
      </c>
      <c r="AA22" s="60">
        <f>IF($A22="","",(INDEX([2]Programmesjalons!$A$4:$AH$140,MATCH($A22,[2]Programmesjalons!$A$4:$A$140,0),34)))</f>
        <v>42348</v>
      </c>
      <c r="AB22" s="59">
        <f>IF($A22="","",(INDEX([2]Programmesjalons!$A$4:$AH$140,MATCH($A22,[2]Programmesjalons!$A$4:$A$140,0),26)))</f>
        <v>42194</v>
      </c>
      <c r="AC22" s="59">
        <f>IF($A22="","",(INDEX([2]Programmesjalons!$A$4:$AH$140,MATCH($A22,[2]Programmesjalons!$A$4:$A$140,0),18)))</f>
        <v>42129</v>
      </c>
      <c r="AD22" s="68"/>
      <c r="AE22" s="68"/>
      <c r="AF22" s="68"/>
      <c r="AG22" s="68"/>
      <c r="AH22" s="68"/>
      <c r="AI22" s="68"/>
      <c r="AJ22" s="69"/>
      <c r="AK22" s="70"/>
      <c r="AL22" s="69"/>
      <c r="AM22" s="69"/>
      <c r="AN22" s="7">
        <f t="shared" si="2"/>
        <v>41863</v>
      </c>
      <c r="AO22" s="7">
        <f t="shared" si="3"/>
        <v>41913</v>
      </c>
      <c r="AP22" s="7">
        <f t="shared" si="4"/>
        <v>41948</v>
      </c>
      <c r="AQ22" s="7">
        <f t="shared" si="5"/>
        <v>42209</v>
      </c>
      <c r="AR22" s="59">
        <f t="shared" si="6"/>
        <v>42249</v>
      </c>
      <c r="AS22" s="60">
        <f t="shared" si="7"/>
        <v>42300</v>
      </c>
      <c r="AT22" s="59">
        <f t="shared" si="8"/>
        <v>42139</v>
      </c>
      <c r="AU22" s="59">
        <f t="shared" si="9"/>
        <v>42129</v>
      </c>
      <c r="AV22" s="76">
        <f t="shared" si="10"/>
        <v>41863</v>
      </c>
      <c r="AW22" s="76">
        <f t="shared" si="11"/>
        <v>41863</v>
      </c>
      <c r="AX22" s="61">
        <f t="shared" si="12"/>
        <v>41913</v>
      </c>
      <c r="AY22" s="61">
        <f t="shared" si="13"/>
        <v>41913</v>
      </c>
      <c r="AZ22" s="61">
        <f t="shared" si="14"/>
        <v>41948</v>
      </c>
      <c r="BA22" s="61">
        <f t="shared" si="15"/>
        <v>41948</v>
      </c>
      <c r="BB22" s="61">
        <f t="shared" si="16"/>
        <v>42209</v>
      </c>
      <c r="BC22" s="61">
        <f t="shared" si="17"/>
        <v>42209</v>
      </c>
      <c r="BD22" s="61">
        <f t="shared" si="18"/>
        <v>42249</v>
      </c>
      <c r="BE22" s="61">
        <f t="shared" si="19"/>
        <v>42249</v>
      </c>
      <c r="BF22" s="61">
        <f t="shared" si="20"/>
        <v>42300</v>
      </c>
      <c r="BG22" s="61">
        <f t="shared" si="21"/>
        <v>42300</v>
      </c>
      <c r="BH22" s="61">
        <f t="shared" si="22"/>
        <v>42139</v>
      </c>
      <c r="BI22" s="61">
        <f t="shared" si="23"/>
        <v>42139</v>
      </c>
      <c r="BJ22" s="61">
        <f t="shared" si="24"/>
        <v>42129</v>
      </c>
      <c r="BK22" s="61">
        <f t="shared" si="25"/>
        <v>42129</v>
      </c>
    </row>
    <row r="23" spans="1:63">
      <c r="A23" s="25" t="s">
        <v>48</v>
      </c>
      <c r="B23" s="74" t="str">
        <f t="shared" si="0"/>
        <v>Hainan Airlines</v>
      </c>
      <c r="C23" s="74" t="str">
        <f t="shared" si="1"/>
        <v>A320-200</v>
      </c>
      <c r="D23" s="7">
        <v>41898</v>
      </c>
      <c r="E23" s="7">
        <v>41928</v>
      </c>
      <c r="F23" s="7">
        <v>41983</v>
      </c>
      <c r="G23" s="7">
        <v>42051</v>
      </c>
      <c r="H23" s="59">
        <v>42081</v>
      </c>
      <c r="I23" s="60">
        <v>42164</v>
      </c>
      <c r="J23" s="59">
        <v>42036</v>
      </c>
      <c r="K23" s="59">
        <v>41991</v>
      </c>
      <c r="L23" s="57" t="str">
        <f>IF($A23="","",INDEX([1]Portfolio!$A$3:$AU$63,MATCH($A23,[1]Portfolio!$B$3:$B$63,0),3))</f>
        <v>Hainan Airlines</v>
      </c>
      <c r="M23" s="57" t="str">
        <f>IF($A23="","",INDEX([1]Portfolio!$A$3:$AU$63,MATCH($A23,[1]Portfolio!$B$3:$B$63,0),5))</f>
        <v>A320-200</v>
      </c>
      <c r="N23" s="6">
        <f>IF($A23="","",INDEX([1]Portfolio!$A$3:$AU$63,MATCH($A23,[1]Portfolio!$B$3:$B$63,0),29))</f>
        <v>41898</v>
      </c>
      <c r="O23" s="6">
        <f>IF($A23="","",INDEX([1]Portfolio!$A$3:$AU$63,MATCH($A23,[1]Portfolio!$B$3:$B$63,0),32))</f>
        <v>41928</v>
      </c>
      <c r="P23" s="7">
        <f>IF($A23="","",INDEX([1]Portfolio!$A$3:$AU$63,MATCH($A23,[1]Portfolio!$B$3:$B$63,0),35))</f>
        <v>41983</v>
      </c>
      <c r="Q23" s="7">
        <f>IF($A23="","",INDEX([1]Portfolio!$A$3:$AU$63,MATCH($A23,[1]Portfolio!$B$3:$B$63,0),38))</f>
        <v>42235</v>
      </c>
      <c r="R23" s="7">
        <f>IF($A23="","",INDEX([1]Portfolio!$A$3:$AU$63,MATCH($A23,[1]Portfolio!$B$3:$B$63,0),42))</f>
        <v>42081</v>
      </c>
      <c r="S23" s="7">
        <f>IF($A23="","",INDEX([1]Portfolio!$A$3:$AU$63,MATCH($A23,[1]Portfolio!$B$3:$B$63,0),43))</f>
        <v>42300</v>
      </c>
      <c r="T23" s="7">
        <f>IF($A23="","",INDEX([1]Portfolio!$A$3:$AU$63,MATCH($A23,[1]Portfolio!$B$3:$B$63,0),37))</f>
        <v>42079</v>
      </c>
      <c r="U23" s="7">
        <f>IF($A23="","",INDEX([1]Portfolio!$A$3:$AU$63,MATCH($A23,[1]Portfolio!$B$3:$B$63,0),36))</f>
        <v>0</v>
      </c>
      <c r="V23" s="7">
        <f>IF($A23="","",(INDEX([2]Programmesjalons!$A$4:$AH$140,MATCH($A23,[2]Programmesjalons!$A$4:$A$140,0),8)))</f>
        <v>41898</v>
      </c>
      <c r="W23" s="7">
        <f>IF($A23="","",(INDEX([2]Programmesjalons!$A$4:$AH$140,MATCH($A23,[2]Programmesjalons!$A$4:$A$140,0),12)))</f>
        <v>42293</v>
      </c>
      <c r="X23" s="7">
        <f>IF($A23="","",(INDEX([2]Programmesjalons!$A$4:$AH$140,MATCH($A23,[2]Programmesjalons!$A$4:$A$140,0),16)))</f>
        <v>41983</v>
      </c>
      <c r="Y23" s="7">
        <f>IF($A23="","",(INDEX([2]Programmesjalons!$A$4:$AH$140,MATCH($A23,[2]Programmesjalons!$A$4:$A$140,0),30)))</f>
        <v>42051</v>
      </c>
      <c r="Z23" s="59">
        <f>IF($A23="","",(INDEX([2]Programmesjalons!$A$4:$AH$140,MATCH($A23,[2]Programmesjalons!$A$4:$A$140,0),32)))</f>
        <v>42081</v>
      </c>
      <c r="AA23" s="60">
        <f>IF($A23="","",(INDEX([2]Programmesjalons!$A$4:$AH$140,MATCH($A23,[2]Programmesjalons!$A$4:$A$140,0),34)))</f>
        <v>42164</v>
      </c>
      <c r="AB23" s="59">
        <f>IF($A23="","",(INDEX([2]Programmesjalons!$A$4:$AH$140,MATCH($A23,[2]Programmesjalons!$A$4:$A$140,0),26)))</f>
        <v>42036</v>
      </c>
      <c r="AC23" s="59">
        <f>IF($A23="","",(INDEX([2]Programmesjalons!$A$4:$AH$140,MATCH($A23,[2]Programmesjalons!$A$4:$A$140,0),18)))</f>
        <v>41991</v>
      </c>
      <c r="AD23" s="68"/>
      <c r="AE23" s="68"/>
      <c r="AF23" s="68"/>
      <c r="AG23" s="68"/>
      <c r="AH23" s="68"/>
      <c r="AI23" s="68"/>
      <c r="AJ23" s="69"/>
      <c r="AK23" s="70"/>
      <c r="AL23" s="69"/>
      <c r="AM23" s="69"/>
      <c r="AN23" s="7">
        <f t="shared" si="2"/>
        <v>41898</v>
      </c>
      <c r="AO23" s="7">
        <f t="shared" si="3"/>
        <v>41928</v>
      </c>
      <c r="AP23" s="7">
        <f t="shared" si="4"/>
        <v>41983</v>
      </c>
      <c r="AQ23" s="7">
        <f t="shared" si="5"/>
        <v>42051</v>
      </c>
      <c r="AR23" s="59">
        <f t="shared" si="6"/>
        <v>42081</v>
      </c>
      <c r="AS23" s="60">
        <f t="shared" si="7"/>
        <v>42164</v>
      </c>
      <c r="AT23" s="59">
        <f t="shared" si="8"/>
        <v>42036</v>
      </c>
      <c r="AU23" s="59">
        <f t="shared" si="9"/>
        <v>41991</v>
      </c>
      <c r="AV23" s="76">
        <f t="shared" si="10"/>
        <v>41898</v>
      </c>
      <c r="AW23" s="76">
        <f t="shared" si="11"/>
        <v>41898</v>
      </c>
      <c r="AX23" s="61">
        <f t="shared" si="12"/>
        <v>41928</v>
      </c>
      <c r="AY23" s="61">
        <f t="shared" si="13"/>
        <v>41928</v>
      </c>
      <c r="AZ23" s="61">
        <f t="shared" si="14"/>
        <v>41983</v>
      </c>
      <c r="BA23" s="61">
        <f t="shared" si="15"/>
        <v>41983</v>
      </c>
      <c r="BB23" s="61">
        <f t="shared" si="16"/>
        <v>42051</v>
      </c>
      <c r="BC23" s="61">
        <f t="shared" si="17"/>
        <v>42051</v>
      </c>
      <c r="BD23" s="61">
        <f t="shared" si="18"/>
        <v>42081</v>
      </c>
      <c r="BE23" s="61">
        <f t="shared" si="19"/>
        <v>42081</v>
      </c>
      <c r="BF23" s="61">
        <f t="shared" si="20"/>
        <v>42164</v>
      </c>
      <c r="BG23" s="61">
        <f t="shared" si="21"/>
        <v>42164</v>
      </c>
      <c r="BH23" s="61">
        <f t="shared" si="22"/>
        <v>42036</v>
      </c>
      <c r="BI23" s="61">
        <f t="shared" si="23"/>
        <v>42036</v>
      </c>
      <c r="BJ23" s="61">
        <f t="shared" si="24"/>
        <v>41991</v>
      </c>
      <c r="BK23" s="61">
        <f t="shared" si="25"/>
        <v>41991</v>
      </c>
    </row>
    <row r="24" spans="1:63">
      <c r="A24" s="25" t="s">
        <v>222</v>
      </c>
      <c r="B24" s="74" t="str">
        <f t="shared" si="0"/>
        <v>Hainan Airlines</v>
      </c>
      <c r="C24" s="74" t="str">
        <f t="shared" si="1"/>
        <v>A321-200?</v>
      </c>
      <c r="D24" s="7">
        <v>41976</v>
      </c>
      <c r="E24" s="7">
        <v>42039</v>
      </c>
      <c r="F24" s="7">
        <v>42068</v>
      </c>
      <c r="G24" s="7">
        <v>42142</v>
      </c>
      <c r="H24" s="59">
        <v>42172</v>
      </c>
      <c r="I24" s="60">
        <v>42194</v>
      </c>
      <c r="J24" s="59">
        <v>42127</v>
      </c>
      <c r="K24" s="59">
        <v>42082</v>
      </c>
      <c r="L24" s="57" t="e">
        <f>IF($A24="","",INDEX([1]Portfolio!$A$3:$AU$63,MATCH($A24,[1]Portfolio!$B$3:$B$63,0),3))</f>
        <v>#N/A</v>
      </c>
      <c r="M24" s="57" t="e">
        <f>IF($A24="","",INDEX([1]Portfolio!$A$3:$AU$63,MATCH($A24,[1]Portfolio!$B$3:$B$63,0),5))</f>
        <v>#N/A</v>
      </c>
      <c r="N24" s="6" t="e">
        <f>IF($A24="","",INDEX([1]Portfolio!$A$3:$AU$63,MATCH($A24,[1]Portfolio!$B$3:$B$63,0),29))</f>
        <v>#N/A</v>
      </c>
      <c r="O24" s="6" t="e">
        <f>IF($A24="","",INDEX([1]Portfolio!$A$3:$AU$63,MATCH($A24,[1]Portfolio!$B$3:$B$63,0),32))</f>
        <v>#N/A</v>
      </c>
      <c r="P24" s="7" t="e">
        <f>IF($A24="","",INDEX([1]Portfolio!$A$3:$AU$63,MATCH($A24,[1]Portfolio!$B$3:$B$63,0),35))</f>
        <v>#N/A</v>
      </c>
      <c r="Q24" s="7" t="e">
        <f>IF($A24="","",INDEX([1]Portfolio!$A$3:$AU$63,MATCH($A24,[1]Portfolio!$B$3:$B$63,0),38))</f>
        <v>#N/A</v>
      </c>
      <c r="R24" s="7" t="e">
        <f>IF($A24="","",INDEX([1]Portfolio!$A$3:$AU$63,MATCH($A24,[1]Portfolio!$B$3:$B$63,0),42))</f>
        <v>#N/A</v>
      </c>
      <c r="S24" s="7" t="e">
        <f>IF($A24="","",INDEX([1]Portfolio!$A$3:$AU$63,MATCH($A24,[1]Portfolio!$B$3:$B$63,0),43))</f>
        <v>#N/A</v>
      </c>
      <c r="T24" s="7" t="e">
        <f>IF($A24="","",INDEX([1]Portfolio!$A$3:$AU$63,MATCH($A24,[1]Portfolio!$B$3:$B$63,0),37))</f>
        <v>#N/A</v>
      </c>
      <c r="U24" s="7" t="e">
        <f>IF($A24="","",INDEX([1]Portfolio!$A$3:$AU$63,MATCH($A24,[1]Portfolio!$B$3:$B$63,0),36))</f>
        <v>#N/A</v>
      </c>
      <c r="V24" s="7">
        <f>IF($A24="","",(INDEX([2]Programmesjalons!$A$4:$AH$140,MATCH($A24,[2]Programmesjalons!$A$4:$A$140,0),8)))</f>
        <v>41976</v>
      </c>
      <c r="W24" s="7">
        <f>IF($A24="","",(INDEX([2]Programmesjalons!$A$4:$AH$140,MATCH($A24,[2]Programmesjalons!$A$4:$A$140,0),12)))</f>
        <v>42039</v>
      </c>
      <c r="X24" s="7">
        <f>IF($A24="","",(INDEX([2]Programmesjalons!$A$4:$AH$140,MATCH($A24,[2]Programmesjalons!$A$4:$A$140,0),16)))</f>
        <v>42068</v>
      </c>
      <c r="Y24" s="7">
        <f>IF($A24="","",(INDEX([2]Programmesjalons!$A$4:$AH$140,MATCH($A24,[2]Programmesjalons!$A$4:$A$140,0),30)))</f>
        <v>42142</v>
      </c>
      <c r="Z24" s="59">
        <f>IF($A24="","",(INDEX([2]Programmesjalons!$A$4:$AH$140,MATCH($A24,[2]Programmesjalons!$A$4:$A$140,0),32)))</f>
        <v>42172</v>
      </c>
      <c r="AA24" s="60">
        <f>IF($A24="","",(INDEX([2]Programmesjalons!$A$4:$AH$140,MATCH($A24,[2]Programmesjalons!$A$4:$A$140,0),34)))</f>
        <v>42194</v>
      </c>
      <c r="AB24" s="59">
        <f>IF($A24="","",(INDEX([2]Programmesjalons!$A$4:$AH$140,MATCH($A24,[2]Programmesjalons!$A$4:$A$140,0),26)))</f>
        <v>42127</v>
      </c>
      <c r="AC24" s="59">
        <f>IF($A24="","",(INDEX([2]Programmesjalons!$A$4:$AH$140,MATCH($A24,[2]Programmesjalons!$A$4:$A$140,0),18)))</f>
        <v>42082</v>
      </c>
      <c r="AD24" s="68" t="s">
        <v>257</v>
      </c>
      <c r="AE24" s="68" t="s">
        <v>258</v>
      </c>
      <c r="AF24" s="68"/>
      <c r="AG24" s="68"/>
      <c r="AH24" s="68"/>
      <c r="AI24" s="68"/>
      <c r="AJ24" s="69"/>
      <c r="AK24" s="70"/>
      <c r="AL24" s="69"/>
      <c r="AM24" s="69"/>
      <c r="AN24" s="7">
        <f t="shared" si="2"/>
        <v>41976</v>
      </c>
      <c r="AO24" s="7">
        <f t="shared" si="3"/>
        <v>42039</v>
      </c>
      <c r="AP24" s="7">
        <f t="shared" si="4"/>
        <v>42068</v>
      </c>
      <c r="AQ24" s="7">
        <f t="shared" si="5"/>
        <v>42142</v>
      </c>
      <c r="AR24" s="59">
        <f t="shared" si="6"/>
        <v>42172</v>
      </c>
      <c r="AS24" s="60">
        <f t="shared" si="7"/>
        <v>42194</v>
      </c>
      <c r="AT24" s="59">
        <f t="shared" si="8"/>
        <v>42127</v>
      </c>
      <c r="AU24" s="59">
        <f t="shared" si="9"/>
        <v>42082</v>
      </c>
      <c r="AV24" s="76">
        <f t="shared" si="10"/>
        <v>41976</v>
      </c>
      <c r="AW24" s="76">
        <f t="shared" si="11"/>
        <v>41976</v>
      </c>
      <c r="AX24" s="61">
        <f t="shared" si="12"/>
        <v>42039</v>
      </c>
      <c r="AY24" s="61">
        <f t="shared" si="13"/>
        <v>42039</v>
      </c>
      <c r="AZ24" s="61">
        <f t="shared" si="14"/>
        <v>42068</v>
      </c>
      <c r="BA24" s="61">
        <f t="shared" si="15"/>
        <v>42068</v>
      </c>
      <c r="BB24" s="61">
        <f t="shared" si="16"/>
        <v>42142</v>
      </c>
      <c r="BC24" s="61">
        <f t="shared" si="17"/>
        <v>42142</v>
      </c>
      <c r="BD24" s="61">
        <f t="shared" si="18"/>
        <v>42172</v>
      </c>
      <c r="BE24" s="61">
        <f t="shared" si="19"/>
        <v>42172</v>
      </c>
      <c r="BF24" s="61">
        <f t="shared" si="20"/>
        <v>42194</v>
      </c>
      <c r="BG24" s="61">
        <f t="shared" si="21"/>
        <v>42194</v>
      </c>
      <c r="BH24" s="61">
        <f t="shared" si="22"/>
        <v>42127</v>
      </c>
      <c r="BI24" s="61">
        <f t="shared" si="23"/>
        <v>42127</v>
      </c>
      <c r="BJ24" s="61">
        <f t="shared" si="24"/>
        <v>42082</v>
      </c>
      <c r="BK24" s="61">
        <f t="shared" si="25"/>
        <v>42082</v>
      </c>
    </row>
    <row r="25" spans="1:63">
      <c r="A25" s="25" t="s">
        <v>116</v>
      </c>
      <c r="B25" s="74" t="str">
        <f t="shared" si="0"/>
        <v>Indigo</v>
      </c>
      <c r="C25" s="74" t="str">
        <f t="shared" si="1"/>
        <v>A320-200</v>
      </c>
      <c r="D25" s="7">
        <v>42032</v>
      </c>
      <c r="E25" s="7">
        <v>42041</v>
      </c>
      <c r="F25" s="7">
        <v>42079</v>
      </c>
      <c r="G25" s="7">
        <v>42165</v>
      </c>
      <c r="H25" s="59">
        <v>42173</v>
      </c>
      <c r="I25" s="60">
        <v>42231</v>
      </c>
      <c r="J25" s="59">
        <v>42155</v>
      </c>
      <c r="K25" s="59">
        <v>42110</v>
      </c>
      <c r="L25" s="57" t="str">
        <f>IF($A25="","",INDEX([1]Portfolio!$A$3:$AU$63,MATCH($A25,[1]Portfolio!$B$3:$B$63,0),3))</f>
        <v>Indigo</v>
      </c>
      <c r="M25" s="57" t="str">
        <f>IF($A25="","",INDEX([1]Portfolio!$A$3:$AU$63,MATCH($A25,[1]Portfolio!$B$3:$B$63,0),5))</f>
        <v>A320-200</v>
      </c>
      <c r="N25" s="6">
        <f>IF($A25="","",INDEX([1]Portfolio!$A$3:$AU$63,MATCH($A25,[1]Portfolio!$B$3:$B$63,0),29))</f>
        <v>42032</v>
      </c>
      <c r="O25" s="6">
        <f>IF($A25="","",INDEX([1]Portfolio!$A$3:$AU$63,MATCH($A25,[1]Portfolio!$B$3:$B$63,0),32))</f>
        <v>42041</v>
      </c>
      <c r="P25" s="7">
        <f>IF($A25="","",INDEX([1]Portfolio!$A$3:$AU$63,MATCH($A25,[1]Portfolio!$B$3:$B$63,0),35))</f>
        <v>42079</v>
      </c>
      <c r="Q25" s="7">
        <f>IF($A25="","",INDEX([1]Portfolio!$A$3:$AU$63,MATCH($A25,[1]Portfolio!$B$3:$B$63,0),38))</f>
        <v>42165</v>
      </c>
      <c r="R25" s="7">
        <f>IF($A25="","",INDEX([1]Portfolio!$A$3:$AU$63,MATCH($A25,[1]Portfolio!$B$3:$B$63,0),42))</f>
        <v>42173</v>
      </c>
      <c r="S25" s="7">
        <f>IF($A25="","",INDEX([1]Portfolio!$A$3:$AU$63,MATCH($A25,[1]Portfolio!$B$3:$B$63,0),43))</f>
        <v>42231</v>
      </c>
      <c r="T25" s="7">
        <f>IF($A25="","",INDEX([1]Portfolio!$A$3:$AU$63,MATCH($A25,[1]Portfolio!$B$3:$B$63,0),37))</f>
        <v>42175</v>
      </c>
      <c r="U25" s="7">
        <f>IF($A25="","",INDEX([1]Portfolio!$A$3:$AU$63,MATCH($A25,[1]Portfolio!$B$3:$B$63,0),36))</f>
        <v>42124</v>
      </c>
      <c r="V25" s="7">
        <f>IF($A25="","",(INDEX([2]Programmesjalons!$A$4:$AH$140,MATCH($A25,[2]Programmesjalons!$A$4:$A$140,0),8)))</f>
        <v>42034</v>
      </c>
      <c r="W25" s="7">
        <f>IF($A25="","",(INDEX([2]Programmesjalons!$A$4:$AH$140,MATCH($A25,[2]Programmesjalons!$A$4:$A$140,0),12)))</f>
        <v>42043</v>
      </c>
      <c r="X25" s="7">
        <f>IF($A25="","",(INDEX([2]Programmesjalons!$A$4:$AH$140,MATCH($A25,[2]Programmesjalons!$A$4:$A$140,0),16)))</f>
        <v>42079</v>
      </c>
      <c r="Y25" s="7">
        <f>IF($A25="","",(INDEX([2]Programmesjalons!$A$4:$AH$140,MATCH($A25,[2]Programmesjalons!$A$4:$A$140,0),30)))</f>
        <v>42170</v>
      </c>
      <c r="Z25" s="59">
        <f>IF($A25="","",(INDEX([2]Programmesjalons!$A$4:$AH$140,MATCH($A25,[2]Programmesjalons!$A$4:$A$140,0),32)))</f>
        <v>42185</v>
      </c>
      <c r="AA25" s="60">
        <f>IF($A25="","",(INDEX([2]Programmesjalons!$A$4:$AH$140,MATCH($A25,[2]Programmesjalons!$A$4:$A$140,0),34)))</f>
        <v>42241</v>
      </c>
      <c r="AB25" s="59">
        <f>IF($A25="","",(INDEX([2]Programmesjalons!$A$4:$AH$140,MATCH($A25,[2]Programmesjalons!$A$4:$A$140,0),26)))</f>
        <v>42155</v>
      </c>
      <c r="AC25" s="59">
        <f>IF($A25="","",(INDEX([2]Programmesjalons!$A$4:$AH$140,MATCH($A25,[2]Programmesjalons!$A$4:$A$140,0),18)))</f>
        <v>42110</v>
      </c>
      <c r="AD25" s="68"/>
      <c r="AE25" s="68"/>
      <c r="AF25" s="68"/>
      <c r="AG25" s="68"/>
      <c r="AH25" s="68"/>
      <c r="AI25" s="68"/>
      <c r="AJ25" s="69"/>
      <c r="AK25" s="70"/>
      <c r="AL25" s="69"/>
      <c r="AM25" s="69"/>
      <c r="AN25" s="7">
        <f t="shared" si="2"/>
        <v>42032</v>
      </c>
      <c r="AO25" s="7">
        <f t="shared" si="3"/>
        <v>42041</v>
      </c>
      <c r="AP25" s="7">
        <f t="shared" si="4"/>
        <v>42079</v>
      </c>
      <c r="AQ25" s="7">
        <f t="shared" si="5"/>
        <v>42165</v>
      </c>
      <c r="AR25" s="59">
        <f t="shared" si="6"/>
        <v>42173</v>
      </c>
      <c r="AS25" s="60">
        <f t="shared" si="7"/>
        <v>42231</v>
      </c>
      <c r="AT25" s="59">
        <f t="shared" si="8"/>
        <v>42155</v>
      </c>
      <c r="AU25" s="59">
        <f t="shared" si="9"/>
        <v>42110</v>
      </c>
      <c r="AV25" s="76">
        <f t="shared" si="10"/>
        <v>42032</v>
      </c>
      <c r="AW25" s="76">
        <f t="shared" si="11"/>
        <v>42032</v>
      </c>
      <c r="AX25" s="61">
        <f t="shared" si="12"/>
        <v>42041</v>
      </c>
      <c r="AY25" s="61">
        <f t="shared" si="13"/>
        <v>42041</v>
      </c>
      <c r="AZ25" s="61">
        <f t="shared" si="14"/>
        <v>42079</v>
      </c>
      <c r="BA25" s="61">
        <f t="shared" si="15"/>
        <v>42079</v>
      </c>
      <c r="BB25" s="61">
        <f t="shared" si="16"/>
        <v>42165</v>
      </c>
      <c r="BC25" s="61">
        <f t="shared" si="17"/>
        <v>42165</v>
      </c>
      <c r="BD25" s="61">
        <f t="shared" si="18"/>
        <v>42185</v>
      </c>
      <c r="BE25" s="61">
        <f t="shared" si="19"/>
        <v>42173</v>
      </c>
      <c r="BF25" s="61">
        <f t="shared" si="20"/>
        <v>42231</v>
      </c>
      <c r="BG25" s="61">
        <f t="shared" si="21"/>
        <v>42231</v>
      </c>
      <c r="BH25" s="61">
        <f t="shared" si="22"/>
        <v>42155</v>
      </c>
      <c r="BI25" s="61">
        <f t="shared" si="23"/>
        <v>42155</v>
      </c>
      <c r="BJ25" s="61">
        <f t="shared" si="24"/>
        <v>42110</v>
      </c>
      <c r="BK25" s="61">
        <f t="shared" si="25"/>
        <v>42110</v>
      </c>
    </row>
    <row r="26" spans="1:63">
      <c r="A26" s="25" t="s">
        <v>117</v>
      </c>
      <c r="B26" s="74">
        <f t="shared" si="0"/>
        <v>0</v>
      </c>
      <c r="C26" s="74">
        <f t="shared" si="1"/>
        <v>0</v>
      </c>
      <c r="D26" s="7">
        <v>41955</v>
      </c>
      <c r="E26" s="7">
        <v>41992</v>
      </c>
      <c r="F26" s="7">
        <v>41992</v>
      </c>
      <c r="G26" s="7">
        <v>42036</v>
      </c>
      <c r="H26" s="59">
        <v>42053</v>
      </c>
      <c r="I26" s="60">
        <v>42094</v>
      </c>
      <c r="J26" s="59">
        <v>41996</v>
      </c>
      <c r="K26" s="59" t="s">
        <v>242</v>
      </c>
      <c r="L26" s="57" t="e">
        <f>IF($A26="","",INDEX([1]Portfolio!$A$3:$AU$63,MATCH($A26,[1]Portfolio!$B$3:$B$63,0),3))</f>
        <v>#N/A</v>
      </c>
      <c r="M26" s="57" t="e">
        <f>IF($A26="","",INDEX([1]Portfolio!$A$3:$AU$63,MATCH($A26,[1]Portfolio!$B$3:$B$63,0),5))</f>
        <v>#N/A</v>
      </c>
      <c r="N26" s="6" t="e">
        <f>IF($A26="","",INDEX([1]Portfolio!$A$3:$AU$63,MATCH($A26,[1]Portfolio!$B$3:$B$63,0),29))</f>
        <v>#N/A</v>
      </c>
      <c r="O26" s="6" t="e">
        <f>IF($A26="","",INDEX([1]Portfolio!$A$3:$AU$63,MATCH($A26,[1]Portfolio!$B$3:$B$63,0),32))</f>
        <v>#N/A</v>
      </c>
      <c r="P26" s="7" t="e">
        <f>IF($A26="","",INDEX([1]Portfolio!$A$3:$AU$63,MATCH($A26,[1]Portfolio!$B$3:$B$63,0),35))</f>
        <v>#N/A</v>
      </c>
      <c r="Q26" s="7" t="e">
        <f>IF($A26="","",INDEX([1]Portfolio!$A$3:$AU$63,MATCH($A26,[1]Portfolio!$B$3:$B$63,0),38))</f>
        <v>#N/A</v>
      </c>
      <c r="R26" s="7" t="e">
        <f>IF($A26="","",INDEX([1]Portfolio!$A$3:$AU$63,MATCH($A26,[1]Portfolio!$B$3:$B$63,0),42))</f>
        <v>#N/A</v>
      </c>
      <c r="S26" s="7" t="e">
        <f>IF($A26="","",INDEX([1]Portfolio!$A$3:$AU$63,MATCH($A26,[1]Portfolio!$B$3:$B$63,0),43))</f>
        <v>#N/A</v>
      </c>
      <c r="T26" s="7" t="e">
        <f>IF($A26="","",INDEX([1]Portfolio!$A$3:$AU$63,MATCH($A26,[1]Portfolio!$B$3:$B$63,0),37))</f>
        <v>#N/A</v>
      </c>
      <c r="U26" s="7" t="e">
        <f>IF($A26="","",INDEX([1]Portfolio!$A$3:$AU$63,MATCH($A26,[1]Portfolio!$B$3:$B$63,0),36))</f>
        <v>#N/A</v>
      </c>
      <c r="V26" s="7" t="e">
        <f>IF($A26="","",(INDEX([2]Programmesjalons!$A$4:$AH$140,MATCH($A26,[2]Programmesjalons!$A$4:$A$140,0),8)))</f>
        <v>#N/A</v>
      </c>
      <c r="W26" s="7" t="e">
        <f>IF($A26="","",(INDEX([2]Programmesjalons!$A$4:$AH$140,MATCH($A26,[2]Programmesjalons!$A$4:$A$140,0),12)))</f>
        <v>#N/A</v>
      </c>
      <c r="X26" s="7" t="e">
        <f>IF($A26="","",(INDEX([2]Programmesjalons!$A$4:$AH$140,MATCH($A26,[2]Programmesjalons!$A$4:$A$140,0),16)))</f>
        <v>#N/A</v>
      </c>
      <c r="Y26" s="7" t="e">
        <f>IF($A26="","",(INDEX([2]Programmesjalons!$A$4:$AH$140,MATCH($A26,[2]Programmesjalons!$A$4:$A$140,0),30)))</f>
        <v>#N/A</v>
      </c>
      <c r="Z26" s="59" t="e">
        <f>IF($A26="","",(INDEX([2]Programmesjalons!$A$4:$AH$140,MATCH($A26,[2]Programmesjalons!$A$4:$A$140,0),32)))</f>
        <v>#N/A</v>
      </c>
      <c r="AA26" s="60" t="e">
        <f>IF($A26="","",(INDEX([2]Programmesjalons!$A$4:$AH$140,MATCH($A26,[2]Programmesjalons!$A$4:$A$140,0),34)))</f>
        <v>#N/A</v>
      </c>
      <c r="AB26" s="59" t="e">
        <f>IF($A26="","",(INDEX([2]Programmesjalons!$A$4:$AH$140,MATCH($A26,[2]Programmesjalons!$A$4:$A$140,0),26)))</f>
        <v>#N/A</v>
      </c>
      <c r="AC26" s="59" t="e">
        <f>IF($A26="","",(INDEX([2]Programmesjalons!$A$4:$AH$140,MATCH($A26,[2]Programmesjalons!$A$4:$A$140,0),18)))</f>
        <v>#N/A</v>
      </c>
      <c r="AD26" s="68"/>
      <c r="AE26" s="68"/>
      <c r="AF26" s="68">
        <v>41955</v>
      </c>
      <c r="AG26" s="68">
        <v>41992</v>
      </c>
      <c r="AH26" s="68">
        <v>41992</v>
      </c>
      <c r="AI26" s="68">
        <v>42036</v>
      </c>
      <c r="AJ26" s="69">
        <v>42053</v>
      </c>
      <c r="AK26" s="70">
        <v>42094</v>
      </c>
      <c r="AL26" s="69">
        <v>41996</v>
      </c>
      <c r="AM26" s="69"/>
      <c r="AN26" s="7">
        <f t="shared" si="2"/>
        <v>41955</v>
      </c>
      <c r="AO26" s="7">
        <f t="shared" si="3"/>
        <v>41992</v>
      </c>
      <c r="AP26" s="7">
        <f t="shared" si="4"/>
        <v>41992</v>
      </c>
      <c r="AQ26" s="7">
        <f t="shared" si="5"/>
        <v>42036</v>
      </c>
      <c r="AR26" s="59">
        <f t="shared" si="6"/>
        <v>42053</v>
      </c>
      <c r="AS26" s="60">
        <f t="shared" si="7"/>
        <v>42094</v>
      </c>
      <c r="AT26" s="59">
        <f t="shared" si="8"/>
        <v>41996</v>
      </c>
      <c r="AU26" s="59" t="str">
        <f t="shared" si="9"/>
        <v>manque date</v>
      </c>
      <c r="AV26" s="76">
        <f t="shared" si="10"/>
        <v>41955</v>
      </c>
      <c r="AW26" s="76" t="str">
        <f t="shared" si="11"/>
        <v>manque date</v>
      </c>
      <c r="AX26" s="61">
        <f t="shared" si="12"/>
        <v>41992</v>
      </c>
      <c r="AY26" s="61" t="str">
        <f t="shared" si="13"/>
        <v>manque date</v>
      </c>
      <c r="AZ26" s="61">
        <f t="shared" si="14"/>
        <v>41992</v>
      </c>
      <c r="BA26" s="61" t="str">
        <f t="shared" si="15"/>
        <v>manque date</v>
      </c>
      <c r="BB26" s="61">
        <f t="shared" si="16"/>
        <v>42036</v>
      </c>
      <c r="BC26" s="61" t="str">
        <f t="shared" si="17"/>
        <v>manque date</v>
      </c>
      <c r="BD26" s="61">
        <f t="shared" si="18"/>
        <v>42053</v>
      </c>
      <c r="BE26" s="61" t="str">
        <f t="shared" si="19"/>
        <v>manque date</v>
      </c>
      <c r="BF26" s="61">
        <f t="shared" si="20"/>
        <v>42094</v>
      </c>
      <c r="BG26" s="61" t="str">
        <f t="shared" si="21"/>
        <v>manque date</v>
      </c>
      <c r="BH26" s="61">
        <f t="shared" si="22"/>
        <v>41996</v>
      </c>
      <c r="BI26" s="61" t="str">
        <f t="shared" si="23"/>
        <v>manque date</v>
      </c>
      <c r="BJ26" s="61">
        <f t="shared" si="24"/>
        <v>0</v>
      </c>
      <c r="BK26" s="61" t="str">
        <f t="shared" si="25"/>
        <v>manque date</v>
      </c>
    </row>
    <row r="27" spans="1:63">
      <c r="A27" s="25" t="s">
        <v>118</v>
      </c>
      <c r="B27" s="74" t="str">
        <f t="shared" si="0"/>
        <v>Safair</v>
      </c>
      <c r="C27" s="74" t="str">
        <f t="shared" si="1"/>
        <v>B737</v>
      </c>
      <c r="D27" s="7">
        <v>41967</v>
      </c>
      <c r="E27" s="7">
        <v>42019</v>
      </c>
      <c r="F27" s="7">
        <v>42019</v>
      </c>
      <c r="G27" s="7">
        <v>42076</v>
      </c>
      <c r="H27" s="59">
        <v>42089</v>
      </c>
      <c r="I27" s="60">
        <v>42124</v>
      </c>
      <c r="J27" s="59">
        <v>42115</v>
      </c>
      <c r="K27" s="59" t="s">
        <v>242</v>
      </c>
      <c r="L27" s="57" t="str">
        <f>IF($A27="","",INDEX([1]Portfolio!$A$3:$AU$63,MATCH($A27,[1]Portfolio!$B$3:$B$63,0),3))</f>
        <v>Safair</v>
      </c>
      <c r="M27" s="57" t="str">
        <f>IF($A27="","",INDEX([1]Portfolio!$A$3:$AU$63,MATCH($A27,[1]Portfolio!$B$3:$B$63,0),5))</f>
        <v>B737</v>
      </c>
      <c r="N27" s="6">
        <f>IF($A27="","",INDEX([1]Portfolio!$A$3:$AU$63,MATCH($A27,[1]Portfolio!$B$3:$B$63,0),29))</f>
        <v>41967</v>
      </c>
      <c r="O27" s="6" t="str">
        <f>IF($A27="","",INDEX([1]Portfolio!$A$3:$AU$63,MATCH($A27,[1]Portfolio!$B$3:$B$63,0),32))</f>
        <v>N/A</v>
      </c>
      <c r="P27" s="7">
        <f>IF($A27="","",INDEX([1]Portfolio!$A$3:$AU$63,MATCH($A27,[1]Portfolio!$B$3:$B$63,0),35))</f>
        <v>42019</v>
      </c>
      <c r="Q27" s="7">
        <f>IF($A27="","",INDEX([1]Portfolio!$A$3:$AU$63,MATCH($A27,[1]Portfolio!$B$3:$B$63,0),38))</f>
        <v>42117</v>
      </c>
      <c r="R27" s="7">
        <f>IF($A27="","",INDEX([1]Portfolio!$A$3:$AU$63,MATCH($A27,[1]Portfolio!$B$3:$B$63,0),42))</f>
        <v>42117</v>
      </c>
      <c r="S27" s="7">
        <f>IF($A27="","",INDEX([1]Portfolio!$A$3:$AU$63,MATCH($A27,[1]Portfolio!$B$3:$B$63,0),43))</f>
        <v>0</v>
      </c>
      <c r="T27" s="7">
        <f>IF($A27="","",INDEX([1]Portfolio!$A$3:$AU$63,MATCH($A27,[1]Portfolio!$B$3:$B$63,0),37))</f>
        <v>42115</v>
      </c>
      <c r="U27" s="7" t="str">
        <f>IF($A27="","",INDEX([1]Portfolio!$A$3:$AU$63,MATCH($A27,[1]Portfolio!$B$3:$B$63,0),36))</f>
        <v>**</v>
      </c>
      <c r="V27" s="7" t="e">
        <f>IF($A27="","",(INDEX([2]Programmesjalons!$A$4:$AH$140,MATCH($A27,[2]Programmesjalons!$A$4:$A$140,0),8)))</f>
        <v>#N/A</v>
      </c>
      <c r="W27" s="7" t="e">
        <f>IF($A27="","",(INDEX([2]Programmesjalons!$A$4:$AH$140,MATCH($A27,[2]Programmesjalons!$A$4:$A$140,0),12)))</f>
        <v>#N/A</v>
      </c>
      <c r="X27" s="7" t="e">
        <f>IF($A27="","",(INDEX([2]Programmesjalons!$A$4:$AH$140,MATCH($A27,[2]Programmesjalons!$A$4:$A$140,0),16)))</f>
        <v>#N/A</v>
      </c>
      <c r="Y27" s="7" t="e">
        <f>IF($A27="","",(INDEX([2]Programmesjalons!$A$4:$AH$140,MATCH($A27,[2]Programmesjalons!$A$4:$A$140,0),30)))</f>
        <v>#N/A</v>
      </c>
      <c r="Z27" s="59" t="e">
        <f>IF($A27="","",(INDEX([2]Programmesjalons!$A$4:$AH$140,MATCH($A27,[2]Programmesjalons!$A$4:$A$140,0),32)))</f>
        <v>#N/A</v>
      </c>
      <c r="AA27" s="60" t="e">
        <f>IF($A27="","",(INDEX([2]Programmesjalons!$A$4:$AH$140,MATCH($A27,[2]Programmesjalons!$A$4:$A$140,0),34)))</f>
        <v>#N/A</v>
      </c>
      <c r="AB27" s="59" t="e">
        <f>IF($A27="","",(INDEX([2]Programmesjalons!$A$4:$AH$140,MATCH($A27,[2]Programmesjalons!$A$4:$A$140,0),26)))</f>
        <v>#N/A</v>
      </c>
      <c r="AC27" s="59" t="e">
        <f>IF($A27="","",(INDEX([2]Programmesjalons!$A$4:$AH$140,MATCH($A27,[2]Programmesjalons!$A$4:$A$140,0),18)))</f>
        <v>#N/A</v>
      </c>
      <c r="AD27" s="68" t="s">
        <v>259</v>
      </c>
      <c r="AE27" s="68"/>
      <c r="AF27" s="68">
        <v>41967</v>
      </c>
      <c r="AG27" s="68">
        <v>42019</v>
      </c>
      <c r="AH27" s="68">
        <v>42019</v>
      </c>
      <c r="AI27" s="68">
        <v>42076</v>
      </c>
      <c r="AJ27" s="69">
        <v>42089</v>
      </c>
      <c r="AK27" s="70">
        <v>42124</v>
      </c>
      <c r="AL27" s="69"/>
      <c r="AM27" s="69"/>
      <c r="AN27" s="7">
        <f t="shared" si="2"/>
        <v>41967</v>
      </c>
      <c r="AO27" s="7">
        <f t="shared" si="3"/>
        <v>42019</v>
      </c>
      <c r="AP27" s="7">
        <f t="shared" si="4"/>
        <v>42019</v>
      </c>
      <c r="AQ27" s="7">
        <f t="shared" si="5"/>
        <v>42076</v>
      </c>
      <c r="AR27" s="59">
        <f t="shared" si="6"/>
        <v>42089</v>
      </c>
      <c r="AS27" s="60">
        <f t="shared" si="7"/>
        <v>42124</v>
      </c>
      <c r="AT27" s="59">
        <f t="shared" si="8"/>
        <v>42115</v>
      </c>
      <c r="AU27" s="59" t="str">
        <f t="shared" si="9"/>
        <v>manque date</v>
      </c>
      <c r="AV27" s="76">
        <f t="shared" si="10"/>
        <v>41967</v>
      </c>
      <c r="AW27" s="76">
        <f t="shared" si="11"/>
        <v>41967</v>
      </c>
      <c r="AX27" s="61">
        <f t="shared" si="12"/>
        <v>42019</v>
      </c>
      <c r="AY27" s="61" t="str">
        <f t="shared" si="13"/>
        <v>manque date</v>
      </c>
      <c r="AZ27" s="61">
        <f t="shared" si="14"/>
        <v>42019</v>
      </c>
      <c r="BA27" s="61">
        <f t="shared" si="15"/>
        <v>42019</v>
      </c>
      <c r="BB27" s="61">
        <f t="shared" si="16"/>
        <v>42076</v>
      </c>
      <c r="BC27" s="61">
        <f t="shared" si="17"/>
        <v>42117</v>
      </c>
      <c r="BD27" s="61">
        <f t="shared" si="18"/>
        <v>42089</v>
      </c>
      <c r="BE27" s="61">
        <f t="shared" si="19"/>
        <v>42117</v>
      </c>
      <c r="BF27" s="61">
        <f t="shared" si="20"/>
        <v>42124</v>
      </c>
      <c r="BG27" s="61">
        <f t="shared" si="21"/>
        <v>0</v>
      </c>
      <c r="BH27" s="61">
        <f t="shared" si="22"/>
        <v>42115</v>
      </c>
      <c r="BI27" s="61">
        <f t="shared" si="23"/>
        <v>42115</v>
      </c>
      <c r="BJ27" s="61">
        <f t="shared" si="24"/>
        <v>0</v>
      </c>
      <c r="BK27" s="61" t="str">
        <f t="shared" si="25"/>
        <v>manque date</v>
      </c>
    </row>
    <row r="28" spans="1:63">
      <c r="A28" s="13" t="s">
        <v>223</v>
      </c>
      <c r="B28" s="74" t="str">
        <f t="shared" si="0"/>
        <v>Safair</v>
      </c>
      <c r="C28" s="74">
        <f t="shared" si="1"/>
        <v>0</v>
      </c>
      <c r="D28" s="7">
        <v>42125</v>
      </c>
      <c r="E28" s="7">
        <v>42156</v>
      </c>
      <c r="F28" s="7">
        <v>42200</v>
      </c>
      <c r="G28" s="7">
        <v>42232</v>
      </c>
      <c r="H28" s="59">
        <v>42262</v>
      </c>
      <c r="I28" s="60">
        <v>42333</v>
      </c>
      <c r="J28" s="59">
        <v>42229</v>
      </c>
      <c r="K28" s="59">
        <v>42202</v>
      </c>
      <c r="L28" s="57" t="e">
        <f>IF($A28="","",INDEX([1]Portfolio!$A$3:$AU$63,MATCH($A28,[1]Portfolio!$B$3:$B$63,0),3))</f>
        <v>#N/A</v>
      </c>
      <c r="M28" s="57" t="e">
        <f>IF($A28="","",INDEX([1]Portfolio!$A$3:$AU$63,MATCH($A28,[1]Portfolio!$B$3:$B$63,0),5))</f>
        <v>#N/A</v>
      </c>
      <c r="N28" s="6" t="e">
        <f>IF($A28="","",INDEX([1]Portfolio!$A$3:$AU$63,MATCH($A28,[1]Portfolio!$B$3:$B$63,0),29))</f>
        <v>#N/A</v>
      </c>
      <c r="O28" s="6" t="e">
        <f>IF($A28="","",INDEX([1]Portfolio!$A$3:$AU$63,MATCH($A28,[1]Portfolio!$B$3:$B$63,0),32))</f>
        <v>#N/A</v>
      </c>
      <c r="P28" s="7" t="e">
        <f>IF($A28="","",INDEX([1]Portfolio!$A$3:$AU$63,MATCH($A28,[1]Portfolio!$B$3:$B$63,0),35))</f>
        <v>#N/A</v>
      </c>
      <c r="Q28" s="7" t="e">
        <f>IF($A28="","",INDEX([1]Portfolio!$A$3:$AU$63,MATCH($A28,[1]Portfolio!$B$3:$B$63,0),38))</f>
        <v>#N/A</v>
      </c>
      <c r="R28" s="7" t="e">
        <f>IF($A28="","",INDEX([1]Portfolio!$A$3:$AU$63,MATCH($A28,[1]Portfolio!$B$3:$B$63,0),42))</f>
        <v>#N/A</v>
      </c>
      <c r="S28" s="7" t="e">
        <f>IF($A28="","",INDEX([1]Portfolio!$A$3:$AU$63,MATCH($A28,[1]Portfolio!$B$3:$B$63,0),43))</f>
        <v>#N/A</v>
      </c>
      <c r="T28" s="7" t="e">
        <f>IF($A28="","",INDEX([1]Portfolio!$A$3:$AU$63,MATCH($A28,[1]Portfolio!$B$3:$B$63,0),37))</f>
        <v>#N/A</v>
      </c>
      <c r="U28" s="7" t="e">
        <f>IF($A28="","",INDEX([1]Portfolio!$A$3:$AU$63,MATCH($A28,[1]Portfolio!$B$3:$B$63,0),36))</f>
        <v>#N/A</v>
      </c>
      <c r="V28" s="7">
        <f>IF($A28="","",(INDEX([2]Programmesjalons!$A$4:$AH$140,MATCH($A28,[2]Programmesjalons!$A$4:$A$140,0),8)))</f>
        <v>42125</v>
      </c>
      <c r="W28" s="7">
        <f>IF($A28="","",(INDEX([2]Programmesjalons!$A$4:$AH$140,MATCH($A28,[2]Programmesjalons!$A$4:$A$140,0),12)))</f>
        <v>42156</v>
      </c>
      <c r="X28" s="7">
        <f>IF($A28="","",(INDEX([2]Programmesjalons!$A$4:$AH$140,MATCH($A28,[2]Programmesjalons!$A$4:$A$140,0),16)))</f>
        <v>42200</v>
      </c>
      <c r="Y28" s="7">
        <f>IF($A28="","",(INDEX([2]Programmesjalons!$A$4:$AH$140,MATCH($A28,[2]Programmesjalons!$A$4:$A$140,0),30)))</f>
        <v>42232</v>
      </c>
      <c r="Z28" s="59">
        <f>IF($A28="","",(INDEX([2]Programmesjalons!$A$4:$AH$140,MATCH($A28,[2]Programmesjalons!$A$4:$A$140,0),32)))</f>
        <v>42262</v>
      </c>
      <c r="AA28" s="60">
        <f>IF($A28="","",(INDEX([2]Programmesjalons!$A$4:$AH$140,MATCH($A28,[2]Programmesjalons!$A$4:$A$140,0),34)))</f>
        <v>42333</v>
      </c>
      <c r="AB28" s="59">
        <f>IF($A28="","",(INDEX([2]Programmesjalons!$A$4:$AH$140,MATCH($A28,[2]Programmesjalons!$A$4:$A$140,0),26)))</f>
        <v>42229</v>
      </c>
      <c r="AC28" s="59">
        <f>IF($A28="","",(INDEX([2]Programmesjalons!$A$4:$AH$140,MATCH($A28,[2]Programmesjalons!$A$4:$A$140,0),18)))</f>
        <v>42202</v>
      </c>
      <c r="AD28" s="68" t="s">
        <v>259</v>
      </c>
      <c r="AE28" s="68"/>
      <c r="AF28" s="68"/>
      <c r="AG28" s="68"/>
      <c r="AH28" s="68"/>
      <c r="AI28" s="68"/>
      <c r="AJ28" s="69"/>
      <c r="AK28" s="70"/>
      <c r="AL28" s="69"/>
      <c r="AM28" s="69"/>
      <c r="AN28" s="7">
        <f t="shared" si="2"/>
        <v>42125</v>
      </c>
      <c r="AO28" s="7">
        <f t="shared" si="3"/>
        <v>42156</v>
      </c>
      <c r="AP28" s="7">
        <f t="shared" si="4"/>
        <v>42200</v>
      </c>
      <c r="AQ28" s="7">
        <f t="shared" si="5"/>
        <v>42232</v>
      </c>
      <c r="AR28" s="59">
        <f t="shared" si="6"/>
        <v>42262</v>
      </c>
      <c r="AS28" s="60">
        <f t="shared" si="7"/>
        <v>42333</v>
      </c>
      <c r="AT28" s="59">
        <f t="shared" si="8"/>
        <v>42229</v>
      </c>
      <c r="AU28" s="59">
        <f t="shared" si="9"/>
        <v>42202</v>
      </c>
      <c r="AV28" s="76">
        <f t="shared" si="10"/>
        <v>42125</v>
      </c>
      <c r="AW28" s="76">
        <f t="shared" si="11"/>
        <v>42125</v>
      </c>
      <c r="AX28" s="61">
        <f t="shared" si="12"/>
        <v>42156</v>
      </c>
      <c r="AY28" s="61">
        <f t="shared" si="13"/>
        <v>42156</v>
      </c>
      <c r="AZ28" s="61">
        <f t="shared" si="14"/>
        <v>42200</v>
      </c>
      <c r="BA28" s="61">
        <f t="shared" si="15"/>
        <v>42200</v>
      </c>
      <c r="BB28" s="61">
        <f t="shared" si="16"/>
        <v>42232</v>
      </c>
      <c r="BC28" s="61">
        <f t="shared" si="17"/>
        <v>42232</v>
      </c>
      <c r="BD28" s="61">
        <f t="shared" si="18"/>
        <v>42262</v>
      </c>
      <c r="BE28" s="61">
        <f t="shared" si="19"/>
        <v>42262</v>
      </c>
      <c r="BF28" s="61">
        <f t="shared" si="20"/>
        <v>42333</v>
      </c>
      <c r="BG28" s="61">
        <f t="shared" si="21"/>
        <v>42333</v>
      </c>
      <c r="BH28" s="61">
        <f t="shared" si="22"/>
        <v>42229</v>
      </c>
      <c r="BI28" s="61">
        <f t="shared" si="23"/>
        <v>42229</v>
      </c>
      <c r="BJ28" s="61">
        <f t="shared" si="24"/>
        <v>42202</v>
      </c>
      <c r="BK28" s="61">
        <f t="shared" si="25"/>
        <v>42202</v>
      </c>
    </row>
    <row r="29" spans="1:63">
      <c r="A29" s="25" t="s">
        <v>119</v>
      </c>
      <c r="B29" s="74" t="str">
        <f t="shared" si="0"/>
        <v>Viet Nam</v>
      </c>
      <c r="C29" s="74" t="str">
        <f t="shared" si="1"/>
        <v>A321</v>
      </c>
      <c r="D29" s="7">
        <v>42013</v>
      </c>
      <c r="E29" s="7">
        <v>42037</v>
      </c>
      <c r="F29" s="7">
        <v>42075</v>
      </c>
      <c r="G29" s="7">
        <v>42133</v>
      </c>
      <c r="H29" s="59">
        <v>42163</v>
      </c>
      <c r="I29" s="60">
        <v>42202</v>
      </c>
      <c r="J29" s="59">
        <v>42123</v>
      </c>
      <c r="K29" s="59">
        <v>42083</v>
      </c>
      <c r="L29" s="57" t="str">
        <f>IF($A29="","",INDEX([1]Portfolio!$A$3:$AU$63,MATCH($A29,[1]Portfolio!$B$3:$B$63,0),3))</f>
        <v>Viet Nam</v>
      </c>
      <c r="M29" s="57" t="str">
        <f>IF($A29="","",INDEX([1]Portfolio!$A$3:$AU$63,MATCH($A29,[1]Portfolio!$B$3:$B$63,0),5))</f>
        <v>A321</v>
      </c>
      <c r="N29" s="6">
        <f>IF($A29="","",INDEX([1]Portfolio!$A$3:$AU$63,MATCH($A29,[1]Portfolio!$B$3:$B$63,0),29))</f>
        <v>42013</v>
      </c>
      <c r="O29" s="6" t="str">
        <f>IF($A29="","",INDEX([1]Portfolio!$A$3:$AU$63,MATCH($A29,[1]Portfolio!$B$3:$B$63,0),32))</f>
        <v>N/A</v>
      </c>
      <c r="P29" s="7">
        <f>IF($A29="","",INDEX([1]Portfolio!$A$3:$AU$63,MATCH($A29,[1]Portfolio!$B$3:$B$63,0),35))</f>
        <v>42075</v>
      </c>
      <c r="Q29" s="7">
        <f>IF($A29="","",INDEX([1]Portfolio!$A$3:$AU$63,MATCH($A29,[1]Portfolio!$B$3:$B$63,0),38))</f>
        <v>42146</v>
      </c>
      <c r="R29" s="7">
        <f>IF($A29="","",INDEX([1]Portfolio!$A$3:$AU$63,MATCH($A29,[1]Portfolio!$B$3:$B$63,0),42))</f>
        <v>42163</v>
      </c>
      <c r="S29" s="7">
        <f>IF($A29="","",INDEX([1]Portfolio!$A$3:$AU$63,MATCH($A29,[1]Portfolio!$B$3:$B$63,0),43))</f>
        <v>42415</v>
      </c>
      <c r="T29" s="7" t="str">
        <f>IF($A29="","",INDEX([1]Portfolio!$A$3:$AU$63,MATCH($A29,[1]Portfolio!$B$3:$B$63,0),37))</f>
        <v/>
      </c>
      <c r="U29" s="7">
        <f>IF($A29="","",INDEX([1]Portfolio!$A$3:$AU$63,MATCH($A29,[1]Portfolio!$B$3:$B$63,0),36))</f>
        <v>0</v>
      </c>
      <c r="V29" s="7">
        <f>IF($A29="","",(INDEX([2]Programmesjalons!$A$4:$AH$140,MATCH($A29,[2]Programmesjalons!$A$4:$A$140,0),8)))</f>
        <v>42013</v>
      </c>
      <c r="W29" s="7">
        <f>IF($A29="","",(INDEX([2]Programmesjalons!$A$4:$AH$140,MATCH($A29,[2]Programmesjalons!$A$4:$A$140,0),12)))</f>
        <v>42037</v>
      </c>
      <c r="X29" s="7">
        <f>IF($A29="","",(INDEX([2]Programmesjalons!$A$4:$AH$140,MATCH($A29,[2]Programmesjalons!$A$4:$A$140,0),16)))</f>
        <v>42075</v>
      </c>
      <c r="Y29" s="7">
        <f>IF($A29="","",(INDEX([2]Programmesjalons!$A$4:$AH$140,MATCH($A29,[2]Programmesjalons!$A$4:$A$140,0),30)))</f>
        <v>42133</v>
      </c>
      <c r="Z29" s="59">
        <f>IF($A29="","",(INDEX([2]Programmesjalons!$A$4:$AH$140,MATCH($A29,[2]Programmesjalons!$A$4:$A$140,0),32)))</f>
        <v>42163</v>
      </c>
      <c r="AA29" s="60">
        <f>IF($A29="","",(INDEX([2]Programmesjalons!$A$4:$AH$140,MATCH($A29,[2]Programmesjalons!$A$4:$A$140,0),34)))</f>
        <v>42202</v>
      </c>
      <c r="AB29" s="59">
        <f>IF($A29="","",(INDEX([2]Programmesjalons!$A$4:$AH$140,MATCH($A29,[2]Programmesjalons!$A$4:$A$140,0),26)))</f>
        <v>42123</v>
      </c>
      <c r="AC29" s="59">
        <f>IF($A29="","",(INDEX([2]Programmesjalons!$A$4:$AH$140,MATCH($A29,[2]Programmesjalons!$A$4:$A$140,0),18)))</f>
        <v>42083</v>
      </c>
      <c r="AD29" s="68"/>
      <c r="AE29" s="68"/>
      <c r="AF29" s="68"/>
      <c r="AG29" s="68"/>
      <c r="AH29" s="68"/>
      <c r="AI29" s="68"/>
      <c r="AJ29" s="69"/>
      <c r="AK29" s="70"/>
      <c r="AL29" s="69"/>
      <c r="AM29" s="69"/>
      <c r="AN29" s="7">
        <f t="shared" si="2"/>
        <v>42013</v>
      </c>
      <c r="AO29" s="7">
        <f t="shared" si="3"/>
        <v>42037</v>
      </c>
      <c r="AP29" s="7">
        <f t="shared" si="4"/>
        <v>42075</v>
      </c>
      <c r="AQ29" s="7">
        <f t="shared" si="5"/>
        <v>42133</v>
      </c>
      <c r="AR29" s="59">
        <f t="shared" si="6"/>
        <v>42163</v>
      </c>
      <c r="AS29" s="60">
        <f t="shared" si="7"/>
        <v>42202</v>
      </c>
      <c r="AT29" s="59">
        <f t="shared" si="8"/>
        <v>42123</v>
      </c>
      <c r="AU29" s="59">
        <f t="shared" si="9"/>
        <v>42083</v>
      </c>
      <c r="AV29" s="76">
        <f t="shared" si="10"/>
        <v>42013</v>
      </c>
      <c r="AW29" s="76">
        <f t="shared" si="11"/>
        <v>42013</v>
      </c>
      <c r="AX29" s="61">
        <f t="shared" si="12"/>
        <v>42037</v>
      </c>
      <c r="AY29" s="61">
        <f t="shared" si="13"/>
        <v>42037</v>
      </c>
      <c r="AZ29" s="61">
        <f t="shared" si="14"/>
        <v>42075</v>
      </c>
      <c r="BA29" s="61">
        <f t="shared" si="15"/>
        <v>42075</v>
      </c>
      <c r="BB29" s="61">
        <f t="shared" si="16"/>
        <v>42133</v>
      </c>
      <c r="BC29" s="61">
        <f t="shared" si="17"/>
        <v>42133</v>
      </c>
      <c r="BD29" s="61">
        <f t="shared" si="18"/>
        <v>42163</v>
      </c>
      <c r="BE29" s="61">
        <f t="shared" si="19"/>
        <v>42163</v>
      </c>
      <c r="BF29" s="61">
        <f t="shared" si="20"/>
        <v>42202</v>
      </c>
      <c r="BG29" s="61">
        <f t="shared" si="21"/>
        <v>42202</v>
      </c>
      <c r="BH29" s="61">
        <f t="shared" si="22"/>
        <v>42123</v>
      </c>
      <c r="BI29" s="61">
        <f t="shared" si="23"/>
        <v>42123</v>
      </c>
      <c r="BJ29" s="61">
        <f t="shared" si="24"/>
        <v>42083</v>
      </c>
      <c r="BK29" s="61">
        <f t="shared" si="25"/>
        <v>42083</v>
      </c>
    </row>
    <row r="30" spans="1:63">
      <c r="A30" s="25" t="s">
        <v>120</v>
      </c>
      <c r="B30" s="74" t="str">
        <f t="shared" si="0"/>
        <v>GoAIr</v>
      </c>
      <c r="C30" s="74" t="str">
        <f t="shared" si="1"/>
        <v>A320-neo</v>
      </c>
      <c r="D30" s="7">
        <v>42088</v>
      </c>
      <c r="E30" s="7">
        <v>42128</v>
      </c>
      <c r="F30" s="7">
        <v>42186</v>
      </c>
      <c r="G30" s="7">
        <v>42309</v>
      </c>
      <c r="H30" s="59">
        <v>42339</v>
      </c>
      <c r="I30" s="60">
        <v>42415</v>
      </c>
      <c r="J30" s="59">
        <v>42282</v>
      </c>
      <c r="K30" s="59">
        <v>42219</v>
      </c>
      <c r="L30" s="57" t="str">
        <f>IF($A30="","",INDEX([1]Portfolio!$A$3:$AU$63,MATCH($A30,[1]Portfolio!$B$3:$B$63,0),3))</f>
        <v>GoAIr</v>
      </c>
      <c r="M30" s="57" t="str">
        <f>IF($A30="","",INDEX([1]Portfolio!$A$3:$AU$63,MATCH($A30,[1]Portfolio!$B$3:$B$63,0),5))</f>
        <v>A320-neo</v>
      </c>
      <c r="N30" s="6">
        <f>IF($A30="","",INDEX([1]Portfolio!$A$3:$AU$63,MATCH($A30,[1]Portfolio!$B$3:$B$63,0),29))</f>
        <v>42088</v>
      </c>
      <c r="O30" s="6">
        <f>IF($A30="","",INDEX([1]Portfolio!$A$3:$AU$63,MATCH($A30,[1]Portfolio!$B$3:$B$63,0),32))</f>
        <v>42128</v>
      </c>
      <c r="P30" s="7">
        <f>IF($A30="","",INDEX([1]Portfolio!$A$3:$AU$63,MATCH($A30,[1]Portfolio!$B$3:$B$63,0),35))</f>
        <v>42186</v>
      </c>
      <c r="Q30" s="7">
        <f>IF($A30="","",INDEX([1]Portfolio!$A$3:$AU$63,MATCH($A30,[1]Portfolio!$B$3:$B$63,0),38))</f>
        <v>0</v>
      </c>
      <c r="R30" s="7">
        <f>IF($A30="","",INDEX([1]Portfolio!$A$3:$AU$63,MATCH($A30,[1]Portfolio!$B$3:$B$63,0),42))</f>
        <v>42353</v>
      </c>
      <c r="S30" s="7">
        <f>IF($A30="","",INDEX([1]Portfolio!$A$3:$AU$63,MATCH($A30,[1]Portfolio!$B$3:$B$63,0),43))</f>
        <v>0</v>
      </c>
      <c r="T30" s="7">
        <f>IF($A30="","",INDEX([1]Portfolio!$A$3:$AU$63,MATCH($A30,[1]Portfolio!$B$3:$B$63,0),37))</f>
        <v>42282</v>
      </c>
      <c r="U30" s="7">
        <f>IF($A30="","",INDEX([1]Portfolio!$A$3:$AU$63,MATCH($A30,[1]Portfolio!$B$3:$B$63,0),36))</f>
        <v>0</v>
      </c>
      <c r="V30" s="7">
        <f>IF($A30="","",(INDEX([2]Programmesjalons!$A$4:$AH$140,MATCH($A30,[2]Programmesjalons!$A$4:$A$140,0),8)))</f>
        <v>42088</v>
      </c>
      <c r="W30" s="7">
        <f>IF($A30="","",(INDEX([2]Programmesjalons!$A$4:$AH$140,MATCH($A30,[2]Programmesjalons!$A$4:$A$140,0),12)))</f>
        <v>42128</v>
      </c>
      <c r="X30" s="7">
        <f>IF($A30="","",(INDEX([2]Programmesjalons!$A$4:$AH$140,MATCH($A30,[2]Programmesjalons!$A$4:$A$140,0),16)))</f>
        <v>42186</v>
      </c>
      <c r="Y30" s="7">
        <f>IF($A30="","",(INDEX([2]Programmesjalons!$A$4:$AH$140,MATCH($A30,[2]Programmesjalons!$A$4:$A$140,0),30)))</f>
        <v>42309</v>
      </c>
      <c r="Z30" s="59">
        <f>IF($A30="","",(INDEX([2]Programmesjalons!$A$4:$AH$140,MATCH($A30,[2]Programmesjalons!$A$4:$A$140,0),32)))</f>
        <v>42339</v>
      </c>
      <c r="AA30" s="60">
        <f>IF($A30="","",(INDEX([2]Programmesjalons!$A$4:$AH$140,MATCH($A30,[2]Programmesjalons!$A$4:$A$140,0),34)))</f>
        <v>42415</v>
      </c>
      <c r="AB30" s="59">
        <f>IF($A30="","",(INDEX([2]Programmesjalons!$A$4:$AH$140,MATCH($A30,[2]Programmesjalons!$A$4:$A$140,0),26)))</f>
        <v>42294</v>
      </c>
      <c r="AC30" s="59">
        <f>IF($A30="","",(INDEX([2]Programmesjalons!$A$4:$AH$140,MATCH($A30,[2]Programmesjalons!$A$4:$A$140,0),18)))</f>
        <v>42219</v>
      </c>
      <c r="AD30" s="68"/>
      <c r="AE30" s="68"/>
      <c r="AF30" s="68"/>
      <c r="AG30" s="68"/>
      <c r="AH30" s="68"/>
      <c r="AI30" s="68"/>
      <c r="AJ30" s="69"/>
      <c r="AK30" s="70"/>
      <c r="AL30" s="69"/>
      <c r="AM30" s="69"/>
      <c r="AN30" s="7">
        <f t="shared" si="2"/>
        <v>42088</v>
      </c>
      <c r="AO30" s="7">
        <f t="shared" si="3"/>
        <v>42128</v>
      </c>
      <c r="AP30" s="7">
        <f t="shared" si="4"/>
        <v>42186</v>
      </c>
      <c r="AQ30" s="7">
        <f t="shared" si="5"/>
        <v>42309</v>
      </c>
      <c r="AR30" s="59">
        <f t="shared" si="6"/>
        <v>42339</v>
      </c>
      <c r="AS30" s="60">
        <f t="shared" si="7"/>
        <v>42415</v>
      </c>
      <c r="AT30" s="59">
        <f t="shared" si="8"/>
        <v>42282</v>
      </c>
      <c r="AU30" s="59">
        <f t="shared" si="9"/>
        <v>42219</v>
      </c>
      <c r="AV30" s="76">
        <f t="shared" si="10"/>
        <v>42088</v>
      </c>
      <c r="AW30" s="76">
        <f t="shared" si="11"/>
        <v>42088</v>
      </c>
      <c r="AX30" s="61">
        <f t="shared" si="12"/>
        <v>42128</v>
      </c>
      <c r="AY30" s="61">
        <f t="shared" si="13"/>
        <v>42128</v>
      </c>
      <c r="AZ30" s="61">
        <f t="shared" si="14"/>
        <v>42186</v>
      </c>
      <c r="BA30" s="61">
        <f t="shared" si="15"/>
        <v>42186</v>
      </c>
      <c r="BB30" s="61">
        <f t="shared" si="16"/>
        <v>42309</v>
      </c>
      <c r="BC30" s="61">
        <f t="shared" si="17"/>
        <v>42309</v>
      </c>
      <c r="BD30" s="61">
        <f t="shared" si="18"/>
        <v>42339</v>
      </c>
      <c r="BE30" s="61">
        <f t="shared" si="19"/>
        <v>42339</v>
      </c>
      <c r="BF30" s="61">
        <f t="shared" si="20"/>
        <v>42415</v>
      </c>
      <c r="BG30" s="61">
        <f t="shared" si="21"/>
        <v>42415</v>
      </c>
      <c r="BH30" s="61">
        <f t="shared" si="22"/>
        <v>42282</v>
      </c>
      <c r="BI30" s="61">
        <f t="shared" si="23"/>
        <v>42282</v>
      </c>
      <c r="BJ30" s="61">
        <f t="shared" si="24"/>
        <v>42219</v>
      </c>
      <c r="BK30" s="61">
        <f t="shared" si="25"/>
        <v>42219</v>
      </c>
    </row>
    <row r="31" spans="1:63">
      <c r="A31" s="25" t="s">
        <v>151</v>
      </c>
      <c r="B31" s="74">
        <f t="shared" si="0"/>
        <v>0</v>
      </c>
      <c r="C31" s="74">
        <f t="shared" si="1"/>
        <v>0</v>
      </c>
      <c r="D31" s="7">
        <v>42307</v>
      </c>
      <c r="E31" s="7">
        <v>42353</v>
      </c>
      <c r="F31" s="7">
        <v>42430</v>
      </c>
      <c r="G31" s="7">
        <v>42511</v>
      </c>
      <c r="H31" s="59">
        <v>42541</v>
      </c>
      <c r="I31" s="60">
        <v>42688</v>
      </c>
      <c r="J31" s="59">
        <v>42506</v>
      </c>
      <c r="K31" s="59">
        <v>42466</v>
      </c>
      <c r="L31" s="57" t="e">
        <f>IF($A31="","",INDEX([1]Portfolio!$A$3:$AU$63,MATCH($A31,[1]Portfolio!$B$3:$B$63,0),3))</f>
        <v>#N/A</v>
      </c>
      <c r="M31" s="57" t="e">
        <f>IF($A31="","",INDEX([1]Portfolio!$A$3:$AU$63,MATCH($A31,[1]Portfolio!$B$3:$B$63,0),5))</f>
        <v>#N/A</v>
      </c>
      <c r="N31" s="6" t="e">
        <f>IF($A31="","",INDEX([1]Portfolio!$A$3:$AU$63,MATCH($A31,[1]Portfolio!$B$3:$B$63,0),29))</f>
        <v>#N/A</v>
      </c>
      <c r="O31" s="6" t="e">
        <f>IF($A31="","",INDEX([1]Portfolio!$A$3:$AU$63,MATCH($A31,[1]Portfolio!$B$3:$B$63,0),32))</f>
        <v>#N/A</v>
      </c>
      <c r="P31" s="7" t="e">
        <f>IF($A31="","",INDEX([1]Portfolio!$A$3:$AU$63,MATCH($A31,[1]Portfolio!$B$3:$B$63,0),35))</f>
        <v>#N/A</v>
      </c>
      <c r="Q31" s="7" t="e">
        <f>IF($A31="","",INDEX([1]Portfolio!$A$3:$AU$63,MATCH($A31,[1]Portfolio!$B$3:$B$63,0),38))</f>
        <v>#N/A</v>
      </c>
      <c r="R31" s="7" t="e">
        <f>IF($A31="","",INDEX([1]Portfolio!$A$3:$AU$63,MATCH($A31,[1]Portfolio!$B$3:$B$63,0),42))</f>
        <v>#N/A</v>
      </c>
      <c r="S31" s="7" t="e">
        <f>IF($A31="","",INDEX([1]Portfolio!$A$3:$AU$63,MATCH($A31,[1]Portfolio!$B$3:$B$63,0),43))</f>
        <v>#N/A</v>
      </c>
      <c r="T31" s="7" t="e">
        <f>IF($A31="","",INDEX([1]Portfolio!$A$3:$AU$63,MATCH($A31,[1]Portfolio!$B$3:$B$63,0),37))</f>
        <v>#N/A</v>
      </c>
      <c r="U31" s="7" t="e">
        <f>IF($A31="","",INDEX([1]Portfolio!$A$3:$AU$63,MATCH($A31,[1]Portfolio!$B$3:$B$63,0),36))</f>
        <v>#N/A</v>
      </c>
      <c r="V31" s="7">
        <f>IF($A31="","",(INDEX([2]Programmesjalons!$A$4:$AH$140,MATCH($A31,[2]Programmesjalons!$A$4:$A$140,0),8)))</f>
        <v>42307</v>
      </c>
      <c r="W31" s="7">
        <f>IF($A31="","",(INDEX([2]Programmesjalons!$A$4:$AH$140,MATCH($A31,[2]Programmesjalons!$A$4:$A$140,0),12)))</f>
        <v>42353</v>
      </c>
      <c r="X31" s="7">
        <f>IF($A31="","",(INDEX([2]Programmesjalons!$A$4:$AH$140,MATCH($A31,[2]Programmesjalons!$A$4:$A$140,0),16)))</f>
        <v>42430</v>
      </c>
      <c r="Y31" s="7">
        <f>IF($A31="","",(INDEX([2]Programmesjalons!$A$4:$AH$140,MATCH($A31,[2]Programmesjalons!$A$4:$A$140,0),30)))</f>
        <v>42511</v>
      </c>
      <c r="Z31" s="59">
        <f>IF($A31="","",(INDEX([2]Programmesjalons!$A$4:$AH$140,MATCH($A31,[2]Programmesjalons!$A$4:$A$140,0),32)))</f>
        <v>42541</v>
      </c>
      <c r="AA31" s="60">
        <f>IF($A31="","",(INDEX([2]Programmesjalons!$A$4:$AH$140,MATCH($A31,[2]Programmesjalons!$A$4:$A$140,0),34)))</f>
        <v>42688</v>
      </c>
      <c r="AB31" s="59">
        <f>IF($A31="","",(INDEX([2]Programmesjalons!$A$4:$AH$140,MATCH($A31,[2]Programmesjalons!$A$4:$A$140,0),26)))</f>
        <v>42506</v>
      </c>
      <c r="AC31" s="59">
        <f>IF($A31="","",(INDEX([2]Programmesjalons!$A$4:$AH$140,MATCH($A31,[2]Programmesjalons!$A$4:$A$140,0),18)))</f>
        <v>42466</v>
      </c>
      <c r="AD31" s="68"/>
      <c r="AE31" s="68"/>
      <c r="AF31" s="68"/>
      <c r="AG31" s="68"/>
      <c r="AH31" s="68"/>
      <c r="AI31" s="68"/>
      <c r="AJ31" s="69"/>
      <c r="AK31" s="70"/>
      <c r="AL31" s="69"/>
      <c r="AM31" s="69"/>
      <c r="AN31" s="7">
        <f t="shared" si="2"/>
        <v>42307</v>
      </c>
      <c r="AO31" s="7">
        <f t="shared" si="3"/>
        <v>42353</v>
      </c>
      <c r="AP31" s="7">
        <f t="shared" si="4"/>
        <v>42430</v>
      </c>
      <c r="AQ31" s="7">
        <f t="shared" si="5"/>
        <v>42511</v>
      </c>
      <c r="AR31" s="59">
        <f t="shared" si="6"/>
        <v>42541</v>
      </c>
      <c r="AS31" s="60">
        <f t="shared" si="7"/>
        <v>42688</v>
      </c>
      <c r="AT31" s="59">
        <f t="shared" si="8"/>
        <v>42506</v>
      </c>
      <c r="AU31" s="59">
        <f t="shared" si="9"/>
        <v>42466</v>
      </c>
      <c r="AV31" s="76">
        <f t="shared" si="10"/>
        <v>42307</v>
      </c>
      <c r="AW31" s="76">
        <f t="shared" si="11"/>
        <v>42307</v>
      </c>
      <c r="AX31" s="61">
        <f t="shared" si="12"/>
        <v>42353</v>
      </c>
      <c r="AY31" s="61">
        <f t="shared" si="13"/>
        <v>42353</v>
      </c>
      <c r="AZ31" s="61">
        <f t="shared" si="14"/>
        <v>42430</v>
      </c>
      <c r="BA31" s="61">
        <f t="shared" si="15"/>
        <v>42430</v>
      </c>
      <c r="BB31" s="61">
        <f t="shared" si="16"/>
        <v>42511</v>
      </c>
      <c r="BC31" s="61">
        <f t="shared" si="17"/>
        <v>42511</v>
      </c>
      <c r="BD31" s="61">
        <f t="shared" si="18"/>
        <v>42541</v>
      </c>
      <c r="BE31" s="61">
        <f t="shared" si="19"/>
        <v>42541</v>
      </c>
      <c r="BF31" s="61">
        <f t="shared" si="20"/>
        <v>42688</v>
      </c>
      <c r="BG31" s="61">
        <f t="shared" si="21"/>
        <v>42688</v>
      </c>
      <c r="BH31" s="61">
        <f t="shared" si="22"/>
        <v>42506</v>
      </c>
      <c r="BI31" s="61">
        <f t="shared" si="23"/>
        <v>42506</v>
      </c>
      <c r="BJ31" s="61">
        <f t="shared" si="24"/>
        <v>42466</v>
      </c>
      <c r="BK31" s="61">
        <f t="shared" si="25"/>
        <v>42466</v>
      </c>
    </row>
    <row r="32" spans="1:63">
      <c r="A32" s="25" t="s">
        <v>153</v>
      </c>
      <c r="B32" s="74">
        <f t="shared" si="0"/>
        <v>0</v>
      </c>
      <c r="C32" s="74">
        <f t="shared" si="1"/>
        <v>0</v>
      </c>
      <c r="D32" s="7">
        <v>42233</v>
      </c>
      <c r="E32" s="7" t="s">
        <v>242</v>
      </c>
      <c r="F32" s="7">
        <v>42282</v>
      </c>
      <c r="G32" s="7" t="s">
        <v>242</v>
      </c>
      <c r="H32" s="59">
        <v>42331</v>
      </c>
      <c r="I32" s="60">
        <v>42352</v>
      </c>
      <c r="J32" s="59" t="s">
        <v>242</v>
      </c>
      <c r="K32" s="59" t="s">
        <v>242</v>
      </c>
      <c r="L32" s="57" t="e">
        <f>IF($A32="","",INDEX([1]Portfolio!$A$3:$AU$63,MATCH($A32,[1]Portfolio!$B$3:$B$63,0),3))</f>
        <v>#N/A</v>
      </c>
      <c r="M32" s="57" t="e">
        <f>IF($A32="","",INDEX([1]Portfolio!$A$3:$AU$63,MATCH($A32,[1]Portfolio!$B$3:$B$63,0),5))</f>
        <v>#N/A</v>
      </c>
      <c r="N32" s="6" t="e">
        <f>IF($A32="","",INDEX([1]Portfolio!$A$3:$AU$63,MATCH($A32,[1]Portfolio!$B$3:$B$63,0),29))</f>
        <v>#N/A</v>
      </c>
      <c r="O32" s="6" t="e">
        <f>IF($A32="","",INDEX([1]Portfolio!$A$3:$AU$63,MATCH($A32,[1]Portfolio!$B$3:$B$63,0),32))</f>
        <v>#N/A</v>
      </c>
      <c r="P32" s="7" t="e">
        <f>IF($A32="","",INDEX([1]Portfolio!$A$3:$AU$63,MATCH($A32,[1]Portfolio!$B$3:$B$63,0),35))</f>
        <v>#N/A</v>
      </c>
      <c r="Q32" s="7" t="e">
        <f>IF($A32="","",INDEX([1]Portfolio!$A$3:$AU$63,MATCH($A32,[1]Portfolio!$B$3:$B$63,0),38))</f>
        <v>#N/A</v>
      </c>
      <c r="R32" s="7" t="e">
        <f>IF($A32="","",INDEX([1]Portfolio!$A$3:$AU$63,MATCH($A32,[1]Portfolio!$B$3:$B$63,0),42))</f>
        <v>#N/A</v>
      </c>
      <c r="S32" s="7" t="e">
        <f>IF($A32="","",INDEX([1]Portfolio!$A$3:$AU$63,MATCH($A32,[1]Portfolio!$B$3:$B$63,0),43))</f>
        <v>#N/A</v>
      </c>
      <c r="T32" s="7" t="e">
        <f>IF($A32="","",INDEX([1]Portfolio!$A$3:$AU$63,MATCH($A32,[1]Portfolio!$B$3:$B$63,0),37))</f>
        <v>#N/A</v>
      </c>
      <c r="U32" s="7" t="e">
        <f>IF($A32="","",INDEX([1]Portfolio!$A$3:$AU$63,MATCH($A32,[1]Portfolio!$B$3:$B$63,0),36))</f>
        <v>#N/A</v>
      </c>
      <c r="V32" s="7">
        <f>IF($A32="","",(INDEX([2]Programmesjalons!$A$4:$AH$140,MATCH($A32,[2]Programmesjalons!$A$4:$A$140,0),8)))</f>
        <v>42233</v>
      </c>
      <c r="W32" s="7">
        <f>IF($A32="","",(INDEX([2]Programmesjalons!$A$4:$AH$140,MATCH($A32,[2]Programmesjalons!$A$4:$A$140,0),12)))</f>
        <v>0</v>
      </c>
      <c r="X32" s="7">
        <f>IF($A32="","",(INDEX([2]Programmesjalons!$A$4:$AH$140,MATCH($A32,[2]Programmesjalons!$A$4:$A$140,0),16)))</f>
        <v>42282</v>
      </c>
      <c r="Y32" s="7">
        <f>IF($A32="","",(INDEX([2]Programmesjalons!$A$4:$AH$140,MATCH($A32,[2]Programmesjalons!$A$4:$A$140,0),30)))</f>
        <v>0</v>
      </c>
      <c r="Z32" s="59">
        <f>IF($A32="","",(INDEX([2]Programmesjalons!$A$4:$AH$140,MATCH($A32,[2]Programmesjalons!$A$4:$A$140,0),32)))</f>
        <v>42331</v>
      </c>
      <c r="AA32" s="60">
        <f>IF($A32="","",(INDEX([2]Programmesjalons!$A$4:$AH$140,MATCH($A32,[2]Programmesjalons!$A$4:$A$140,0),34)))</f>
        <v>42352</v>
      </c>
      <c r="AB32" s="59">
        <f>IF($A32="","",(INDEX([2]Programmesjalons!$A$4:$AH$140,MATCH($A32,[2]Programmesjalons!$A$4:$A$140,0),26)))</f>
        <v>0</v>
      </c>
      <c r="AC32" s="59">
        <f>IF($A32="","",(INDEX([2]Programmesjalons!$A$4:$AH$140,MATCH($A32,[2]Programmesjalons!$A$4:$A$140,0),18)))</f>
        <v>0</v>
      </c>
      <c r="AD32" s="68"/>
      <c r="AE32" s="68"/>
      <c r="AF32" s="68"/>
      <c r="AG32" s="68"/>
      <c r="AH32" s="68"/>
      <c r="AI32" s="68"/>
      <c r="AJ32" s="69"/>
      <c r="AK32" s="70"/>
      <c r="AL32" s="69"/>
      <c r="AM32" s="69"/>
      <c r="AN32" s="7">
        <f t="shared" si="2"/>
        <v>42233</v>
      </c>
      <c r="AO32" s="7" t="str">
        <f t="shared" si="3"/>
        <v>manque date</v>
      </c>
      <c r="AP32" s="7">
        <f t="shared" si="4"/>
        <v>42282</v>
      </c>
      <c r="AQ32" s="7" t="str">
        <f t="shared" si="5"/>
        <v>manque date</v>
      </c>
      <c r="AR32" s="59">
        <f t="shared" si="6"/>
        <v>42331</v>
      </c>
      <c r="AS32" s="60">
        <f t="shared" si="7"/>
        <v>42352</v>
      </c>
      <c r="AT32" s="59" t="str">
        <f t="shared" si="8"/>
        <v>manque date</v>
      </c>
      <c r="AU32" s="59" t="str">
        <f t="shared" si="9"/>
        <v>manque date</v>
      </c>
      <c r="AV32" s="76">
        <f t="shared" si="10"/>
        <v>42233</v>
      </c>
      <c r="AW32" s="76">
        <f t="shared" si="11"/>
        <v>42233</v>
      </c>
      <c r="AX32" s="61">
        <f t="shared" si="12"/>
        <v>0</v>
      </c>
      <c r="AY32" s="61">
        <f t="shared" si="13"/>
        <v>0</v>
      </c>
      <c r="AZ32" s="61">
        <f t="shared" si="14"/>
        <v>42282</v>
      </c>
      <c r="BA32" s="61">
        <f t="shared" si="15"/>
        <v>42282</v>
      </c>
      <c r="BB32" s="61">
        <f t="shared" si="16"/>
        <v>0</v>
      </c>
      <c r="BC32" s="61">
        <f t="shared" si="17"/>
        <v>0</v>
      </c>
      <c r="BD32" s="61">
        <f t="shared" si="18"/>
        <v>42331</v>
      </c>
      <c r="BE32" s="61">
        <f t="shared" si="19"/>
        <v>42331</v>
      </c>
      <c r="BF32" s="61">
        <f t="shared" si="20"/>
        <v>42352</v>
      </c>
      <c r="BG32" s="61">
        <f t="shared" si="21"/>
        <v>42352</v>
      </c>
      <c r="BH32" s="61">
        <f t="shared" si="22"/>
        <v>0</v>
      </c>
      <c r="BI32" s="61">
        <f t="shared" si="23"/>
        <v>0</v>
      </c>
      <c r="BJ32" s="61">
        <f t="shared" si="24"/>
        <v>0</v>
      </c>
      <c r="BK32" s="61">
        <f t="shared" si="25"/>
        <v>0</v>
      </c>
    </row>
    <row r="33" spans="1:63" ht="15" customHeight="1">
      <c r="A33" s="25" t="s">
        <v>154</v>
      </c>
      <c r="B33" s="74">
        <f t="shared" si="0"/>
        <v>0</v>
      </c>
      <c r="C33" s="74">
        <f t="shared" si="1"/>
        <v>0</v>
      </c>
      <c r="D33" s="7">
        <v>42233</v>
      </c>
      <c r="E33" s="7" t="s">
        <v>242</v>
      </c>
      <c r="F33" s="7">
        <v>42282</v>
      </c>
      <c r="G33" s="7" t="s">
        <v>242</v>
      </c>
      <c r="H33" s="59">
        <v>42331</v>
      </c>
      <c r="I33" s="60">
        <v>42352</v>
      </c>
      <c r="J33" s="59" t="s">
        <v>242</v>
      </c>
      <c r="K33" s="59" t="s">
        <v>242</v>
      </c>
      <c r="L33" s="57" t="e">
        <f>IF($A33="","",INDEX([1]Portfolio!$A$3:$AU$63,MATCH($A33,[1]Portfolio!$B$3:$B$63,0),3))</f>
        <v>#N/A</v>
      </c>
      <c r="M33" s="57" t="e">
        <f>IF($A33="","",INDEX([1]Portfolio!$A$3:$AU$63,MATCH($A33,[1]Portfolio!$B$3:$B$63,0),5))</f>
        <v>#N/A</v>
      </c>
      <c r="N33" s="6" t="e">
        <f>IF($A33="","",INDEX([1]Portfolio!$A$3:$AU$63,MATCH($A33,[1]Portfolio!$B$3:$B$63,0),29))</f>
        <v>#N/A</v>
      </c>
      <c r="O33" s="6" t="e">
        <f>IF($A33="","",INDEX([1]Portfolio!$A$3:$AU$63,MATCH($A33,[1]Portfolio!$B$3:$B$63,0),32))</f>
        <v>#N/A</v>
      </c>
      <c r="P33" s="7" t="e">
        <f>IF($A33="","",INDEX([1]Portfolio!$A$3:$AU$63,MATCH($A33,[1]Portfolio!$B$3:$B$63,0),35))</f>
        <v>#N/A</v>
      </c>
      <c r="Q33" s="7" t="e">
        <f>IF($A33="","",INDEX([1]Portfolio!$A$3:$AU$63,MATCH($A33,[1]Portfolio!$B$3:$B$63,0),38))</f>
        <v>#N/A</v>
      </c>
      <c r="R33" s="7" t="e">
        <f>IF($A33="","",INDEX([1]Portfolio!$A$3:$AU$63,MATCH($A33,[1]Portfolio!$B$3:$B$63,0),42))</f>
        <v>#N/A</v>
      </c>
      <c r="S33" s="7" t="e">
        <f>IF($A33="","",INDEX([1]Portfolio!$A$3:$AU$63,MATCH($A33,[1]Portfolio!$B$3:$B$63,0),43))</f>
        <v>#N/A</v>
      </c>
      <c r="T33" s="7" t="e">
        <f>IF($A33="","",INDEX([1]Portfolio!$A$3:$AU$63,MATCH($A33,[1]Portfolio!$B$3:$B$63,0),37))</f>
        <v>#N/A</v>
      </c>
      <c r="U33" s="7" t="e">
        <f>IF($A33="","",INDEX([1]Portfolio!$A$3:$AU$63,MATCH($A33,[1]Portfolio!$B$3:$B$63,0),36))</f>
        <v>#N/A</v>
      </c>
      <c r="V33" s="7">
        <f>IF($A33="","",(INDEX([2]Programmesjalons!$A$4:$AH$140,MATCH($A33,[2]Programmesjalons!$A$4:$A$140,0),8)))</f>
        <v>42233</v>
      </c>
      <c r="W33" s="7">
        <f>IF($A33="","",(INDEX([2]Programmesjalons!$A$4:$AH$140,MATCH($A33,[2]Programmesjalons!$A$4:$A$140,0),12)))</f>
        <v>0</v>
      </c>
      <c r="X33" s="7">
        <f>IF($A33="","",(INDEX([2]Programmesjalons!$A$4:$AH$140,MATCH($A33,[2]Programmesjalons!$A$4:$A$140,0),16)))</f>
        <v>42282</v>
      </c>
      <c r="Y33" s="7">
        <f>IF($A33="","",(INDEX([2]Programmesjalons!$A$4:$AH$140,MATCH($A33,[2]Programmesjalons!$A$4:$A$140,0),30)))</f>
        <v>0</v>
      </c>
      <c r="Z33" s="59">
        <f>IF($A33="","",(INDEX([2]Programmesjalons!$A$4:$AH$140,MATCH($A33,[2]Programmesjalons!$A$4:$A$140,0),32)))</f>
        <v>42331</v>
      </c>
      <c r="AA33" s="60">
        <f>IF($A33="","",(INDEX([2]Programmesjalons!$A$4:$AH$140,MATCH($A33,[2]Programmesjalons!$A$4:$A$140,0),34)))</f>
        <v>42352</v>
      </c>
      <c r="AB33" s="59">
        <f>IF($A33="","",(INDEX([2]Programmesjalons!$A$4:$AH$140,MATCH($A33,[2]Programmesjalons!$A$4:$A$140,0),26)))</f>
        <v>0</v>
      </c>
      <c r="AC33" s="59">
        <f>IF($A33="","",(INDEX([2]Programmesjalons!$A$4:$AH$140,MATCH($A33,[2]Programmesjalons!$A$4:$A$140,0),18)))</f>
        <v>0</v>
      </c>
      <c r="AD33" s="68"/>
      <c r="AE33" s="68"/>
      <c r="AF33" s="68"/>
      <c r="AG33" s="68"/>
      <c r="AH33" s="68"/>
      <c r="AI33" s="68"/>
      <c r="AJ33" s="69"/>
      <c r="AK33" s="70"/>
      <c r="AL33" s="69"/>
      <c r="AM33" s="69"/>
      <c r="AN33" s="7">
        <f t="shared" si="2"/>
        <v>42233</v>
      </c>
      <c r="AO33" s="7" t="str">
        <f t="shared" si="3"/>
        <v>manque date</v>
      </c>
      <c r="AP33" s="7">
        <f t="shared" si="4"/>
        <v>42282</v>
      </c>
      <c r="AQ33" s="7" t="str">
        <f t="shared" si="5"/>
        <v>manque date</v>
      </c>
      <c r="AR33" s="59">
        <f t="shared" si="6"/>
        <v>42331</v>
      </c>
      <c r="AS33" s="60">
        <f t="shared" si="7"/>
        <v>42352</v>
      </c>
      <c r="AT33" s="59" t="str">
        <f t="shared" si="8"/>
        <v>manque date</v>
      </c>
      <c r="AU33" s="59" t="str">
        <f t="shared" si="9"/>
        <v>manque date</v>
      </c>
      <c r="AV33" s="76">
        <f t="shared" si="10"/>
        <v>42233</v>
      </c>
      <c r="AW33" s="76">
        <f t="shared" si="11"/>
        <v>42233</v>
      </c>
      <c r="AX33" s="61">
        <f t="shared" si="12"/>
        <v>0</v>
      </c>
      <c r="AY33" s="61">
        <f t="shared" si="13"/>
        <v>0</v>
      </c>
      <c r="AZ33" s="61">
        <f t="shared" si="14"/>
        <v>42282</v>
      </c>
      <c r="BA33" s="61">
        <f t="shared" si="15"/>
        <v>42282</v>
      </c>
      <c r="BB33" s="61">
        <f t="shared" si="16"/>
        <v>0</v>
      </c>
      <c r="BC33" s="61">
        <f t="shared" si="17"/>
        <v>0</v>
      </c>
      <c r="BD33" s="61">
        <f t="shared" si="18"/>
        <v>42331</v>
      </c>
      <c r="BE33" s="61">
        <f t="shared" si="19"/>
        <v>42331</v>
      </c>
      <c r="BF33" s="61">
        <f t="shared" si="20"/>
        <v>42352</v>
      </c>
      <c r="BG33" s="61">
        <f t="shared" si="21"/>
        <v>42352</v>
      </c>
      <c r="BH33" s="61">
        <f t="shared" si="22"/>
        <v>0</v>
      </c>
      <c r="BI33" s="61">
        <f t="shared" si="23"/>
        <v>0</v>
      </c>
      <c r="BJ33" s="61">
        <f t="shared" si="24"/>
        <v>0</v>
      </c>
      <c r="BK33" s="61">
        <f t="shared" si="25"/>
        <v>0</v>
      </c>
    </row>
    <row r="34" spans="1:63">
      <c r="A34" s="25" t="s">
        <v>155</v>
      </c>
      <c r="B34" s="74" t="str">
        <f t="shared" si="0"/>
        <v xml:space="preserve">Juneyao </v>
      </c>
      <c r="C34" s="74" t="str">
        <f t="shared" si="1"/>
        <v>A320-A321</v>
      </c>
      <c r="D34" s="7">
        <v>42193</v>
      </c>
      <c r="E34" s="7">
        <v>42244</v>
      </c>
      <c r="F34" s="7">
        <v>42277</v>
      </c>
      <c r="G34" s="7">
        <v>42323</v>
      </c>
      <c r="H34" s="59">
        <v>42353</v>
      </c>
      <c r="I34" s="60">
        <v>42415</v>
      </c>
      <c r="J34" s="59" t="s">
        <v>242</v>
      </c>
      <c r="K34" s="59" t="s">
        <v>242</v>
      </c>
      <c r="L34" s="57" t="str">
        <f>IF($A34="","",INDEX([1]Portfolio!$A$3:$AU$63,MATCH($A34,[1]Portfolio!$B$3:$B$63,0),3))</f>
        <v xml:space="preserve">Juneyao </v>
      </c>
      <c r="M34" s="57" t="str">
        <f>IF($A34="","",INDEX([1]Portfolio!$A$3:$AU$63,MATCH($A34,[1]Portfolio!$B$3:$B$63,0),5))</f>
        <v>A320-A321</v>
      </c>
      <c r="N34" s="6">
        <f>IF($A34="","",INDEX([1]Portfolio!$A$3:$AU$63,MATCH($A34,[1]Portfolio!$B$3:$B$63,0),29))</f>
        <v>42193</v>
      </c>
      <c r="O34" s="6">
        <f>IF($A34="","",INDEX([1]Portfolio!$A$3:$AU$63,MATCH($A34,[1]Portfolio!$B$3:$B$63,0),32))</f>
        <v>42251</v>
      </c>
      <c r="P34" s="7">
        <f>IF($A34="","",INDEX([1]Portfolio!$A$3:$AU$63,MATCH($A34,[1]Portfolio!$B$3:$B$63,0),35))</f>
        <v>42277</v>
      </c>
      <c r="Q34" s="7">
        <f>IF($A34="","",INDEX([1]Portfolio!$A$3:$AU$63,MATCH($A34,[1]Portfolio!$B$3:$B$63,0),38))</f>
        <v>42339</v>
      </c>
      <c r="R34" s="7">
        <f>IF($A34="","",INDEX([1]Portfolio!$A$3:$AU$63,MATCH($A34,[1]Portfolio!$B$3:$B$63,0),42))</f>
        <v>42353</v>
      </c>
      <c r="S34" s="7">
        <f>IF($A34="","",INDEX([1]Portfolio!$A$3:$AU$63,MATCH($A34,[1]Portfolio!$B$3:$B$63,0),43))</f>
        <v>42415</v>
      </c>
      <c r="T34" s="7" t="str">
        <f>IF($A34="","",INDEX([1]Portfolio!$A$3:$AU$63,MATCH($A34,[1]Portfolio!$B$3:$B$63,0),37))</f>
        <v/>
      </c>
      <c r="U34" s="7">
        <f>IF($A34="","",INDEX([1]Portfolio!$A$3:$AU$63,MATCH($A34,[1]Portfolio!$B$3:$B$63,0),36))</f>
        <v>0</v>
      </c>
      <c r="V34" s="7">
        <f>IF($A34="","",(INDEX([2]Programmesjalons!$A$4:$AH$140,MATCH($A34,[2]Programmesjalons!$A$4:$A$140,0),8)))</f>
        <v>42193</v>
      </c>
      <c r="W34" s="7">
        <f>IF($A34="","",(INDEX([2]Programmesjalons!$A$4:$AH$140,MATCH($A34,[2]Programmesjalons!$A$4:$A$140,0),12)))</f>
        <v>42244</v>
      </c>
      <c r="X34" s="7">
        <f>IF($A34="","",(INDEX([2]Programmesjalons!$A$4:$AH$140,MATCH($A34,[2]Programmesjalons!$A$4:$A$140,0),16)))</f>
        <v>42277</v>
      </c>
      <c r="Y34" s="7">
        <f>IF($A34="","",(INDEX([2]Programmesjalons!$A$4:$AH$140,MATCH($A34,[2]Programmesjalons!$A$4:$A$140,0),30)))</f>
        <v>42323</v>
      </c>
      <c r="Z34" s="59">
        <f>IF($A34="","",(INDEX([2]Programmesjalons!$A$4:$AH$140,MATCH($A34,[2]Programmesjalons!$A$4:$A$140,0),32)))</f>
        <v>42353</v>
      </c>
      <c r="AA34" s="60">
        <f>IF($A34="","",(INDEX([2]Programmesjalons!$A$4:$AH$140,MATCH($A34,[2]Programmesjalons!$A$4:$A$140,0),34)))</f>
        <v>42415</v>
      </c>
      <c r="AB34" s="59">
        <f>IF($A34="","",(INDEX([2]Programmesjalons!$A$4:$AH$140,MATCH($A34,[2]Programmesjalons!$A$4:$A$140,0),26)))</f>
        <v>0</v>
      </c>
      <c r="AC34" s="59">
        <f>IF($A34="","",(INDEX([2]Programmesjalons!$A$4:$AH$140,MATCH($A34,[2]Programmesjalons!$A$4:$A$140,0),18)))</f>
        <v>0</v>
      </c>
      <c r="AD34" s="68"/>
      <c r="AE34" s="68"/>
      <c r="AF34" s="68"/>
      <c r="AG34" s="68"/>
      <c r="AH34" s="68"/>
      <c r="AI34" s="68"/>
      <c r="AJ34" s="69"/>
      <c r="AK34" s="70"/>
      <c r="AL34" s="69"/>
      <c r="AM34" s="69"/>
      <c r="AN34" s="7">
        <f t="shared" si="2"/>
        <v>42193</v>
      </c>
      <c r="AO34" s="7">
        <f t="shared" si="3"/>
        <v>42244</v>
      </c>
      <c r="AP34" s="7">
        <f t="shared" si="4"/>
        <v>42277</v>
      </c>
      <c r="AQ34" s="7">
        <f t="shared" si="5"/>
        <v>42323</v>
      </c>
      <c r="AR34" s="59">
        <f t="shared" si="6"/>
        <v>42353</v>
      </c>
      <c r="AS34" s="60">
        <f t="shared" si="7"/>
        <v>42415</v>
      </c>
      <c r="AT34" s="59" t="str">
        <f t="shared" si="8"/>
        <v>manque date</v>
      </c>
      <c r="AU34" s="59" t="str">
        <f t="shared" si="9"/>
        <v>manque date</v>
      </c>
      <c r="AV34" s="76">
        <f t="shared" si="10"/>
        <v>42193</v>
      </c>
      <c r="AW34" s="76">
        <f t="shared" si="11"/>
        <v>42193</v>
      </c>
      <c r="AX34" s="61">
        <f t="shared" si="12"/>
        <v>42244</v>
      </c>
      <c r="AY34" s="61">
        <f t="shared" si="13"/>
        <v>42244</v>
      </c>
      <c r="AZ34" s="61">
        <f t="shared" si="14"/>
        <v>42277</v>
      </c>
      <c r="BA34" s="61">
        <f t="shared" si="15"/>
        <v>42277</v>
      </c>
      <c r="BB34" s="61">
        <f t="shared" si="16"/>
        <v>42323</v>
      </c>
      <c r="BC34" s="61">
        <f t="shared" si="17"/>
        <v>42323</v>
      </c>
      <c r="BD34" s="61">
        <f t="shared" si="18"/>
        <v>42353</v>
      </c>
      <c r="BE34" s="61">
        <f t="shared" si="19"/>
        <v>42353</v>
      </c>
      <c r="BF34" s="61">
        <f t="shared" si="20"/>
        <v>42415</v>
      </c>
      <c r="BG34" s="61">
        <f t="shared" si="21"/>
        <v>42415</v>
      </c>
      <c r="BH34" s="61">
        <f t="shared" si="22"/>
        <v>0</v>
      </c>
      <c r="BI34" s="61">
        <f t="shared" si="23"/>
        <v>0</v>
      </c>
      <c r="BJ34" s="61">
        <f t="shared" si="24"/>
        <v>0</v>
      </c>
      <c r="BK34" s="61">
        <f t="shared" si="25"/>
        <v>0</v>
      </c>
    </row>
    <row r="35" spans="1:63">
      <c r="A35" s="25" t="s">
        <v>156</v>
      </c>
      <c r="B35" s="74" t="str">
        <f t="shared" si="0"/>
        <v>PEGASUS</v>
      </c>
      <c r="C35" s="74" t="str">
        <f t="shared" si="1"/>
        <v>A320 CEO/NEO</v>
      </c>
      <c r="D35" s="7">
        <v>42255</v>
      </c>
      <c r="E35" s="7">
        <v>42290</v>
      </c>
      <c r="F35" s="7">
        <v>42325</v>
      </c>
      <c r="G35" s="7">
        <v>42427</v>
      </c>
      <c r="H35" s="59">
        <v>42410</v>
      </c>
      <c r="I35" s="60">
        <v>42487</v>
      </c>
      <c r="J35" s="59" t="s">
        <v>242</v>
      </c>
      <c r="K35" s="59" t="s">
        <v>242</v>
      </c>
      <c r="L35" s="57" t="str">
        <f>IF($A35="","",INDEX([1]Portfolio!$A$3:$AU$63,MATCH($A35,[1]Portfolio!$B$3:$B$63,0),3))</f>
        <v>PEGASUS</v>
      </c>
      <c r="M35" s="57" t="str">
        <f>IF($A35="","",INDEX([1]Portfolio!$A$3:$AU$63,MATCH($A35,[1]Portfolio!$B$3:$B$63,0),5))</f>
        <v>A320 CEO/NEO</v>
      </c>
      <c r="N35" s="6">
        <f>IF($A35="","",INDEX([1]Portfolio!$A$3:$AU$63,MATCH($A35,[1]Portfolio!$B$3:$B$63,0),29))</f>
        <v>42255</v>
      </c>
      <c r="O35" s="6">
        <f>IF($A35="","",INDEX([1]Portfolio!$A$3:$AU$63,MATCH($A35,[1]Portfolio!$B$3:$B$63,0),32))</f>
        <v>42290</v>
      </c>
      <c r="P35" s="7">
        <f>IF($A35="","",INDEX([1]Portfolio!$A$3:$AU$63,MATCH($A35,[1]Portfolio!$B$3:$B$63,0),35))</f>
        <v>42325</v>
      </c>
      <c r="Q35" s="7">
        <f>IF($A35="","",INDEX([1]Portfolio!$A$3:$AU$63,MATCH($A35,[1]Portfolio!$B$3:$B$63,0),38))</f>
        <v>0</v>
      </c>
      <c r="R35" s="7">
        <f>IF($A35="","",INDEX([1]Portfolio!$A$3:$AU$63,MATCH($A35,[1]Portfolio!$B$3:$B$63,0),42))</f>
        <v>42410</v>
      </c>
      <c r="S35" s="7">
        <f>IF($A35="","",INDEX([1]Portfolio!$A$3:$AU$63,MATCH($A35,[1]Portfolio!$B$3:$B$63,0),43))</f>
        <v>42541</v>
      </c>
      <c r="T35" s="7">
        <f>IF($A35="","",INDEX([1]Portfolio!$A$3:$AU$63,MATCH($A35,[1]Portfolio!$B$3:$B$63,0),37))</f>
        <v>0</v>
      </c>
      <c r="U35" s="7">
        <f>IF($A35="","",INDEX([1]Portfolio!$A$3:$AU$63,MATCH($A35,[1]Portfolio!$B$3:$B$63,0),36))</f>
        <v>0</v>
      </c>
      <c r="V35" s="7">
        <f>IF($A35="","",(INDEX([2]Programmesjalons!$A$4:$AH$140,MATCH($A35,[2]Programmesjalons!$A$4:$A$140,0),8)))</f>
        <v>42255</v>
      </c>
      <c r="W35" s="7">
        <f>IF($A35="","",(INDEX([2]Programmesjalons!$A$4:$AH$140,MATCH($A35,[2]Programmesjalons!$A$4:$A$140,0),12)))</f>
        <v>42322</v>
      </c>
      <c r="X35" s="7">
        <f>IF($A35="","",(INDEX([2]Programmesjalons!$A$4:$AH$140,MATCH($A35,[2]Programmesjalons!$A$4:$A$140,0),16)))</f>
        <v>42382</v>
      </c>
      <c r="Y35" s="7">
        <f>IF($A35="","",(INDEX([2]Programmesjalons!$A$4:$AH$140,MATCH($A35,[2]Programmesjalons!$A$4:$A$140,0),30)))</f>
        <v>42427</v>
      </c>
      <c r="Z35" s="59">
        <f>IF($A35="","",(INDEX([2]Programmesjalons!$A$4:$AH$140,MATCH($A35,[2]Programmesjalons!$A$4:$A$140,0),32)))</f>
        <v>42457</v>
      </c>
      <c r="AA35" s="60">
        <f>IF($A35="","",(INDEX([2]Programmesjalons!$A$4:$AH$140,MATCH($A35,[2]Programmesjalons!$A$4:$A$140,0),34)))</f>
        <v>42487</v>
      </c>
      <c r="AB35" s="59">
        <f>IF($A35="","",(INDEX([2]Programmesjalons!$A$4:$AH$140,MATCH($A35,[2]Programmesjalons!$A$4:$A$140,0),26)))</f>
        <v>0</v>
      </c>
      <c r="AC35" s="59">
        <f>IF($A35="","",(INDEX([2]Programmesjalons!$A$4:$AH$140,MATCH($A35,[2]Programmesjalons!$A$4:$A$140,0),18)))</f>
        <v>0</v>
      </c>
      <c r="AD35" s="68"/>
      <c r="AE35" s="68"/>
      <c r="AF35" s="68"/>
      <c r="AG35" s="68"/>
      <c r="AH35" s="68"/>
      <c r="AI35" s="68"/>
      <c r="AJ35" s="69"/>
      <c r="AK35" s="70"/>
      <c r="AL35" s="69"/>
      <c r="AM35" s="69"/>
      <c r="AN35" s="7">
        <f t="shared" si="2"/>
        <v>42255</v>
      </c>
      <c r="AO35" s="7">
        <f t="shared" si="3"/>
        <v>42290</v>
      </c>
      <c r="AP35" s="7">
        <f t="shared" si="4"/>
        <v>42325</v>
      </c>
      <c r="AQ35" s="7">
        <f t="shared" si="5"/>
        <v>42427</v>
      </c>
      <c r="AR35" s="59">
        <f t="shared" si="6"/>
        <v>42410</v>
      </c>
      <c r="AS35" s="60">
        <f t="shared" si="7"/>
        <v>42487</v>
      </c>
      <c r="AT35" s="59" t="str">
        <f t="shared" si="8"/>
        <v>manque date</v>
      </c>
      <c r="AU35" s="59" t="str">
        <f t="shared" si="9"/>
        <v>manque date</v>
      </c>
      <c r="AV35" s="76">
        <f t="shared" si="10"/>
        <v>42255</v>
      </c>
      <c r="AW35" s="76">
        <f t="shared" si="11"/>
        <v>42255</v>
      </c>
      <c r="AX35" s="61">
        <f t="shared" si="12"/>
        <v>42290</v>
      </c>
      <c r="AY35" s="61">
        <f t="shared" si="13"/>
        <v>42290</v>
      </c>
      <c r="AZ35" s="61">
        <f t="shared" si="14"/>
        <v>42325</v>
      </c>
      <c r="BA35" s="61">
        <f t="shared" si="15"/>
        <v>42325</v>
      </c>
      <c r="BB35" s="61">
        <f t="shared" si="16"/>
        <v>42427</v>
      </c>
      <c r="BC35" s="61">
        <f t="shared" si="17"/>
        <v>42427</v>
      </c>
      <c r="BD35" s="61">
        <f t="shared" si="18"/>
        <v>42457</v>
      </c>
      <c r="BE35" s="61">
        <f t="shared" si="19"/>
        <v>42410</v>
      </c>
      <c r="BF35" s="61">
        <f t="shared" si="20"/>
        <v>42487</v>
      </c>
      <c r="BG35" s="61">
        <f t="shared" si="21"/>
        <v>42487</v>
      </c>
      <c r="BH35" s="61">
        <f t="shared" si="22"/>
        <v>0</v>
      </c>
      <c r="BI35" s="61">
        <f t="shared" si="23"/>
        <v>0</v>
      </c>
      <c r="BJ35" s="61">
        <f t="shared" si="24"/>
        <v>0</v>
      </c>
      <c r="BK35" s="61">
        <f t="shared" si="25"/>
        <v>0</v>
      </c>
    </row>
    <row r="36" spans="1:63">
      <c r="A36" s="25" t="s">
        <v>157</v>
      </c>
      <c r="B36" s="74" t="str">
        <f t="shared" si="0"/>
        <v>PEGASUS</v>
      </c>
      <c r="C36" s="74" t="str">
        <f t="shared" si="1"/>
        <v>B737</v>
      </c>
      <c r="D36" s="7">
        <v>42278</v>
      </c>
      <c r="E36" s="7">
        <v>42322</v>
      </c>
      <c r="F36" s="7">
        <v>42354</v>
      </c>
      <c r="G36" s="7">
        <v>42427</v>
      </c>
      <c r="H36" s="59">
        <v>42447</v>
      </c>
      <c r="I36" s="60">
        <v>42487</v>
      </c>
      <c r="J36" s="59" t="s">
        <v>242</v>
      </c>
      <c r="K36" s="59" t="s">
        <v>242</v>
      </c>
      <c r="L36" s="57" t="str">
        <f>IF($A36="","",INDEX([1]Portfolio!$A$3:$AU$63,MATCH($A36,[1]Portfolio!$B$3:$B$63,0),3))</f>
        <v>PEGASUS</v>
      </c>
      <c r="M36" s="57" t="str">
        <f>IF($A36="","",INDEX([1]Portfolio!$A$3:$AU$63,MATCH($A36,[1]Portfolio!$B$3:$B$63,0),5))</f>
        <v>B737</v>
      </c>
      <c r="N36" s="6">
        <f>IF($A36="","",INDEX([1]Portfolio!$A$3:$AU$63,MATCH($A36,[1]Portfolio!$B$3:$B$63,0),29))</f>
        <v>42283</v>
      </c>
      <c r="O36" s="6">
        <f>IF($A36="","",INDEX([1]Portfolio!$A$3:$AU$63,MATCH($A36,[1]Portfolio!$B$3:$B$63,0),32))</f>
        <v>42342</v>
      </c>
      <c r="P36" s="7">
        <f>IF($A36="","",INDEX([1]Portfolio!$A$3:$AU$63,MATCH($A36,[1]Portfolio!$B$3:$B$63,0),35))</f>
        <v>42354</v>
      </c>
      <c r="Q36" s="7">
        <f>IF($A36="","",INDEX([1]Portfolio!$A$3:$AU$63,MATCH($A36,[1]Portfolio!$B$3:$B$63,0),38))</f>
        <v>42446</v>
      </c>
      <c r="R36" s="7">
        <f>IF($A36="","",INDEX([1]Portfolio!$A$3:$AU$63,MATCH($A36,[1]Portfolio!$B$3:$B$63,0),42))</f>
        <v>42447</v>
      </c>
      <c r="S36" s="7">
        <f>IF($A36="","",INDEX([1]Portfolio!$A$3:$AU$63,MATCH($A36,[1]Portfolio!$B$3:$B$63,0),43))</f>
        <v>42464</v>
      </c>
      <c r="T36" s="7">
        <f>IF($A36="","",INDEX([1]Portfolio!$A$3:$AU$63,MATCH($A36,[1]Portfolio!$B$3:$B$63,0),37))</f>
        <v>0</v>
      </c>
      <c r="U36" s="7">
        <f>IF($A36="","",INDEX([1]Portfolio!$A$3:$AU$63,MATCH($A36,[1]Portfolio!$B$3:$B$63,0),36))</f>
        <v>0</v>
      </c>
      <c r="V36" s="7">
        <f>IF($A36="","",(INDEX([2]Programmesjalons!$A$4:$AH$140,MATCH($A36,[2]Programmesjalons!$A$4:$A$140,0),8)))</f>
        <v>42278</v>
      </c>
      <c r="W36" s="7">
        <f>IF($A36="","",(INDEX([2]Programmesjalons!$A$4:$AH$140,MATCH($A36,[2]Programmesjalons!$A$4:$A$140,0),12)))</f>
        <v>42322</v>
      </c>
      <c r="X36" s="7">
        <f>IF($A36="","",(INDEX([2]Programmesjalons!$A$4:$AH$140,MATCH($A36,[2]Programmesjalons!$A$4:$A$140,0),16)))</f>
        <v>42382</v>
      </c>
      <c r="Y36" s="7">
        <f>IF($A36="","",(INDEX([2]Programmesjalons!$A$4:$AH$140,MATCH($A36,[2]Programmesjalons!$A$4:$A$140,0),30)))</f>
        <v>42427</v>
      </c>
      <c r="Z36" s="59">
        <f>IF($A36="","",(INDEX([2]Programmesjalons!$A$4:$AH$140,MATCH($A36,[2]Programmesjalons!$A$4:$A$140,0),32)))</f>
        <v>42457</v>
      </c>
      <c r="AA36" s="60">
        <f>IF($A36="","",(INDEX([2]Programmesjalons!$A$4:$AH$140,MATCH($A36,[2]Programmesjalons!$A$4:$A$140,0),34)))</f>
        <v>42487</v>
      </c>
      <c r="AB36" s="59">
        <f>IF($A36="","",(INDEX([2]Programmesjalons!$A$4:$AH$140,MATCH($A36,[2]Programmesjalons!$A$4:$A$140,0),26)))</f>
        <v>0</v>
      </c>
      <c r="AC36" s="59">
        <f>IF($A36="","",(INDEX([2]Programmesjalons!$A$4:$AH$140,MATCH($A36,[2]Programmesjalons!$A$4:$A$140,0),18)))</f>
        <v>0</v>
      </c>
      <c r="AD36" s="68"/>
      <c r="AE36" s="68"/>
      <c r="AF36" s="68"/>
      <c r="AG36" s="68"/>
      <c r="AH36" s="68"/>
      <c r="AI36" s="68"/>
      <c r="AJ36" s="69"/>
      <c r="AK36" s="70"/>
      <c r="AL36" s="69"/>
      <c r="AM36" s="69"/>
      <c r="AN36" s="7">
        <f t="shared" si="2"/>
        <v>42278</v>
      </c>
      <c r="AO36" s="7">
        <f t="shared" si="3"/>
        <v>42322</v>
      </c>
      <c r="AP36" s="7">
        <f t="shared" si="4"/>
        <v>42354</v>
      </c>
      <c r="AQ36" s="7">
        <f t="shared" si="5"/>
        <v>42427</v>
      </c>
      <c r="AR36" s="59">
        <f t="shared" si="6"/>
        <v>42447</v>
      </c>
      <c r="AS36" s="60">
        <f t="shared" si="7"/>
        <v>42464</v>
      </c>
      <c r="AT36" s="59" t="str">
        <f t="shared" si="8"/>
        <v>manque date</v>
      </c>
      <c r="AU36" s="59" t="str">
        <f t="shared" si="9"/>
        <v>manque date</v>
      </c>
      <c r="AV36" s="76">
        <f t="shared" si="10"/>
        <v>42278</v>
      </c>
      <c r="AW36" s="76">
        <f t="shared" si="11"/>
        <v>42278</v>
      </c>
      <c r="AX36" s="61">
        <f t="shared" si="12"/>
        <v>42322</v>
      </c>
      <c r="AY36" s="61">
        <f t="shared" si="13"/>
        <v>42322</v>
      </c>
      <c r="AZ36" s="61">
        <f t="shared" si="14"/>
        <v>42354</v>
      </c>
      <c r="BA36" s="61">
        <f t="shared" si="15"/>
        <v>42354</v>
      </c>
      <c r="BB36" s="61">
        <f t="shared" si="16"/>
        <v>42427</v>
      </c>
      <c r="BC36" s="61">
        <f t="shared" si="17"/>
        <v>42427</v>
      </c>
      <c r="BD36" s="61">
        <f t="shared" si="18"/>
        <v>42457</v>
      </c>
      <c r="BE36" s="61">
        <f t="shared" si="19"/>
        <v>42447</v>
      </c>
      <c r="BF36" s="61">
        <f t="shared" si="20"/>
        <v>42464</v>
      </c>
      <c r="BG36" s="61">
        <f t="shared" si="21"/>
        <v>42464</v>
      </c>
      <c r="BH36" s="61">
        <f t="shared" si="22"/>
        <v>0</v>
      </c>
      <c r="BI36" s="61">
        <f t="shared" si="23"/>
        <v>0</v>
      </c>
      <c r="BJ36" s="61">
        <f t="shared" si="24"/>
        <v>0</v>
      </c>
      <c r="BK36" s="61">
        <f t="shared" si="25"/>
        <v>0</v>
      </c>
    </row>
    <row r="37" spans="1:63">
      <c r="A37" s="13" t="s">
        <v>193</v>
      </c>
      <c r="B37" s="74" t="str">
        <f t="shared" si="0"/>
        <v>Honk Kong Express</v>
      </c>
      <c r="C37" s="74" t="str">
        <f t="shared" si="1"/>
        <v>A320-A321</v>
      </c>
      <c r="D37" s="7">
        <v>42269</v>
      </c>
      <c r="E37" s="7">
        <v>42325</v>
      </c>
      <c r="F37" s="7">
        <v>42381</v>
      </c>
      <c r="G37" s="7">
        <v>42480</v>
      </c>
      <c r="H37" s="59">
        <v>42452</v>
      </c>
      <c r="I37" s="60">
        <v>42566</v>
      </c>
      <c r="J37" s="59" t="s">
        <v>242</v>
      </c>
      <c r="K37" s="59" t="s">
        <v>242</v>
      </c>
      <c r="L37" s="57" t="str">
        <f>IF($A37="","",INDEX([1]Portfolio!$A$3:$AU$63,MATCH($A37,[1]Portfolio!$B$3:$B$63,0),3))</f>
        <v>Honk Kong Express</v>
      </c>
      <c r="M37" s="57" t="str">
        <f>IF($A37="","",INDEX([1]Portfolio!$A$3:$AU$63,MATCH($A37,[1]Portfolio!$B$3:$B$63,0),5))</f>
        <v>A320-A321</v>
      </c>
      <c r="N37" s="6">
        <f>IF($A37="","",INDEX([1]Portfolio!$A$3:$AU$63,MATCH($A37,[1]Portfolio!$B$3:$B$63,0),29))</f>
        <v>42270</v>
      </c>
      <c r="O37" s="6">
        <f>IF($A37="","",INDEX([1]Portfolio!$A$3:$AU$63,MATCH($A37,[1]Portfolio!$B$3:$B$63,0),32))</f>
        <v>42325</v>
      </c>
      <c r="P37" s="7">
        <f>IF($A37="","",INDEX([1]Portfolio!$A$3:$AU$63,MATCH($A37,[1]Portfolio!$B$3:$B$63,0),35))</f>
        <v>42381</v>
      </c>
      <c r="Q37" s="7">
        <f>IF($A37="","",INDEX([1]Portfolio!$A$3:$AU$63,MATCH($A37,[1]Portfolio!$B$3:$B$63,0),38))</f>
        <v>42234</v>
      </c>
      <c r="R37" s="7">
        <f>IF($A37="","",INDEX([1]Portfolio!$A$3:$AU$63,MATCH($A37,[1]Portfolio!$B$3:$B$63,0),42))</f>
        <v>42452</v>
      </c>
      <c r="S37" s="7">
        <f>IF($A37="","",INDEX([1]Portfolio!$A$3:$AU$63,MATCH($A37,[1]Portfolio!$B$3:$B$63,0),43))</f>
        <v>42265</v>
      </c>
      <c r="T37" s="7">
        <f>IF($A37="","",INDEX([1]Portfolio!$A$3:$AU$63,MATCH($A37,[1]Portfolio!$B$3:$B$63,0),37))</f>
        <v>42009</v>
      </c>
      <c r="U37" s="7">
        <f>IF($A37="","",INDEX([1]Portfolio!$A$3:$AU$63,MATCH($A37,[1]Portfolio!$B$3:$B$63,0),36))</f>
        <v>0</v>
      </c>
      <c r="V37" s="7">
        <f>IF($A37="","",(INDEX([2]Programmesjalons!$A$4:$AH$140,MATCH($A37,[2]Programmesjalons!$A$4:$A$140,0),8)))</f>
        <v>42269</v>
      </c>
      <c r="W37" s="7">
        <f>IF($A37="","",(INDEX([2]Programmesjalons!$A$4:$AH$140,MATCH($A37,[2]Programmesjalons!$A$4:$A$140,0),12)))</f>
        <v>42328</v>
      </c>
      <c r="X37" s="7">
        <f>IF($A37="","",(INDEX([2]Programmesjalons!$A$4:$AH$140,MATCH($A37,[2]Programmesjalons!$A$4:$A$140,0),16)))</f>
        <v>42401</v>
      </c>
      <c r="Y37" s="7">
        <f>IF($A37="","",(INDEX([2]Programmesjalons!$A$4:$AH$140,MATCH($A37,[2]Programmesjalons!$A$4:$A$140,0),30)))</f>
        <v>42480</v>
      </c>
      <c r="Z37" s="59">
        <f>IF($A37="","",(INDEX([2]Programmesjalons!$A$4:$AH$140,MATCH($A37,[2]Programmesjalons!$A$4:$A$140,0),32)))</f>
        <v>42510</v>
      </c>
      <c r="AA37" s="60">
        <f>IF($A37="","",(INDEX([2]Programmesjalons!$A$4:$AH$140,MATCH($A37,[2]Programmesjalons!$A$4:$A$140,0),34)))</f>
        <v>42566</v>
      </c>
      <c r="AB37" s="59">
        <f>IF($A37="","",(INDEX([2]Programmesjalons!$A$4:$AH$140,MATCH($A37,[2]Programmesjalons!$A$4:$A$140,0),26)))</f>
        <v>0</v>
      </c>
      <c r="AC37" s="59">
        <f>IF($A37="","",(INDEX([2]Programmesjalons!$A$4:$AH$140,MATCH($A37,[2]Programmesjalons!$A$4:$A$140,0),18)))</f>
        <v>0</v>
      </c>
      <c r="AD37" s="68"/>
      <c r="AE37" s="68"/>
      <c r="AF37" s="68"/>
      <c r="AG37" s="68"/>
      <c r="AH37" s="68"/>
      <c r="AI37" s="68"/>
      <c r="AJ37" s="69"/>
      <c r="AK37" s="70"/>
      <c r="AL37" s="69"/>
      <c r="AM37" s="69"/>
      <c r="AN37" s="7">
        <f t="shared" si="2"/>
        <v>42269</v>
      </c>
      <c r="AO37" s="7">
        <f t="shared" si="3"/>
        <v>42325</v>
      </c>
      <c r="AP37" s="7">
        <f t="shared" si="4"/>
        <v>42381</v>
      </c>
      <c r="AQ37" s="7">
        <f t="shared" si="5"/>
        <v>42234</v>
      </c>
      <c r="AR37" s="59">
        <f t="shared" si="6"/>
        <v>42452</v>
      </c>
      <c r="AS37" s="60">
        <f t="shared" si="7"/>
        <v>42265</v>
      </c>
      <c r="AT37" s="59">
        <f t="shared" si="8"/>
        <v>42009</v>
      </c>
      <c r="AU37" s="59" t="str">
        <f t="shared" si="9"/>
        <v>manque date</v>
      </c>
      <c r="AV37" s="76">
        <f t="shared" si="10"/>
        <v>42269</v>
      </c>
      <c r="AW37" s="76">
        <f t="shared" si="11"/>
        <v>42269</v>
      </c>
      <c r="AX37" s="61">
        <f t="shared" si="12"/>
        <v>42325</v>
      </c>
      <c r="AY37" s="61">
        <f t="shared" si="13"/>
        <v>42325</v>
      </c>
      <c r="AZ37" s="61">
        <f t="shared" si="14"/>
        <v>42381</v>
      </c>
      <c r="BA37" s="61">
        <f t="shared" si="15"/>
        <v>42381</v>
      </c>
      <c r="BB37" s="61">
        <f t="shared" si="16"/>
        <v>42234</v>
      </c>
      <c r="BC37" s="61">
        <f t="shared" si="17"/>
        <v>42234</v>
      </c>
      <c r="BD37" s="61">
        <f t="shared" si="18"/>
        <v>42265</v>
      </c>
      <c r="BE37" s="61">
        <f t="shared" si="19"/>
        <v>42452</v>
      </c>
      <c r="BF37" s="61">
        <f t="shared" si="20"/>
        <v>42265</v>
      </c>
      <c r="BG37" s="61">
        <f t="shared" si="21"/>
        <v>42265</v>
      </c>
      <c r="BH37" s="61">
        <f t="shared" si="22"/>
        <v>0</v>
      </c>
      <c r="BI37" s="61">
        <f t="shared" si="23"/>
        <v>42009</v>
      </c>
      <c r="BJ37" s="61">
        <f t="shared" si="24"/>
        <v>0</v>
      </c>
      <c r="BK37" s="61">
        <f t="shared" si="25"/>
        <v>0</v>
      </c>
    </row>
    <row r="38" spans="1:63">
      <c r="A38" s="13" t="s">
        <v>233</v>
      </c>
      <c r="B38" s="74">
        <f t="shared" si="0"/>
        <v>0</v>
      </c>
      <c r="C38" s="74">
        <f t="shared" si="1"/>
        <v>0</v>
      </c>
      <c r="D38" s="7">
        <v>42262</v>
      </c>
      <c r="E38" s="7">
        <v>42327</v>
      </c>
      <c r="F38" s="7">
        <v>42327</v>
      </c>
      <c r="G38" s="7" t="s">
        <v>242</v>
      </c>
      <c r="H38" s="59">
        <v>42472</v>
      </c>
      <c r="I38" s="60">
        <v>42522</v>
      </c>
      <c r="J38" s="59" t="s">
        <v>242</v>
      </c>
      <c r="K38" s="59" t="s">
        <v>242</v>
      </c>
      <c r="L38" s="57" t="e">
        <f>IF($A38="","",INDEX([1]Portfolio!$A$3:$AU$63,MATCH($A38,[1]Portfolio!$B$3:$B$63,0),3))</f>
        <v>#N/A</v>
      </c>
      <c r="M38" s="57" t="e">
        <f>IF($A38="","",INDEX([1]Portfolio!$A$3:$AU$63,MATCH($A38,[1]Portfolio!$B$3:$B$63,0),5))</f>
        <v>#N/A</v>
      </c>
      <c r="N38" s="6" t="e">
        <f>IF($A38="","",INDEX([1]Portfolio!$A$3:$AU$63,MATCH($A38,[1]Portfolio!$B$3:$B$63,0),29))</f>
        <v>#N/A</v>
      </c>
      <c r="O38" s="6" t="e">
        <f>IF($A38="","",INDEX([1]Portfolio!$A$3:$AU$63,MATCH($A38,[1]Portfolio!$B$3:$B$63,0),32))</f>
        <v>#N/A</v>
      </c>
      <c r="P38" s="7" t="e">
        <f>IF($A38="","",INDEX([1]Portfolio!$A$3:$AU$63,MATCH($A38,[1]Portfolio!$B$3:$B$63,0),35))</f>
        <v>#N/A</v>
      </c>
      <c r="Q38" s="7" t="e">
        <f>IF($A38="","",INDEX([1]Portfolio!$A$3:$AU$63,MATCH($A38,[1]Portfolio!$B$3:$B$63,0),38))</f>
        <v>#N/A</v>
      </c>
      <c r="R38" s="7" t="e">
        <f>IF($A38="","",INDEX([1]Portfolio!$A$3:$AU$63,MATCH($A38,[1]Portfolio!$B$3:$B$63,0),42))</f>
        <v>#N/A</v>
      </c>
      <c r="S38" s="7" t="e">
        <f>IF($A38="","",INDEX([1]Portfolio!$A$3:$AU$63,MATCH($A38,[1]Portfolio!$B$3:$B$63,0),43))</f>
        <v>#N/A</v>
      </c>
      <c r="T38" s="7" t="e">
        <f>IF($A38="","",INDEX([1]Portfolio!$A$3:$AU$63,MATCH($A38,[1]Portfolio!$B$3:$B$63,0),37))</f>
        <v>#N/A</v>
      </c>
      <c r="U38" s="7" t="e">
        <f>IF($A38="","",INDEX([1]Portfolio!$A$3:$AU$63,MATCH($A38,[1]Portfolio!$B$3:$B$63,0),36))</f>
        <v>#N/A</v>
      </c>
      <c r="V38" s="7">
        <f>IF($A38="","",(INDEX([2]Programmesjalons!$A$4:$AH$140,MATCH($A38,[2]Programmesjalons!$A$4:$A$140,0),8)))</f>
        <v>42262</v>
      </c>
      <c r="W38" s="7">
        <f>IF($A38="","",(INDEX([2]Programmesjalons!$A$4:$AH$140,MATCH($A38,[2]Programmesjalons!$A$4:$A$140,0),12)))</f>
        <v>42327</v>
      </c>
      <c r="X38" s="7">
        <f>IF($A38="","",(INDEX([2]Programmesjalons!$A$4:$AH$140,MATCH($A38,[2]Programmesjalons!$A$4:$A$140,0),16)))</f>
        <v>42327</v>
      </c>
      <c r="Y38" s="7">
        <f>IF($A38="","",(INDEX([2]Programmesjalons!$A$4:$AH$140,MATCH($A38,[2]Programmesjalons!$A$4:$A$140,0),30)))</f>
        <v>0</v>
      </c>
      <c r="Z38" s="59">
        <f>IF($A38="","",(INDEX([2]Programmesjalons!$A$4:$AH$140,MATCH($A38,[2]Programmesjalons!$A$4:$A$140,0),32)))</f>
        <v>42472</v>
      </c>
      <c r="AA38" s="60">
        <f>IF($A38="","",(INDEX([2]Programmesjalons!$A$4:$AH$140,MATCH($A38,[2]Programmesjalons!$A$4:$A$140,0),34)))</f>
        <v>42522</v>
      </c>
      <c r="AB38" s="59">
        <f>IF($A38="","",(INDEX([2]Programmesjalons!$A$4:$AH$140,MATCH($A38,[2]Programmesjalons!$A$4:$A$140,0),26)))</f>
        <v>0</v>
      </c>
      <c r="AC38" s="59">
        <f>IF($A38="","",(INDEX([2]Programmesjalons!$A$4:$AH$140,MATCH($A38,[2]Programmesjalons!$A$4:$A$140,0),18)))</f>
        <v>0</v>
      </c>
      <c r="AD38" s="68"/>
      <c r="AE38" s="68"/>
      <c r="AF38" s="68"/>
      <c r="AG38" s="68"/>
      <c r="AH38" s="68"/>
      <c r="AI38" s="68"/>
      <c r="AJ38" s="69"/>
      <c r="AK38" s="70"/>
      <c r="AL38" s="69"/>
      <c r="AM38" s="69"/>
      <c r="AN38" s="7">
        <f t="shared" si="2"/>
        <v>42262</v>
      </c>
      <c r="AO38" s="7">
        <f t="shared" si="3"/>
        <v>42327</v>
      </c>
      <c r="AP38" s="7">
        <f t="shared" si="4"/>
        <v>42327</v>
      </c>
      <c r="AQ38" s="7" t="str">
        <f t="shared" si="5"/>
        <v>manque date</v>
      </c>
      <c r="AR38" s="59">
        <f t="shared" si="6"/>
        <v>42472</v>
      </c>
      <c r="AS38" s="60">
        <f t="shared" si="7"/>
        <v>42522</v>
      </c>
      <c r="AT38" s="59" t="str">
        <f t="shared" si="8"/>
        <v>manque date</v>
      </c>
      <c r="AU38" s="59" t="str">
        <f t="shared" si="9"/>
        <v>manque date</v>
      </c>
      <c r="AV38" s="76">
        <f t="shared" si="10"/>
        <v>42262</v>
      </c>
      <c r="AW38" s="76">
        <f t="shared" si="11"/>
        <v>42262</v>
      </c>
      <c r="AX38" s="61">
        <f t="shared" si="12"/>
        <v>42327</v>
      </c>
      <c r="AY38" s="61">
        <f t="shared" si="13"/>
        <v>42327</v>
      </c>
      <c r="AZ38" s="61">
        <f t="shared" si="14"/>
        <v>42327</v>
      </c>
      <c r="BA38" s="61">
        <f t="shared" si="15"/>
        <v>42327</v>
      </c>
      <c r="BB38" s="61">
        <f t="shared" si="16"/>
        <v>0</v>
      </c>
      <c r="BC38" s="61">
        <f t="shared" si="17"/>
        <v>0</v>
      </c>
      <c r="BD38" s="61">
        <f t="shared" si="18"/>
        <v>42472</v>
      </c>
      <c r="BE38" s="61">
        <f t="shared" si="19"/>
        <v>42472</v>
      </c>
      <c r="BF38" s="61">
        <f t="shared" si="20"/>
        <v>42522</v>
      </c>
      <c r="BG38" s="61">
        <f t="shared" si="21"/>
        <v>42522</v>
      </c>
      <c r="BH38" s="61">
        <f t="shared" si="22"/>
        <v>0</v>
      </c>
      <c r="BI38" s="61">
        <f t="shared" si="23"/>
        <v>0</v>
      </c>
      <c r="BJ38" s="61">
        <f t="shared" si="24"/>
        <v>0</v>
      </c>
      <c r="BK38" s="61">
        <f t="shared" si="25"/>
        <v>0</v>
      </c>
    </row>
    <row r="39" spans="1:63">
      <c r="A39" s="25" t="s">
        <v>121</v>
      </c>
      <c r="B39" s="74" t="str">
        <f t="shared" ref="B39:B70" si="26">IF($A39=0,"",IF(ISNA(L39),AD39,L39))</f>
        <v>Jal</v>
      </c>
      <c r="C39" s="74" t="str">
        <f t="shared" ref="C39:C70" si="27">IF($A39=0,"",IF(ISNA(M39),AE39,M39))</f>
        <v>B787-8</v>
      </c>
      <c r="D39" s="7">
        <v>41163</v>
      </c>
      <c r="E39" s="7">
        <v>41283</v>
      </c>
      <c r="F39" s="7">
        <v>41450</v>
      </c>
      <c r="G39" s="7">
        <v>42455</v>
      </c>
      <c r="H39" s="59">
        <v>41669</v>
      </c>
      <c r="I39" s="60">
        <v>41831</v>
      </c>
      <c r="J39" s="59">
        <v>42450</v>
      </c>
      <c r="K39" s="59">
        <v>42420</v>
      </c>
      <c r="L39" s="57" t="e">
        <f>IF($A39="","",INDEX([1]Portfolio!$A$3:$AU$63,MATCH($A39,[1]Portfolio!$B$3:$B$63,0),3))</f>
        <v>#N/A</v>
      </c>
      <c r="M39" s="57" t="e">
        <f>IF($A39="","",INDEX([1]Portfolio!$A$3:$AU$63,MATCH($A39,[1]Portfolio!$B$3:$B$63,0),5))</f>
        <v>#N/A</v>
      </c>
      <c r="N39" s="6" t="e">
        <f>IF($A39="","",INDEX([1]Portfolio!$A$3:$AU$63,MATCH($A39,[1]Portfolio!$B$3:$B$63,0),29))</f>
        <v>#N/A</v>
      </c>
      <c r="O39" s="6" t="e">
        <f>IF($A39="","",INDEX([1]Portfolio!$A$3:$AU$63,MATCH($A39,[1]Portfolio!$B$3:$B$63,0),32))</f>
        <v>#N/A</v>
      </c>
      <c r="P39" s="7" t="e">
        <f>IF($A39="","",INDEX([1]Portfolio!$A$3:$AU$63,MATCH($A39,[1]Portfolio!$B$3:$B$63,0),35))</f>
        <v>#N/A</v>
      </c>
      <c r="Q39" s="7" t="e">
        <f>IF($A39="","",INDEX([1]Portfolio!$A$3:$AU$63,MATCH($A39,[1]Portfolio!$B$3:$B$63,0),38))</f>
        <v>#N/A</v>
      </c>
      <c r="R39" s="7" t="e">
        <f>IF($A39="","",INDEX([1]Portfolio!$A$3:$AU$63,MATCH($A39,[1]Portfolio!$B$3:$B$63,0),42))</f>
        <v>#N/A</v>
      </c>
      <c r="S39" s="7" t="e">
        <f>IF($A39="","",INDEX([1]Portfolio!$A$3:$AU$63,MATCH($A39,[1]Portfolio!$B$3:$B$63,0),43))</f>
        <v>#N/A</v>
      </c>
      <c r="T39" s="7" t="e">
        <f>IF($A39="","",INDEX([1]Portfolio!$A$3:$AU$63,MATCH($A39,[1]Portfolio!$B$3:$B$63,0),37))</f>
        <v>#N/A</v>
      </c>
      <c r="U39" s="7" t="e">
        <f>IF($A39="","",INDEX([1]Portfolio!$A$3:$AU$63,MATCH($A39,[1]Portfolio!$B$3:$B$63,0),36))</f>
        <v>#N/A</v>
      </c>
      <c r="V39" s="7">
        <f>IF($A39="","",(INDEX([2]Programmesjalons!$A$4:$AH$140,MATCH($A39,[2]Programmesjalons!$A$4:$A$140,0),8)))</f>
        <v>42200</v>
      </c>
      <c r="W39" s="7">
        <f>IF($A39="","",(INDEX([2]Programmesjalons!$A$4:$AH$140,MATCH($A39,[2]Programmesjalons!$A$4:$A$140,0),12)))</f>
        <v>42231</v>
      </c>
      <c r="X39" s="7">
        <f>IF($A39="","",(INDEX([2]Programmesjalons!$A$4:$AH$140,MATCH($A39,[2]Programmesjalons!$A$4:$A$140,0),16)))</f>
        <v>42323</v>
      </c>
      <c r="Y39" s="7">
        <f>IF($A39="","",(INDEX([2]Programmesjalons!$A$4:$AH$140,MATCH($A39,[2]Programmesjalons!$A$4:$A$140,0),30)))</f>
        <v>42455</v>
      </c>
      <c r="Z39" s="59">
        <f>IF($A39="","",(INDEX([2]Programmesjalons!$A$4:$AH$140,MATCH($A39,[2]Programmesjalons!$A$4:$A$140,0),32)))</f>
        <v>42475</v>
      </c>
      <c r="AA39" s="60">
        <f>IF($A39="","",(INDEX([2]Programmesjalons!$A$4:$AH$140,MATCH($A39,[2]Programmesjalons!$A$4:$A$140,0),34)))</f>
        <v>42689</v>
      </c>
      <c r="AB39" s="59">
        <f>IF($A39="","",(INDEX([2]Programmesjalons!$A$4:$AH$140,MATCH($A39,[2]Programmesjalons!$A$4:$A$140,0),26)))</f>
        <v>42450</v>
      </c>
      <c r="AC39" s="59">
        <f>IF($A39="","",(INDEX([2]Programmesjalons!$A$4:$AH$140,MATCH($A39,[2]Programmesjalons!$A$4:$A$140,0),18)))</f>
        <v>42420</v>
      </c>
      <c r="AD39" s="68" t="s">
        <v>260</v>
      </c>
      <c r="AE39" s="68" t="s">
        <v>261</v>
      </c>
      <c r="AF39" s="68">
        <v>41163</v>
      </c>
      <c r="AG39" s="68">
        <v>41283</v>
      </c>
      <c r="AH39" s="68">
        <v>41450</v>
      </c>
      <c r="AI39" s="68"/>
      <c r="AJ39" s="69">
        <v>41669</v>
      </c>
      <c r="AK39" s="70">
        <v>41831</v>
      </c>
      <c r="AL39" s="69"/>
      <c r="AM39" s="69"/>
      <c r="AN39" s="7">
        <f t="shared" si="2"/>
        <v>41163</v>
      </c>
      <c r="AO39" s="7">
        <f t="shared" si="3"/>
        <v>41283</v>
      </c>
      <c r="AP39" s="7">
        <f t="shared" si="4"/>
        <v>41450</v>
      </c>
      <c r="AQ39" s="7">
        <f t="shared" si="5"/>
        <v>42455</v>
      </c>
      <c r="AR39" s="59">
        <f t="shared" si="6"/>
        <v>41669</v>
      </c>
      <c r="AS39" s="60">
        <f t="shared" si="7"/>
        <v>41831</v>
      </c>
      <c r="AT39" s="59">
        <f t="shared" si="8"/>
        <v>42450</v>
      </c>
      <c r="AU39" s="59">
        <f t="shared" si="9"/>
        <v>42420</v>
      </c>
      <c r="AV39" s="76">
        <f t="shared" si="10"/>
        <v>41163</v>
      </c>
      <c r="AW39" s="76">
        <f t="shared" si="11"/>
        <v>42200</v>
      </c>
      <c r="AX39" s="61">
        <f t="shared" si="12"/>
        <v>41283</v>
      </c>
      <c r="AY39" s="61">
        <f t="shared" si="13"/>
        <v>42231</v>
      </c>
      <c r="AZ39" s="61">
        <f t="shared" si="14"/>
        <v>41450</v>
      </c>
      <c r="BA39" s="61">
        <f t="shared" si="15"/>
        <v>42323</v>
      </c>
      <c r="BB39" s="61">
        <f t="shared" si="16"/>
        <v>42455</v>
      </c>
      <c r="BC39" s="61">
        <f t="shared" si="17"/>
        <v>42455</v>
      </c>
      <c r="BD39" s="61">
        <f t="shared" si="18"/>
        <v>41669</v>
      </c>
      <c r="BE39" s="61">
        <f t="shared" si="19"/>
        <v>42475</v>
      </c>
      <c r="BF39" s="61">
        <f t="shared" si="20"/>
        <v>41831</v>
      </c>
      <c r="BG39" s="61">
        <f t="shared" si="21"/>
        <v>42689</v>
      </c>
      <c r="BH39" s="61">
        <f t="shared" si="22"/>
        <v>42450</v>
      </c>
      <c r="BI39" s="61">
        <f t="shared" si="23"/>
        <v>42450</v>
      </c>
      <c r="BJ39" s="61">
        <f t="shared" si="24"/>
        <v>42420</v>
      </c>
      <c r="BK39" s="61">
        <f t="shared" si="25"/>
        <v>42420</v>
      </c>
    </row>
    <row r="40" spans="1:63">
      <c r="A40" s="25" t="s">
        <v>96</v>
      </c>
      <c r="B40" s="74" t="str">
        <f t="shared" si="26"/>
        <v>Japan Airlines</v>
      </c>
      <c r="C40" s="74" t="str">
        <f t="shared" si="27"/>
        <v>B777-200E</v>
      </c>
      <c r="D40" s="7">
        <v>41659</v>
      </c>
      <c r="E40" s="7">
        <v>41739</v>
      </c>
      <c r="F40" s="7">
        <v>41913</v>
      </c>
      <c r="G40" s="7">
        <v>42200</v>
      </c>
      <c r="H40" s="59">
        <v>42283</v>
      </c>
      <c r="I40" s="60">
        <v>42265</v>
      </c>
      <c r="J40" s="59">
        <v>42009</v>
      </c>
      <c r="K40" s="59">
        <v>42110</v>
      </c>
      <c r="L40" s="57" t="str">
        <f>IF($A40="","",INDEX([1]Portfolio!$A$3:$AU$63,MATCH($A40,[1]Portfolio!$B$3:$B$63,0),3))</f>
        <v>Japan Airlines</v>
      </c>
      <c r="M40" s="57" t="str">
        <f>IF($A40="","",INDEX([1]Portfolio!$A$3:$AU$63,MATCH($A40,[1]Portfolio!$B$3:$B$63,0),5))</f>
        <v>B777-200E</v>
      </c>
      <c r="N40" s="6">
        <f>IF($A40="","",INDEX([1]Portfolio!$A$3:$AU$63,MATCH($A40,[1]Portfolio!$B$3:$B$63,0),29))</f>
        <v>41659</v>
      </c>
      <c r="O40" s="6">
        <f>IF($A40="","",INDEX([1]Portfolio!$A$3:$AU$63,MATCH($A40,[1]Portfolio!$B$3:$B$63,0),32))</f>
        <v>41739</v>
      </c>
      <c r="P40" s="7">
        <f>IF($A40="","",INDEX([1]Portfolio!$A$3:$AU$63,MATCH($A40,[1]Portfolio!$B$3:$B$63,0),35))</f>
        <v>41913</v>
      </c>
      <c r="Q40" s="7">
        <f>IF($A40="","",INDEX([1]Portfolio!$A$3:$AU$63,MATCH($A40,[1]Portfolio!$B$3:$B$63,0),38))</f>
        <v>42234</v>
      </c>
      <c r="R40" s="7">
        <f>IF($A40="","",INDEX([1]Portfolio!$A$3:$AU$63,MATCH($A40,[1]Portfolio!$B$3:$B$63,0),42))</f>
        <v>42283</v>
      </c>
      <c r="S40" s="7">
        <f>IF($A40="","",INDEX([1]Portfolio!$A$3:$AU$63,MATCH($A40,[1]Portfolio!$B$3:$B$63,0),43))</f>
        <v>42265</v>
      </c>
      <c r="T40" s="7">
        <f>IF($A40="","",INDEX([1]Portfolio!$A$3:$AU$63,MATCH($A40,[1]Portfolio!$B$3:$B$63,0),37))</f>
        <v>42009</v>
      </c>
      <c r="U40" s="7">
        <f>IF($A40="","",INDEX([1]Portfolio!$A$3:$AU$63,MATCH($A40,[1]Portfolio!$B$3:$B$63,0),36))</f>
        <v>0</v>
      </c>
      <c r="V40" s="7">
        <f>IF($A40="","",(INDEX([2]Programmesjalons!$A$4:$AH$140,MATCH($A40,[2]Programmesjalons!$A$4:$A$140,0),8)))</f>
        <v>41659</v>
      </c>
      <c r="W40" s="7">
        <f>IF($A40="","",(INDEX([2]Programmesjalons!$A$4:$AH$140,MATCH($A40,[2]Programmesjalons!$A$4:$A$140,0),12)))</f>
        <v>41739</v>
      </c>
      <c r="X40" s="7">
        <f>IF($A40="","",(INDEX([2]Programmesjalons!$A$4:$AH$140,MATCH($A40,[2]Programmesjalons!$A$4:$A$140,0),16)))</f>
        <v>41913</v>
      </c>
      <c r="Y40" s="7">
        <f>IF($A40="","",(INDEX([2]Programmesjalons!$A$4:$AH$140,MATCH($A40,[2]Programmesjalons!$A$4:$A$140,0),30)))</f>
        <v>42200</v>
      </c>
      <c r="Z40" s="59">
        <f>IF($A40="","",(INDEX([2]Programmesjalons!$A$4:$AH$140,MATCH($A40,[2]Programmesjalons!$A$4:$A$140,0),32)))</f>
        <v>42283</v>
      </c>
      <c r="AA40" s="60">
        <f>IF($A40="","",(INDEX([2]Programmesjalons!$A$4:$AH$140,MATCH($A40,[2]Programmesjalons!$A$4:$A$140,0),34)))</f>
        <v>42310</v>
      </c>
      <c r="AB40" s="59">
        <f>IF($A40="","",(INDEX([2]Programmesjalons!$A$4:$AH$140,MATCH($A40,[2]Programmesjalons!$A$4:$A$140,0),26)))</f>
        <v>42185</v>
      </c>
      <c r="AC40" s="59">
        <f>IF($A40="","",(INDEX([2]Programmesjalons!$A$4:$AH$140,MATCH($A40,[2]Programmesjalons!$A$4:$A$140,0),18)))</f>
        <v>42110</v>
      </c>
      <c r="AD40" s="68"/>
      <c r="AE40" s="68"/>
      <c r="AF40" s="68"/>
      <c r="AG40" s="68"/>
      <c r="AH40" s="68"/>
      <c r="AI40" s="68"/>
      <c r="AJ40" s="69"/>
      <c r="AK40" s="70"/>
      <c r="AL40" s="69"/>
      <c r="AM40" s="69"/>
      <c r="AN40" s="7">
        <f t="shared" si="2"/>
        <v>41659</v>
      </c>
      <c r="AO40" s="7">
        <f t="shared" si="3"/>
        <v>41739</v>
      </c>
      <c r="AP40" s="7">
        <f t="shared" si="4"/>
        <v>41913</v>
      </c>
      <c r="AQ40" s="7">
        <f t="shared" si="5"/>
        <v>42200</v>
      </c>
      <c r="AR40" s="59">
        <f t="shared" si="6"/>
        <v>42283</v>
      </c>
      <c r="AS40" s="60">
        <f t="shared" si="7"/>
        <v>42265</v>
      </c>
      <c r="AT40" s="59">
        <f t="shared" si="8"/>
        <v>42009</v>
      </c>
      <c r="AU40" s="59">
        <f t="shared" si="9"/>
        <v>42110</v>
      </c>
      <c r="AV40" s="76">
        <f t="shared" si="10"/>
        <v>41659</v>
      </c>
      <c r="AW40" s="76">
        <f t="shared" si="11"/>
        <v>41659</v>
      </c>
      <c r="AX40" s="61">
        <f t="shared" si="12"/>
        <v>41739</v>
      </c>
      <c r="AY40" s="61">
        <f t="shared" si="13"/>
        <v>41739</v>
      </c>
      <c r="AZ40" s="61">
        <f t="shared" si="14"/>
        <v>41913</v>
      </c>
      <c r="BA40" s="61">
        <f t="shared" si="15"/>
        <v>41913</v>
      </c>
      <c r="BB40" s="61">
        <f t="shared" si="16"/>
        <v>42200</v>
      </c>
      <c r="BC40" s="61">
        <f t="shared" si="17"/>
        <v>42200</v>
      </c>
      <c r="BD40" s="61">
        <f t="shared" si="18"/>
        <v>42265</v>
      </c>
      <c r="BE40" s="61">
        <f t="shared" si="19"/>
        <v>42283</v>
      </c>
      <c r="BF40" s="61">
        <f t="shared" si="20"/>
        <v>42265</v>
      </c>
      <c r="BG40" s="61">
        <f t="shared" si="21"/>
        <v>42265</v>
      </c>
      <c r="BH40" s="61">
        <f t="shared" si="22"/>
        <v>42009</v>
      </c>
      <c r="BI40" s="61">
        <f t="shared" si="23"/>
        <v>42009</v>
      </c>
      <c r="BJ40" s="61">
        <f t="shared" si="24"/>
        <v>42110</v>
      </c>
      <c r="BK40" s="61">
        <f t="shared" si="25"/>
        <v>42110</v>
      </c>
    </row>
    <row r="41" spans="1:63">
      <c r="A41" s="25" t="s">
        <v>97</v>
      </c>
      <c r="B41" s="74" t="str">
        <f t="shared" si="26"/>
        <v>China Airlines</v>
      </c>
      <c r="C41" s="74" t="str">
        <f t="shared" si="27"/>
        <v>A350</v>
      </c>
      <c r="D41" s="7">
        <v>41779</v>
      </c>
      <c r="E41" s="7">
        <v>41877</v>
      </c>
      <c r="F41" s="7">
        <v>42093</v>
      </c>
      <c r="G41" s="78">
        <v>42277</v>
      </c>
      <c r="H41" s="79">
        <v>42317</v>
      </c>
      <c r="I41" s="60">
        <v>42396</v>
      </c>
      <c r="J41" s="59">
        <v>42189</v>
      </c>
      <c r="K41" s="59">
        <v>42197</v>
      </c>
      <c r="L41" s="57" t="str">
        <f>IF($A41="","",INDEX([1]Portfolio!$A$3:$AU$63,MATCH($A41,[1]Portfolio!$B$3:$B$63,0),3))</f>
        <v>China Airlines</v>
      </c>
      <c r="M41" s="57" t="str">
        <f>IF($A41="","",INDEX([1]Portfolio!$A$3:$AU$63,MATCH($A41,[1]Portfolio!$B$3:$B$63,0),5))</f>
        <v>A350</v>
      </c>
      <c r="N41" s="6">
        <f>IF($A41="","",INDEX([1]Portfolio!$A$3:$AU$63,MATCH($A41,[1]Portfolio!$B$3:$B$63,0),29))</f>
        <v>41779</v>
      </c>
      <c r="O41" s="6">
        <f>IF($A41="","",INDEX([1]Portfolio!$A$3:$AU$63,MATCH($A41,[1]Portfolio!$B$3:$B$63,0),32))</f>
        <v>41877</v>
      </c>
      <c r="P41" s="7">
        <f>IF($A41="","",INDEX([1]Portfolio!$A$3:$AU$63,MATCH($A41,[1]Portfolio!$B$3:$B$63,0),35))</f>
        <v>42093</v>
      </c>
      <c r="Q41" s="7">
        <f>IF($A41="","",INDEX([1]Portfolio!$A$3:$AU$63,MATCH($A41,[1]Portfolio!$B$3:$B$63,0),38))</f>
        <v>42277</v>
      </c>
      <c r="R41" s="7">
        <f>IF($A41="","",INDEX([1]Portfolio!$A$3:$AU$63,MATCH($A41,[1]Portfolio!$B$3:$B$63,0),42))</f>
        <v>42338</v>
      </c>
      <c r="S41" s="7">
        <f>IF($A41="","",INDEX([1]Portfolio!$A$3:$AU$63,MATCH($A41,[1]Portfolio!$B$3:$B$63,0),43))</f>
        <v>42411</v>
      </c>
      <c r="T41" s="7">
        <f>IF($A41="","",INDEX([1]Portfolio!$A$3:$AU$63,MATCH($A41,[1]Portfolio!$B$3:$B$63,0),37))</f>
        <v>42189</v>
      </c>
      <c r="U41" s="7" t="str">
        <f>IF($A41="","",INDEX([1]Portfolio!$A$3:$AU$63,MATCH($A41,[1]Portfolio!$B$3:$B$63,0),36))</f>
        <v>na</v>
      </c>
      <c r="V41" s="7">
        <f>IF($A41="","",(INDEX([2]Programmesjalons!$A$4:$AH$140,MATCH($A41,[2]Programmesjalons!$A$4:$A$140,0),8)))</f>
        <v>41779</v>
      </c>
      <c r="W41" s="7">
        <f>IF($A41="","",(INDEX([2]Programmesjalons!$A$4:$AH$140,MATCH($A41,[2]Programmesjalons!$A$4:$A$140,0),12)))</f>
        <v>41877</v>
      </c>
      <c r="X41" s="7">
        <f>IF($A41="","",(INDEX([2]Programmesjalons!$A$4:$AH$140,MATCH($A41,[2]Programmesjalons!$A$4:$A$140,0),16)))</f>
        <v>42093</v>
      </c>
      <c r="Y41" s="7">
        <f>IF($A41="","",(INDEX([2]Programmesjalons!$A$4:$AH$140,MATCH($A41,[2]Programmesjalons!$A$4:$A$140,0),30)))</f>
        <v>42287</v>
      </c>
      <c r="Z41" s="59">
        <f>IF($A41="","",(INDEX([2]Programmesjalons!$A$4:$AH$140,MATCH($A41,[2]Programmesjalons!$A$4:$A$140,0),32)))</f>
        <v>42317</v>
      </c>
      <c r="AA41" s="60">
        <f>IF($A41="","",(INDEX([2]Programmesjalons!$A$4:$AH$140,MATCH($A41,[2]Programmesjalons!$A$4:$A$140,0),34)))</f>
        <v>42396</v>
      </c>
      <c r="AB41" s="59">
        <f>IF($A41="","",(INDEX([2]Programmesjalons!$A$4:$AH$140,MATCH($A41,[2]Programmesjalons!$A$4:$A$140,0),26)))</f>
        <v>42282</v>
      </c>
      <c r="AC41" s="59">
        <f>IF($A41="","",(INDEX([2]Programmesjalons!$A$4:$AH$140,MATCH($A41,[2]Programmesjalons!$A$4:$A$140,0),18)))</f>
        <v>42197</v>
      </c>
      <c r="AD41" s="68"/>
      <c r="AE41" s="68"/>
      <c r="AF41" s="68"/>
      <c r="AG41" s="68"/>
      <c r="AH41" s="68"/>
      <c r="AI41" s="85">
        <v>42326</v>
      </c>
      <c r="AJ41" s="86">
        <v>42331</v>
      </c>
      <c r="AK41" s="70"/>
      <c r="AL41" s="69"/>
      <c r="AM41" s="69"/>
      <c r="AN41" s="7">
        <f t="shared" si="2"/>
        <v>41779</v>
      </c>
      <c r="AO41" s="7">
        <f t="shared" si="3"/>
        <v>41877</v>
      </c>
      <c r="AP41" s="7">
        <f t="shared" si="4"/>
        <v>42093</v>
      </c>
      <c r="AQ41" s="7">
        <f t="shared" si="5"/>
        <v>42277</v>
      </c>
      <c r="AR41" s="59">
        <f t="shared" si="6"/>
        <v>42317</v>
      </c>
      <c r="AS41" s="60">
        <f t="shared" si="7"/>
        <v>42396</v>
      </c>
      <c r="AT41" s="59">
        <f t="shared" si="8"/>
        <v>42189</v>
      </c>
      <c r="AU41" s="59">
        <f t="shared" si="9"/>
        <v>42197</v>
      </c>
      <c r="AV41" s="76">
        <f t="shared" si="10"/>
        <v>41779</v>
      </c>
      <c r="AW41" s="76">
        <f t="shared" si="11"/>
        <v>41779</v>
      </c>
      <c r="AX41" s="61">
        <f t="shared" si="12"/>
        <v>41877</v>
      </c>
      <c r="AY41" s="61">
        <f t="shared" si="13"/>
        <v>41877</v>
      </c>
      <c r="AZ41" s="61">
        <f t="shared" si="14"/>
        <v>42093</v>
      </c>
      <c r="BA41" s="61">
        <f t="shared" si="15"/>
        <v>42093</v>
      </c>
      <c r="BB41" s="61">
        <f t="shared" si="16"/>
        <v>42277</v>
      </c>
      <c r="BC41" s="61">
        <f t="shared" si="17"/>
        <v>42277</v>
      </c>
      <c r="BD41" s="61">
        <f t="shared" si="18"/>
        <v>42317</v>
      </c>
      <c r="BE41" s="61">
        <f t="shared" si="19"/>
        <v>42317</v>
      </c>
      <c r="BF41" s="61">
        <f t="shared" si="20"/>
        <v>42396</v>
      </c>
      <c r="BG41" s="61">
        <f t="shared" si="21"/>
        <v>42396</v>
      </c>
      <c r="BH41" s="61">
        <f t="shared" si="22"/>
        <v>42189</v>
      </c>
      <c r="BI41" s="61">
        <f t="shared" si="23"/>
        <v>42189</v>
      </c>
      <c r="BJ41" s="61">
        <f t="shared" si="24"/>
        <v>42197</v>
      </c>
      <c r="BK41" s="61">
        <f t="shared" si="25"/>
        <v>42197</v>
      </c>
    </row>
    <row r="42" spans="1:63">
      <c r="A42" s="25" t="s">
        <v>98</v>
      </c>
      <c r="B42" s="74" t="str">
        <f t="shared" si="26"/>
        <v>Air France</v>
      </c>
      <c r="C42" s="74" t="str">
        <f t="shared" si="27"/>
        <v>B787</v>
      </c>
      <c r="D42" s="7">
        <v>41918</v>
      </c>
      <c r="E42" s="7">
        <v>42067</v>
      </c>
      <c r="F42" s="7">
        <v>42269</v>
      </c>
      <c r="G42" s="7">
        <v>42454</v>
      </c>
      <c r="H42" s="59">
        <v>42500</v>
      </c>
      <c r="I42" s="60">
        <v>42538</v>
      </c>
      <c r="J42" s="59">
        <v>42365</v>
      </c>
      <c r="K42" s="59">
        <v>42341</v>
      </c>
      <c r="L42" s="57" t="str">
        <f>IF($A42="","",INDEX([1]Portfolio!$A$3:$AU$63,MATCH($A42,[1]Portfolio!$B$3:$B$63,0),3))</f>
        <v>Air France</v>
      </c>
      <c r="M42" s="57" t="str">
        <f>IF($A42="","",INDEX([1]Portfolio!$A$3:$AU$63,MATCH($A42,[1]Portfolio!$B$3:$B$63,0),5))</f>
        <v>B787</v>
      </c>
      <c r="N42" s="6">
        <f>IF($A42="","",INDEX([1]Portfolio!$A$3:$AU$63,MATCH($A42,[1]Portfolio!$B$3:$B$63,0),29))</f>
        <v>41918</v>
      </c>
      <c r="O42" s="6">
        <f>IF($A42="","",INDEX([1]Portfolio!$A$3:$AU$63,MATCH($A42,[1]Portfolio!$B$3:$B$63,0),32))</f>
        <v>42067</v>
      </c>
      <c r="P42" s="7">
        <f>IF($A42="","",INDEX([1]Portfolio!$A$3:$AU$63,MATCH($A42,[1]Portfolio!$B$3:$B$63,0),35))</f>
        <v>42269</v>
      </c>
      <c r="Q42" s="7">
        <f>IF($A42="","",INDEX([1]Portfolio!$A$3:$AU$63,MATCH($A42,[1]Portfolio!$B$3:$B$63,0),38))</f>
        <v>42454</v>
      </c>
      <c r="R42" s="7">
        <f>IF($A42="","",INDEX([1]Portfolio!$A$3:$AU$63,MATCH($A42,[1]Portfolio!$B$3:$B$63,0),42))</f>
        <v>42500</v>
      </c>
      <c r="S42" s="7">
        <f>IF($A42="","",INDEX([1]Portfolio!$A$3:$AU$63,MATCH($A42,[1]Portfolio!$B$3:$B$63,0),43))</f>
        <v>42538</v>
      </c>
      <c r="T42" s="7">
        <f>IF($A42="","",INDEX([1]Portfolio!$A$3:$AU$63,MATCH($A42,[1]Portfolio!$B$3:$B$63,0),37))</f>
        <v>42365</v>
      </c>
      <c r="U42" s="7">
        <f>IF($A42="","",INDEX([1]Portfolio!$A$3:$AU$63,MATCH($A42,[1]Portfolio!$B$3:$B$63,0),36))</f>
        <v>0</v>
      </c>
      <c r="V42" s="7">
        <f>IF($A42="","",(INDEX([2]Programmesjalons!$A$4:$AH$140,MATCH($A42,[2]Programmesjalons!$A$4:$A$140,0),8)))</f>
        <v>41918</v>
      </c>
      <c r="W42" s="7">
        <f>IF($A42="","",(INDEX([2]Programmesjalons!$A$4:$AH$140,MATCH($A42,[2]Programmesjalons!$A$4:$A$140,0),12)))</f>
        <v>42067</v>
      </c>
      <c r="X42" s="7">
        <f>IF($A42="","",(INDEX([2]Programmesjalons!$A$4:$AH$140,MATCH($A42,[2]Programmesjalons!$A$4:$A$140,0),16)))</f>
        <v>42269</v>
      </c>
      <c r="Y42" s="7">
        <f>IF($A42="","",(INDEX([2]Programmesjalons!$A$4:$AH$140,MATCH($A42,[2]Programmesjalons!$A$4:$A$140,0),30)))</f>
        <v>42470</v>
      </c>
      <c r="Z42" s="59">
        <f>IF($A42="","",(INDEX([2]Programmesjalons!$A$4:$AH$140,MATCH($A42,[2]Programmesjalons!$A$4:$A$140,0),32)))</f>
        <v>42500</v>
      </c>
      <c r="AA42" s="60">
        <f>IF($A42="","",(INDEX([2]Programmesjalons!$A$4:$AH$140,MATCH($A42,[2]Programmesjalons!$A$4:$A$140,0),34)))</f>
        <v>42538</v>
      </c>
      <c r="AB42" s="59">
        <f>IF($A42="","",(INDEX([2]Programmesjalons!$A$4:$AH$140,MATCH($A42,[2]Programmesjalons!$A$4:$A$140,0),26)))</f>
        <v>42455</v>
      </c>
      <c r="AC42" s="59">
        <f>IF($A42="","",(INDEX([2]Programmesjalons!$A$4:$AH$140,MATCH($A42,[2]Programmesjalons!$A$4:$A$140,0),18)))</f>
        <v>42341</v>
      </c>
      <c r="AD42" s="68"/>
      <c r="AE42" s="68"/>
      <c r="AF42" s="68"/>
      <c r="AG42" s="68"/>
      <c r="AH42" s="68"/>
      <c r="AI42" s="68"/>
      <c r="AJ42" s="69"/>
      <c r="AK42" s="70"/>
      <c r="AL42" s="69"/>
      <c r="AM42" s="69"/>
      <c r="AN42" s="7">
        <f t="shared" si="2"/>
        <v>41918</v>
      </c>
      <c r="AO42" s="7">
        <f t="shared" si="3"/>
        <v>42067</v>
      </c>
      <c r="AP42" s="7">
        <f t="shared" si="4"/>
        <v>42269</v>
      </c>
      <c r="AQ42" s="7">
        <f t="shared" si="5"/>
        <v>42454</v>
      </c>
      <c r="AR42" s="59">
        <f t="shared" si="6"/>
        <v>42500</v>
      </c>
      <c r="AS42" s="60">
        <f t="shared" si="7"/>
        <v>42538</v>
      </c>
      <c r="AT42" s="59">
        <f t="shared" si="8"/>
        <v>42365</v>
      </c>
      <c r="AU42" s="59">
        <f t="shared" si="9"/>
        <v>42341</v>
      </c>
      <c r="AV42" s="76">
        <f t="shared" si="10"/>
        <v>41918</v>
      </c>
      <c r="AW42" s="76">
        <f t="shared" si="11"/>
        <v>41918</v>
      </c>
      <c r="AX42" s="61">
        <f t="shared" si="12"/>
        <v>42067</v>
      </c>
      <c r="AY42" s="61">
        <f t="shared" si="13"/>
        <v>42067</v>
      </c>
      <c r="AZ42" s="61">
        <f t="shared" si="14"/>
        <v>42269</v>
      </c>
      <c r="BA42" s="61">
        <f t="shared" si="15"/>
        <v>42269</v>
      </c>
      <c r="BB42" s="61">
        <f t="shared" si="16"/>
        <v>42454</v>
      </c>
      <c r="BC42" s="61">
        <f t="shared" si="17"/>
        <v>42454</v>
      </c>
      <c r="BD42" s="61">
        <f t="shared" si="18"/>
        <v>42500</v>
      </c>
      <c r="BE42" s="61">
        <f t="shared" si="19"/>
        <v>42500</v>
      </c>
      <c r="BF42" s="61">
        <f t="shared" si="20"/>
        <v>42538</v>
      </c>
      <c r="BG42" s="61">
        <f t="shared" si="21"/>
        <v>42538</v>
      </c>
      <c r="BH42" s="61">
        <f t="shared" si="22"/>
        <v>42365</v>
      </c>
      <c r="BI42" s="61">
        <f t="shared" si="23"/>
        <v>42365</v>
      </c>
      <c r="BJ42" s="61">
        <f t="shared" si="24"/>
        <v>42341</v>
      </c>
      <c r="BK42" s="61">
        <f t="shared" si="25"/>
        <v>42341</v>
      </c>
    </row>
    <row r="43" spans="1:63">
      <c r="A43" s="13" t="s">
        <v>188</v>
      </c>
      <c r="B43" s="74">
        <f t="shared" si="26"/>
        <v>0</v>
      </c>
      <c r="C43" s="74">
        <f t="shared" si="27"/>
        <v>0</v>
      </c>
      <c r="D43" s="7">
        <v>42171</v>
      </c>
      <c r="E43" s="7">
        <v>42277</v>
      </c>
      <c r="F43" s="7">
        <v>42352</v>
      </c>
      <c r="G43" s="7">
        <v>42431</v>
      </c>
      <c r="H43" s="59">
        <v>42461</v>
      </c>
      <c r="I43" s="60">
        <v>42551</v>
      </c>
      <c r="J43" s="59">
        <v>42416</v>
      </c>
      <c r="K43" s="59">
        <v>42371</v>
      </c>
      <c r="L43" s="57" t="e">
        <f>IF($A43="","",INDEX([1]Portfolio!$A$3:$AU$63,MATCH($A43,[1]Portfolio!$B$3:$B$63,0),3))</f>
        <v>#N/A</v>
      </c>
      <c r="M43" s="57" t="e">
        <f>IF($A43="","",INDEX([1]Portfolio!$A$3:$AU$63,MATCH($A43,[1]Portfolio!$B$3:$B$63,0),5))</f>
        <v>#N/A</v>
      </c>
      <c r="N43" s="6" t="e">
        <f>IF($A43="","",INDEX([1]Portfolio!$A$3:$AU$63,MATCH($A43,[1]Portfolio!$B$3:$B$63,0),29))</f>
        <v>#N/A</v>
      </c>
      <c r="O43" s="6" t="e">
        <f>IF($A43="","",INDEX([1]Portfolio!$A$3:$AU$63,MATCH($A43,[1]Portfolio!$B$3:$B$63,0),32))</f>
        <v>#N/A</v>
      </c>
      <c r="P43" s="7" t="e">
        <f>IF($A43="","",INDEX([1]Portfolio!$A$3:$AU$63,MATCH($A43,[1]Portfolio!$B$3:$B$63,0),35))</f>
        <v>#N/A</v>
      </c>
      <c r="Q43" s="7" t="e">
        <f>IF($A43="","",INDEX([1]Portfolio!$A$3:$AU$63,MATCH($A43,[1]Portfolio!$B$3:$B$63,0),38))</f>
        <v>#N/A</v>
      </c>
      <c r="R43" s="7" t="e">
        <f>IF($A43="","",INDEX([1]Portfolio!$A$3:$AU$63,MATCH($A43,[1]Portfolio!$B$3:$B$63,0),42))</f>
        <v>#N/A</v>
      </c>
      <c r="S43" s="7" t="e">
        <f>IF($A43="","",INDEX([1]Portfolio!$A$3:$AU$63,MATCH($A43,[1]Portfolio!$B$3:$B$63,0),43))</f>
        <v>#N/A</v>
      </c>
      <c r="T43" s="7" t="e">
        <f>IF($A43="","",INDEX([1]Portfolio!$A$3:$AU$63,MATCH($A43,[1]Portfolio!$B$3:$B$63,0),37))</f>
        <v>#N/A</v>
      </c>
      <c r="U43" s="7" t="e">
        <f>IF($A43="","",INDEX([1]Portfolio!$A$3:$AU$63,MATCH($A43,[1]Portfolio!$B$3:$B$63,0),36))</f>
        <v>#N/A</v>
      </c>
      <c r="V43" s="7">
        <f>IF($A43="","",(INDEX([2]Programmesjalons!$A$4:$AH$140,MATCH($A43,[2]Programmesjalons!$A$4:$A$140,0),8)))</f>
        <v>42171</v>
      </c>
      <c r="W43" s="7">
        <f>IF($A43="","",(INDEX([2]Programmesjalons!$A$4:$AH$140,MATCH($A43,[2]Programmesjalons!$A$4:$A$140,0),12)))</f>
        <v>42277</v>
      </c>
      <c r="X43" s="7">
        <f>IF($A43="","",(INDEX([2]Programmesjalons!$A$4:$AH$140,MATCH($A43,[2]Programmesjalons!$A$4:$A$140,0),16)))</f>
        <v>42352</v>
      </c>
      <c r="Y43" s="7">
        <f>IF($A43="","",(INDEX([2]Programmesjalons!$A$4:$AH$140,MATCH($A43,[2]Programmesjalons!$A$4:$A$140,0),30)))</f>
        <v>42431</v>
      </c>
      <c r="Z43" s="59">
        <f>IF($A43="","",(INDEX([2]Programmesjalons!$A$4:$AH$140,MATCH($A43,[2]Programmesjalons!$A$4:$A$140,0),32)))</f>
        <v>42461</v>
      </c>
      <c r="AA43" s="60">
        <f>IF($A43="","",(INDEX([2]Programmesjalons!$A$4:$AH$140,MATCH($A43,[2]Programmesjalons!$A$4:$A$140,0),34)))</f>
        <v>42551</v>
      </c>
      <c r="AB43" s="59">
        <f>IF($A43="","",(INDEX([2]Programmesjalons!$A$4:$AH$140,MATCH($A43,[2]Programmesjalons!$A$4:$A$140,0),26)))</f>
        <v>42416</v>
      </c>
      <c r="AC43" s="59">
        <f>IF($A43="","",(INDEX([2]Programmesjalons!$A$4:$AH$140,MATCH($A43,[2]Programmesjalons!$A$4:$A$140,0),18)))</f>
        <v>42371</v>
      </c>
      <c r="AD43" s="68"/>
      <c r="AE43" s="68"/>
      <c r="AF43" s="68"/>
      <c r="AG43" s="68"/>
      <c r="AH43" s="68"/>
      <c r="AI43" s="68"/>
      <c r="AJ43" s="69"/>
      <c r="AK43" s="70"/>
      <c r="AL43" s="69"/>
      <c r="AM43" s="69"/>
      <c r="AN43" s="7">
        <f t="shared" si="2"/>
        <v>42171</v>
      </c>
      <c r="AO43" s="7">
        <f t="shared" si="3"/>
        <v>42277</v>
      </c>
      <c r="AP43" s="7">
        <f t="shared" si="4"/>
        <v>42352</v>
      </c>
      <c r="AQ43" s="7">
        <f t="shared" si="5"/>
        <v>42431</v>
      </c>
      <c r="AR43" s="59">
        <f t="shared" si="6"/>
        <v>42461</v>
      </c>
      <c r="AS43" s="60">
        <f t="shared" si="7"/>
        <v>42551</v>
      </c>
      <c r="AT43" s="59">
        <f t="shared" si="8"/>
        <v>42416</v>
      </c>
      <c r="AU43" s="59">
        <f t="shared" si="9"/>
        <v>42371</v>
      </c>
      <c r="AV43" s="76">
        <f t="shared" si="10"/>
        <v>42171</v>
      </c>
      <c r="AW43" s="76">
        <f t="shared" si="11"/>
        <v>42171</v>
      </c>
      <c r="AX43" s="61">
        <f t="shared" si="12"/>
        <v>42277</v>
      </c>
      <c r="AY43" s="61">
        <f t="shared" si="13"/>
        <v>42277</v>
      </c>
      <c r="AZ43" s="61">
        <f t="shared" si="14"/>
        <v>42352</v>
      </c>
      <c r="BA43" s="61">
        <f t="shared" si="15"/>
        <v>42352</v>
      </c>
      <c r="BB43" s="61">
        <f t="shared" si="16"/>
        <v>42431</v>
      </c>
      <c r="BC43" s="61">
        <f t="shared" si="17"/>
        <v>42431</v>
      </c>
      <c r="BD43" s="61">
        <f t="shared" si="18"/>
        <v>42461</v>
      </c>
      <c r="BE43" s="61">
        <f t="shared" si="19"/>
        <v>42461</v>
      </c>
      <c r="BF43" s="61">
        <f t="shared" si="20"/>
        <v>42551</v>
      </c>
      <c r="BG43" s="61">
        <f t="shared" si="21"/>
        <v>42551</v>
      </c>
      <c r="BH43" s="61">
        <f t="shared" si="22"/>
        <v>42416</v>
      </c>
      <c r="BI43" s="61">
        <f t="shared" si="23"/>
        <v>42416</v>
      </c>
      <c r="BJ43" s="61">
        <f t="shared" si="24"/>
        <v>42371</v>
      </c>
      <c r="BK43" s="61">
        <f t="shared" si="25"/>
        <v>42371</v>
      </c>
    </row>
    <row r="44" spans="1:63">
      <c r="A44" s="13" t="s">
        <v>224</v>
      </c>
      <c r="B44" s="74">
        <f t="shared" si="26"/>
        <v>0</v>
      </c>
      <c r="C44" s="74">
        <f t="shared" si="27"/>
        <v>0</v>
      </c>
      <c r="D44" s="7">
        <v>41806</v>
      </c>
      <c r="E44" s="7">
        <v>42005</v>
      </c>
      <c r="F44" s="7">
        <v>42064</v>
      </c>
      <c r="G44" s="7">
        <v>42126</v>
      </c>
      <c r="H44" s="59">
        <v>42156</v>
      </c>
      <c r="I44" s="60">
        <v>42527</v>
      </c>
      <c r="J44" s="59">
        <v>42111</v>
      </c>
      <c r="K44" s="59">
        <v>42066</v>
      </c>
      <c r="L44" s="57" t="e">
        <f>IF($A44="","",INDEX([1]Portfolio!$A$3:$AU$63,MATCH($A44,[1]Portfolio!$B$3:$B$63,0),3))</f>
        <v>#N/A</v>
      </c>
      <c r="M44" s="57" t="e">
        <f>IF($A44="","",INDEX([1]Portfolio!$A$3:$AU$63,MATCH($A44,[1]Portfolio!$B$3:$B$63,0),5))</f>
        <v>#N/A</v>
      </c>
      <c r="N44" s="6" t="e">
        <f>IF($A44="","",INDEX([1]Portfolio!$A$3:$AU$63,MATCH($A44,[1]Portfolio!$B$3:$B$63,0),29))</f>
        <v>#N/A</v>
      </c>
      <c r="O44" s="6" t="e">
        <f>IF($A44="","",INDEX([1]Portfolio!$A$3:$AU$63,MATCH($A44,[1]Portfolio!$B$3:$B$63,0),32))</f>
        <v>#N/A</v>
      </c>
      <c r="P44" s="7" t="e">
        <f>IF($A44="","",INDEX([1]Portfolio!$A$3:$AU$63,MATCH($A44,[1]Portfolio!$B$3:$B$63,0),35))</f>
        <v>#N/A</v>
      </c>
      <c r="Q44" s="7" t="e">
        <f>IF($A44="","",INDEX([1]Portfolio!$A$3:$AU$63,MATCH($A44,[1]Portfolio!$B$3:$B$63,0),38))</f>
        <v>#N/A</v>
      </c>
      <c r="R44" s="7" t="e">
        <f>IF($A44="","",INDEX([1]Portfolio!$A$3:$AU$63,MATCH($A44,[1]Portfolio!$B$3:$B$63,0),42))</f>
        <v>#N/A</v>
      </c>
      <c r="S44" s="7" t="e">
        <f>IF($A44="","",INDEX([1]Portfolio!$A$3:$AU$63,MATCH($A44,[1]Portfolio!$B$3:$B$63,0),43))</f>
        <v>#N/A</v>
      </c>
      <c r="T44" s="7" t="e">
        <f>IF($A44="","",INDEX([1]Portfolio!$A$3:$AU$63,MATCH($A44,[1]Portfolio!$B$3:$B$63,0),37))</f>
        <v>#N/A</v>
      </c>
      <c r="U44" s="7" t="e">
        <f>IF($A44="","",INDEX([1]Portfolio!$A$3:$AU$63,MATCH($A44,[1]Portfolio!$B$3:$B$63,0),36))</f>
        <v>#N/A</v>
      </c>
      <c r="V44" s="7">
        <f>IF($A44="","",(INDEX([2]Programmesjalons!$A$4:$AH$140,MATCH($A44,[2]Programmesjalons!$A$4:$A$140,0),8)))</f>
        <v>41806</v>
      </c>
      <c r="W44" s="7">
        <f>IF($A44="","",(INDEX([2]Programmesjalons!$A$4:$AH$140,MATCH($A44,[2]Programmesjalons!$A$4:$A$140,0),12)))</f>
        <v>42005</v>
      </c>
      <c r="X44" s="7">
        <f>IF($A44="","",(INDEX([2]Programmesjalons!$A$4:$AH$140,MATCH($A44,[2]Programmesjalons!$A$4:$A$140,0),16)))</f>
        <v>42064</v>
      </c>
      <c r="Y44" s="7">
        <f>IF($A44="","",(INDEX([2]Programmesjalons!$A$4:$AH$140,MATCH($A44,[2]Programmesjalons!$A$4:$A$140,0),30)))</f>
        <v>42126</v>
      </c>
      <c r="Z44" s="59">
        <f>IF($A44="","",(INDEX([2]Programmesjalons!$A$4:$AH$140,MATCH($A44,[2]Programmesjalons!$A$4:$A$140,0),32)))</f>
        <v>42156</v>
      </c>
      <c r="AA44" s="60">
        <f>IF($A44="","",(INDEX([2]Programmesjalons!$A$4:$AH$140,MATCH($A44,[2]Programmesjalons!$A$4:$A$140,0),34)))</f>
        <v>42527</v>
      </c>
      <c r="AB44" s="59">
        <f>IF($A44="","",(INDEX([2]Programmesjalons!$A$4:$AH$140,MATCH($A44,[2]Programmesjalons!$A$4:$A$140,0),26)))</f>
        <v>42111</v>
      </c>
      <c r="AC44" s="59">
        <f>IF($A44="","",(INDEX([2]Programmesjalons!$A$4:$AH$140,MATCH($A44,[2]Programmesjalons!$A$4:$A$140,0),18)))</f>
        <v>42066</v>
      </c>
      <c r="AD44" s="68"/>
      <c r="AE44" s="68"/>
      <c r="AF44" s="68"/>
      <c r="AG44" s="68"/>
      <c r="AH44" s="68"/>
      <c r="AI44" s="68"/>
      <c r="AJ44" s="69"/>
      <c r="AK44" s="70"/>
      <c r="AL44" s="69"/>
      <c r="AM44" s="69"/>
      <c r="AN44" s="7">
        <f t="shared" si="2"/>
        <v>41806</v>
      </c>
      <c r="AO44" s="7">
        <f t="shared" si="3"/>
        <v>42005</v>
      </c>
      <c r="AP44" s="7">
        <f t="shared" si="4"/>
        <v>42064</v>
      </c>
      <c r="AQ44" s="7">
        <f t="shared" si="5"/>
        <v>42126</v>
      </c>
      <c r="AR44" s="59">
        <f t="shared" si="6"/>
        <v>42156</v>
      </c>
      <c r="AS44" s="60">
        <f t="shared" si="7"/>
        <v>42527</v>
      </c>
      <c r="AT44" s="59">
        <f t="shared" si="8"/>
        <v>42111</v>
      </c>
      <c r="AU44" s="59">
        <f t="shared" si="9"/>
        <v>42066</v>
      </c>
      <c r="AV44" s="76">
        <f t="shared" si="10"/>
        <v>41806</v>
      </c>
      <c r="AW44" s="76">
        <f t="shared" si="11"/>
        <v>41806</v>
      </c>
      <c r="AX44" s="61">
        <f t="shared" si="12"/>
        <v>42005</v>
      </c>
      <c r="AY44" s="61">
        <f t="shared" si="13"/>
        <v>42005</v>
      </c>
      <c r="AZ44" s="61">
        <f t="shared" si="14"/>
        <v>42064</v>
      </c>
      <c r="BA44" s="61">
        <f t="shared" si="15"/>
        <v>42064</v>
      </c>
      <c r="BB44" s="61">
        <f t="shared" si="16"/>
        <v>42126</v>
      </c>
      <c r="BC44" s="61">
        <f t="shared" si="17"/>
        <v>42126</v>
      </c>
      <c r="BD44" s="61">
        <f t="shared" si="18"/>
        <v>42156</v>
      </c>
      <c r="BE44" s="61">
        <f t="shared" si="19"/>
        <v>42156</v>
      </c>
      <c r="BF44" s="61">
        <f t="shared" si="20"/>
        <v>42527</v>
      </c>
      <c r="BG44" s="61">
        <f t="shared" si="21"/>
        <v>42527</v>
      </c>
      <c r="BH44" s="61">
        <f t="shared" si="22"/>
        <v>42111</v>
      </c>
      <c r="BI44" s="61">
        <f t="shared" si="23"/>
        <v>42111</v>
      </c>
      <c r="BJ44" s="61">
        <f t="shared" si="24"/>
        <v>42066</v>
      </c>
      <c r="BK44" s="61">
        <f t="shared" si="25"/>
        <v>42066</v>
      </c>
    </row>
    <row r="45" spans="1:63">
      <c r="A45" s="25" t="s">
        <v>34</v>
      </c>
      <c r="B45" s="74" t="str">
        <f t="shared" si="26"/>
        <v>SAS</v>
      </c>
      <c r="C45" s="74" t="str">
        <f t="shared" si="27"/>
        <v>A330/A340</v>
      </c>
      <c r="D45" s="7">
        <v>41591</v>
      </c>
      <c r="E45" s="7">
        <v>41702</v>
      </c>
      <c r="F45" s="7">
        <v>41787</v>
      </c>
      <c r="G45" s="7">
        <v>42051</v>
      </c>
      <c r="H45" s="59">
        <v>42058</v>
      </c>
      <c r="I45" s="60">
        <v>42128</v>
      </c>
      <c r="J45" s="59">
        <v>42019</v>
      </c>
      <c r="K45" s="59">
        <v>41844</v>
      </c>
      <c r="L45" s="57" t="e">
        <f>IF($A45="","",INDEX([1]Portfolio!$A$3:$AU$63,MATCH($A45,[1]Portfolio!$B$3:$B$63,0),3))</f>
        <v>#N/A</v>
      </c>
      <c r="M45" s="57" t="e">
        <f>IF($A45="","",INDEX([1]Portfolio!$A$3:$AU$63,MATCH($A45,[1]Portfolio!$B$3:$B$63,0),5))</f>
        <v>#N/A</v>
      </c>
      <c r="N45" s="6" t="e">
        <f>IF($A45="","",INDEX([1]Portfolio!$A$3:$AU$63,MATCH($A45,[1]Portfolio!$B$3:$B$63,0),29))</f>
        <v>#N/A</v>
      </c>
      <c r="O45" s="6" t="e">
        <f>IF($A45="","",INDEX([1]Portfolio!$A$3:$AU$63,MATCH($A45,[1]Portfolio!$B$3:$B$63,0),32))</f>
        <v>#N/A</v>
      </c>
      <c r="P45" s="7" t="e">
        <f>IF($A45="","",INDEX([1]Portfolio!$A$3:$AU$63,MATCH($A45,[1]Portfolio!$B$3:$B$63,0),35))</f>
        <v>#N/A</v>
      </c>
      <c r="Q45" s="7" t="e">
        <f>IF($A45="","",INDEX([1]Portfolio!$A$3:$AU$63,MATCH($A45,[1]Portfolio!$B$3:$B$63,0),38))</f>
        <v>#N/A</v>
      </c>
      <c r="R45" s="7" t="e">
        <f>IF($A45="","",INDEX([1]Portfolio!$A$3:$AU$63,MATCH($A45,[1]Portfolio!$B$3:$B$63,0),42))</f>
        <v>#N/A</v>
      </c>
      <c r="S45" s="7" t="e">
        <f>IF($A45="","",INDEX([1]Portfolio!$A$3:$AU$63,MATCH($A45,[1]Portfolio!$B$3:$B$63,0),43))</f>
        <v>#N/A</v>
      </c>
      <c r="T45" s="7" t="e">
        <f>IF($A45="","",INDEX([1]Portfolio!$A$3:$AU$63,MATCH($A45,[1]Portfolio!$B$3:$B$63,0),37))</f>
        <v>#N/A</v>
      </c>
      <c r="U45" s="7" t="e">
        <f>IF($A45="","",INDEX([1]Portfolio!$A$3:$AU$63,MATCH($A45,[1]Portfolio!$B$3:$B$63,0),36))</f>
        <v>#N/A</v>
      </c>
      <c r="V45" s="7">
        <f>IF($A45="","",(INDEX([2]Programmesjalons!$A$4:$AH$140,MATCH($A45,[2]Programmesjalons!$A$4:$A$140,0),8)))</f>
        <v>41591</v>
      </c>
      <c r="W45" s="7">
        <f>IF($A45="","",(INDEX([2]Programmesjalons!$A$4:$AH$140,MATCH($A45,[2]Programmesjalons!$A$4:$A$140,0),12)))</f>
        <v>41723</v>
      </c>
      <c r="X45" s="7">
        <f>IF($A45="","",(INDEX([2]Programmesjalons!$A$4:$AH$140,MATCH($A45,[2]Programmesjalons!$A$4:$A$140,0),16)))</f>
        <v>41809</v>
      </c>
      <c r="Y45" s="7">
        <f>IF($A45="","",(INDEX([2]Programmesjalons!$A$4:$AH$140,MATCH($A45,[2]Programmesjalons!$A$4:$A$140,0),30)))</f>
        <v>42134</v>
      </c>
      <c r="Z45" s="59">
        <f>IF($A45="","",(INDEX([2]Programmesjalons!$A$4:$AH$140,MATCH($A45,[2]Programmesjalons!$A$4:$A$140,0),32)))</f>
        <v>42164</v>
      </c>
      <c r="AA45" s="60">
        <f>IF($A45="","",(INDEX([2]Programmesjalons!$A$4:$AH$140,MATCH($A45,[2]Programmesjalons!$A$4:$A$140,0),34)))</f>
        <v>42258</v>
      </c>
      <c r="AB45" s="59">
        <f>IF($A45="","",(INDEX([2]Programmesjalons!$A$4:$AH$140,MATCH($A45,[2]Programmesjalons!$A$4:$A$140,0),26)))</f>
        <v>42119</v>
      </c>
      <c r="AC45" s="59">
        <f>IF($A45="","",(INDEX([2]Programmesjalons!$A$4:$AH$140,MATCH($A45,[2]Programmesjalons!$A$4:$A$140,0),18)))</f>
        <v>42044</v>
      </c>
      <c r="AD45" s="68" t="s">
        <v>262</v>
      </c>
      <c r="AE45" s="68" t="s">
        <v>263</v>
      </c>
      <c r="AF45" s="68">
        <v>41591</v>
      </c>
      <c r="AG45" s="68">
        <v>41702</v>
      </c>
      <c r="AH45" s="68">
        <v>41787</v>
      </c>
      <c r="AI45" s="68">
        <v>42051</v>
      </c>
      <c r="AJ45" s="69">
        <v>42058</v>
      </c>
      <c r="AK45" s="70">
        <v>42128</v>
      </c>
      <c r="AL45" s="69">
        <v>42019</v>
      </c>
      <c r="AM45" s="69">
        <v>41844</v>
      </c>
      <c r="AN45" s="7">
        <f t="shared" si="2"/>
        <v>41591</v>
      </c>
      <c r="AO45" s="7">
        <f t="shared" si="3"/>
        <v>41702</v>
      </c>
      <c r="AP45" s="7">
        <f t="shared" si="4"/>
        <v>41787</v>
      </c>
      <c r="AQ45" s="7">
        <f t="shared" si="5"/>
        <v>42051</v>
      </c>
      <c r="AR45" s="59">
        <f t="shared" si="6"/>
        <v>42058</v>
      </c>
      <c r="AS45" s="60">
        <f t="shared" si="7"/>
        <v>42128</v>
      </c>
      <c r="AT45" s="59">
        <f t="shared" si="8"/>
        <v>42019</v>
      </c>
      <c r="AU45" s="59">
        <f t="shared" si="9"/>
        <v>41844</v>
      </c>
      <c r="AV45" s="76">
        <f t="shared" si="10"/>
        <v>41591</v>
      </c>
      <c r="AW45" s="76">
        <f t="shared" si="11"/>
        <v>41591</v>
      </c>
      <c r="AX45" s="61">
        <f t="shared" si="12"/>
        <v>41702</v>
      </c>
      <c r="AY45" s="61">
        <f t="shared" si="13"/>
        <v>41723</v>
      </c>
      <c r="AZ45" s="61">
        <f t="shared" si="14"/>
        <v>41787</v>
      </c>
      <c r="BA45" s="61">
        <f t="shared" si="15"/>
        <v>41809</v>
      </c>
      <c r="BB45" s="61">
        <f t="shared" si="16"/>
        <v>42051</v>
      </c>
      <c r="BC45" s="61">
        <f t="shared" si="17"/>
        <v>42134</v>
      </c>
      <c r="BD45" s="61">
        <f t="shared" si="18"/>
        <v>42058</v>
      </c>
      <c r="BE45" s="61">
        <f t="shared" si="19"/>
        <v>42164</v>
      </c>
      <c r="BF45" s="61">
        <f t="shared" si="20"/>
        <v>42128</v>
      </c>
      <c r="BG45" s="61">
        <f t="shared" si="21"/>
        <v>42258</v>
      </c>
      <c r="BH45" s="61">
        <f t="shared" si="22"/>
        <v>42019</v>
      </c>
      <c r="BI45" s="61">
        <f t="shared" si="23"/>
        <v>42119</v>
      </c>
      <c r="BJ45" s="61">
        <f t="shared" si="24"/>
        <v>41844</v>
      </c>
      <c r="BK45" s="61">
        <f t="shared" si="25"/>
        <v>42044</v>
      </c>
    </row>
    <row r="46" spans="1:63">
      <c r="A46" s="25" t="s">
        <v>82</v>
      </c>
      <c r="B46" s="74" t="str">
        <f t="shared" si="26"/>
        <v>Air Algérie</v>
      </c>
      <c r="C46" s="74" t="str">
        <f t="shared" si="27"/>
        <v>A330-200</v>
      </c>
      <c r="D46" s="7">
        <v>41661</v>
      </c>
      <c r="E46" s="7">
        <v>41732</v>
      </c>
      <c r="F46" s="7">
        <v>41779</v>
      </c>
      <c r="G46" s="7">
        <v>41915</v>
      </c>
      <c r="H46" s="59">
        <v>41919</v>
      </c>
      <c r="I46" s="60">
        <v>41976</v>
      </c>
      <c r="J46" s="59">
        <v>41850</v>
      </c>
      <c r="K46" s="59" t="s">
        <v>242</v>
      </c>
      <c r="L46" s="57" t="e">
        <f>IF($A46="","",INDEX([1]Portfolio!$A$3:$AU$63,MATCH($A46,[1]Portfolio!$B$3:$B$63,0),3))</f>
        <v>#N/A</v>
      </c>
      <c r="M46" s="57" t="e">
        <f>IF($A46="","",INDEX([1]Portfolio!$A$3:$AU$63,MATCH($A46,[1]Portfolio!$B$3:$B$63,0),5))</f>
        <v>#N/A</v>
      </c>
      <c r="N46" s="6" t="e">
        <f>IF($A46="","",INDEX([1]Portfolio!$A$3:$AU$63,MATCH($A46,[1]Portfolio!$B$3:$B$63,0),29))</f>
        <v>#N/A</v>
      </c>
      <c r="O46" s="6" t="e">
        <f>IF($A46="","",INDEX([1]Portfolio!$A$3:$AU$63,MATCH($A46,[1]Portfolio!$B$3:$B$63,0),32))</f>
        <v>#N/A</v>
      </c>
      <c r="P46" s="7" t="e">
        <f>IF($A46="","",INDEX([1]Portfolio!$A$3:$AU$63,MATCH($A46,[1]Portfolio!$B$3:$B$63,0),35))</f>
        <v>#N/A</v>
      </c>
      <c r="Q46" s="7" t="e">
        <f>IF($A46="","",INDEX([1]Portfolio!$A$3:$AU$63,MATCH($A46,[1]Portfolio!$B$3:$B$63,0),38))</f>
        <v>#N/A</v>
      </c>
      <c r="R46" s="7" t="e">
        <f>IF($A46="","",INDEX([1]Portfolio!$A$3:$AU$63,MATCH($A46,[1]Portfolio!$B$3:$B$63,0),42))</f>
        <v>#N/A</v>
      </c>
      <c r="S46" s="7" t="e">
        <f>IF($A46="","",INDEX([1]Portfolio!$A$3:$AU$63,MATCH($A46,[1]Portfolio!$B$3:$B$63,0),43))</f>
        <v>#N/A</v>
      </c>
      <c r="T46" s="7" t="e">
        <f>IF($A46="","",INDEX([1]Portfolio!$A$3:$AU$63,MATCH($A46,[1]Portfolio!$B$3:$B$63,0),37))</f>
        <v>#N/A</v>
      </c>
      <c r="U46" s="7" t="e">
        <f>IF($A46="","",INDEX([1]Portfolio!$A$3:$AU$63,MATCH($A46,[1]Portfolio!$B$3:$B$63,0),36))</f>
        <v>#N/A</v>
      </c>
      <c r="V46" s="7">
        <f>IF($A46="","",(INDEX([2]Programmesjalons!$A$4:$AH$140,MATCH($A46,[2]Programmesjalons!$A$4:$A$140,0),8)))</f>
        <v>0</v>
      </c>
      <c r="W46" s="7">
        <f>IF($A46="","",(INDEX([2]Programmesjalons!$A$4:$AH$140,MATCH($A46,[2]Programmesjalons!$A$4:$A$140,0),12)))</f>
        <v>0</v>
      </c>
      <c r="X46" s="7">
        <f>IF($A46="","",(INDEX([2]Programmesjalons!$A$4:$AH$140,MATCH($A46,[2]Programmesjalons!$A$4:$A$140,0),16)))</f>
        <v>0</v>
      </c>
      <c r="Y46" s="7">
        <f>IF($A46="","",(INDEX([2]Programmesjalons!$A$4:$AH$140,MATCH($A46,[2]Programmesjalons!$A$4:$A$140,0),30)))</f>
        <v>0</v>
      </c>
      <c r="Z46" s="59">
        <f>IF($A46="","",(INDEX([2]Programmesjalons!$A$4:$AH$140,MATCH($A46,[2]Programmesjalons!$A$4:$A$140,0),32)))</f>
        <v>0</v>
      </c>
      <c r="AA46" s="60">
        <f>IF($A46="","",(INDEX([2]Programmesjalons!$A$4:$AH$140,MATCH($A46,[2]Programmesjalons!$A$4:$A$140,0),34)))</f>
        <v>0</v>
      </c>
      <c r="AB46" s="59">
        <f>IF($A46="","",(INDEX([2]Programmesjalons!$A$4:$AH$140,MATCH($A46,[2]Programmesjalons!$A$4:$A$140,0),26)))</f>
        <v>0</v>
      </c>
      <c r="AC46" s="59">
        <f>IF($A46="","",(INDEX([2]Programmesjalons!$A$4:$AH$140,MATCH($A46,[2]Programmesjalons!$A$4:$A$140,0),18)))</f>
        <v>0</v>
      </c>
      <c r="AD46" s="68" t="s">
        <v>264</v>
      </c>
      <c r="AE46" s="68" t="s">
        <v>265</v>
      </c>
      <c r="AF46" s="68">
        <v>41661</v>
      </c>
      <c r="AG46" s="68">
        <v>41732</v>
      </c>
      <c r="AH46" s="68">
        <v>41779</v>
      </c>
      <c r="AI46" s="68">
        <v>41915</v>
      </c>
      <c r="AJ46" s="69">
        <v>41919</v>
      </c>
      <c r="AK46" s="70">
        <v>41976</v>
      </c>
      <c r="AL46" s="69">
        <v>41850</v>
      </c>
      <c r="AM46" s="69"/>
      <c r="AN46" s="7">
        <f t="shared" si="2"/>
        <v>41661</v>
      </c>
      <c r="AO46" s="7">
        <f t="shared" si="3"/>
        <v>41732</v>
      </c>
      <c r="AP46" s="7">
        <f t="shared" si="4"/>
        <v>41779</v>
      </c>
      <c r="AQ46" s="7">
        <f t="shared" si="5"/>
        <v>41915</v>
      </c>
      <c r="AR46" s="59">
        <f t="shared" si="6"/>
        <v>41919</v>
      </c>
      <c r="AS46" s="60">
        <f t="shared" si="7"/>
        <v>41976</v>
      </c>
      <c r="AT46" s="59">
        <f t="shared" si="8"/>
        <v>41850</v>
      </c>
      <c r="AU46" s="59" t="str">
        <f t="shared" si="9"/>
        <v>manque date</v>
      </c>
      <c r="AV46" s="76">
        <f t="shared" si="10"/>
        <v>41661</v>
      </c>
      <c r="AW46" s="76">
        <f t="shared" si="11"/>
        <v>0</v>
      </c>
      <c r="AX46" s="61">
        <f t="shared" si="12"/>
        <v>41732</v>
      </c>
      <c r="AY46" s="61">
        <f t="shared" si="13"/>
        <v>0</v>
      </c>
      <c r="AZ46" s="61">
        <f t="shared" si="14"/>
        <v>41779</v>
      </c>
      <c r="BA46" s="61">
        <f t="shared" si="15"/>
        <v>0</v>
      </c>
      <c r="BB46" s="61">
        <f t="shared" si="16"/>
        <v>41915</v>
      </c>
      <c r="BC46" s="61">
        <f t="shared" si="17"/>
        <v>0</v>
      </c>
      <c r="BD46" s="61">
        <f t="shared" si="18"/>
        <v>41919</v>
      </c>
      <c r="BE46" s="61">
        <f t="shared" si="19"/>
        <v>0</v>
      </c>
      <c r="BF46" s="61">
        <f t="shared" si="20"/>
        <v>41976</v>
      </c>
      <c r="BG46" s="61">
        <f t="shared" si="21"/>
        <v>0</v>
      </c>
      <c r="BH46" s="61">
        <f t="shared" si="22"/>
        <v>41850</v>
      </c>
      <c r="BI46" s="61">
        <f t="shared" si="23"/>
        <v>0</v>
      </c>
      <c r="BJ46" s="61">
        <f t="shared" si="24"/>
        <v>0</v>
      </c>
      <c r="BK46" s="61">
        <f t="shared" si="25"/>
        <v>0</v>
      </c>
    </row>
    <row r="47" spans="1:63">
      <c r="A47" s="25" t="s">
        <v>83</v>
      </c>
      <c r="B47" s="74" t="str">
        <f t="shared" si="26"/>
        <v>Kuwait</v>
      </c>
      <c r="C47" s="74" t="str">
        <f t="shared" si="27"/>
        <v>A330-200</v>
      </c>
      <c r="D47" s="7">
        <v>41709</v>
      </c>
      <c r="E47" s="7">
        <v>41764</v>
      </c>
      <c r="F47" s="7">
        <v>41813</v>
      </c>
      <c r="G47" s="7">
        <v>41936</v>
      </c>
      <c r="H47" s="59">
        <v>41967</v>
      </c>
      <c r="I47" s="60">
        <v>42038</v>
      </c>
      <c r="J47" s="59">
        <v>41880</v>
      </c>
      <c r="K47" s="59" t="s">
        <v>242</v>
      </c>
      <c r="L47" s="57" t="e">
        <f>IF($A47="","",INDEX([1]Portfolio!$A$3:$AU$63,MATCH($A47,[1]Portfolio!$B$3:$B$63,0),3))</f>
        <v>#N/A</v>
      </c>
      <c r="M47" s="57" t="e">
        <f>IF($A47="","",INDEX([1]Portfolio!$A$3:$AU$63,MATCH($A47,[1]Portfolio!$B$3:$B$63,0),5))</f>
        <v>#N/A</v>
      </c>
      <c r="N47" s="6" t="e">
        <f>IF($A47="","",INDEX([1]Portfolio!$A$3:$AU$63,MATCH($A47,[1]Portfolio!$B$3:$B$63,0),29))</f>
        <v>#N/A</v>
      </c>
      <c r="O47" s="6" t="e">
        <f>IF($A47="","",INDEX([1]Portfolio!$A$3:$AU$63,MATCH($A47,[1]Portfolio!$B$3:$B$63,0),32))</f>
        <v>#N/A</v>
      </c>
      <c r="P47" s="7" t="e">
        <f>IF($A47="","",INDEX([1]Portfolio!$A$3:$AU$63,MATCH($A47,[1]Portfolio!$B$3:$B$63,0),35))</f>
        <v>#N/A</v>
      </c>
      <c r="Q47" s="7" t="e">
        <f>IF($A47="","",INDEX([1]Portfolio!$A$3:$AU$63,MATCH($A47,[1]Portfolio!$B$3:$B$63,0),38))</f>
        <v>#N/A</v>
      </c>
      <c r="R47" s="7" t="e">
        <f>IF($A47="","",INDEX([1]Portfolio!$A$3:$AU$63,MATCH($A47,[1]Portfolio!$B$3:$B$63,0),42))</f>
        <v>#N/A</v>
      </c>
      <c r="S47" s="7" t="e">
        <f>IF($A47="","",INDEX([1]Portfolio!$A$3:$AU$63,MATCH($A47,[1]Portfolio!$B$3:$B$63,0),43))</f>
        <v>#N/A</v>
      </c>
      <c r="T47" s="7" t="e">
        <f>IF($A47="","",INDEX([1]Portfolio!$A$3:$AU$63,MATCH($A47,[1]Portfolio!$B$3:$B$63,0),37))</f>
        <v>#N/A</v>
      </c>
      <c r="U47" s="7" t="e">
        <f>IF($A47="","",INDEX([1]Portfolio!$A$3:$AU$63,MATCH($A47,[1]Portfolio!$B$3:$B$63,0),36))</f>
        <v>#N/A</v>
      </c>
      <c r="V47" s="7" t="e">
        <f>IF($A47="","",(INDEX([2]Programmesjalons!$A$4:$AH$140,MATCH($A47,[2]Programmesjalons!$A$4:$A$140,0),8)))</f>
        <v>#N/A</v>
      </c>
      <c r="W47" s="7" t="e">
        <f>IF($A47="","",(INDEX([2]Programmesjalons!$A$4:$AH$140,MATCH($A47,[2]Programmesjalons!$A$4:$A$140,0),12)))</f>
        <v>#N/A</v>
      </c>
      <c r="X47" s="7" t="e">
        <f>IF($A47="","",(INDEX([2]Programmesjalons!$A$4:$AH$140,MATCH($A47,[2]Programmesjalons!$A$4:$A$140,0),16)))</f>
        <v>#N/A</v>
      </c>
      <c r="Y47" s="7" t="e">
        <f>IF($A47="","",(INDEX([2]Programmesjalons!$A$4:$AH$140,MATCH($A47,[2]Programmesjalons!$A$4:$A$140,0),30)))</f>
        <v>#N/A</v>
      </c>
      <c r="Z47" s="59" t="e">
        <f>IF($A47="","",(INDEX([2]Programmesjalons!$A$4:$AH$140,MATCH($A47,[2]Programmesjalons!$A$4:$A$140,0),32)))</f>
        <v>#N/A</v>
      </c>
      <c r="AA47" s="60" t="e">
        <f>IF($A47="","",(INDEX([2]Programmesjalons!$A$4:$AH$140,MATCH($A47,[2]Programmesjalons!$A$4:$A$140,0),34)))</f>
        <v>#N/A</v>
      </c>
      <c r="AB47" s="59" t="e">
        <f>IF($A47="","",(INDEX([2]Programmesjalons!$A$4:$AH$140,MATCH($A47,[2]Programmesjalons!$A$4:$A$140,0),26)))</f>
        <v>#N/A</v>
      </c>
      <c r="AC47" s="59" t="e">
        <f>IF($A47="","",(INDEX([2]Programmesjalons!$A$4:$AH$140,MATCH($A47,[2]Programmesjalons!$A$4:$A$140,0),18)))</f>
        <v>#N/A</v>
      </c>
      <c r="AD47" s="68" t="s">
        <v>266</v>
      </c>
      <c r="AE47" s="68" t="s">
        <v>265</v>
      </c>
      <c r="AF47" s="68">
        <v>41709</v>
      </c>
      <c r="AG47" s="68">
        <v>41764</v>
      </c>
      <c r="AH47" s="68">
        <v>41813</v>
      </c>
      <c r="AI47" s="68">
        <v>41936</v>
      </c>
      <c r="AJ47" s="69">
        <v>41967</v>
      </c>
      <c r="AK47" s="70">
        <v>42038</v>
      </c>
      <c r="AL47" s="69">
        <v>41880</v>
      </c>
      <c r="AM47" s="69"/>
      <c r="AN47" s="7">
        <f t="shared" si="2"/>
        <v>41709</v>
      </c>
      <c r="AO47" s="7">
        <f t="shared" si="3"/>
        <v>41764</v>
      </c>
      <c r="AP47" s="7">
        <f t="shared" si="4"/>
        <v>41813</v>
      </c>
      <c r="AQ47" s="7">
        <f t="shared" si="5"/>
        <v>41936</v>
      </c>
      <c r="AR47" s="59">
        <f t="shared" si="6"/>
        <v>41967</v>
      </c>
      <c r="AS47" s="60">
        <f t="shared" si="7"/>
        <v>42038</v>
      </c>
      <c r="AT47" s="59">
        <f t="shared" si="8"/>
        <v>41880</v>
      </c>
      <c r="AU47" s="59" t="str">
        <f t="shared" si="9"/>
        <v>manque date</v>
      </c>
      <c r="AV47" s="76">
        <f t="shared" si="10"/>
        <v>41709</v>
      </c>
      <c r="AW47" s="76" t="str">
        <f t="shared" si="11"/>
        <v>manque date</v>
      </c>
      <c r="AX47" s="61">
        <f t="shared" si="12"/>
        <v>41764</v>
      </c>
      <c r="AY47" s="61" t="str">
        <f t="shared" si="13"/>
        <v>manque date</v>
      </c>
      <c r="AZ47" s="61">
        <f t="shared" si="14"/>
        <v>41813</v>
      </c>
      <c r="BA47" s="61" t="str">
        <f t="shared" si="15"/>
        <v>manque date</v>
      </c>
      <c r="BB47" s="61">
        <f t="shared" si="16"/>
        <v>41936</v>
      </c>
      <c r="BC47" s="61" t="str">
        <f t="shared" si="17"/>
        <v>manque date</v>
      </c>
      <c r="BD47" s="61">
        <f t="shared" si="18"/>
        <v>41967</v>
      </c>
      <c r="BE47" s="61" t="str">
        <f t="shared" si="19"/>
        <v>manque date</v>
      </c>
      <c r="BF47" s="61">
        <f t="shared" si="20"/>
        <v>42038</v>
      </c>
      <c r="BG47" s="61" t="str">
        <f t="shared" si="21"/>
        <v>manque date</v>
      </c>
      <c r="BH47" s="61">
        <f t="shared" si="22"/>
        <v>41880</v>
      </c>
      <c r="BI47" s="61" t="str">
        <f t="shared" si="23"/>
        <v>manque date</v>
      </c>
      <c r="BJ47" s="61">
        <f t="shared" si="24"/>
        <v>0</v>
      </c>
      <c r="BK47" s="61" t="str">
        <f t="shared" si="25"/>
        <v>manque date</v>
      </c>
    </row>
    <row r="48" spans="1:63">
      <c r="A48" s="25" t="s">
        <v>42</v>
      </c>
      <c r="B48" s="74" t="str">
        <f t="shared" si="26"/>
        <v>Airbus Military</v>
      </c>
      <c r="C48" s="74" t="str">
        <f t="shared" si="27"/>
        <v>A330</v>
      </c>
      <c r="D48" s="7">
        <v>41816</v>
      </c>
      <c r="E48" s="7">
        <v>41906</v>
      </c>
      <c r="F48" s="7">
        <v>41963</v>
      </c>
      <c r="G48" s="7">
        <v>42077</v>
      </c>
      <c r="H48" s="59">
        <v>42143</v>
      </c>
      <c r="I48" s="60">
        <v>42170</v>
      </c>
      <c r="J48" s="59">
        <v>42059</v>
      </c>
      <c r="K48" s="59">
        <v>42034</v>
      </c>
      <c r="L48" s="57" t="str">
        <f>IF($A48="","",INDEX([1]Portfolio!$A$3:$AU$63,MATCH($A48,[1]Portfolio!$B$3:$B$63,0),3))</f>
        <v>Airbus Military</v>
      </c>
      <c r="M48" s="57" t="str">
        <f>IF($A48="","",INDEX([1]Portfolio!$A$3:$AU$63,MATCH($A48,[1]Portfolio!$B$3:$B$63,0),5))</f>
        <v>A330</v>
      </c>
      <c r="N48" s="6">
        <f>IF($A48="","",INDEX([1]Portfolio!$A$3:$AU$63,MATCH($A48,[1]Portfolio!$B$3:$B$63,0),29))</f>
        <v>41816</v>
      </c>
      <c r="O48" s="6">
        <f>IF($A48="","",INDEX([1]Portfolio!$A$3:$AU$63,MATCH($A48,[1]Portfolio!$B$3:$B$63,0),32))</f>
        <v>41906</v>
      </c>
      <c r="P48" s="7">
        <f>IF($A48="","",INDEX([1]Portfolio!$A$3:$AU$63,MATCH($A48,[1]Portfolio!$B$3:$B$63,0),35))</f>
        <v>41963</v>
      </c>
      <c r="Q48" s="7">
        <f>IF($A48="","",INDEX([1]Portfolio!$A$3:$AU$63,MATCH($A48,[1]Portfolio!$B$3:$B$63,0),38))</f>
        <v>42077</v>
      </c>
      <c r="R48" s="7">
        <f>IF($A48="","",INDEX([1]Portfolio!$A$3:$AU$63,MATCH($A48,[1]Portfolio!$B$3:$B$63,0),42))</f>
        <v>42143</v>
      </c>
      <c r="S48" s="7">
        <f>IF($A48="","",INDEX([1]Portfolio!$A$3:$AU$63,MATCH($A48,[1]Portfolio!$B$3:$B$63,0),43))</f>
        <v>42170</v>
      </c>
      <c r="T48" s="7">
        <f>IF($A48="","",INDEX([1]Portfolio!$A$3:$AU$63,MATCH($A48,[1]Portfolio!$B$3:$B$63,0),37))</f>
        <v>42059</v>
      </c>
      <c r="U48" s="7" t="str">
        <f>IF($A48="","",INDEX([1]Portfolio!$A$3:$AU$63,MATCH($A48,[1]Portfolio!$B$3:$B$63,0),36))</f>
        <v>na</v>
      </c>
      <c r="V48" s="7">
        <f>IF($A48="","",(INDEX([2]Programmesjalons!$A$4:$AH$140,MATCH($A48,[2]Programmesjalons!$A$4:$A$140,0),8)))</f>
        <v>42181</v>
      </c>
      <c r="W48" s="7">
        <f>IF($A48="","",(INDEX([2]Programmesjalons!$A$4:$AH$140,MATCH($A48,[2]Programmesjalons!$A$4:$A$140,0),12)))</f>
        <v>41906</v>
      </c>
      <c r="X48" s="7">
        <f>IF($A48="","",(INDEX([2]Programmesjalons!$A$4:$AH$140,MATCH($A48,[2]Programmesjalons!$A$4:$A$140,0),16)))</f>
        <v>41963</v>
      </c>
      <c r="Y48" s="7">
        <f>IF($A48="","",(INDEX([2]Programmesjalons!$A$4:$AH$140,MATCH($A48,[2]Programmesjalons!$A$4:$A$140,0),30)))</f>
        <v>42124</v>
      </c>
      <c r="Z48" s="59">
        <f>IF($A48="","",(INDEX([2]Programmesjalons!$A$4:$AH$140,MATCH($A48,[2]Programmesjalons!$A$4:$A$140,0),32)))</f>
        <v>42143</v>
      </c>
      <c r="AA48" s="60">
        <f>IF($A48="","",(INDEX([2]Programmesjalons!$A$4:$AH$140,MATCH($A48,[2]Programmesjalons!$A$4:$A$140,0),34)))</f>
        <v>42181</v>
      </c>
      <c r="AB48" s="59">
        <f>IF($A48="","",(INDEX([2]Programmesjalons!$A$4:$AH$140,MATCH($A48,[2]Programmesjalons!$A$4:$A$140,0),26)))</f>
        <v>42109</v>
      </c>
      <c r="AC48" s="59">
        <f>IF($A48="","",(INDEX([2]Programmesjalons!$A$4:$AH$140,MATCH($A48,[2]Programmesjalons!$A$4:$A$140,0),18)))</f>
        <v>42034</v>
      </c>
      <c r="AD48" s="68"/>
      <c r="AE48" s="68"/>
      <c r="AF48" s="68"/>
      <c r="AG48" s="68"/>
      <c r="AH48" s="68"/>
      <c r="AI48" s="68"/>
      <c r="AJ48" s="69"/>
      <c r="AK48" s="70"/>
      <c r="AL48" s="69"/>
      <c r="AM48" s="69"/>
      <c r="AN48" s="7">
        <f t="shared" si="2"/>
        <v>41816</v>
      </c>
      <c r="AO48" s="7">
        <f t="shared" si="3"/>
        <v>41906</v>
      </c>
      <c r="AP48" s="7">
        <f t="shared" si="4"/>
        <v>41963</v>
      </c>
      <c r="AQ48" s="7">
        <f t="shared" si="5"/>
        <v>42077</v>
      </c>
      <c r="AR48" s="59">
        <f t="shared" si="6"/>
        <v>42143</v>
      </c>
      <c r="AS48" s="60">
        <f t="shared" si="7"/>
        <v>42170</v>
      </c>
      <c r="AT48" s="59">
        <f t="shared" si="8"/>
        <v>42059</v>
      </c>
      <c r="AU48" s="59">
        <f t="shared" si="9"/>
        <v>42034</v>
      </c>
      <c r="AV48" s="76">
        <f t="shared" si="10"/>
        <v>41816</v>
      </c>
      <c r="AW48" s="76">
        <f t="shared" si="11"/>
        <v>41816</v>
      </c>
      <c r="AX48" s="61">
        <f t="shared" si="12"/>
        <v>41906</v>
      </c>
      <c r="AY48" s="61">
        <f t="shared" si="13"/>
        <v>41906</v>
      </c>
      <c r="AZ48" s="61">
        <f t="shared" si="14"/>
        <v>41963</v>
      </c>
      <c r="BA48" s="61">
        <f t="shared" si="15"/>
        <v>41963</v>
      </c>
      <c r="BB48" s="61">
        <f t="shared" si="16"/>
        <v>42077</v>
      </c>
      <c r="BC48" s="61">
        <f t="shared" si="17"/>
        <v>42077</v>
      </c>
      <c r="BD48" s="61">
        <f t="shared" si="18"/>
        <v>42143</v>
      </c>
      <c r="BE48" s="61">
        <f t="shared" si="19"/>
        <v>42143</v>
      </c>
      <c r="BF48" s="61">
        <f t="shared" si="20"/>
        <v>42170</v>
      </c>
      <c r="BG48" s="61">
        <f t="shared" si="21"/>
        <v>42170</v>
      </c>
      <c r="BH48" s="61">
        <f t="shared" si="22"/>
        <v>42059</v>
      </c>
      <c r="BI48" s="61">
        <f t="shared" si="23"/>
        <v>42059</v>
      </c>
      <c r="BJ48" s="61">
        <f t="shared" si="24"/>
        <v>42034</v>
      </c>
      <c r="BK48" s="61">
        <f t="shared" si="25"/>
        <v>42034</v>
      </c>
    </row>
    <row r="49" spans="1:63">
      <c r="A49" s="25" t="s">
        <v>152</v>
      </c>
      <c r="B49" s="74" t="str">
        <f t="shared" si="26"/>
        <v>Airbus Military</v>
      </c>
      <c r="C49" s="74" t="str">
        <f t="shared" si="27"/>
        <v>A330</v>
      </c>
      <c r="D49" s="7">
        <v>42128</v>
      </c>
      <c r="E49" s="7">
        <v>42187</v>
      </c>
      <c r="F49" s="7">
        <v>42269</v>
      </c>
      <c r="G49" s="7">
        <v>42361</v>
      </c>
      <c r="H49" s="59">
        <v>42423</v>
      </c>
      <c r="I49" s="60">
        <v>42459</v>
      </c>
      <c r="J49" s="59">
        <v>42365</v>
      </c>
      <c r="K49" s="59">
        <v>42346</v>
      </c>
      <c r="L49" s="57" t="str">
        <f>IF($A49="","",INDEX([1]Portfolio!$A$3:$AU$63,MATCH($A49,[1]Portfolio!$B$3:$B$63,0),3))</f>
        <v>Airbus Military</v>
      </c>
      <c r="M49" s="57" t="str">
        <f>IF($A49="","",INDEX([1]Portfolio!$A$3:$AU$63,MATCH($A49,[1]Portfolio!$B$3:$B$63,0),5))</f>
        <v>A330</v>
      </c>
      <c r="N49" s="6">
        <f>IF($A49="","",INDEX([1]Portfolio!$A$3:$AU$63,MATCH($A49,[1]Portfolio!$B$3:$B$63,0),29))</f>
        <v>42128</v>
      </c>
      <c r="O49" s="6">
        <f>IF($A49="","",INDEX([1]Portfolio!$A$3:$AU$63,MATCH($A49,[1]Portfolio!$B$3:$B$63,0),32))</f>
        <v>42187</v>
      </c>
      <c r="P49" s="7">
        <f>IF($A49="","",INDEX([1]Portfolio!$A$3:$AU$63,MATCH($A49,[1]Portfolio!$B$3:$B$63,0),35))</f>
        <v>42269</v>
      </c>
      <c r="Q49" s="7">
        <f>IF($A49="","",INDEX([1]Portfolio!$A$3:$AU$63,MATCH($A49,[1]Portfolio!$B$3:$B$63,0),38))</f>
        <v>42361</v>
      </c>
      <c r="R49" s="7">
        <f>IF($A49="","",INDEX([1]Portfolio!$A$3:$AU$63,MATCH($A49,[1]Portfolio!$B$3:$B$63,0),42))</f>
        <v>42423</v>
      </c>
      <c r="S49" s="7">
        <f>IF($A49="","",INDEX([1]Portfolio!$A$3:$AU$63,MATCH($A49,[1]Portfolio!$B$3:$B$63,0),43))</f>
        <v>42459</v>
      </c>
      <c r="T49" s="7">
        <f>IF($A49="","",INDEX([1]Portfolio!$A$3:$AU$63,MATCH($A49,[1]Portfolio!$B$3:$B$63,0),37))</f>
        <v>42365</v>
      </c>
      <c r="U49" s="7">
        <f>IF($A49="","",INDEX([1]Portfolio!$A$3:$AU$63,MATCH($A49,[1]Portfolio!$B$3:$B$63,0),36))</f>
        <v>0</v>
      </c>
      <c r="V49" s="7">
        <f>IF($A49="","",(INDEX([2]Programmesjalons!$A$4:$AH$140,MATCH($A49,[2]Programmesjalons!$A$4:$A$140,0),8)))</f>
        <v>42129</v>
      </c>
      <c r="W49" s="7">
        <f>IF($A49="","",(INDEX([2]Programmesjalons!$A$4:$AH$140,MATCH($A49,[2]Programmesjalons!$A$4:$A$140,0),12)))</f>
        <v>42187</v>
      </c>
      <c r="X49" s="7">
        <f>IF($A49="","",(INDEX([2]Programmesjalons!$A$4:$AH$140,MATCH($A49,[2]Programmesjalons!$A$4:$A$140,0),16)))</f>
        <v>42269</v>
      </c>
      <c r="Y49" s="7">
        <f>IF($A49="","",(INDEX([2]Programmesjalons!$A$4:$AH$140,MATCH($A49,[2]Programmesjalons!$A$4:$A$140,0),30)))</f>
        <v>42416</v>
      </c>
      <c r="Z49" s="59">
        <f>IF($A49="","",(INDEX([2]Programmesjalons!$A$4:$AH$140,MATCH($A49,[2]Programmesjalons!$A$4:$A$140,0),32)))</f>
        <v>42423</v>
      </c>
      <c r="AA49" s="60">
        <f>IF($A49="","",(INDEX([2]Programmesjalons!$A$4:$AH$140,MATCH($A49,[2]Programmesjalons!$A$4:$A$140,0),34)))</f>
        <v>42459</v>
      </c>
      <c r="AB49" s="59">
        <f>IF($A49="","",(INDEX([2]Programmesjalons!$A$4:$AH$140,MATCH($A49,[2]Programmesjalons!$A$4:$A$140,0),26)))</f>
        <v>42366</v>
      </c>
      <c r="AC49" s="59">
        <f>IF($A49="","",(INDEX([2]Programmesjalons!$A$4:$AH$140,MATCH($A49,[2]Programmesjalons!$A$4:$A$140,0),18)))</f>
        <v>42346</v>
      </c>
      <c r="AD49" s="68"/>
      <c r="AE49" s="68"/>
      <c r="AF49" s="68"/>
      <c r="AG49" s="68"/>
      <c r="AH49" s="68"/>
      <c r="AI49" s="68"/>
      <c r="AJ49" s="69"/>
      <c r="AK49" s="70"/>
      <c r="AL49" s="69"/>
      <c r="AM49" s="69"/>
      <c r="AN49" s="7">
        <f t="shared" si="2"/>
        <v>42128</v>
      </c>
      <c r="AO49" s="7">
        <f t="shared" si="3"/>
        <v>42187</v>
      </c>
      <c r="AP49" s="7">
        <f t="shared" si="4"/>
        <v>42269</v>
      </c>
      <c r="AQ49" s="7">
        <f t="shared" si="5"/>
        <v>42361</v>
      </c>
      <c r="AR49" s="59">
        <f t="shared" si="6"/>
        <v>42423</v>
      </c>
      <c r="AS49" s="60">
        <f t="shared" si="7"/>
        <v>42459</v>
      </c>
      <c r="AT49" s="59">
        <f t="shared" si="8"/>
        <v>42365</v>
      </c>
      <c r="AU49" s="59">
        <f t="shared" si="9"/>
        <v>42346</v>
      </c>
      <c r="AV49" s="76">
        <f t="shared" si="10"/>
        <v>42128</v>
      </c>
      <c r="AW49" s="76">
        <f t="shared" si="11"/>
        <v>42128</v>
      </c>
      <c r="AX49" s="61">
        <f t="shared" si="12"/>
        <v>42187</v>
      </c>
      <c r="AY49" s="61">
        <f t="shared" si="13"/>
        <v>42187</v>
      </c>
      <c r="AZ49" s="61">
        <f t="shared" si="14"/>
        <v>42269</v>
      </c>
      <c r="BA49" s="61">
        <f t="shared" si="15"/>
        <v>42269</v>
      </c>
      <c r="BB49" s="61">
        <f t="shared" si="16"/>
        <v>42361</v>
      </c>
      <c r="BC49" s="61">
        <f t="shared" si="17"/>
        <v>42361</v>
      </c>
      <c r="BD49" s="61">
        <f t="shared" si="18"/>
        <v>42423</v>
      </c>
      <c r="BE49" s="61">
        <f t="shared" si="19"/>
        <v>42423</v>
      </c>
      <c r="BF49" s="61">
        <f t="shared" si="20"/>
        <v>42459</v>
      </c>
      <c r="BG49" s="61">
        <f t="shared" si="21"/>
        <v>42459</v>
      </c>
      <c r="BH49" s="61">
        <f t="shared" si="22"/>
        <v>42365</v>
      </c>
      <c r="BI49" s="61">
        <f t="shared" si="23"/>
        <v>42365</v>
      </c>
      <c r="BJ49" s="61">
        <f t="shared" si="24"/>
        <v>42346</v>
      </c>
      <c r="BK49" s="61">
        <f t="shared" si="25"/>
        <v>42346</v>
      </c>
    </row>
    <row r="50" spans="1:63">
      <c r="A50" s="25" t="s">
        <v>158</v>
      </c>
      <c r="B50" s="74" t="str">
        <f t="shared" si="26"/>
        <v>Middle East Airlines</v>
      </c>
      <c r="C50" s="74" t="str">
        <f t="shared" si="27"/>
        <v>A330</v>
      </c>
      <c r="D50" s="7">
        <v>42159</v>
      </c>
      <c r="E50" s="7">
        <v>42192</v>
      </c>
      <c r="F50" s="7">
        <v>42223</v>
      </c>
      <c r="G50" s="7">
        <v>42310</v>
      </c>
      <c r="H50" s="59">
        <v>42340</v>
      </c>
      <c r="I50" s="60">
        <v>42415</v>
      </c>
      <c r="J50" s="59">
        <v>42295</v>
      </c>
      <c r="K50" s="59">
        <v>42240</v>
      </c>
      <c r="L50" s="57" t="str">
        <f>IF($A50="","",INDEX([1]Portfolio!$A$3:$AU$63,MATCH($A50,[1]Portfolio!$B$3:$B$63,0),3))</f>
        <v>Middle East Airlines</v>
      </c>
      <c r="M50" s="57" t="str">
        <f>IF($A50="","",INDEX([1]Portfolio!$A$3:$AU$63,MATCH($A50,[1]Portfolio!$B$3:$B$63,0),5))</f>
        <v>A330</v>
      </c>
      <c r="N50" s="6">
        <f>IF($A50="","",INDEX([1]Portfolio!$A$3:$AU$63,MATCH($A50,[1]Portfolio!$B$3:$B$63,0),29))</f>
        <v>42159</v>
      </c>
      <c r="O50" s="6">
        <f>IF($A50="","",INDEX([1]Portfolio!$A$3:$AU$63,MATCH($A50,[1]Portfolio!$B$3:$B$63,0),32))</f>
        <v>42192</v>
      </c>
      <c r="P50" s="7">
        <f>IF($A50="","",INDEX([1]Portfolio!$A$3:$AU$63,MATCH($A50,[1]Portfolio!$B$3:$B$63,0),35))</f>
        <v>42223</v>
      </c>
      <c r="Q50" s="7">
        <f>IF($A50="","",INDEX([1]Portfolio!$A$3:$AU$63,MATCH($A50,[1]Portfolio!$B$3:$B$63,0),38))</f>
        <v>42320</v>
      </c>
      <c r="R50" s="7">
        <f>IF($A50="","",INDEX([1]Portfolio!$A$3:$AU$63,MATCH($A50,[1]Portfolio!$B$3:$B$63,0),42))</f>
        <v>42340</v>
      </c>
      <c r="S50" s="7">
        <f>IF($A50="","",INDEX([1]Portfolio!$A$3:$AU$63,MATCH($A50,[1]Portfolio!$B$3:$B$63,0),43))</f>
        <v>42415</v>
      </c>
      <c r="T50" s="7" t="str">
        <f>IF($A50="","",INDEX([1]Portfolio!$A$3:$AU$63,MATCH($A50,[1]Portfolio!$B$3:$B$63,0),37))</f>
        <v>N/A</v>
      </c>
      <c r="U50" s="7" t="str">
        <f>IF($A50="","",INDEX([1]Portfolio!$A$3:$AU$63,MATCH($A50,[1]Portfolio!$B$3:$B$63,0),36))</f>
        <v>N/A</v>
      </c>
      <c r="V50" s="7">
        <f>IF($A50="","",(INDEX([2]Programmesjalons!$A$4:$AH$140,MATCH($A50,[2]Programmesjalons!$A$4:$A$140,0),8)))</f>
        <v>42159</v>
      </c>
      <c r="W50" s="7">
        <f>IF($A50="","",(INDEX([2]Programmesjalons!$A$4:$AH$140,MATCH($A50,[2]Programmesjalons!$A$4:$A$140,0),12)))</f>
        <v>42192</v>
      </c>
      <c r="X50" s="7">
        <f>IF($A50="","",(INDEX([2]Programmesjalons!$A$4:$AH$140,MATCH($A50,[2]Programmesjalons!$A$4:$A$140,0),16)))</f>
        <v>42223</v>
      </c>
      <c r="Y50" s="7">
        <f>IF($A50="","",(INDEX([2]Programmesjalons!$A$4:$AH$140,MATCH($A50,[2]Programmesjalons!$A$4:$A$140,0),30)))</f>
        <v>42310</v>
      </c>
      <c r="Z50" s="59">
        <f>IF($A50="","",(INDEX([2]Programmesjalons!$A$4:$AH$140,MATCH($A50,[2]Programmesjalons!$A$4:$A$140,0),32)))</f>
        <v>42340</v>
      </c>
      <c r="AA50" s="60">
        <f>IF($A50="","",(INDEX([2]Programmesjalons!$A$4:$AH$140,MATCH($A50,[2]Programmesjalons!$A$4:$A$140,0),34)))</f>
        <v>42416</v>
      </c>
      <c r="AB50" s="59">
        <f>IF($A50="","",(INDEX([2]Programmesjalons!$A$4:$AH$140,MATCH($A50,[2]Programmesjalons!$A$4:$A$140,0),26)))</f>
        <v>42295</v>
      </c>
      <c r="AC50" s="59">
        <f>IF($A50="","",(INDEX([2]Programmesjalons!$A$4:$AH$140,MATCH($A50,[2]Programmesjalons!$A$4:$A$140,0),18)))</f>
        <v>42240</v>
      </c>
      <c r="AD50" s="68"/>
      <c r="AE50" s="68"/>
      <c r="AF50" s="68"/>
      <c r="AG50" s="68"/>
      <c r="AH50" s="68"/>
      <c r="AI50" s="68"/>
      <c r="AJ50" s="69"/>
      <c r="AK50" s="70"/>
      <c r="AL50" s="69"/>
      <c r="AM50" s="69"/>
      <c r="AN50" s="7">
        <f t="shared" si="2"/>
        <v>42159</v>
      </c>
      <c r="AO50" s="7">
        <f t="shared" si="3"/>
        <v>42192</v>
      </c>
      <c r="AP50" s="7">
        <f t="shared" si="4"/>
        <v>42223</v>
      </c>
      <c r="AQ50" s="7">
        <f t="shared" si="5"/>
        <v>42310</v>
      </c>
      <c r="AR50" s="59">
        <f t="shared" si="6"/>
        <v>42340</v>
      </c>
      <c r="AS50" s="60">
        <f t="shared" si="7"/>
        <v>42415</v>
      </c>
      <c r="AT50" s="59">
        <f t="shared" si="8"/>
        <v>42295</v>
      </c>
      <c r="AU50" s="59">
        <f t="shared" si="9"/>
        <v>42240</v>
      </c>
      <c r="AV50" s="76">
        <f t="shared" si="10"/>
        <v>42159</v>
      </c>
      <c r="AW50" s="76">
        <f t="shared" si="11"/>
        <v>42159</v>
      </c>
      <c r="AX50" s="61">
        <f t="shared" si="12"/>
        <v>42192</v>
      </c>
      <c r="AY50" s="61">
        <f t="shared" si="13"/>
        <v>42192</v>
      </c>
      <c r="AZ50" s="61">
        <f t="shared" si="14"/>
        <v>42223</v>
      </c>
      <c r="BA50" s="61">
        <f t="shared" si="15"/>
        <v>42223</v>
      </c>
      <c r="BB50" s="61">
        <f t="shared" si="16"/>
        <v>42310</v>
      </c>
      <c r="BC50" s="61">
        <f t="shared" si="17"/>
        <v>42310</v>
      </c>
      <c r="BD50" s="61">
        <f t="shared" si="18"/>
        <v>42340</v>
      </c>
      <c r="BE50" s="61">
        <f t="shared" si="19"/>
        <v>42340</v>
      </c>
      <c r="BF50" s="61">
        <f t="shared" si="20"/>
        <v>42415</v>
      </c>
      <c r="BG50" s="61">
        <f t="shared" si="21"/>
        <v>42415</v>
      </c>
      <c r="BH50" s="61">
        <f t="shared" si="22"/>
        <v>42295</v>
      </c>
      <c r="BI50" s="61">
        <f t="shared" si="23"/>
        <v>42295</v>
      </c>
      <c r="BJ50" s="61">
        <f t="shared" si="24"/>
        <v>42240</v>
      </c>
      <c r="BK50" s="61">
        <f t="shared" si="25"/>
        <v>42240</v>
      </c>
    </row>
    <row r="51" spans="1:63">
      <c r="A51" s="13" t="s">
        <v>189</v>
      </c>
      <c r="B51" s="74" t="str">
        <f t="shared" si="26"/>
        <v xml:space="preserve">RwandAir </v>
      </c>
      <c r="C51" s="74" t="str">
        <f t="shared" si="27"/>
        <v>A330</v>
      </c>
      <c r="D51" s="7">
        <v>42242</v>
      </c>
      <c r="E51" s="7">
        <v>42285</v>
      </c>
      <c r="F51" s="7">
        <v>42382</v>
      </c>
      <c r="G51" s="7">
        <v>42475</v>
      </c>
      <c r="H51" s="59">
        <v>42495</v>
      </c>
      <c r="I51" s="60">
        <v>42551</v>
      </c>
      <c r="J51" s="59">
        <v>42497</v>
      </c>
      <c r="K51" s="59">
        <v>42467</v>
      </c>
      <c r="L51" s="57" t="str">
        <f>IF($A51="","",INDEX([1]Portfolio!$A$3:$AU$63,MATCH($A51,[1]Portfolio!$B$3:$B$63,0),3))</f>
        <v xml:space="preserve">RwandAir </v>
      </c>
      <c r="M51" s="57" t="str">
        <f>IF($A51="","",INDEX([1]Portfolio!$A$3:$AU$63,MATCH($A51,[1]Portfolio!$B$3:$B$63,0),5))</f>
        <v>A330</v>
      </c>
      <c r="N51" s="6">
        <f>IF($A51="","",INDEX([1]Portfolio!$A$3:$AU$63,MATCH($A51,[1]Portfolio!$B$3:$B$63,0),29))</f>
        <v>42242</v>
      </c>
      <c r="O51" s="6">
        <f>IF($A51="","",INDEX([1]Portfolio!$A$3:$AU$63,MATCH($A51,[1]Portfolio!$B$3:$B$63,0),32))</f>
        <v>42285</v>
      </c>
      <c r="P51" s="7">
        <f>IF($A51="","",INDEX([1]Portfolio!$A$3:$AU$63,MATCH($A51,[1]Portfolio!$B$3:$B$63,0),35))</f>
        <v>42382</v>
      </c>
      <c r="Q51" s="7">
        <f>IF($A51="","",INDEX([1]Portfolio!$A$3:$AU$63,MATCH($A51,[1]Portfolio!$B$3:$B$63,0),38))</f>
        <v>42475</v>
      </c>
      <c r="R51" s="7">
        <f>IF($A51="","",INDEX([1]Portfolio!$A$3:$AU$63,MATCH($A51,[1]Portfolio!$B$3:$B$63,0),42))</f>
        <v>42495</v>
      </c>
      <c r="S51" s="7">
        <f>IF($A51="","",INDEX([1]Portfolio!$A$3:$AU$63,MATCH($A51,[1]Portfolio!$B$3:$B$63,0),43))</f>
        <v>0</v>
      </c>
      <c r="T51" s="7">
        <f>IF($A51="","",INDEX([1]Portfolio!$A$3:$AU$63,MATCH($A51,[1]Portfolio!$B$3:$B$63,0),37))</f>
        <v>41897</v>
      </c>
      <c r="U51" s="7" t="str">
        <f>IF($A51="","",INDEX([1]Portfolio!$A$3:$AU$63,MATCH($A51,[1]Portfolio!$B$3:$B$63,0),36))</f>
        <v>**</v>
      </c>
      <c r="V51" s="7">
        <f>IF($A51="","",(INDEX([2]Programmesjalons!$A$4:$AH$140,MATCH($A51,[2]Programmesjalons!$A$4:$A$140,0),8)))</f>
        <v>42242</v>
      </c>
      <c r="W51" s="7">
        <f>IF($A51="","",(INDEX([2]Programmesjalons!$A$4:$AH$140,MATCH($A51,[2]Programmesjalons!$A$4:$A$140,0),12)))</f>
        <v>42285</v>
      </c>
      <c r="X51" s="7">
        <f>IF($A51="","",(INDEX([2]Programmesjalons!$A$4:$AH$140,MATCH($A51,[2]Programmesjalons!$A$4:$A$140,0),16)))</f>
        <v>42383</v>
      </c>
      <c r="Y51" s="7">
        <f>IF($A51="","",(INDEX([2]Programmesjalons!$A$4:$AH$140,MATCH($A51,[2]Programmesjalons!$A$4:$A$140,0),30)))</f>
        <v>42502</v>
      </c>
      <c r="Z51" s="59">
        <f>IF($A51="","",(INDEX([2]Programmesjalons!$A$4:$AH$140,MATCH($A51,[2]Programmesjalons!$A$4:$A$140,0),32)))</f>
        <v>42522</v>
      </c>
      <c r="AA51" s="60">
        <f>IF($A51="","",(INDEX([2]Programmesjalons!$A$4:$AH$140,MATCH($A51,[2]Programmesjalons!$A$4:$A$140,0),34)))</f>
        <v>42551</v>
      </c>
      <c r="AB51" s="59">
        <f>IF($A51="","",(INDEX([2]Programmesjalons!$A$4:$AH$140,MATCH($A51,[2]Programmesjalons!$A$4:$A$140,0),26)))</f>
        <v>42497</v>
      </c>
      <c r="AC51" s="59">
        <f>IF($A51="","",(INDEX([2]Programmesjalons!$A$4:$AH$140,MATCH($A51,[2]Programmesjalons!$A$4:$A$140,0),18)))</f>
        <v>42467</v>
      </c>
      <c r="AD51" s="68"/>
      <c r="AE51" s="68"/>
      <c r="AF51" s="68"/>
      <c r="AG51" s="68"/>
      <c r="AH51" s="68"/>
      <c r="AI51" s="68"/>
      <c r="AJ51" s="69"/>
      <c r="AK51" s="70"/>
      <c r="AL51" s="69"/>
      <c r="AM51" s="69"/>
      <c r="AN51" s="7">
        <f t="shared" si="2"/>
        <v>42242</v>
      </c>
      <c r="AO51" s="7">
        <f t="shared" si="3"/>
        <v>42285</v>
      </c>
      <c r="AP51" s="7">
        <f t="shared" si="4"/>
        <v>42382</v>
      </c>
      <c r="AQ51" s="7">
        <f t="shared" si="5"/>
        <v>42475</v>
      </c>
      <c r="AR51" s="59">
        <f t="shared" si="6"/>
        <v>42495</v>
      </c>
      <c r="AS51" s="60">
        <f t="shared" si="7"/>
        <v>42551</v>
      </c>
      <c r="AT51" s="59">
        <f t="shared" si="8"/>
        <v>41897</v>
      </c>
      <c r="AU51" s="59">
        <f t="shared" si="9"/>
        <v>42467</v>
      </c>
      <c r="AV51" s="76">
        <f t="shared" si="10"/>
        <v>42242</v>
      </c>
      <c r="AW51" s="76">
        <f t="shared" si="11"/>
        <v>42242</v>
      </c>
      <c r="AX51" s="61">
        <f t="shared" si="12"/>
        <v>42285</v>
      </c>
      <c r="AY51" s="61">
        <f t="shared" si="13"/>
        <v>42285</v>
      </c>
      <c r="AZ51" s="61">
        <f t="shared" si="14"/>
        <v>42382</v>
      </c>
      <c r="BA51" s="61">
        <f t="shared" si="15"/>
        <v>42382</v>
      </c>
      <c r="BB51" s="61">
        <f t="shared" si="16"/>
        <v>42475</v>
      </c>
      <c r="BC51" s="61">
        <f t="shared" si="17"/>
        <v>42475</v>
      </c>
      <c r="BD51" s="61">
        <f t="shared" si="18"/>
        <v>42522</v>
      </c>
      <c r="BE51" s="61">
        <f t="shared" si="19"/>
        <v>42495</v>
      </c>
      <c r="BF51" s="61">
        <f t="shared" si="20"/>
        <v>42551</v>
      </c>
      <c r="BG51" s="61">
        <f t="shared" si="21"/>
        <v>42551</v>
      </c>
      <c r="BH51" s="61">
        <f t="shared" si="22"/>
        <v>41897</v>
      </c>
      <c r="BI51" s="61">
        <f t="shared" si="23"/>
        <v>41897</v>
      </c>
      <c r="BJ51" s="61">
        <f t="shared" si="24"/>
        <v>42467</v>
      </c>
      <c r="BK51" s="61">
        <f t="shared" si="25"/>
        <v>42467</v>
      </c>
    </row>
    <row r="52" spans="1:63">
      <c r="A52" s="25" t="s">
        <v>38</v>
      </c>
      <c r="B52" s="74" t="str">
        <f t="shared" si="26"/>
        <v>Sri Lanka</v>
      </c>
      <c r="C52" s="74" t="str">
        <f t="shared" si="27"/>
        <v>A330-200</v>
      </c>
      <c r="D52" s="7">
        <v>0</v>
      </c>
      <c r="E52" s="7">
        <v>41597</v>
      </c>
      <c r="F52" s="7">
        <v>41718</v>
      </c>
      <c r="G52" s="7">
        <v>42163</v>
      </c>
      <c r="H52" s="59">
        <v>42171</v>
      </c>
      <c r="I52" s="60">
        <v>42200</v>
      </c>
      <c r="J52" s="59">
        <v>41704</v>
      </c>
      <c r="K52" s="59" t="s">
        <v>242</v>
      </c>
      <c r="L52" s="57" t="e">
        <f>IF($A52="","",INDEX([1]Portfolio!$A$3:$AU$63,MATCH($A52,[1]Portfolio!$B$3:$B$63,0),3))</f>
        <v>#N/A</v>
      </c>
      <c r="M52" s="57" t="e">
        <f>IF($A52="","",INDEX([1]Portfolio!$A$3:$AU$63,MATCH($A52,[1]Portfolio!$B$3:$B$63,0),5))</f>
        <v>#N/A</v>
      </c>
      <c r="N52" s="6" t="e">
        <f>IF($A52="","",INDEX([1]Portfolio!$A$3:$AU$63,MATCH($A52,[1]Portfolio!$B$3:$B$63,0),29))</f>
        <v>#N/A</v>
      </c>
      <c r="O52" s="6" t="e">
        <f>IF($A52="","",INDEX([1]Portfolio!$A$3:$AU$63,MATCH($A52,[1]Portfolio!$B$3:$B$63,0),32))</f>
        <v>#N/A</v>
      </c>
      <c r="P52" s="7" t="e">
        <f>IF($A52="","",INDEX([1]Portfolio!$A$3:$AU$63,MATCH($A52,[1]Portfolio!$B$3:$B$63,0),35))</f>
        <v>#N/A</v>
      </c>
      <c r="Q52" s="7" t="e">
        <f>IF($A52="","",INDEX([1]Portfolio!$A$3:$AU$63,MATCH($A52,[1]Portfolio!$B$3:$B$63,0),38))</f>
        <v>#N/A</v>
      </c>
      <c r="R52" s="7" t="e">
        <f>IF($A52="","",INDEX([1]Portfolio!$A$3:$AU$63,MATCH($A52,[1]Portfolio!$B$3:$B$63,0),42))</f>
        <v>#N/A</v>
      </c>
      <c r="S52" s="7" t="e">
        <f>IF($A52="","",INDEX([1]Portfolio!$A$3:$AU$63,MATCH($A52,[1]Portfolio!$B$3:$B$63,0),43))</f>
        <v>#N/A</v>
      </c>
      <c r="T52" s="7" t="e">
        <f>IF($A52="","",INDEX([1]Portfolio!$A$3:$AU$63,MATCH($A52,[1]Portfolio!$B$3:$B$63,0),37))</f>
        <v>#N/A</v>
      </c>
      <c r="U52" s="7" t="e">
        <f>IF($A52="","",INDEX([1]Portfolio!$A$3:$AU$63,MATCH($A52,[1]Portfolio!$B$3:$B$63,0),36))</f>
        <v>#N/A</v>
      </c>
      <c r="V52" s="7" t="e">
        <f>IF($A52="","",(INDEX([2]Programmesjalons!$A$4:$AH$140,MATCH($A52,[2]Programmesjalons!$A$4:$A$140,0),8)))</f>
        <v>#N/A</v>
      </c>
      <c r="W52" s="7" t="e">
        <f>IF($A52="","",(INDEX([2]Programmesjalons!$A$4:$AH$140,MATCH($A52,[2]Programmesjalons!$A$4:$A$140,0),12)))</f>
        <v>#N/A</v>
      </c>
      <c r="X52" s="7" t="e">
        <f>IF($A52="","",(INDEX([2]Programmesjalons!$A$4:$AH$140,MATCH($A52,[2]Programmesjalons!$A$4:$A$140,0),16)))</f>
        <v>#N/A</v>
      </c>
      <c r="Y52" s="7" t="e">
        <f>IF($A52="","",(INDEX([2]Programmesjalons!$A$4:$AH$140,MATCH($A52,[2]Programmesjalons!$A$4:$A$140,0),30)))</f>
        <v>#N/A</v>
      </c>
      <c r="Z52" s="59" t="e">
        <f>IF($A52="","",(INDEX([2]Programmesjalons!$A$4:$AH$140,MATCH($A52,[2]Programmesjalons!$A$4:$A$140,0),32)))</f>
        <v>#N/A</v>
      </c>
      <c r="AA52" s="60" t="e">
        <f>IF($A52="","",(INDEX([2]Programmesjalons!$A$4:$AH$140,MATCH($A52,[2]Programmesjalons!$A$4:$A$140,0),34)))</f>
        <v>#N/A</v>
      </c>
      <c r="AB52" s="59" t="e">
        <f>IF($A52="","",(INDEX([2]Programmesjalons!$A$4:$AH$140,MATCH($A52,[2]Programmesjalons!$A$4:$A$140,0),26)))</f>
        <v>#N/A</v>
      </c>
      <c r="AC52" s="59" t="e">
        <f>IF($A52="","",(INDEX([2]Programmesjalons!$A$4:$AH$140,MATCH($A52,[2]Programmesjalons!$A$4:$A$140,0),18)))</f>
        <v>#N/A</v>
      </c>
      <c r="AD52" s="68" t="s">
        <v>267</v>
      </c>
      <c r="AE52" s="68" t="s">
        <v>265</v>
      </c>
      <c r="AF52" s="68" t="s">
        <v>268</v>
      </c>
      <c r="AG52" s="68">
        <v>41597</v>
      </c>
      <c r="AH52" s="68">
        <v>41718</v>
      </c>
      <c r="AI52" s="68">
        <v>42163</v>
      </c>
      <c r="AJ52" s="69">
        <v>42171</v>
      </c>
      <c r="AK52" s="70">
        <v>42200</v>
      </c>
      <c r="AL52" s="69">
        <v>41704</v>
      </c>
      <c r="AM52" s="69"/>
      <c r="AN52" s="7">
        <f t="shared" si="2"/>
        <v>0</v>
      </c>
      <c r="AO52" s="7">
        <f t="shared" si="3"/>
        <v>41597</v>
      </c>
      <c r="AP52" s="7">
        <f t="shared" si="4"/>
        <v>41718</v>
      </c>
      <c r="AQ52" s="7">
        <f t="shared" si="5"/>
        <v>42163</v>
      </c>
      <c r="AR52" s="59">
        <f t="shared" si="6"/>
        <v>42171</v>
      </c>
      <c r="AS52" s="60">
        <f t="shared" si="7"/>
        <v>42200</v>
      </c>
      <c r="AT52" s="59">
        <f t="shared" si="8"/>
        <v>41704</v>
      </c>
      <c r="AU52" s="59" t="str">
        <f t="shared" si="9"/>
        <v>manque date</v>
      </c>
      <c r="AV52" s="76" t="str">
        <f t="shared" si="10"/>
        <v>4/0/13</v>
      </c>
      <c r="AW52" s="76" t="str">
        <f t="shared" si="11"/>
        <v>manque date</v>
      </c>
      <c r="AX52" s="61">
        <f t="shared" si="12"/>
        <v>41597</v>
      </c>
      <c r="AY52" s="61" t="str">
        <f t="shared" si="13"/>
        <v>manque date</v>
      </c>
      <c r="AZ52" s="61">
        <f t="shared" si="14"/>
        <v>41718</v>
      </c>
      <c r="BA52" s="61" t="str">
        <f t="shared" si="15"/>
        <v>manque date</v>
      </c>
      <c r="BB52" s="61">
        <f t="shared" si="16"/>
        <v>42163</v>
      </c>
      <c r="BC52" s="61" t="str">
        <f t="shared" si="17"/>
        <v>manque date</v>
      </c>
      <c r="BD52" s="61">
        <f t="shared" si="18"/>
        <v>42171</v>
      </c>
      <c r="BE52" s="61" t="str">
        <f t="shared" si="19"/>
        <v>manque date</v>
      </c>
      <c r="BF52" s="61">
        <f t="shared" si="20"/>
        <v>42200</v>
      </c>
      <c r="BG52" s="61" t="str">
        <f t="shared" si="21"/>
        <v>manque date</v>
      </c>
      <c r="BH52" s="61">
        <f t="shared" si="22"/>
        <v>41704</v>
      </c>
      <c r="BI52" s="61" t="str">
        <f t="shared" si="23"/>
        <v>manque date</v>
      </c>
      <c r="BJ52" s="61">
        <f t="shared" si="24"/>
        <v>0</v>
      </c>
      <c r="BK52" s="61" t="str">
        <f t="shared" si="25"/>
        <v>manque date</v>
      </c>
    </row>
    <row r="53" spans="1:63">
      <c r="A53" s="13" t="s">
        <v>225</v>
      </c>
      <c r="B53" s="74">
        <f t="shared" si="26"/>
        <v>0</v>
      </c>
      <c r="C53" s="74">
        <f t="shared" si="27"/>
        <v>0</v>
      </c>
      <c r="D53" s="7">
        <v>41687</v>
      </c>
      <c r="E53" s="7">
        <v>41739</v>
      </c>
      <c r="F53" s="7">
        <v>41801</v>
      </c>
      <c r="G53" s="7">
        <v>42058</v>
      </c>
      <c r="H53" s="59">
        <v>42088</v>
      </c>
      <c r="I53" s="60">
        <v>42219</v>
      </c>
      <c r="J53" s="59">
        <v>42043</v>
      </c>
      <c r="K53" s="59">
        <v>41968</v>
      </c>
      <c r="L53" s="57" t="e">
        <f>IF($A53="","",INDEX([1]Portfolio!$A$3:$AU$63,MATCH($A53,[1]Portfolio!$B$3:$B$63,0),3))</f>
        <v>#N/A</v>
      </c>
      <c r="M53" s="57" t="e">
        <f>IF($A53="","",INDEX([1]Portfolio!$A$3:$AU$63,MATCH($A53,[1]Portfolio!$B$3:$B$63,0),5))</f>
        <v>#N/A</v>
      </c>
      <c r="N53" s="6" t="e">
        <f>IF($A53="","",INDEX([1]Portfolio!$A$3:$AU$63,MATCH($A53,[1]Portfolio!$B$3:$B$63,0),29))</f>
        <v>#N/A</v>
      </c>
      <c r="O53" s="6" t="e">
        <f>IF($A53="","",INDEX([1]Portfolio!$A$3:$AU$63,MATCH($A53,[1]Portfolio!$B$3:$B$63,0),32))</f>
        <v>#N/A</v>
      </c>
      <c r="P53" s="7" t="e">
        <f>IF($A53="","",INDEX([1]Portfolio!$A$3:$AU$63,MATCH($A53,[1]Portfolio!$B$3:$B$63,0),35))</f>
        <v>#N/A</v>
      </c>
      <c r="Q53" s="7" t="e">
        <f>IF($A53="","",INDEX([1]Portfolio!$A$3:$AU$63,MATCH($A53,[1]Portfolio!$B$3:$B$63,0),38))</f>
        <v>#N/A</v>
      </c>
      <c r="R53" s="7" t="e">
        <f>IF($A53="","",INDEX([1]Portfolio!$A$3:$AU$63,MATCH($A53,[1]Portfolio!$B$3:$B$63,0),42))</f>
        <v>#N/A</v>
      </c>
      <c r="S53" s="7" t="e">
        <f>IF($A53="","",INDEX([1]Portfolio!$A$3:$AU$63,MATCH($A53,[1]Portfolio!$B$3:$B$63,0),43))</f>
        <v>#N/A</v>
      </c>
      <c r="T53" s="7" t="e">
        <f>IF($A53="","",INDEX([1]Portfolio!$A$3:$AU$63,MATCH($A53,[1]Portfolio!$B$3:$B$63,0),37))</f>
        <v>#N/A</v>
      </c>
      <c r="U53" s="7" t="e">
        <f>IF($A53="","",INDEX([1]Portfolio!$A$3:$AU$63,MATCH($A53,[1]Portfolio!$B$3:$B$63,0),36))</f>
        <v>#N/A</v>
      </c>
      <c r="V53" s="7">
        <f>IF($A53="","",(INDEX([2]Programmesjalons!$A$4:$AH$140,MATCH($A53,[2]Programmesjalons!$A$4:$A$140,0),8)))</f>
        <v>41687</v>
      </c>
      <c r="W53" s="7">
        <f>IF($A53="","",(INDEX([2]Programmesjalons!$A$4:$AH$140,MATCH($A53,[2]Programmesjalons!$A$4:$A$140,0),12)))</f>
        <v>41739</v>
      </c>
      <c r="X53" s="7">
        <f>IF($A53="","",(INDEX([2]Programmesjalons!$A$4:$AH$140,MATCH($A53,[2]Programmesjalons!$A$4:$A$140,0),16)))</f>
        <v>41801</v>
      </c>
      <c r="Y53" s="7">
        <f>IF($A53="","",(INDEX([2]Programmesjalons!$A$4:$AH$140,MATCH($A53,[2]Programmesjalons!$A$4:$A$140,0),30)))</f>
        <v>42058</v>
      </c>
      <c r="Z53" s="59">
        <f>IF($A53="","",(INDEX([2]Programmesjalons!$A$4:$AH$140,MATCH($A53,[2]Programmesjalons!$A$4:$A$140,0),32)))</f>
        <v>42088</v>
      </c>
      <c r="AA53" s="60">
        <f>IF($A53="","",(INDEX([2]Programmesjalons!$A$4:$AH$140,MATCH($A53,[2]Programmesjalons!$A$4:$A$140,0),34)))</f>
        <v>42219</v>
      </c>
      <c r="AB53" s="59">
        <f>IF($A53="","",(INDEX([2]Programmesjalons!$A$4:$AH$140,MATCH($A53,[2]Programmesjalons!$A$4:$A$140,0),26)))</f>
        <v>42043</v>
      </c>
      <c r="AC53" s="59">
        <f>IF($A53="","",(INDEX([2]Programmesjalons!$A$4:$AH$140,MATCH($A53,[2]Programmesjalons!$A$4:$A$140,0),18)))</f>
        <v>41968</v>
      </c>
      <c r="AD53" s="68"/>
      <c r="AE53" s="68"/>
      <c r="AF53" s="68"/>
      <c r="AG53" s="68"/>
      <c r="AH53" s="68"/>
      <c r="AI53" s="68"/>
      <c r="AJ53" s="69"/>
      <c r="AK53" s="70"/>
      <c r="AL53" s="69"/>
      <c r="AM53" s="69"/>
      <c r="AN53" s="7">
        <f t="shared" si="2"/>
        <v>41687</v>
      </c>
      <c r="AO53" s="7">
        <f t="shared" si="3"/>
        <v>41739</v>
      </c>
      <c r="AP53" s="7">
        <f t="shared" si="4"/>
        <v>41801</v>
      </c>
      <c r="AQ53" s="7">
        <f t="shared" si="5"/>
        <v>42058</v>
      </c>
      <c r="AR53" s="59">
        <f t="shared" si="6"/>
        <v>42088</v>
      </c>
      <c r="AS53" s="60">
        <f t="shared" si="7"/>
        <v>42219</v>
      </c>
      <c r="AT53" s="59">
        <f t="shared" si="8"/>
        <v>42043</v>
      </c>
      <c r="AU53" s="59">
        <f t="shared" si="9"/>
        <v>41968</v>
      </c>
      <c r="AV53" s="76">
        <f t="shared" si="10"/>
        <v>41687</v>
      </c>
      <c r="AW53" s="76">
        <f t="shared" si="11"/>
        <v>41687</v>
      </c>
      <c r="AX53" s="61">
        <f t="shared" si="12"/>
        <v>41739</v>
      </c>
      <c r="AY53" s="61">
        <f t="shared" si="13"/>
        <v>41739</v>
      </c>
      <c r="AZ53" s="61">
        <f t="shared" si="14"/>
        <v>41801</v>
      </c>
      <c r="BA53" s="61">
        <f t="shared" si="15"/>
        <v>41801</v>
      </c>
      <c r="BB53" s="61">
        <f t="shared" si="16"/>
        <v>42058</v>
      </c>
      <c r="BC53" s="61">
        <f t="shared" si="17"/>
        <v>42058</v>
      </c>
      <c r="BD53" s="61">
        <f t="shared" si="18"/>
        <v>42088</v>
      </c>
      <c r="BE53" s="61">
        <f t="shared" si="19"/>
        <v>42088</v>
      </c>
      <c r="BF53" s="61">
        <f t="shared" si="20"/>
        <v>42219</v>
      </c>
      <c r="BG53" s="61">
        <f t="shared" si="21"/>
        <v>42219</v>
      </c>
      <c r="BH53" s="61">
        <f t="shared" si="22"/>
        <v>42043</v>
      </c>
      <c r="BI53" s="61">
        <f t="shared" si="23"/>
        <v>42043</v>
      </c>
      <c r="BJ53" s="61">
        <f t="shared" si="24"/>
        <v>41968</v>
      </c>
      <c r="BK53" s="61">
        <f t="shared" si="25"/>
        <v>41968</v>
      </c>
    </row>
    <row r="54" spans="1:63">
      <c r="A54" s="25" t="s">
        <v>56</v>
      </c>
      <c r="B54" s="74" t="str">
        <f t="shared" si="26"/>
        <v>KLM</v>
      </c>
      <c r="C54" s="74" t="str">
        <f t="shared" si="27"/>
        <v>B787</v>
      </c>
      <c r="D54" s="7">
        <v>41585</v>
      </c>
      <c r="E54" s="7">
        <v>41704</v>
      </c>
      <c r="F54" s="7">
        <v>41802</v>
      </c>
      <c r="G54" s="7">
        <v>42114</v>
      </c>
      <c r="H54" s="59">
        <v>42165</v>
      </c>
      <c r="I54" s="60">
        <v>42180</v>
      </c>
      <c r="J54" s="59">
        <v>41898</v>
      </c>
      <c r="K54" s="59">
        <v>42079</v>
      </c>
      <c r="L54" s="57" t="str">
        <f>IF($A54="","",INDEX([1]Portfolio!$A$3:$AU$63,MATCH($A54,[1]Portfolio!$B$3:$B$63,0),3))</f>
        <v>KLM</v>
      </c>
      <c r="M54" s="57" t="str">
        <f>IF($A54="","",INDEX([1]Portfolio!$A$3:$AU$63,MATCH($A54,[1]Portfolio!$B$3:$B$63,0),5))</f>
        <v>B787</v>
      </c>
      <c r="N54" s="6">
        <f>IF($A54="","",INDEX([1]Portfolio!$A$3:$AU$63,MATCH($A54,[1]Portfolio!$B$3:$B$63,0),29))</f>
        <v>41585</v>
      </c>
      <c r="O54" s="6">
        <f>IF($A54="","",INDEX([1]Portfolio!$A$3:$AU$63,MATCH($A54,[1]Portfolio!$B$3:$B$63,0),32))</f>
        <v>41704</v>
      </c>
      <c r="P54" s="7">
        <f>IF($A54="","",INDEX([1]Portfolio!$A$3:$AU$63,MATCH($A54,[1]Portfolio!$B$3:$B$63,0),35))</f>
        <v>41802</v>
      </c>
      <c r="Q54" s="7">
        <f>IF($A54="","",INDEX([1]Portfolio!$A$3:$AU$63,MATCH($A54,[1]Portfolio!$B$3:$B$63,0),38))</f>
        <v>42114</v>
      </c>
      <c r="R54" s="7">
        <f>IF($A54="","",INDEX([1]Portfolio!$A$3:$AU$63,MATCH($A54,[1]Portfolio!$B$3:$B$63,0),42))</f>
        <v>42165</v>
      </c>
      <c r="S54" s="7">
        <f>IF($A54="","",INDEX([1]Portfolio!$A$3:$AU$63,MATCH($A54,[1]Portfolio!$B$3:$B$63,0),43))</f>
        <v>42180</v>
      </c>
      <c r="T54" s="7">
        <f>IF($A54="","",INDEX([1]Portfolio!$A$3:$AU$63,MATCH($A54,[1]Portfolio!$B$3:$B$63,0),37))</f>
        <v>41898</v>
      </c>
      <c r="U54" s="7">
        <f>IF($A54="","",INDEX([1]Portfolio!$A$3:$AU$63,MATCH($A54,[1]Portfolio!$B$3:$B$63,0),36))</f>
        <v>0</v>
      </c>
      <c r="V54" s="7">
        <f>IF($A54="","",(INDEX([2]Programmesjalons!$A$4:$AH$140,MATCH($A54,[2]Programmesjalons!$A$4:$A$140,0),8)))</f>
        <v>41585</v>
      </c>
      <c r="W54" s="7">
        <f>IF($A54="","",(INDEX([2]Programmesjalons!$A$4:$AH$140,MATCH($A54,[2]Programmesjalons!$A$4:$A$140,0),12)))</f>
        <v>41704</v>
      </c>
      <c r="X54" s="7">
        <f>IF($A54="","",(INDEX([2]Programmesjalons!$A$4:$AH$140,MATCH($A54,[2]Programmesjalons!$A$4:$A$140,0),16)))</f>
        <v>41863</v>
      </c>
      <c r="Y54" s="7">
        <f>IF($A54="","",(INDEX([2]Programmesjalons!$A$4:$AH$140,MATCH($A54,[2]Programmesjalons!$A$4:$A$140,0),30)))</f>
        <v>42169</v>
      </c>
      <c r="Z54" s="59">
        <f>IF($A54="","",(INDEX([2]Programmesjalons!$A$4:$AH$140,MATCH($A54,[2]Programmesjalons!$A$4:$A$140,0),32)))</f>
        <v>42184</v>
      </c>
      <c r="AA54" s="60">
        <f>IF($A54="","",(INDEX([2]Programmesjalons!$A$4:$AH$140,MATCH($A54,[2]Programmesjalons!$A$4:$A$140,0),34)))</f>
        <v>42214</v>
      </c>
      <c r="AB54" s="59">
        <f>IF($A54="","",(INDEX([2]Programmesjalons!$A$4:$AH$140,MATCH($A54,[2]Programmesjalons!$A$4:$A$140,0),26)))</f>
        <v>42165</v>
      </c>
      <c r="AC54" s="59">
        <f>IF($A54="","",(INDEX([2]Programmesjalons!$A$4:$AH$140,MATCH($A54,[2]Programmesjalons!$A$4:$A$140,0),18)))</f>
        <v>42079</v>
      </c>
      <c r="AD54" s="68"/>
      <c r="AE54" s="68"/>
      <c r="AF54" s="68"/>
      <c r="AG54" s="68"/>
      <c r="AH54" s="68"/>
      <c r="AI54" s="68"/>
      <c r="AJ54" s="69"/>
      <c r="AK54" s="70"/>
      <c r="AL54" s="69"/>
      <c r="AM54" s="69"/>
      <c r="AN54" s="7">
        <f t="shared" si="2"/>
        <v>41585</v>
      </c>
      <c r="AO54" s="7">
        <f t="shared" si="3"/>
        <v>41704</v>
      </c>
      <c r="AP54" s="7">
        <f t="shared" si="4"/>
        <v>41802</v>
      </c>
      <c r="AQ54" s="7">
        <f t="shared" si="5"/>
        <v>42114</v>
      </c>
      <c r="AR54" s="59">
        <f t="shared" si="6"/>
        <v>42165</v>
      </c>
      <c r="AS54" s="60">
        <f t="shared" si="7"/>
        <v>42180</v>
      </c>
      <c r="AT54" s="59">
        <f t="shared" si="8"/>
        <v>41898</v>
      </c>
      <c r="AU54" s="59">
        <f t="shared" si="9"/>
        <v>42079</v>
      </c>
      <c r="AV54" s="76">
        <f t="shared" si="10"/>
        <v>41585</v>
      </c>
      <c r="AW54" s="76">
        <f t="shared" si="11"/>
        <v>41585</v>
      </c>
      <c r="AX54" s="61">
        <f t="shared" si="12"/>
        <v>41704</v>
      </c>
      <c r="AY54" s="61">
        <f t="shared" si="13"/>
        <v>41704</v>
      </c>
      <c r="AZ54" s="61">
        <f t="shared" si="14"/>
        <v>41802</v>
      </c>
      <c r="BA54" s="61">
        <f t="shared" si="15"/>
        <v>41802</v>
      </c>
      <c r="BB54" s="61">
        <f t="shared" si="16"/>
        <v>42114</v>
      </c>
      <c r="BC54" s="61">
        <f t="shared" si="17"/>
        <v>42114</v>
      </c>
      <c r="BD54" s="61">
        <f t="shared" si="18"/>
        <v>42180</v>
      </c>
      <c r="BE54" s="61">
        <f t="shared" si="19"/>
        <v>42165</v>
      </c>
      <c r="BF54" s="61">
        <f t="shared" si="20"/>
        <v>42180</v>
      </c>
      <c r="BG54" s="61">
        <f t="shared" si="21"/>
        <v>42180</v>
      </c>
      <c r="BH54" s="61">
        <f t="shared" si="22"/>
        <v>41898</v>
      </c>
      <c r="BI54" s="61">
        <f t="shared" si="23"/>
        <v>41898</v>
      </c>
      <c r="BJ54" s="61">
        <f t="shared" si="24"/>
        <v>42079</v>
      </c>
      <c r="BK54" s="61">
        <f t="shared" si="25"/>
        <v>42079</v>
      </c>
    </row>
    <row r="55" spans="1:63">
      <c r="A55" s="25" t="s">
        <v>59</v>
      </c>
      <c r="B55" s="74" t="str">
        <f t="shared" si="26"/>
        <v>Air France</v>
      </c>
      <c r="C55" s="74" t="str">
        <f t="shared" si="27"/>
        <v>B787</v>
      </c>
      <c r="D55" s="7">
        <v>41990</v>
      </c>
      <c r="E55" s="7">
        <v>42079</v>
      </c>
      <c r="F55" s="7">
        <v>42279</v>
      </c>
      <c r="G55" s="7">
        <v>42419</v>
      </c>
      <c r="H55" s="59">
        <v>42478</v>
      </c>
      <c r="I55" s="60">
        <v>42524</v>
      </c>
      <c r="J55" s="59">
        <v>42273</v>
      </c>
      <c r="K55" s="59">
        <v>42329</v>
      </c>
      <c r="L55" s="57" t="str">
        <f>IF($A55="","",INDEX([1]Portfolio!$A$3:$AU$63,MATCH($A55,[1]Portfolio!$B$3:$B$63,0),3))</f>
        <v>Air France</v>
      </c>
      <c r="M55" s="57" t="str">
        <f>IF($A55="","",INDEX([1]Portfolio!$A$3:$AU$63,MATCH($A55,[1]Portfolio!$B$3:$B$63,0),5))</f>
        <v>B787</v>
      </c>
      <c r="N55" s="6">
        <f>IF($A55="","",INDEX([1]Portfolio!$A$3:$AU$63,MATCH($A55,[1]Portfolio!$B$3:$B$63,0),29))</f>
        <v>41990</v>
      </c>
      <c r="O55" s="6">
        <f>IF($A55="","",INDEX([1]Portfolio!$A$3:$AU$63,MATCH($A55,[1]Portfolio!$B$3:$B$63,0),32))</f>
        <v>42079</v>
      </c>
      <c r="P55" s="7">
        <f>IF($A55="","",INDEX([1]Portfolio!$A$3:$AU$63,MATCH($A55,[1]Portfolio!$B$3:$B$63,0),35))</f>
        <v>42279</v>
      </c>
      <c r="Q55" s="7">
        <f>IF($A55="","",INDEX([1]Portfolio!$A$3:$AU$63,MATCH($A55,[1]Portfolio!$B$3:$B$63,0),38))</f>
        <v>42419</v>
      </c>
      <c r="R55" s="7">
        <f>IF($A55="","",INDEX([1]Portfolio!$A$3:$AU$63,MATCH($A55,[1]Portfolio!$B$3:$B$63,0),42))</f>
        <v>42478</v>
      </c>
      <c r="S55" s="7">
        <f>IF($A55="","",INDEX([1]Portfolio!$A$3:$AU$63,MATCH($A55,[1]Portfolio!$B$3:$B$63,0),43))</f>
        <v>42524</v>
      </c>
      <c r="T55" s="7">
        <f>IF($A55="","",INDEX([1]Portfolio!$A$3:$AU$63,MATCH($A55,[1]Portfolio!$B$3:$B$63,0),37))</f>
        <v>42273</v>
      </c>
      <c r="U55" s="7">
        <f>IF($A55="","",INDEX([1]Portfolio!$A$3:$AU$63,MATCH($A55,[1]Portfolio!$B$3:$B$63,0),36))</f>
        <v>0</v>
      </c>
      <c r="V55" s="7">
        <f>IF($A55="","",(INDEX([2]Programmesjalons!$A$4:$AH$140,MATCH($A55,[2]Programmesjalons!$A$4:$A$140,0),8)))</f>
        <v>41990</v>
      </c>
      <c r="W55" s="7">
        <f>IF($A55="","",(INDEX([2]Programmesjalons!$A$4:$AH$140,MATCH($A55,[2]Programmesjalons!$A$4:$A$140,0),12)))</f>
        <v>42087</v>
      </c>
      <c r="X55" s="7">
        <f>IF($A55="","",(INDEX([2]Programmesjalons!$A$4:$AH$140,MATCH($A55,[2]Programmesjalons!$A$4:$A$140,0),16)))</f>
        <v>42279</v>
      </c>
      <c r="Y55" s="7">
        <f>IF($A55="","",(INDEX([2]Programmesjalons!$A$4:$AH$140,MATCH($A55,[2]Programmesjalons!$A$4:$A$140,0),30)))</f>
        <v>42419</v>
      </c>
      <c r="Z55" s="59">
        <f>IF($A55="","",(INDEX([2]Programmesjalons!$A$4:$AH$140,MATCH($A55,[2]Programmesjalons!$A$4:$A$140,0),32)))</f>
        <v>42478</v>
      </c>
      <c r="AA55" s="60">
        <f>IF($A55="","",(INDEX([2]Programmesjalons!$A$4:$AH$140,MATCH($A55,[2]Programmesjalons!$A$4:$A$140,0),34)))</f>
        <v>42524</v>
      </c>
      <c r="AB55" s="59">
        <f>IF($A55="","",(INDEX([2]Programmesjalons!$A$4:$AH$140,MATCH($A55,[2]Programmesjalons!$A$4:$A$140,0),26)))</f>
        <v>42404</v>
      </c>
      <c r="AC55" s="59">
        <f>IF($A55="","",(INDEX([2]Programmesjalons!$A$4:$AH$140,MATCH($A55,[2]Programmesjalons!$A$4:$A$140,0),18)))</f>
        <v>42329</v>
      </c>
      <c r="AD55" s="68"/>
      <c r="AE55" s="68"/>
      <c r="AF55" s="68"/>
      <c r="AG55" s="68"/>
      <c r="AH55" s="68"/>
      <c r="AI55" s="68"/>
      <c r="AJ55" s="69"/>
      <c r="AK55" s="70"/>
      <c r="AL55" s="69"/>
      <c r="AM55" s="69"/>
      <c r="AN55" s="7">
        <f t="shared" si="2"/>
        <v>41990</v>
      </c>
      <c r="AO55" s="7">
        <f t="shared" si="3"/>
        <v>42079</v>
      </c>
      <c r="AP55" s="7">
        <f t="shared" si="4"/>
        <v>42279</v>
      </c>
      <c r="AQ55" s="7">
        <f t="shared" si="5"/>
        <v>42419</v>
      </c>
      <c r="AR55" s="59">
        <f t="shared" si="6"/>
        <v>42478</v>
      </c>
      <c r="AS55" s="60">
        <f t="shared" si="7"/>
        <v>42524</v>
      </c>
      <c r="AT55" s="59">
        <f t="shared" si="8"/>
        <v>42273</v>
      </c>
      <c r="AU55" s="59">
        <f t="shared" si="9"/>
        <v>42329</v>
      </c>
      <c r="AV55" s="76">
        <f t="shared" si="10"/>
        <v>41990</v>
      </c>
      <c r="AW55" s="76">
        <f t="shared" si="11"/>
        <v>41990</v>
      </c>
      <c r="AX55" s="61">
        <f t="shared" si="12"/>
        <v>42079</v>
      </c>
      <c r="AY55" s="61">
        <f t="shared" si="13"/>
        <v>42079</v>
      </c>
      <c r="AZ55" s="61">
        <f t="shared" si="14"/>
        <v>42279</v>
      </c>
      <c r="BA55" s="61">
        <f t="shared" si="15"/>
        <v>42279</v>
      </c>
      <c r="BB55" s="61">
        <f t="shared" si="16"/>
        <v>42419</v>
      </c>
      <c r="BC55" s="61">
        <f t="shared" si="17"/>
        <v>42419</v>
      </c>
      <c r="BD55" s="61">
        <f t="shared" si="18"/>
        <v>42478</v>
      </c>
      <c r="BE55" s="61">
        <f t="shared" si="19"/>
        <v>42478</v>
      </c>
      <c r="BF55" s="61">
        <f t="shared" si="20"/>
        <v>42524</v>
      </c>
      <c r="BG55" s="61">
        <f t="shared" si="21"/>
        <v>42524</v>
      </c>
      <c r="BH55" s="61">
        <f t="shared" si="22"/>
        <v>42273</v>
      </c>
      <c r="BI55" s="61">
        <f t="shared" si="23"/>
        <v>42273</v>
      </c>
      <c r="BJ55" s="61">
        <f t="shared" si="24"/>
        <v>42329</v>
      </c>
      <c r="BK55" s="61">
        <f t="shared" si="25"/>
        <v>42329</v>
      </c>
    </row>
    <row r="56" spans="1:63">
      <c r="A56" s="25" t="s">
        <v>60</v>
      </c>
      <c r="B56" s="74" t="str">
        <f t="shared" si="26"/>
        <v>Swiss Air</v>
      </c>
      <c r="C56" s="74" t="str">
        <f t="shared" si="27"/>
        <v>B777</v>
      </c>
      <c r="D56" s="7">
        <v>41891</v>
      </c>
      <c r="E56" s="7">
        <v>41948</v>
      </c>
      <c r="F56" s="7">
        <v>42041</v>
      </c>
      <c r="G56" s="7">
        <v>42167</v>
      </c>
      <c r="H56" s="59">
        <v>42268</v>
      </c>
      <c r="I56" s="60">
        <v>42304</v>
      </c>
      <c r="J56" s="59">
        <v>42137</v>
      </c>
      <c r="K56" s="59">
        <v>42161</v>
      </c>
      <c r="L56" s="57" t="str">
        <f>IF($A56="","",INDEX([1]Portfolio!$A$3:$AU$63,MATCH($A56,[1]Portfolio!$B$3:$B$63,0),3))</f>
        <v>Swiss Air</v>
      </c>
      <c r="M56" s="57" t="str">
        <f>IF($A56="","",INDEX([1]Portfolio!$A$3:$AU$63,MATCH($A56,[1]Portfolio!$B$3:$B$63,0),5))</f>
        <v>B777</v>
      </c>
      <c r="N56" s="6">
        <f>IF($A56="","",INDEX([1]Portfolio!$A$3:$AU$63,MATCH($A56,[1]Portfolio!$B$3:$B$63,0),29))</f>
        <v>41891</v>
      </c>
      <c r="O56" s="6">
        <f>IF($A56="","",INDEX([1]Portfolio!$A$3:$AU$63,MATCH($A56,[1]Portfolio!$B$3:$B$63,0),32))</f>
        <v>41948</v>
      </c>
      <c r="P56" s="7">
        <f>IF($A56="","",INDEX([1]Portfolio!$A$3:$AU$63,MATCH($A56,[1]Portfolio!$B$3:$B$63,0),35))</f>
        <v>42041</v>
      </c>
      <c r="Q56" s="7">
        <f>IF($A56="","",INDEX([1]Portfolio!$A$3:$AU$63,MATCH($A56,[1]Portfolio!$B$3:$B$63,0),38))</f>
        <v>42167</v>
      </c>
      <c r="R56" s="7">
        <f>IF($A56="","",INDEX([1]Portfolio!$A$3:$AU$63,MATCH($A56,[1]Portfolio!$B$3:$B$63,0),42))</f>
        <v>42268</v>
      </c>
      <c r="S56" s="7">
        <f>IF($A56="","",INDEX([1]Portfolio!$A$3:$AU$63,MATCH($A56,[1]Portfolio!$B$3:$B$63,0),43))</f>
        <v>42304</v>
      </c>
      <c r="T56" s="7">
        <f>IF($A56="","",INDEX([1]Portfolio!$A$3:$AU$63,MATCH($A56,[1]Portfolio!$B$3:$B$63,0),37))</f>
        <v>42137</v>
      </c>
      <c r="U56" s="7">
        <f>IF($A56="","",INDEX([1]Portfolio!$A$3:$AU$63,MATCH($A56,[1]Portfolio!$B$3:$B$63,0),36))</f>
        <v>0</v>
      </c>
      <c r="V56" s="7">
        <f>IF($A56="","",(INDEX([2]Programmesjalons!$A$4:$AH$140,MATCH($A56,[2]Programmesjalons!$A$4:$A$140,0),8)))</f>
        <v>41891</v>
      </c>
      <c r="W56" s="7">
        <f>IF($A56="","",(INDEX([2]Programmesjalons!$A$4:$AH$140,MATCH($A56,[2]Programmesjalons!$A$4:$A$140,0),12)))</f>
        <v>41948</v>
      </c>
      <c r="X56" s="7">
        <f>IF($A56="","",(INDEX([2]Programmesjalons!$A$4:$AH$140,MATCH($A56,[2]Programmesjalons!$A$4:$A$140,0),16)))</f>
        <v>42080</v>
      </c>
      <c r="Y56" s="7">
        <f>IF($A56="","",(INDEX([2]Programmesjalons!$A$4:$AH$140,MATCH($A56,[2]Programmesjalons!$A$4:$A$140,0),30)))</f>
        <v>42236</v>
      </c>
      <c r="Z56" s="59">
        <f>IF($A56="","",(INDEX([2]Programmesjalons!$A$4:$AH$140,MATCH($A56,[2]Programmesjalons!$A$4:$A$140,0),32)))</f>
        <v>42268</v>
      </c>
      <c r="AA56" s="60">
        <f>IF($A56="","",(INDEX([2]Programmesjalons!$A$4:$AH$140,MATCH($A56,[2]Programmesjalons!$A$4:$A$140,0),34)))</f>
        <v>42304</v>
      </c>
      <c r="AB56" s="59">
        <f>IF($A56="","",(INDEX([2]Programmesjalons!$A$4:$AH$140,MATCH($A56,[2]Programmesjalons!$A$4:$A$140,0),26)))</f>
        <v>42206</v>
      </c>
      <c r="AC56" s="59">
        <f>IF($A56="","",(INDEX([2]Programmesjalons!$A$4:$AH$140,MATCH($A56,[2]Programmesjalons!$A$4:$A$140,0),18)))</f>
        <v>42161</v>
      </c>
      <c r="AD56" s="68"/>
      <c r="AE56" s="68"/>
      <c r="AF56" s="68"/>
      <c r="AG56" s="68"/>
      <c r="AH56" s="68"/>
      <c r="AI56" s="68"/>
      <c r="AJ56" s="69"/>
      <c r="AK56" s="70"/>
      <c r="AL56" s="69"/>
      <c r="AM56" s="69"/>
      <c r="AN56" s="7">
        <f t="shared" si="2"/>
        <v>41891</v>
      </c>
      <c r="AO56" s="7">
        <f t="shared" si="3"/>
        <v>41948</v>
      </c>
      <c r="AP56" s="7">
        <f t="shared" si="4"/>
        <v>42041</v>
      </c>
      <c r="AQ56" s="7">
        <f t="shared" si="5"/>
        <v>42167</v>
      </c>
      <c r="AR56" s="59">
        <f t="shared" si="6"/>
        <v>42268</v>
      </c>
      <c r="AS56" s="60">
        <f t="shared" si="7"/>
        <v>42304</v>
      </c>
      <c r="AT56" s="59">
        <f t="shared" si="8"/>
        <v>42137</v>
      </c>
      <c r="AU56" s="59">
        <f t="shared" si="9"/>
        <v>42161</v>
      </c>
      <c r="AV56" s="76">
        <f t="shared" si="10"/>
        <v>41891</v>
      </c>
      <c r="AW56" s="76">
        <f t="shared" si="11"/>
        <v>41891</v>
      </c>
      <c r="AX56" s="61">
        <f t="shared" si="12"/>
        <v>41948</v>
      </c>
      <c r="AY56" s="61">
        <f t="shared" si="13"/>
        <v>41948</v>
      </c>
      <c r="AZ56" s="61">
        <f t="shared" si="14"/>
        <v>42041</v>
      </c>
      <c r="BA56" s="61">
        <f t="shared" si="15"/>
        <v>42041</v>
      </c>
      <c r="BB56" s="61">
        <f t="shared" si="16"/>
        <v>42167</v>
      </c>
      <c r="BC56" s="61">
        <f t="shared" si="17"/>
        <v>42167</v>
      </c>
      <c r="BD56" s="61">
        <f t="shared" si="18"/>
        <v>42268</v>
      </c>
      <c r="BE56" s="61">
        <f t="shared" si="19"/>
        <v>42268</v>
      </c>
      <c r="BF56" s="61">
        <f t="shared" si="20"/>
        <v>42304</v>
      </c>
      <c r="BG56" s="61">
        <f t="shared" si="21"/>
        <v>42304</v>
      </c>
      <c r="BH56" s="61">
        <f t="shared" si="22"/>
        <v>42137</v>
      </c>
      <c r="BI56" s="61">
        <f t="shared" si="23"/>
        <v>42137</v>
      </c>
      <c r="BJ56" s="61">
        <f t="shared" si="24"/>
        <v>42161</v>
      </c>
      <c r="BK56" s="61">
        <f t="shared" si="25"/>
        <v>42161</v>
      </c>
    </row>
    <row r="57" spans="1:63">
      <c r="A57" s="25" t="s">
        <v>61</v>
      </c>
      <c r="B57" s="74" t="str">
        <f t="shared" si="26"/>
        <v>Air Caraïbes</v>
      </c>
      <c r="C57" s="74" t="str">
        <f t="shared" si="27"/>
        <v>A350</v>
      </c>
      <c r="D57" s="7">
        <v>41934</v>
      </c>
      <c r="E57" s="7">
        <v>42047</v>
      </c>
      <c r="F57" s="7">
        <v>42215</v>
      </c>
      <c r="G57" s="7">
        <v>42459</v>
      </c>
      <c r="H57" s="59">
        <v>42486</v>
      </c>
      <c r="I57" s="60">
        <v>42601</v>
      </c>
      <c r="J57" s="59">
        <v>42311</v>
      </c>
      <c r="K57" s="59">
        <v>42279</v>
      </c>
      <c r="L57" s="57" t="str">
        <f>IF($A57="","",INDEX([1]Portfolio!$A$3:$AU$63,MATCH($A57,[1]Portfolio!$B$3:$B$63,0),3))</f>
        <v>Air Caraïbes</v>
      </c>
      <c r="M57" s="57" t="str">
        <f>IF($A57="","",INDEX([1]Portfolio!$A$3:$AU$63,MATCH($A57,[1]Portfolio!$B$3:$B$63,0),5))</f>
        <v>A350</v>
      </c>
      <c r="N57" s="6">
        <f>IF($A57="","",INDEX([1]Portfolio!$A$3:$AU$63,MATCH($A57,[1]Portfolio!$B$3:$B$63,0),29))</f>
        <v>41934</v>
      </c>
      <c r="O57" s="6">
        <f>IF($A57="","",INDEX([1]Portfolio!$A$3:$AU$63,MATCH($A57,[1]Portfolio!$B$3:$B$63,0),32))</f>
        <v>42047</v>
      </c>
      <c r="P57" s="7">
        <f>IF($A57="","",INDEX([1]Portfolio!$A$3:$AU$63,MATCH($A57,[1]Portfolio!$B$3:$B$63,0),35))</f>
        <v>42215</v>
      </c>
      <c r="Q57" s="7">
        <f>IF($A57="","",INDEX([1]Portfolio!$A$3:$AU$63,MATCH($A57,[1]Portfolio!$B$3:$B$63,0),38))</f>
        <v>42487</v>
      </c>
      <c r="R57" s="7">
        <f>IF($A57="","",INDEX([1]Portfolio!$A$3:$AU$63,MATCH($A57,[1]Portfolio!$B$3:$B$63,0),42))</f>
        <v>42486</v>
      </c>
      <c r="S57" s="7">
        <f>IF($A57="","",INDEX([1]Portfolio!$A$3:$AU$63,MATCH($A57,[1]Portfolio!$B$3:$B$63,0),43))</f>
        <v>42601</v>
      </c>
      <c r="T57" s="7">
        <f>IF($A57="","",INDEX([1]Portfolio!$A$3:$AU$63,MATCH($A57,[1]Portfolio!$B$3:$B$63,0),37))</f>
        <v>42311</v>
      </c>
      <c r="U57" s="7">
        <f>IF($A57="","",INDEX([1]Portfolio!$A$3:$AU$63,MATCH($A57,[1]Portfolio!$B$3:$B$63,0),36))</f>
        <v>0</v>
      </c>
      <c r="V57" s="7">
        <f>IF($A57="","",(INDEX([2]Programmesjalons!$A$4:$AH$140,MATCH($A57,[2]Programmesjalons!$A$4:$A$140,0),8)))</f>
        <v>41934</v>
      </c>
      <c r="W57" s="7">
        <f>IF($A57="","",(INDEX([2]Programmesjalons!$A$4:$AH$140,MATCH($A57,[2]Programmesjalons!$A$4:$A$140,0),12)))</f>
        <v>42047</v>
      </c>
      <c r="X57" s="7">
        <f>IF($A57="","",(INDEX([2]Programmesjalons!$A$4:$AH$140,MATCH($A57,[2]Programmesjalons!$A$4:$A$140,0),16)))</f>
        <v>42215</v>
      </c>
      <c r="Y57" s="7">
        <f>IF($A57="","",(INDEX([2]Programmesjalons!$A$4:$AH$140,MATCH($A57,[2]Programmesjalons!$A$4:$A$140,0),30)))</f>
        <v>42459</v>
      </c>
      <c r="Z57" s="59">
        <f>IF($A57="","",(INDEX([2]Programmesjalons!$A$4:$AH$140,MATCH($A57,[2]Programmesjalons!$A$4:$A$140,0),32)))</f>
        <v>42486</v>
      </c>
      <c r="AA57" s="60">
        <f>IF($A57="","",(INDEX([2]Programmesjalons!$A$4:$AH$140,MATCH($A57,[2]Programmesjalons!$A$4:$A$140,0),34)))</f>
        <v>42601</v>
      </c>
      <c r="AB57" s="59">
        <f>IF($A57="","",(INDEX([2]Programmesjalons!$A$4:$AH$140,MATCH($A57,[2]Programmesjalons!$A$4:$A$140,0),26)))</f>
        <v>42429</v>
      </c>
      <c r="AC57" s="59">
        <f>IF($A57="","",(INDEX([2]Programmesjalons!$A$4:$AH$140,MATCH($A57,[2]Programmesjalons!$A$4:$A$140,0),18)))</f>
        <v>42279</v>
      </c>
      <c r="AD57" s="68"/>
      <c r="AE57" s="68"/>
      <c r="AF57" s="68"/>
      <c r="AG57" s="68"/>
      <c r="AH57" s="68"/>
      <c r="AI57" s="68"/>
      <c r="AJ57" s="69"/>
      <c r="AK57" s="70"/>
      <c r="AL57" s="69"/>
      <c r="AM57" s="69"/>
      <c r="AN57" s="7">
        <f t="shared" si="2"/>
        <v>41934</v>
      </c>
      <c r="AO57" s="7">
        <f t="shared" si="3"/>
        <v>42047</v>
      </c>
      <c r="AP57" s="7">
        <f t="shared" si="4"/>
        <v>42215</v>
      </c>
      <c r="AQ57" s="7">
        <f t="shared" si="5"/>
        <v>42459</v>
      </c>
      <c r="AR57" s="59">
        <f t="shared" si="6"/>
        <v>42486</v>
      </c>
      <c r="AS57" s="60">
        <f t="shared" si="7"/>
        <v>42601</v>
      </c>
      <c r="AT57" s="59">
        <f t="shared" si="8"/>
        <v>42311</v>
      </c>
      <c r="AU57" s="59">
        <f t="shared" si="9"/>
        <v>42279</v>
      </c>
      <c r="AV57" s="76">
        <f t="shared" si="10"/>
        <v>41934</v>
      </c>
      <c r="AW57" s="76">
        <f t="shared" si="11"/>
        <v>41934</v>
      </c>
      <c r="AX57" s="61">
        <f t="shared" si="12"/>
        <v>42047</v>
      </c>
      <c r="AY57" s="61">
        <f t="shared" si="13"/>
        <v>42047</v>
      </c>
      <c r="AZ57" s="61">
        <f t="shared" si="14"/>
        <v>42215</v>
      </c>
      <c r="BA57" s="61">
        <f t="shared" si="15"/>
        <v>42215</v>
      </c>
      <c r="BB57" s="61">
        <f t="shared" si="16"/>
        <v>42459</v>
      </c>
      <c r="BC57" s="61">
        <f t="shared" si="17"/>
        <v>42459</v>
      </c>
      <c r="BD57" s="61">
        <f t="shared" si="18"/>
        <v>42486</v>
      </c>
      <c r="BE57" s="61">
        <f t="shared" si="19"/>
        <v>42486</v>
      </c>
      <c r="BF57" s="61">
        <f t="shared" si="20"/>
        <v>42601</v>
      </c>
      <c r="BG57" s="61">
        <f t="shared" si="21"/>
        <v>42601</v>
      </c>
      <c r="BH57" s="61">
        <f t="shared" si="22"/>
        <v>42311</v>
      </c>
      <c r="BI57" s="61">
        <f t="shared" si="23"/>
        <v>42311</v>
      </c>
      <c r="BJ57" s="61">
        <f t="shared" si="24"/>
        <v>42279</v>
      </c>
      <c r="BK57" s="61">
        <f t="shared" si="25"/>
        <v>42279</v>
      </c>
    </row>
    <row r="58" spans="1:63">
      <c r="A58" s="25" t="s">
        <v>95</v>
      </c>
      <c r="B58" s="74" t="str">
        <f t="shared" si="26"/>
        <v>ACS et Lufthansa</v>
      </c>
      <c r="C58" s="74" t="str">
        <f t="shared" si="27"/>
        <v>A350</v>
      </c>
      <c r="D58" s="7">
        <v>41925</v>
      </c>
      <c r="E58" s="7">
        <v>42017</v>
      </c>
      <c r="F58" s="7">
        <v>42241</v>
      </c>
      <c r="G58" s="7">
        <v>42438</v>
      </c>
      <c r="H58" s="59">
        <v>42488</v>
      </c>
      <c r="I58" s="60">
        <v>42535</v>
      </c>
      <c r="J58" s="59">
        <v>42337</v>
      </c>
      <c r="K58" s="59">
        <v>42297</v>
      </c>
      <c r="L58" s="57" t="str">
        <f>IF($A58="","",INDEX([1]Portfolio!$A$3:$AU$63,MATCH($A58,[1]Portfolio!$B$3:$B$63,0),3))</f>
        <v>ACS et Lufthansa</v>
      </c>
      <c r="M58" s="57" t="str">
        <f>IF($A58="","",INDEX([1]Portfolio!$A$3:$AU$63,MATCH($A58,[1]Portfolio!$B$3:$B$63,0),5))</f>
        <v>A350</v>
      </c>
      <c r="N58" s="6">
        <f>IF($A58="","",INDEX([1]Portfolio!$A$3:$AU$63,MATCH($A58,[1]Portfolio!$B$3:$B$63,0),29))</f>
        <v>41925</v>
      </c>
      <c r="O58" s="6">
        <f>IF($A58="","",INDEX([1]Portfolio!$A$3:$AU$63,MATCH($A58,[1]Portfolio!$B$3:$B$63,0),32))</f>
        <v>42017</v>
      </c>
      <c r="P58" s="7">
        <f>IF($A58="","",INDEX([1]Portfolio!$A$3:$AU$63,MATCH($A58,[1]Portfolio!$B$3:$B$63,0),35))</f>
        <v>42241</v>
      </c>
      <c r="Q58" s="7">
        <f>IF($A58="","",INDEX([1]Portfolio!$A$3:$AU$63,MATCH($A58,[1]Portfolio!$B$3:$B$63,0),38))</f>
        <v>42438</v>
      </c>
      <c r="R58" s="7">
        <f>IF($A58="","",INDEX([1]Portfolio!$A$3:$AU$63,MATCH($A58,[1]Portfolio!$B$3:$B$63,0),42))</f>
        <v>42488</v>
      </c>
      <c r="S58" s="7">
        <f>IF($A58="","",INDEX([1]Portfolio!$A$3:$AU$63,MATCH($A58,[1]Portfolio!$B$3:$B$63,0),43))</f>
        <v>42535</v>
      </c>
      <c r="T58" s="7">
        <f>IF($A58="","",INDEX([1]Portfolio!$A$3:$AU$63,MATCH($A58,[1]Portfolio!$B$3:$B$63,0),37))</f>
        <v>42337</v>
      </c>
      <c r="U58" s="7" t="str">
        <f>IF($A58="","",INDEX([1]Portfolio!$A$3:$AU$63,MATCH($A58,[1]Portfolio!$B$3:$B$63,0),36))</f>
        <v>**</v>
      </c>
      <c r="V58" s="7">
        <f>IF($A58="","",(INDEX([2]Programmesjalons!$A$4:$AH$140,MATCH($A58,[2]Programmesjalons!$A$4:$A$140,0),8)))</f>
        <v>41925</v>
      </c>
      <c r="W58" s="7">
        <f>IF($A58="","",(INDEX([2]Programmesjalons!$A$4:$AH$140,MATCH($A58,[2]Programmesjalons!$A$4:$A$140,0),12)))</f>
        <v>42017</v>
      </c>
      <c r="X58" s="7">
        <f>IF($A58="","",(INDEX([2]Programmesjalons!$A$4:$AH$140,MATCH($A58,[2]Programmesjalons!$A$4:$A$140,0),16)))</f>
        <v>42241</v>
      </c>
      <c r="Y58" s="7">
        <f>IF($A58="","",(INDEX([2]Programmesjalons!$A$4:$AH$140,MATCH($A58,[2]Programmesjalons!$A$4:$A$140,0),30)))</f>
        <v>42457</v>
      </c>
      <c r="Z58" s="59">
        <f>IF($A58="","",(INDEX([2]Programmesjalons!$A$4:$AH$140,MATCH($A58,[2]Programmesjalons!$A$4:$A$140,0),32)))</f>
        <v>42488</v>
      </c>
      <c r="AA58" s="60">
        <f>IF($A58="","",(INDEX([2]Programmesjalons!$A$4:$AH$140,MATCH($A58,[2]Programmesjalons!$A$4:$A$140,0),34)))</f>
        <v>42535</v>
      </c>
      <c r="AB58" s="59">
        <f>IF($A58="","",(INDEX([2]Programmesjalons!$A$4:$AH$140,MATCH($A58,[2]Programmesjalons!$A$4:$A$140,0),26)))</f>
        <v>42442</v>
      </c>
      <c r="AC58" s="59">
        <f>IF($A58="","",(INDEX([2]Programmesjalons!$A$4:$AH$140,MATCH($A58,[2]Programmesjalons!$A$4:$A$140,0),18)))</f>
        <v>42297</v>
      </c>
      <c r="AD58" s="68"/>
      <c r="AE58" s="68"/>
      <c r="AF58" s="68"/>
      <c r="AG58" s="68"/>
      <c r="AH58" s="68"/>
      <c r="AI58" s="68"/>
      <c r="AJ58" s="69"/>
      <c r="AK58" s="70"/>
      <c r="AL58" s="69"/>
      <c r="AM58" s="69"/>
      <c r="AN58" s="7">
        <f t="shared" si="2"/>
        <v>41925</v>
      </c>
      <c r="AO58" s="7">
        <f t="shared" si="3"/>
        <v>42017</v>
      </c>
      <c r="AP58" s="7">
        <f t="shared" si="4"/>
        <v>42241</v>
      </c>
      <c r="AQ58" s="7">
        <f t="shared" si="5"/>
        <v>42438</v>
      </c>
      <c r="AR58" s="59">
        <f t="shared" si="6"/>
        <v>42488</v>
      </c>
      <c r="AS58" s="60">
        <f t="shared" si="7"/>
        <v>42535</v>
      </c>
      <c r="AT58" s="59">
        <f t="shared" si="8"/>
        <v>42337</v>
      </c>
      <c r="AU58" s="59">
        <f t="shared" si="9"/>
        <v>42297</v>
      </c>
      <c r="AV58" s="76">
        <f t="shared" si="10"/>
        <v>41925</v>
      </c>
      <c r="AW58" s="76">
        <f t="shared" si="11"/>
        <v>41925</v>
      </c>
      <c r="AX58" s="61">
        <f t="shared" si="12"/>
        <v>42017</v>
      </c>
      <c r="AY58" s="61">
        <f t="shared" si="13"/>
        <v>42017</v>
      </c>
      <c r="AZ58" s="61">
        <f t="shared" si="14"/>
        <v>42241</v>
      </c>
      <c r="BA58" s="61">
        <f t="shared" si="15"/>
        <v>42241</v>
      </c>
      <c r="BB58" s="61">
        <f t="shared" si="16"/>
        <v>42438</v>
      </c>
      <c r="BC58" s="61">
        <f t="shared" si="17"/>
        <v>42438</v>
      </c>
      <c r="BD58" s="61">
        <f t="shared" si="18"/>
        <v>42488</v>
      </c>
      <c r="BE58" s="61">
        <f t="shared" si="19"/>
        <v>42488</v>
      </c>
      <c r="BF58" s="61">
        <f t="shared" si="20"/>
        <v>42535</v>
      </c>
      <c r="BG58" s="61">
        <f t="shared" si="21"/>
        <v>42535</v>
      </c>
      <c r="BH58" s="61">
        <f t="shared" si="22"/>
        <v>42337</v>
      </c>
      <c r="BI58" s="61">
        <f t="shared" si="23"/>
        <v>42337</v>
      </c>
      <c r="BJ58" s="61">
        <f t="shared" si="24"/>
        <v>42297</v>
      </c>
      <c r="BK58" s="61">
        <f t="shared" si="25"/>
        <v>42297</v>
      </c>
    </row>
    <row r="59" spans="1:63">
      <c r="A59" s="13" t="s">
        <v>232</v>
      </c>
      <c r="B59" s="74">
        <f t="shared" si="26"/>
        <v>0</v>
      </c>
      <c r="C59" s="74">
        <f t="shared" si="27"/>
        <v>0</v>
      </c>
      <c r="D59" s="7">
        <v>42262</v>
      </c>
      <c r="E59" s="7">
        <v>42327</v>
      </c>
      <c r="F59" s="7">
        <v>42327</v>
      </c>
      <c r="G59" s="7" t="s">
        <v>242</v>
      </c>
      <c r="H59" s="59">
        <v>42504</v>
      </c>
      <c r="I59" s="60">
        <v>42535</v>
      </c>
      <c r="J59" s="59" t="s">
        <v>242</v>
      </c>
      <c r="K59" s="59" t="s">
        <v>242</v>
      </c>
      <c r="L59" s="57" t="e">
        <f>IF($A59="","",INDEX([1]Portfolio!$A$3:$AU$63,MATCH($A59,[1]Portfolio!$B$3:$B$63,0),3))</f>
        <v>#N/A</v>
      </c>
      <c r="M59" s="57" t="e">
        <f>IF($A59="","",INDEX([1]Portfolio!$A$3:$AU$63,MATCH($A59,[1]Portfolio!$B$3:$B$63,0),5))</f>
        <v>#N/A</v>
      </c>
      <c r="N59" s="6" t="e">
        <f>IF($A59="","",INDEX([1]Portfolio!$A$3:$AU$63,MATCH($A59,[1]Portfolio!$B$3:$B$63,0),29))</f>
        <v>#N/A</v>
      </c>
      <c r="O59" s="6" t="e">
        <f>IF($A59="","",INDEX([1]Portfolio!$A$3:$AU$63,MATCH($A59,[1]Portfolio!$B$3:$B$63,0),32))</f>
        <v>#N/A</v>
      </c>
      <c r="P59" s="7" t="e">
        <f>IF($A59="","",INDEX([1]Portfolio!$A$3:$AU$63,MATCH($A59,[1]Portfolio!$B$3:$B$63,0),35))</f>
        <v>#N/A</v>
      </c>
      <c r="Q59" s="7" t="e">
        <f>IF($A59="","",INDEX([1]Portfolio!$A$3:$AU$63,MATCH($A59,[1]Portfolio!$B$3:$B$63,0),38))</f>
        <v>#N/A</v>
      </c>
      <c r="R59" s="7" t="e">
        <f>IF($A59="","",INDEX([1]Portfolio!$A$3:$AU$63,MATCH($A59,[1]Portfolio!$B$3:$B$63,0),42))</f>
        <v>#N/A</v>
      </c>
      <c r="S59" s="7" t="e">
        <f>IF($A59="","",INDEX([1]Portfolio!$A$3:$AU$63,MATCH($A59,[1]Portfolio!$B$3:$B$63,0),43))</f>
        <v>#N/A</v>
      </c>
      <c r="T59" s="7" t="e">
        <f>IF($A59="","",INDEX([1]Portfolio!$A$3:$AU$63,MATCH($A59,[1]Portfolio!$B$3:$B$63,0),37))</f>
        <v>#N/A</v>
      </c>
      <c r="U59" s="7" t="e">
        <f>IF($A59="","",INDEX([1]Portfolio!$A$3:$AU$63,MATCH($A59,[1]Portfolio!$B$3:$B$63,0),36))</f>
        <v>#N/A</v>
      </c>
      <c r="V59" s="7">
        <f>IF($A59="","",(INDEX([2]Programmesjalons!$A$4:$AH$140,MATCH($A59,[2]Programmesjalons!$A$4:$A$140,0),8)))</f>
        <v>42262</v>
      </c>
      <c r="W59" s="7">
        <f>IF($A59="","",(INDEX([2]Programmesjalons!$A$4:$AH$140,MATCH($A59,[2]Programmesjalons!$A$4:$A$140,0),12)))</f>
        <v>42327</v>
      </c>
      <c r="X59" s="7">
        <f>IF($A59="","",(INDEX([2]Programmesjalons!$A$4:$AH$140,MATCH($A59,[2]Programmesjalons!$A$4:$A$140,0),16)))</f>
        <v>42327</v>
      </c>
      <c r="Y59" s="7">
        <f>IF($A59="","",(INDEX([2]Programmesjalons!$A$4:$AH$140,MATCH($A59,[2]Programmesjalons!$A$4:$A$140,0),30)))</f>
        <v>0</v>
      </c>
      <c r="Z59" s="59">
        <f>IF($A59="","",(INDEX([2]Programmesjalons!$A$4:$AH$140,MATCH($A59,[2]Programmesjalons!$A$4:$A$140,0),32)))</f>
        <v>42504</v>
      </c>
      <c r="AA59" s="60">
        <f>IF($A59="","",(INDEX([2]Programmesjalons!$A$4:$AH$140,MATCH($A59,[2]Programmesjalons!$A$4:$A$140,0),34)))</f>
        <v>42535</v>
      </c>
      <c r="AB59" s="59">
        <f>IF($A59="","",(INDEX([2]Programmesjalons!$A$4:$AH$140,MATCH($A59,[2]Programmesjalons!$A$4:$A$140,0),26)))</f>
        <v>0</v>
      </c>
      <c r="AC59" s="59">
        <f>IF($A59="","",(INDEX([2]Programmesjalons!$A$4:$AH$140,MATCH($A59,[2]Programmesjalons!$A$4:$A$140,0),18)))</f>
        <v>0</v>
      </c>
      <c r="AD59" s="68"/>
      <c r="AE59" s="68"/>
      <c r="AF59" s="68"/>
      <c r="AG59" s="68"/>
      <c r="AH59" s="68"/>
      <c r="AI59" s="68"/>
      <c r="AJ59" s="69"/>
      <c r="AK59" s="70"/>
      <c r="AL59" s="69"/>
      <c r="AM59" s="69"/>
      <c r="AN59" s="7">
        <f t="shared" si="2"/>
        <v>42262</v>
      </c>
      <c r="AO59" s="7">
        <f t="shared" si="3"/>
        <v>42327</v>
      </c>
      <c r="AP59" s="7">
        <f t="shared" si="4"/>
        <v>42327</v>
      </c>
      <c r="AQ59" s="7" t="str">
        <f t="shared" si="5"/>
        <v>manque date</v>
      </c>
      <c r="AR59" s="59">
        <f t="shared" si="6"/>
        <v>42504</v>
      </c>
      <c r="AS59" s="60">
        <f t="shared" si="7"/>
        <v>42535</v>
      </c>
      <c r="AT59" s="59" t="str">
        <f t="shared" si="8"/>
        <v>manque date</v>
      </c>
      <c r="AU59" s="59" t="str">
        <f t="shared" si="9"/>
        <v>manque date</v>
      </c>
      <c r="AV59" s="76">
        <f t="shared" si="10"/>
        <v>42262</v>
      </c>
      <c r="AW59" s="76">
        <f t="shared" si="11"/>
        <v>42262</v>
      </c>
      <c r="AX59" s="61">
        <f t="shared" si="12"/>
        <v>42327</v>
      </c>
      <c r="AY59" s="61">
        <f t="shared" si="13"/>
        <v>42327</v>
      </c>
      <c r="AZ59" s="61">
        <f t="shared" si="14"/>
        <v>42327</v>
      </c>
      <c r="BA59" s="61">
        <f t="shared" si="15"/>
        <v>42327</v>
      </c>
      <c r="BB59" s="61">
        <f t="shared" si="16"/>
        <v>0</v>
      </c>
      <c r="BC59" s="61">
        <f t="shared" si="17"/>
        <v>0</v>
      </c>
      <c r="BD59" s="61">
        <f t="shared" si="18"/>
        <v>42504</v>
      </c>
      <c r="BE59" s="61">
        <f t="shared" si="19"/>
        <v>42504</v>
      </c>
      <c r="BF59" s="61">
        <f t="shared" si="20"/>
        <v>42535</v>
      </c>
      <c r="BG59" s="61">
        <f t="shared" si="21"/>
        <v>42535</v>
      </c>
      <c r="BH59" s="61">
        <f t="shared" si="22"/>
        <v>0</v>
      </c>
      <c r="BI59" s="61">
        <f t="shared" si="23"/>
        <v>0</v>
      </c>
      <c r="BJ59" s="61">
        <f t="shared" si="24"/>
        <v>0</v>
      </c>
      <c r="BK59" s="61">
        <f t="shared" si="25"/>
        <v>0</v>
      </c>
    </row>
    <row r="60" spans="1:63">
      <c r="A60" s="25" t="s">
        <v>66</v>
      </c>
      <c r="B60" s="74">
        <f t="shared" si="26"/>
        <v>0</v>
      </c>
      <c r="C60" s="74">
        <f t="shared" si="27"/>
        <v>0</v>
      </c>
      <c r="D60" s="7" t="s">
        <v>242</v>
      </c>
      <c r="E60" s="7" t="s">
        <v>242</v>
      </c>
      <c r="F60" s="7" t="s">
        <v>242</v>
      </c>
      <c r="G60" s="7" t="s">
        <v>242</v>
      </c>
      <c r="H60" s="59" t="s">
        <v>242</v>
      </c>
      <c r="I60" s="60" t="s">
        <v>242</v>
      </c>
      <c r="J60" s="59" t="s">
        <v>242</v>
      </c>
      <c r="K60" s="59" t="s">
        <v>242</v>
      </c>
      <c r="L60" s="57" t="e">
        <f>IF($A60="","",INDEX([1]Portfolio!$A$3:$AU$63,MATCH($A60,[1]Portfolio!$B$3:$B$63,0),3))</f>
        <v>#N/A</v>
      </c>
      <c r="M60" s="57" t="e">
        <f>IF($A60="","",INDEX([1]Portfolio!$A$3:$AU$63,MATCH($A60,[1]Portfolio!$B$3:$B$63,0),5))</f>
        <v>#N/A</v>
      </c>
      <c r="N60" s="6" t="e">
        <f>IF($A60="","",INDEX([1]Portfolio!$A$3:$AU$63,MATCH($A60,[1]Portfolio!$B$3:$B$63,0),29))</f>
        <v>#N/A</v>
      </c>
      <c r="O60" s="6" t="e">
        <f>IF($A60="","",INDEX([1]Portfolio!$A$3:$AU$63,MATCH($A60,[1]Portfolio!$B$3:$B$63,0),32))</f>
        <v>#N/A</v>
      </c>
      <c r="P60" s="7" t="e">
        <f>IF($A60="","",INDEX([1]Portfolio!$A$3:$AU$63,MATCH($A60,[1]Portfolio!$B$3:$B$63,0),35))</f>
        <v>#N/A</v>
      </c>
      <c r="Q60" s="7" t="e">
        <f>IF($A60="","",INDEX([1]Portfolio!$A$3:$AU$63,MATCH($A60,[1]Portfolio!$B$3:$B$63,0),38))</f>
        <v>#N/A</v>
      </c>
      <c r="R60" s="7" t="e">
        <f>IF($A60="","",INDEX([1]Portfolio!$A$3:$AU$63,MATCH($A60,[1]Portfolio!$B$3:$B$63,0),42))</f>
        <v>#N/A</v>
      </c>
      <c r="S60" s="7" t="e">
        <f>IF($A60="","",INDEX([1]Portfolio!$A$3:$AU$63,MATCH($A60,[1]Portfolio!$B$3:$B$63,0),43))</f>
        <v>#N/A</v>
      </c>
      <c r="T60" s="7" t="e">
        <f>IF($A60="","",INDEX([1]Portfolio!$A$3:$AU$63,MATCH($A60,[1]Portfolio!$B$3:$B$63,0),37))</f>
        <v>#N/A</v>
      </c>
      <c r="U60" s="7" t="e">
        <f>IF($A60="","",INDEX([1]Portfolio!$A$3:$AU$63,MATCH($A60,[1]Portfolio!$B$3:$B$63,0),36))</f>
        <v>#N/A</v>
      </c>
      <c r="V60" s="7" t="e">
        <f>IF($A60="","",(INDEX([2]Programmesjalons!$A$4:$AH$140,MATCH($A60,[2]Programmesjalons!$A$4:$A$140,0),8)))</f>
        <v>#N/A</v>
      </c>
      <c r="W60" s="7" t="e">
        <f>IF($A60="","",(INDEX([2]Programmesjalons!$A$4:$AH$140,MATCH($A60,[2]Programmesjalons!$A$4:$A$140,0),12)))</f>
        <v>#N/A</v>
      </c>
      <c r="X60" s="7" t="e">
        <f>IF($A60="","",(INDEX([2]Programmesjalons!$A$4:$AH$140,MATCH($A60,[2]Programmesjalons!$A$4:$A$140,0),16)))</f>
        <v>#N/A</v>
      </c>
      <c r="Y60" s="7" t="e">
        <f>IF($A60="","",(INDEX([2]Programmesjalons!$A$4:$AH$140,MATCH($A60,[2]Programmesjalons!$A$4:$A$140,0),30)))</f>
        <v>#N/A</v>
      </c>
      <c r="Z60" s="59" t="e">
        <f>IF($A60="","",(INDEX([2]Programmesjalons!$A$4:$AH$140,MATCH($A60,[2]Programmesjalons!$A$4:$A$140,0),32)))</f>
        <v>#N/A</v>
      </c>
      <c r="AA60" s="60" t="e">
        <f>IF($A60="","",(INDEX([2]Programmesjalons!$A$4:$AH$140,MATCH($A60,[2]Programmesjalons!$A$4:$A$140,0),34)))</f>
        <v>#N/A</v>
      </c>
      <c r="AB60" s="59" t="e">
        <f>IF($A60="","",(INDEX([2]Programmesjalons!$A$4:$AH$140,MATCH($A60,[2]Programmesjalons!$A$4:$A$140,0),26)))</f>
        <v>#N/A</v>
      </c>
      <c r="AC60" s="59" t="e">
        <f>IF($A60="","",(INDEX([2]Programmesjalons!$A$4:$AH$140,MATCH($A60,[2]Programmesjalons!$A$4:$A$140,0),18)))</f>
        <v>#N/A</v>
      </c>
      <c r="AD60" s="68"/>
      <c r="AE60" s="68"/>
      <c r="AF60" s="68"/>
      <c r="AG60" s="68"/>
      <c r="AH60" s="68"/>
      <c r="AI60" s="68"/>
      <c r="AJ60" s="69"/>
      <c r="AK60" s="70"/>
      <c r="AL60" s="69"/>
      <c r="AM60" s="69"/>
      <c r="AN60" s="7" t="str">
        <f t="shared" si="2"/>
        <v>manque date</v>
      </c>
      <c r="AO60" s="7" t="str">
        <f t="shared" si="3"/>
        <v>manque date</v>
      </c>
      <c r="AP60" s="7" t="str">
        <f t="shared" si="4"/>
        <v>manque date</v>
      </c>
      <c r="AQ60" s="7" t="str">
        <f t="shared" si="5"/>
        <v>manque date</v>
      </c>
      <c r="AR60" s="59" t="str">
        <f t="shared" si="6"/>
        <v>manque date</v>
      </c>
      <c r="AS60" s="60" t="str">
        <f t="shared" si="7"/>
        <v>manque date</v>
      </c>
      <c r="AT60" s="59" t="str">
        <f t="shared" si="8"/>
        <v>manque date</v>
      </c>
      <c r="AU60" s="59" t="str">
        <f t="shared" si="9"/>
        <v>manque date</v>
      </c>
      <c r="AV60" s="76">
        <f t="shared" si="10"/>
        <v>0</v>
      </c>
      <c r="AW60" s="76" t="str">
        <f t="shared" si="11"/>
        <v>manque date</v>
      </c>
      <c r="AX60" s="61">
        <f t="shared" si="12"/>
        <v>0</v>
      </c>
      <c r="AY60" s="61" t="str">
        <f t="shared" si="13"/>
        <v>manque date</v>
      </c>
      <c r="AZ60" s="61">
        <f t="shared" si="14"/>
        <v>0</v>
      </c>
      <c r="BA60" s="61" t="str">
        <f t="shared" si="15"/>
        <v>manque date</v>
      </c>
      <c r="BB60" s="61">
        <f t="shared" si="16"/>
        <v>0</v>
      </c>
      <c r="BC60" s="61" t="str">
        <f t="shared" si="17"/>
        <v>manque date</v>
      </c>
      <c r="BD60" s="61">
        <f t="shared" si="18"/>
        <v>0</v>
      </c>
      <c r="BE60" s="61" t="str">
        <f t="shared" si="19"/>
        <v>manque date</v>
      </c>
      <c r="BF60" s="61">
        <f t="shared" si="20"/>
        <v>0</v>
      </c>
      <c r="BG60" s="61" t="str">
        <f t="shared" si="21"/>
        <v>manque date</v>
      </c>
      <c r="BH60" s="61">
        <f t="shared" si="22"/>
        <v>0</v>
      </c>
      <c r="BI60" s="61" t="str">
        <f t="shared" si="23"/>
        <v>manque date</v>
      </c>
      <c r="BJ60" s="61">
        <f t="shared" si="24"/>
        <v>0</v>
      </c>
      <c r="BK60" s="61" t="str">
        <f t="shared" si="25"/>
        <v>manque date</v>
      </c>
    </row>
    <row r="61" spans="1:63">
      <c r="A61" s="13" t="s">
        <v>190</v>
      </c>
      <c r="B61" s="74" t="str">
        <f t="shared" si="26"/>
        <v>ANA Gouv Jap</v>
      </c>
      <c r="C61" s="74" t="str">
        <f t="shared" si="27"/>
        <v>B777</v>
      </c>
      <c r="D61" s="7">
        <v>42012</v>
      </c>
      <c r="E61" s="7">
        <v>42108</v>
      </c>
      <c r="F61" s="7">
        <v>42220</v>
      </c>
      <c r="G61" s="7">
        <v>42409</v>
      </c>
      <c r="H61" s="59">
        <v>42437</v>
      </c>
      <c r="I61" s="60">
        <v>42522</v>
      </c>
      <c r="J61" s="59">
        <v>42316</v>
      </c>
      <c r="K61" s="59">
        <v>42319</v>
      </c>
      <c r="L61" s="57" t="str">
        <f>IF($A61="","",INDEX([1]Portfolio!$A$3:$AU$63,MATCH($A61,[1]Portfolio!$B$3:$B$63,0),3))</f>
        <v>ANA Gouv Jap</v>
      </c>
      <c r="M61" s="57" t="str">
        <f>IF($A61="","",INDEX([1]Portfolio!$A$3:$AU$63,MATCH($A61,[1]Portfolio!$B$3:$B$63,0),5))</f>
        <v>B777</v>
      </c>
      <c r="N61" s="6">
        <f>IF($A61="","",INDEX([1]Portfolio!$A$3:$AU$63,MATCH($A61,[1]Portfolio!$B$3:$B$63,0),29))</f>
        <v>42012</v>
      </c>
      <c r="O61" s="6">
        <f>IF($A61="","",INDEX([1]Portfolio!$A$3:$AU$63,MATCH($A61,[1]Portfolio!$B$3:$B$63,0),32))</f>
        <v>42108</v>
      </c>
      <c r="P61" s="7">
        <f>IF($A61="","",INDEX([1]Portfolio!$A$3:$AU$63,MATCH($A61,[1]Portfolio!$B$3:$B$63,0),35))</f>
        <v>42220</v>
      </c>
      <c r="Q61" s="7">
        <f>IF($A61="","",INDEX([1]Portfolio!$A$3:$AU$63,MATCH($A61,[1]Portfolio!$B$3:$B$63,0),38))</f>
        <v>42409</v>
      </c>
      <c r="R61" s="7">
        <f>IF($A61="","",INDEX([1]Portfolio!$A$3:$AU$63,MATCH($A61,[1]Portfolio!$B$3:$B$63,0),42))</f>
        <v>42437</v>
      </c>
      <c r="S61" s="7">
        <f>IF($A61="","",INDEX([1]Portfolio!$A$3:$AU$63,MATCH($A61,[1]Portfolio!$B$3:$B$63,0),43))</f>
        <v>42522</v>
      </c>
      <c r="T61" s="7">
        <f>IF($A61="","",INDEX([1]Portfolio!$A$3:$AU$63,MATCH($A61,[1]Portfolio!$B$3:$B$63,0),37))</f>
        <v>42316</v>
      </c>
      <c r="U61" s="7">
        <f>IF($A61="","",INDEX([1]Portfolio!$A$3:$AU$63,MATCH($A61,[1]Portfolio!$B$3:$B$63,0),36))</f>
        <v>0</v>
      </c>
      <c r="V61" s="7">
        <f>IF($A61="","",(INDEX([2]Programmesjalons!$A$4:$AH$140,MATCH($A61,[2]Programmesjalons!$A$4:$A$140,0),8)))</f>
        <v>42012</v>
      </c>
      <c r="W61" s="7">
        <f>IF($A61="","",(INDEX([2]Programmesjalons!$A$4:$AH$140,MATCH($A61,[2]Programmesjalons!$A$4:$A$140,0),12)))</f>
        <v>42108</v>
      </c>
      <c r="X61" s="7">
        <f>IF($A61="","",(INDEX([2]Programmesjalons!$A$4:$AH$140,MATCH($A61,[2]Programmesjalons!$A$4:$A$140,0),16)))</f>
        <v>42220</v>
      </c>
      <c r="Y61" s="7">
        <f>IF($A61="","",(INDEX([2]Programmesjalons!$A$4:$AH$140,MATCH($A61,[2]Programmesjalons!$A$4:$A$140,0),30)))</f>
        <v>42409</v>
      </c>
      <c r="Z61" s="59">
        <f>IF($A61="","",(INDEX([2]Programmesjalons!$A$4:$AH$140,MATCH($A61,[2]Programmesjalons!$A$4:$A$140,0),32)))</f>
        <v>42437</v>
      </c>
      <c r="AA61" s="60">
        <f>IF($A61="","",(INDEX([2]Programmesjalons!$A$4:$AH$140,MATCH($A61,[2]Programmesjalons!$A$4:$A$140,0),34)))</f>
        <v>42522</v>
      </c>
      <c r="AB61" s="59">
        <f>IF($A61="","",(INDEX([2]Programmesjalons!$A$4:$AH$140,MATCH($A61,[2]Programmesjalons!$A$4:$A$140,0),26)))</f>
        <v>42394</v>
      </c>
      <c r="AC61" s="59">
        <f>IF($A61="","",(INDEX([2]Programmesjalons!$A$4:$AH$140,MATCH($A61,[2]Programmesjalons!$A$4:$A$140,0),18)))</f>
        <v>42319</v>
      </c>
      <c r="AD61" s="68"/>
      <c r="AE61" s="68"/>
      <c r="AF61" s="68"/>
      <c r="AG61" s="68"/>
      <c r="AH61" s="68"/>
      <c r="AI61" s="68"/>
      <c r="AJ61" s="69"/>
      <c r="AK61" s="70"/>
      <c r="AL61" s="69"/>
      <c r="AM61" s="69"/>
      <c r="AN61" s="7">
        <f t="shared" si="2"/>
        <v>42012</v>
      </c>
      <c r="AO61" s="7">
        <f t="shared" si="3"/>
        <v>42108</v>
      </c>
      <c r="AP61" s="7">
        <f t="shared" si="4"/>
        <v>42220</v>
      </c>
      <c r="AQ61" s="7">
        <f t="shared" si="5"/>
        <v>42409</v>
      </c>
      <c r="AR61" s="59">
        <f t="shared" si="6"/>
        <v>42437</v>
      </c>
      <c r="AS61" s="60">
        <f t="shared" si="7"/>
        <v>42522</v>
      </c>
      <c r="AT61" s="59">
        <f t="shared" si="8"/>
        <v>42316</v>
      </c>
      <c r="AU61" s="59">
        <f t="shared" si="9"/>
        <v>42319</v>
      </c>
      <c r="AV61" s="76">
        <f t="shared" si="10"/>
        <v>42012</v>
      </c>
      <c r="AW61" s="76">
        <f t="shared" si="11"/>
        <v>42012</v>
      </c>
      <c r="AX61" s="61">
        <f t="shared" si="12"/>
        <v>42108</v>
      </c>
      <c r="AY61" s="61">
        <f t="shared" si="13"/>
        <v>42108</v>
      </c>
      <c r="AZ61" s="61">
        <f t="shared" si="14"/>
        <v>42220</v>
      </c>
      <c r="BA61" s="61">
        <f t="shared" si="15"/>
        <v>42220</v>
      </c>
      <c r="BB61" s="61">
        <f t="shared" si="16"/>
        <v>42409</v>
      </c>
      <c r="BC61" s="61">
        <f t="shared" si="17"/>
        <v>42409</v>
      </c>
      <c r="BD61" s="61">
        <f t="shared" si="18"/>
        <v>42437</v>
      </c>
      <c r="BE61" s="61">
        <f t="shared" si="19"/>
        <v>42437</v>
      </c>
      <c r="BF61" s="61">
        <f t="shared" si="20"/>
        <v>42522</v>
      </c>
      <c r="BG61" s="61">
        <f t="shared" si="21"/>
        <v>42522</v>
      </c>
      <c r="BH61" s="61">
        <f t="shared" si="22"/>
        <v>42316</v>
      </c>
      <c r="BI61" s="61">
        <f t="shared" si="23"/>
        <v>42316</v>
      </c>
      <c r="BJ61" s="61">
        <f t="shared" si="24"/>
        <v>42319</v>
      </c>
      <c r="BK61" s="61">
        <f t="shared" si="25"/>
        <v>42319</v>
      </c>
    </row>
    <row r="62" spans="1:63">
      <c r="A62" s="25" t="s">
        <v>84</v>
      </c>
      <c r="B62" s="74" t="str">
        <f t="shared" si="26"/>
        <v>Air Algérie</v>
      </c>
      <c r="C62" s="74" t="str">
        <f t="shared" si="27"/>
        <v>A330-200</v>
      </c>
      <c r="D62" s="7">
        <v>41660</v>
      </c>
      <c r="E62" s="7">
        <v>41730</v>
      </c>
      <c r="F62" s="7">
        <v>41814</v>
      </c>
      <c r="G62" s="7" t="s">
        <v>242</v>
      </c>
      <c r="H62" s="59">
        <v>42018</v>
      </c>
      <c r="I62" s="60" t="s">
        <v>242</v>
      </c>
      <c r="J62" s="59">
        <v>41910</v>
      </c>
      <c r="K62" s="59" t="s">
        <v>242</v>
      </c>
      <c r="L62" s="57" t="str">
        <f>IF($A62="","",INDEX([1]Portfolio!$A$3:$AU$63,MATCH($A62,[1]Portfolio!$B$3:$B$63,0),3))</f>
        <v>Air Algérie</v>
      </c>
      <c r="M62" s="57" t="str">
        <f>IF($A62="","",INDEX([1]Portfolio!$A$3:$AU$63,MATCH($A62,[1]Portfolio!$B$3:$B$63,0),5))</f>
        <v>A330-200</v>
      </c>
      <c r="N62" s="6">
        <f>IF($A62="","",INDEX([1]Portfolio!$A$3:$AU$63,MATCH($A62,[1]Portfolio!$B$3:$B$63,0),29))</f>
        <v>41660</v>
      </c>
      <c r="O62" s="6">
        <f>IF($A62="","",INDEX([1]Portfolio!$A$3:$AU$63,MATCH($A62,[1]Portfolio!$B$3:$B$63,0),32))</f>
        <v>41730</v>
      </c>
      <c r="P62" s="7">
        <f>IF($A62="","",INDEX([1]Portfolio!$A$3:$AU$63,MATCH($A62,[1]Portfolio!$B$3:$B$63,0),35))</f>
        <v>41814</v>
      </c>
      <c r="Q62" s="7">
        <f>IF($A62="","",INDEX([1]Portfolio!$A$3:$AU$63,MATCH($A62,[1]Portfolio!$B$3:$B$63,0),38))</f>
        <v>42462</v>
      </c>
      <c r="R62" s="7">
        <f>IF($A62="","",INDEX([1]Portfolio!$A$3:$AU$63,MATCH($A62,[1]Portfolio!$B$3:$B$63,0),42))</f>
        <v>42018</v>
      </c>
      <c r="S62" s="7">
        <f>IF($A62="","",INDEX([1]Portfolio!$A$3:$AU$63,MATCH($A62,[1]Portfolio!$B$3:$B$63,0),43))</f>
        <v>0</v>
      </c>
      <c r="T62" s="7">
        <f>IF($A62="","",INDEX([1]Portfolio!$A$3:$AU$63,MATCH($A62,[1]Portfolio!$B$3:$B$63,0),37))</f>
        <v>41910</v>
      </c>
      <c r="U62" s="7" t="str">
        <f>IF($A62="","",INDEX([1]Portfolio!$A$3:$AU$63,MATCH($A62,[1]Portfolio!$B$3:$B$63,0),36))</f>
        <v>**</v>
      </c>
      <c r="V62" s="7" t="e">
        <f>IF($A62="","",(INDEX([2]Programmesjalons!$A$4:$AH$140,MATCH($A62,[2]Programmesjalons!$A$4:$A$140,0),8)))</f>
        <v>#N/A</v>
      </c>
      <c r="W62" s="7" t="e">
        <f>IF($A62="","",(INDEX([2]Programmesjalons!$A$4:$AH$140,MATCH($A62,[2]Programmesjalons!$A$4:$A$140,0),12)))</f>
        <v>#N/A</v>
      </c>
      <c r="X62" s="7" t="e">
        <f>IF($A62="","",(INDEX([2]Programmesjalons!$A$4:$AH$140,MATCH($A62,[2]Programmesjalons!$A$4:$A$140,0),16)))</f>
        <v>#N/A</v>
      </c>
      <c r="Y62" s="7" t="e">
        <f>IF($A62="","",(INDEX([2]Programmesjalons!$A$4:$AH$140,MATCH($A62,[2]Programmesjalons!$A$4:$A$140,0),30)))</f>
        <v>#N/A</v>
      </c>
      <c r="Z62" s="59" t="e">
        <f>IF($A62="","",(INDEX([2]Programmesjalons!$A$4:$AH$140,MATCH($A62,[2]Programmesjalons!$A$4:$A$140,0),32)))</f>
        <v>#N/A</v>
      </c>
      <c r="AA62" s="60" t="e">
        <f>IF($A62="","",(INDEX([2]Programmesjalons!$A$4:$AH$140,MATCH($A62,[2]Programmesjalons!$A$4:$A$140,0),34)))</f>
        <v>#N/A</v>
      </c>
      <c r="AB62" s="59" t="e">
        <f>IF($A62="","",(INDEX([2]Programmesjalons!$A$4:$AH$140,MATCH($A62,[2]Programmesjalons!$A$4:$A$140,0),26)))</f>
        <v>#N/A</v>
      </c>
      <c r="AC62" s="59" t="e">
        <f>IF($A62="","",(INDEX([2]Programmesjalons!$A$4:$AH$140,MATCH($A62,[2]Programmesjalons!$A$4:$A$140,0),18)))</f>
        <v>#N/A</v>
      </c>
      <c r="AD62" s="68"/>
      <c r="AE62" s="68"/>
      <c r="AF62" s="68"/>
      <c r="AG62" s="68"/>
      <c r="AH62" s="68"/>
      <c r="AI62" s="68"/>
      <c r="AJ62" s="69"/>
      <c r="AK62" s="70"/>
      <c r="AL62" s="69"/>
      <c r="AM62" s="69"/>
      <c r="AN62" s="7">
        <f t="shared" si="2"/>
        <v>41660</v>
      </c>
      <c r="AO62" s="7">
        <f t="shared" si="3"/>
        <v>41730</v>
      </c>
      <c r="AP62" s="7">
        <f t="shared" si="4"/>
        <v>41814</v>
      </c>
      <c r="AQ62" s="7">
        <f t="shared" si="5"/>
        <v>42462</v>
      </c>
      <c r="AR62" s="59">
        <f t="shared" si="6"/>
        <v>42018</v>
      </c>
      <c r="AS62" s="60" t="str">
        <f t="shared" si="7"/>
        <v>manque date</v>
      </c>
      <c r="AT62" s="59">
        <f t="shared" si="8"/>
        <v>41910</v>
      </c>
      <c r="AU62" s="59" t="str">
        <f t="shared" si="9"/>
        <v>manque date</v>
      </c>
      <c r="AV62" s="76">
        <f t="shared" si="10"/>
        <v>41660</v>
      </c>
      <c r="AW62" s="76">
        <f t="shared" si="11"/>
        <v>41660</v>
      </c>
      <c r="AX62" s="61">
        <f t="shared" si="12"/>
        <v>41730</v>
      </c>
      <c r="AY62" s="61">
        <f t="shared" si="13"/>
        <v>41730</v>
      </c>
      <c r="AZ62" s="61">
        <f t="shared" si="14"/>
        <v>41814</v>
      </c>
      <c r="BA62" s="61">
        <f t="shared" si="15"/>
        <v>41814</v>
      </c>
      <c r="BB62" s="61">
        <f t="shared" si="16"/>
        <v>42462</v>
      </c>
      <c r="BC62" s="61">
        <f t="shared" si="17"/>
        <v>42462</v>
      </c>
      <c r="BD62" s="61">
        <f t="shared" si="18"/>
        <v>0</v>
      </c>
      <c r="BE62" s="61">
        <f t="shared" si="19"/>
        <v>42018</v>
      </c>
      <c r="BF62" s="61">
        <f t="shared" si="20"/>
        <v>0</v>
      </c>
      <c r="BG62" s="61">
        <f t="shared" si="21"/>
        <v>0</v>
      </c>
      <c r="BH62" s="61">
        <f t="shared" si="22"/>
        <v>41910</v>
      </c>
      <c r="BI62" s="61">
        <f t="shared" si="23"/>
        <v>41910</v>
      </c>
      <c r="BJ62" s="61">
        <f t="shared" si="24"/>
        <v>0</v>
      </c>
      <c r="BK62" s="61" t="str">
        <f t="shared" si="25"/>
        <v>manque date</v>
      </c>
    </row>
    <row r="63" spans="1:63">
      <c r="A63" s="25" t="s">
        <v>85</v>
      </c>
      <c r="B63" s="74">
        <f t="shared" si="26"/>
        <v>0</v>
      </c>
      <c r="C63" s="74">
        <f t="shared" si="27"/>
        <v>0</v>
      </c>
      <c r="D63" s="7" t="s">
        <v>242</v>
      </c>
      <c r="E63" s="7" t="s">
        <v>242</v>
      </c>
      <c r="F63" s="7" t="s">
        <v>242</v>
      </c>
      <c r="G63" s="7" t="s">
        <v>242</v>
      </c>
      <c r="H63" s="59" t="s">
        <v>242</v>
      </c>
      <c r="I63" s="60" t="s">
        <v>242</v>
      </c>
      <c r="J63" s="59" t="s">
        <v>242</v>
      </c>
      <c r="K63" s="59" t="s">
        <v>242</v>
      </c>
      <c r="L63" s="57" t="e">
        <f>IF($A63="","",INDEX([1]Portfolio!$A$3:$AU$63,MATCH($A63,[1]Portfolio!$B$3:$B$63,0),3))</f>
        <v>#N/A</v>
      </c>
      <c r="M63" s="57" t="e">
        <f>IF($A63="","",INDEX([1]Portfolio!$A$3:$AU$63,MATCH($A63,[1]Portfolio!$B$3:$B$63,0),5))</f>
        <v>#N/A</v>
      </c>
      <c r="N63" s="6" t="e">
        <f>IF($A63="","",INDEX([1]Portfolio!$A$3:$AU$63,MATCH($A63,[1]Portfolio!$B$3:$B$63,0),29))</f>
        <v>#N/A</v>
      </c>
      <c r="O63" s="6" t="e">
        <f>IF($A63="","",INDEX([1]Portfolio!$A$3:$AU$63,MATCH($A63,[1]Portfolio!$B$3:$B$63,0),32))</f>
        <v>#N/A</v>
      </c>
      <c r="P63" s="7" t="e">
        <f>IF($A63="","",INDEX([1]Portfolio!$A$3:$AU$63,MATCH($A63,[1]Portfolio!$B$3:$B$63,0),35))</f>
        <v>#N/A</v>
      </c>
      <c r="Q63" s="7" t="e">
        <f>IF($A63="","",INDEX([1]Portfolio!$A$3:$AU$63,MATCH($A63,[1]Portfolio!$B$3:$B$63,0),38))</f>
        <v>#N/A</v>
      </c>
      <c r="R63" s="7" t="e">
        <f>IF($A63="","",INDEX([1]Portfolio!$A$3:$AU$63,MATCH($A63,[1]Portfolio!$B$3:$B$63,0),42))</f>
        <v>#N/A</v>
      </c>
      <c r="S63" s="7" t="e">
        <f>IF($A63="","",INDEX([1]Portfolio!$A$3:$AU$63,MATCH($A63,[1]Portfolio!$B$3:$B$63,0),43))</f>
        <v>#N/A</v>
      </c>
      <c r="T63" s="7" t="e">
        <f>IF($A63="","",INDEX([1]Portfolio!$A$3:$AU$63,MATCH($A63,[1]Portfolio!$B$3:$B$63,0),37))</f>
        <v>#N/A</v>
      </c>
      <c r="U63" s="7" t="e">
        <f>IF($A63="","",INDEX([1]Portfolio!$A$3:$AU$63,MATCH($A63,[1]Portfolio!$B$3:$B$63,0),36))</f>
        <v>#N/A</v>
      </c>
      <c r="V63" s="7" t="e">
        <f>IF($A63="","",(INDEX([2]Programmesjalons!$A$4:$AH$140,MATCH($A63,[2]Programmesjalons!$A$4:$A$140,0),8)))</f>
        <v>#N/A</v>
      </c>
      <c r="W63" s="7" t="e">
        <f>IF($A63="","",(INDEX([2]Programmesjalons!$A$4:$AH$140,MATCH($A63,[2]Programmesjalons!$A$4:$A$140,0),12)))</f>
        <v>#N/A</v>
      </c>
      <c r="X63" s="7" t="e">
        <f>IF($A63="","",(INDEX([2]Programmesjalons!$A$4:$AH$140,MATCH($A63,[2]Programmesjalons!$A$4:$A$140,0),16)))</f>
        <v>#N/A</v>
      </c>
      <c r="Y63" s="7" t="e">
        <f>IF($A63="","",(INDEX([2]Programmesjalons!$A$4:$AH$140,MATCH($A63,[2]Programmesjalons!$A$4:$A$140,0),30)))</f>
        <v>#N/A</v>
      </c>
      <c r="Z63" s="59" t="e">
        <f>IF($A63="","",(INDEX([2]Programmesjalons!$A$4:$AH$140,MATCH($A63,[2]Programmesjalons!$A$4:$A$140,0),32)))</f>
        <v>#N/A</v>
      </c>
      <c r="AA63" s="60" t="e">
        <f>IF($A63="","",(INDEX([2]Programmesjalons!$A$4:$AH$140,MATCH($A63,[2]Programmesjalons!$A$4:$A$140,0),34)))</f>
        <v>#N/A</v>
      </c>
      <c r="AB63" s="59" t="e">
        <f>IF($A63="","",(INDEX([2]Programmesjalons!$A$4:$AH$140,MATCH($A63,[2]Programmesjalons!$A$4:$A$140,0),26)))</f>
        <v>#N/A</v>
      </c>
      <c r="AC63" s="59" t="e">
        <f>IF($A63="","",(INDEX([2]Programmesjalons!$A$4:$AH$140,MATCH($A63,[2]Programmesjalons!$A$4:$A$140,0),18)))</f>
        <v>#N/A</v>
      </c>
      <c r="AD63" s="68"/>
      <c r="AE63" s="68"/>
      <c r="AF63" s="68"/>
      <c r="AG63" s="68"/>
      <c r="AH63" s="68"/>
      <c r="AI63" s="68"/>
      <c r="AJ63" s="69"/>
      <c r="AK63" s="70"/>
      <c r="AL63" s="69"/>
      <c r="AM63" s="69"/>
      <c r="AN63" s="7" t="str">
        <f t="shared" si="2"/>
        <v>manque date</v>
      </c>
      <c r="AO63" s="7" t="str">
        <f t="shared" si="3"/>
        <v>manque date</v>
      </c>
      <c r="AP63" s="7" t="str">
        <f t="shared" si="4"/>
        <v>manque date</v>
      </c>
      <c r="AQ63" s="7" t="str">
        <f t="shared" si="5"/>
        <v>manque date</v>
      </c>
      <c r="AR63" s="59" t="str">
        <f t="shared" si="6"/>
        <v>manque date</v>
      </c>
      <c r="AS63" s="60" t="str">
        <f t="shared" si="7"/>
        <v>manque date</v>
      </c>
      <c r="AT63" s="59" t="str">
        <f t="shared" si="8"/>
        <v>manque date</v>
      </c>
      <c r="AU63" s="59" t="str">
        <f t="shared" si="9"/>
        <v>manque date</v>
      </c>
      <c r="AV63" s="76">
        <f t="shared" si="10"/>
        <v>0</v>
      </c>
      <c r="AW63" s="76" t="str">
        <f t="shared" si="11"/>
        <v>manque date</v>
      </c>
      <c r="AX63" s="61">
        <f t="shared" si="12"/>
        <v>0</v>
      </c>
      <c r="AY63" s="61" t="str">
        <f t="shared" si="13"/>
        <v>manque date</v>
      </c>
      <c r="AZ63" s="61">
        <f t="shared" si="14"/>
        <v>0</v>
      </c>
      <c r="BA63" s="61" t="str">
        <f t="shared" si="15"/>
        <v>manque date</v>
      </c>
      <c r="BB63" s="61">
        <f t="shared" si="16"/>
        <v>0</v>
      </c>
      <c r="BC63" s="61" t="str">
        <f t="shared" si="17"/>
        <v>manque date</v>
      </c>
      <c r="BD63" s="61">
        <f t="shared" si="18"/>
        <v>0</v>
      </c>
      <c r="BE63" s="61" t="str">
        <f t="shared" si="19"/>
        <v>manque date</v>
      </c>
      <c r="BF63" s="61">
        <f t="shared" si="20"/>
        <v>0</v>
      </c>
      <c r="BG63" s="61" t="str">
        <f t="shared" si="21"/>
        <v>manque date</v>
      </c>
      <c r="BH63" s="61">
        <f t="shared" si="22"/>
        <v>0</v>
      </c>
      <c r="BI63" s="61" t="str">
        <f t="shared" si="23"/>
        <v>manque date</v>
      </c>
      <c r="BJ63" s="61">
        <f t="shared" si="24"/>
        <v>0</v>
      </c>
      <c r="BK63" s="61" t="str">
        <f t="shared" si="25"/>
        <v>manque date</v>
      </c>
    </row>
    <row r="64" spans="1:63">
      <c r="A64" s="25" t="s">
        <v>122</v>
      </c>
      <c r="B64" s="74" t="str">
        <f t="shared" si="26"/>
        <v>Eva Airways</v>
      </c>
      <c r="C64" s="74" t="str">
        <f t="shared" si="27"/>
        <v>B777-300</v>
      </c>
      <c r="D64" s="7">
        <v>42017</v>
      </c>
      <c r="E64" s="7">
        <v>42122</v>
      </c>
      <c r="F64" s="7">
        <v>42220</v>
      </c>
      <c r="G64" s="7">
        <v>42377</v>
      </c>
      <c r="H64" s="59">
        <v>42437</v>
      </c>
      <c r="I64" s="60">
        <v>42543</v>
      </c>
      <c r="J64" s="59">
        <v>42316</v>
      </c>
      <c r="K64" s="59">
        <v>42307</v>
      </c>
      <c r="L64" s="57" t="str">
        <f>IF($A64="","",INDEX([1]Portfolio!$A$3:$AU$63,MATCH($A64,[1]Portfolio!$B$3:$B$63,0),3))</f>
        <v>Eva Airways</v>
      </c>
      <c r="M64" s="57" t="str">
        <f>IF($A64="","",INDEX([1]Portfolio!$A$3:$AU$63,MATCH($A64,[1]Portfolio!$B$3:$B$63,0),5))</f>
        <v>B777-300</v>
      </c>
      <c r="N64" s="6">
        <f>IF($A64="","",INDEX([1]Portfolio!$A$3:$AU$63,MATCH($A64,[1]Portfolio!$B$3:$B$63,0),29))</f>
        <v>42017</v>
      </c>
      <c r="O64" s="6">
        <f>IF($A64="","",INDEX([1]Portfolio!$A$3:$AU$63,MATCH($A64,[1]Portfolio!$B$3:$B$63,0),32))</f>
        <v>42122</v>
      </c>
      <c r="P64" s="7">
        <f>IF($A64="","",INDEX([1]Portfolio!$A$3:$AU$63,MATCH($A64,[1]Portfolio!$B$3:$B$63,0),35))</f>
        <v>42220</v>
      </c>
      <c r="Q64" s="7">
        <f>IF($A64="","",INDEX([1]Portfolio!$A$3:$AU$63,MATCH($A64,[1]Portfolio!$B$3:$B$63,0),38))</f>
        <v>42388</v>
      </c>
      <c r="R64" s="7">
        <f>IF($A64="","",INDEX([1]Portfolio!$A$3:$AU$63,MATCH($A64,[1]Portfolio!$B$3:$B$63,0),42))</f>
        <v>42437</v>
      </c>
      <c r="S64" s="7">
        <f>IF($A64="","",INDEX([1]Portfolio!$A$3:$AU$63,MATCH($A64,[1]Portfolio!$B$3:$B$63,0),43))</f>
        <v>0</v>
      </c>
      <c r="T64" s="7">
        <f>IF($A64="","",INDEX([1]Portfolio!$A$3:$AU$63,MATCH($A64,[1]Portfolio!$B$3:$B$63,0),37))</f>
        <v>42316</v>
      </c>
      <c r="U64" s="7" t="str">
        <f>IF($A64="","",INDEX([1]Portfolio!$A$3:$AU$63,MATCH($A64,[1]Portfolio!$B$3:$B$63,0),36))</f>
        <v>**</v>
      </c>
      <c r="V64" s="7">
        <f>IF($A64="","",(INDEX([2]Programmesjalons!$A$4:$AH$140,MATCH($A64,[2]Programmesjalons!$A$4:$A$140,0),8)))</f>
        <v>42017</v>
      </c>
      <c r="W64" s="7">
        <f>IF($A64="","",(INDEX([2]Programmesjalons!$A$4:$AH$140,MATCH($A64,[2]Programmesjalons!$A$4:$A$140,0),12)))</f>
        <v>42122</v>
      </c>
      <c r="X64" s="7">
        <f>IF($A64="","",(INDEX([2]Programmesjalons!$A$4:$AH$140,MATCH($A64,[2]Programmesjalons!$A$4:$A$140,0),16)))</f>
        <v>42220</v>
      </c>
      <c r="Y64" s="7">
        <f>IF($A64="","",(INDEX([2]Programmesjalons!$A$4:$AH$140,MATCH($A64,[2]Programmesjalons!$A$4:$A$140,0),30)))</f>
        <v>42377</v>
      </c>
      <c r="Z64" s="59">
        <f>IF($A64="","",(INDEX([2]Programmesjalons!$A$4:$AH$140,MATCH($A64,[2]Programmesjalons!$A$4:$A$140,0),32)))</f>
        <v>42437</v>
      </c>
      <c r="AA64" s="60">
        <f>IF($A64="","",(INDEX([2]Programmesjalons!$A$4:$AH$140,MATCH($A64,[2]Programmesjalons!$A$4:$A$140,0),34)))</f>
        <v>42543</v>
      </c>
      <c r="AB64" s="59">
        <f>IF($A64="","",(INDEX([2]Programmesjalons!$A$4:$AH$140,MATCH($A64,[2]Programmesjalons!$A$4:$A$140,0),26)))</f>
        <v>42362</v>
      </c>
      <c r="AC64" s="59">
        <f>IF($A64="","",(INDEX([2]Programmesjalons!$A$4:$AH$140,MATCH($A64,[2]Programmesjalons!$A$4:$A$140,0),18)))</f>
        <v>42307</v>
      </c>
      <c r="AD64" s="68"/>
      <c r="AE64" s="68"/>
      <c r="AF64" s="68"/>
      <c r="AG64" s="68"/>
      <c r="AH64" s="68"/>
      <c r="AI64" s="68"/>
      <c r="AJ64" s="69"/>
      <c r="AK64" s="70"/>
      <c r="AL64" s="69"/>
      <c r="AM64" s="69"/>
      <c r="AN64" s="7">
        <f t="shared" si="2"/>
        <v>42017</v>
      </c>
      <c r="AO64" s="7">
        <f t="shared" si="3"/>
        <v>42122</v>
      </c>
      <c r="AP64" s="7">
        <f t="shared" si="4"/>
        <v>42220</v>
      </c>
      <c r="AQ64" s="7">
        <f t="shared" si="5"/>
        <v>42377</v>
      </c>
      <c r="AR64" s="59">
        <f t="shared" si="6"/>
        <v>42437</v>
      </c>
      <c r="AS64" s="60">
        <f t="shared" si="7"/>
        <v>42543</v>
      </c>
      <c r="AT64" s="59">
        <f t="shared" si="8"/>
        <v>42316</v>
      </c>
      <c r="AU64" s="59">
        <f t="shared" si="9"/>
        <v>42307</v>
      </c>
      <c r="AV64" s="76">
        <f t="shared" si="10"/>
        <v>42017</v>
      </c>
      <c r="AW64" s="76">
        <f t="shared" si="11"/>
        <v>42017</v>
      </c>
      <c r="AX64" s="61">
        <f t="shared" si="12"/>
        <v>42122</v>
      </c>
      <c r="AY64" s="61">
        <f t="shared" si="13"/>
        <v>42122</v>
      </c>
      <c r="AZ64" s="61">
        <f t="shared" si="14"/>
        <v>42220</v>
      </c>
      <c r="BA64" s="61">
        <f t="shared" si="15"/>
        <v>42220</v>
      </c>
      <c r="BB64" s="61">
        <f t="shared" si="16"/>
        <v>42377</v>
      </c>
      <c r="BC64" s="61">
        <f t="shared" si="17"/>
        <v>42377</v>
      </c>
      <c r="BD64" s="61">
        <f t="shared" si="18"/>
        <v>42437</v>
      </c>
      <c r="BE64" s="61">
        <f t="shared" si="19"/>
        <v>42437</v>
      </c>
      <c r="BF64" s="61">
        <f t="shared" si="20"/>
        <v>42543</v>
      </c>
      <c r="BG64" s="61">
        <f t="shared" si="21"/>
        <v>42543</v>
      </c>
      <c r="BH64" s="61">
        <f t="shared" si="22"/>
        <v>42316</v>
      </c>
      <c r="BI64" s="61">
        <f t="shared" si="23"/>
        <v>42316</v>
      </c>
      <c r="BJ64" s="61">
        <f t="shared" si="24"/>
        <v>42307</v>
      </c>
      <c r="BK64" s="61">
        <f t="shared" si="25"/>
        <v>42307</v>
      </c>
    </row>
    <row r="65" spans="1:63">
      <c r="A65" s="25" t="s">
        <v>123</v>
      </c>
      <c r="B65" s="74" t="str">
        <f t="shared" si="26"/>
        <v>Cathay Pacific</v>
      </c>
      <c r="C65" s="74" t="str">
        <f t="shared" si="27"/>
        <v>B777-300</v>
      </c>
      <c r="D65" s="7">
        <v>42040</v>
      </c>
      <c r="E65" s="7">
        <v>42179</v>
      </c>
      <c r="F65" s="7">
        <v>42291</v>
      </c>
      <c r="G65" s="7">
        <v>42462</v>
      </c>
      <c r="H65" s="59">
        <v>42490</v>
      </c>
      <c r="I65" s="60">
        <v>42795</v>
      </c>
      <c r="J65" s="59">
        <v>42387</v>
      </c>
      <c r="K65" s="59">
        <v>42392</v>
      </c>
      <c r="L65" s="57" t="str">
        <f>IF($A65="","",INDEX([1]Portfolio!$A$3:$AU$63,MATCH($A65,[1]Portfolio!$B$3:$B$63,0),3))</f>
        <v>Cathay Pacific</v>
      </c>
      <c r="M65" s="57" t="str">
        <f>IF($A65="","",INDEX([1]Portfolio!$A$3:$AU$63,MATCH($A65,[1]Portfolio!$B$3:$B$63,0),5))</f>
        <v>B777-300</v>
      </c>
      <c r="N65" s="6">
        <f>IF($A65="","",INDEX([1]Portfolio!$A$3:$AU$63,MATCH($A65,[1]Portfolio!$B$3:$B$63,0),29))</f>
        <v>42040</v>
      </c>
      <c r="O65" s="6">
        <f>IF($A65="","",INDEX([1]Portfolio!$A$3:$AU$63,MATCH($A65,[1]Portfolio!$B$3:$B$63,0),32))</f>
        <v>42179</v>
      </c>
      <c r="P65" s="7">
        <f>IF($A65="","",INDEX([1]Portfolio!$A$3:$AU$63,MATCH($A65,[1]Portfolio!$B$3:$B$63,0),35))</f>
        <v>42291</v>
      </c>
      <c r="Q65" s="7">
        <f>IF($A65="","",INDEX([1]Portfolio!$A$3:$AU$63,MATCH($A65,[1]Portfolio!$B$3:$B$63,0),38))</f>
        <v>42462</v>
      </c>
      <c r="R65" s="7">
        <f>IF($A65="","",INDEX([1]Portfolio!$A$3:$AU$63,MATCH($A65,[1]Portfolio!$B$3:$B$63,0),42))</f>
        <v>42490</v>
      </c>
      <c r="S65" s="7">
        <f>IF($A65="","",INDEX([1]Portfolio!$A$3:$AU$63,MATCH($A65,[1]Portfolio!$B$3:$B$63,0),43))</f>
        <v>0</v>
      </c>
      <c r="T65" s="7">
        <f>IF($A65="","",INDEX([1]Portfolio!$A$3:$AU$63,MATCH($A65,[1]Portfolio!$B$3:$B$63,0),37))</f>
        <v>42387</v>
      </c>
      <c r="U65" s="7">
        <f>IF($A65="","",INDEX([1]Portfolio!$A$3:$AU$63,MATCH($A65,[1]Portfolio!$B$3:$B$63,0),36))</f>
        <v>0</v>
      </c>
      <c r="V65" s="7">
        <f>IF($A65="","",(INDEX([2]Programmesjalons!$A$4:$AH$140,MATCH($A65,[2]Programmesjalons!$A$4:$A$140,0),8)))</f>
        <v>42040</v>
      </c>
      <c r="W65" s="7">
        <f>IF($A65="","",(INDEX([2]Programmesjalons!$A$4:$AH$140,MATCH($A65,[2]Programmesjalons!$A$4:$A$140,0),12)))</f>
        <v>42179</v>
      </c>
      <c r="X65" s="7">
        <f>IF($A65="","",(INDEX([2]Programmesjalons!$A$4:$AH$140,MATCH($A65,[2]Programmesjalons!$A$4:$A$140,0),16)))</f>
        <v>42458</v>
      </c>
      <c r="Y65" s="7">
        <f>IF($A65="","",(INDEX([2]Programmesjalons!$A$4:$AH$140,MATCH($A65,[2]Programmesjalons!$A$4:$A$140,0),30)))</f>
        <v>42462</v>
      </c>
      <c r="Z65" s="59">
        <f>IF($A65="","",(INDEX([2]Programmesjalons!$A$4:$AH$140,MATCH($A65,[2]Programmesjalons!$A$4:$A$140,0),32)))</f>
        <v>42752</v>
      </c>
      <c r="AA65" s="60">
        <f>IF($A65="","",(INDEX([2]Programmesjalons!$A$4:$AH$140,MATCH($A65,[2]Programmesjalons!$A$4:$A$140,0),34)))</f>
        <v>42795</v>
      </c>
      <c r="AB65" s="59">
        <f>IF($A65="","",(INDEX([2]Programmesjalons!$A$4:$AH$140,MATCH($A65,[2]Programmesjalons!$A$4:$A$140,0),26)))</f>
        <v>42447</v>
      </c>
      <c r="AC65" s="59">
        <f>IF($A65="","",(INDEX([2]Programmesjalons!$A$4:$AH$140,MATCH($A65,[2]Programmesjalons!$A$4:$A$140,0),18)))</f>
        <v>42392</v>
      </c>
      <c r="AD65" s="68"/>
      <c r="AE65" s="68"/>
      <c r="AF65" s="68"/>
      <c r="AG65" s="68"/>
      <c r="AH65" s="68"/>
      <c r="AI65" s="68"/>
      <c r="AJ65" s="69"/>
      <c r="AK65" s="70"/>
      <c r="AL65" s="69"/>
      <c r="AM65" s="69"/>
      <c r="AN65" s="7">
        <f t="shared" si="2"/>
        <v>42040</v>
      </c>
      <c r="AO65" s="7">
        <f t="shared" si="3"/>
        <v>42179</v>
      </c>
      <c r="AP65" s="7">
        <f t="shared" si="4"/>
        <v>42291</v>
      </c>
      <c r="AQ65" s="7">
        <f t="shared" si="5"/>
        <v>42462</v>
      </c>
      <c r="AR65" s="59">
        <f t="shared" si="6"/>
        <v>42490</v>
      </c>
      <c r="AS65" s="60">
        <f t="shared" si="7"/>
        <v>42795</v>
      </c>
      <c r="AT65" s="59">
        <f t="shared" si="8"/>
        <v>42387</v>
      </c>
      <c r="AU65" s="59">
        <f t="shared" si="9"/>
        <v>42392</v>
      </c>
      <c r="AV65" s="76">
        <f t="shared" si="10"/>
        <v>42040</v>
      </c>
      <c r="AW65" s="76">
        <f t="shared" si="11"/>
        <v>42040</v>
      </c>
      <c r="AX65" s="61">
        <f t="shared" si="12"/>
        <v>42179</v>
      </c>
      <c r="AY65" s="61">
        <f t="shared" si="13"/>
        <v>42179</v>
      </c>
      <c r="AZ65" s="61">
        <f t="shared" si="14"/>
        <v>42291</v>
      </c>
      <c r="BA65" s="61">
        <f t="shared" si="15"/>
        <v>42291</v>
      </c>
      <c r="BB65" s="61">
        <f t="shared" si="16"/>
        <v>42462</v>
      </c>
      <c r="BC65" s="61">
        <f t="shared" si="17"/>
        <v>42462</v>
      </c>
      <c r="BD65" s="61">
        <f t="shared" si="18"/>
        <v>42752</v>
      </c>
      <c r="BE65" s="61">
        <f t="shared" si="19"/>
        <v>42490</v>
      </c>
      <c r="BF65" s="61">
        <f t="shared" si="20"/>
        <v>42795</v>
      </c>
      <c r="BG65" s="61">
        <f t="shared" si="21"/>
        <v>42795</v>
      </c>
      <c r="BH65" s="61">
        <f t="shared" si="22"/>
        <v>42387</v>
      </c>
      <c r="BI65" s="61">
        <f t="shared" si="23"/>
        <v>42387</v>
      </c>
      <c r="BJ65" s="61">
        <f t="shared" si="24"/>
        <v>42392</v>
      </c>
      <c r="BK65" s="61">
        <f t="shared" si="25"/>
        <v>42392</v>
      </c>
    </row>
    <row r="66" spans="1:63">
      <c r="A66" s="13" t="s">
        <v>191</v>
      </c>
      <c r="B66" s="74">
        <f t="shared" si="26"/>
        <v>0</v>
      </c>
      <c r="C66" s="74">
        <f t="shared" si="27"/>
        <v>0</v>
      </c>
      <c r="D66" s="7">
        <v>42287</v>
      </c>
      <c r="E66" s="7">
        <v>42413</v>
      </c>
      <c r="F66" s="7">
        <v>42628</v>
      </c>
      <c r="G66" s="7">
        <v>42785</v>
      </c>
      <c r="H66" s="59">
        <v>42815</v>
      </c>
      <c r="I66" s="60">
        <v>42952</v>
      </c>
      <c r="J66" s="59">
        <v>42770</v>
      </c>
      <c r="K66" s="59">
        <v>42695</v>
      </c>
      <c r="L66" s="57" t="e">
        <f>IF($A66="","",INDEX([1]Portfolio!$A$3:$AU$63,MATCH($A66,[1]Portfolio!$B$3:$B$63,0),3))</f>
        <v>#N/A</v>
      </c>
      <c r="M66" s="57" t="e">
        <f>IF($A66="","",INDEX([1]Portfolio!$A$3:$AU$63,MATCH($A66,[1]Portfolio!$B$3:$B$63,0),5))</f>
        <v>#N/A</v>
      </c>
      <c r="N66" s="6" t="e">
        <f>IF($A66="","",INDEX([1]Portfolio!$A$3:$AU$63,MATCH($A66,[1]Portfolio!$B$3:$B$63,0),29))</f>
        <v>#N/A</v>
      </c>
      <c r="O66" s="6" t="e">
        <f>IF($A66="","",INDEX([1]Portfolio!$A$3:$AU$63,MATCH($A66,[1]Portfolio!$B$3:$B$63,0),32))</f>
        <v>#N/A</v>
      </c>
      <c r="P66" s="7" t="e">
        <f>IF($A66="","",INDEX([1]Portfolio!$A$3:$AU$63,MATCH($A66,[1]Portfolio!$B$3:$B$63,0),35))</f>
        <v>#N/A</v>
      </c>
      <c r="Q66" s="7" t="e">
        <f>IF($A66="","",INDEX([1]Portfolio!$A$3:$AU$63,MATCH($A66,[1]Portfolio!$B$3:$B$63,0),38))</f>
        <v>#N/A</v>
      </c>
      <c r="R66" s="7" t="e">
        <f>IF($A66="","",INDEX([1]Portfolio!$A$3:$AU$63,MATCH($A66,[1]Portfolio!$B$3:$B$63,0),42))</f>
        <v>#N/A</v>
      </c>
      <c r="S66" s="7" t="e">
        <f>IF($A66="","",INDEX([1]Portfolio!$A$3:$AU$63,MATCH($A66,[1]Portfolio!$B$3:$B$63,0),43))</f>
        <v>#N/A</v>
      </c>
      <c r="T66" s="7" t="e">
        <f>IF($A66="","",INDEX([1]Portfolio!$A$3:$AU$63,MATCH($A66,[1]Portfolio!$B$3:$B$63,0),37))</f>
        <v>#N/A</v>
      </c>
      <c r="U66" s="7" t="e">
        <f>IF($A66="","",INDEX([1]Portfolio!$A$3:$AU$63,MATCH($A66,[1]Portfolio!$B$3:$B$63,0),36))</f>
        <v>#N/A</v>
      </c>
      <c r="V66" s="7">
        <f>IF($A66="","",(INDEX([2]Programmesjalons!$A$4:$AH$140,MATCH($A66,[2]Programmesjalons!$A$4:$A$140,0),8)))</f>
        <v>42287</v>
      </c>
      <c r="W66" s="7">
        <f>IF($A66="","",(INDEX([2]Programmesjalons!$A$4:$AH$140,MATCH($A66,[2]Programmesjalons!$A$4:$A$140,0),12)))</f>
        <v>42413</v>
      </c>
      <c r="X66" s="7">
        <f>IF($A66="","",(INDEX([2]Programmesjalons!$A$4:$AH$140,MATCH($A66,[2]Programmesjalons!$A$4:$A$140,0),16)))</f>
        <v>42628</v>
      </c>
      <c r="Y66" s="7">
        <f>IF($A66="","",(INDEX([2]Programmesjalons!$A$4:$AH$140,MATCH($A66,[2]Programmesjalons!$A$4:$A$140,0),30)))</f>
        <v>42785</v>
      </c>
      <c r="Z66" s="59">
        <f>IF($A66="","",(INDEX([2]Programmesjalons!$A$4:$AH$140,MATCH($A66,[2]Programmesjalons!$A$4:$A$140,0),32)))</f>
        <v>42815</v>
      </c>
      <c r="AA66" s="60">
        <f>IF($A66="","",(INDEX([2]Programmesjalons!$A$4:$AH$140,MATCH($A66,[2]Programmesjalons!$A$4:$A$140,0),34)))</f>
        <v>42952</v>
      </c>
      <c r="AB66" s="59">
        <f>IF($A66="","",(INDEX([2]Programmesjalons!$A$4:$AH$140,MATCH($A66,[2]Programmesjalons!$A$4:$A$140,0),26)))</f>
        <v>42770</v>
      </c>
      <c r="AC66" s="59">
        <f>IF($A66="","",(INDEX([2]Programmesjalons!$A$4:$AH$140,MATCH($A66,[2]Programmesjalons!$A$4:$A$140,0),18)))</f>
        <v>42695</v>
      </c>
      <c r="AD66" s="68"/>
      <c r="AE66" s="68"/>
      <c r="AF66" s="68"/>
      <c r="AG66" s="68"/>
      <c r="AH66" s="68"/>
      <c r="AI66" s="68"/>
      <c r="AJ66" s="69"/>
      <c r="AK66" s="70"/>
      <c r="AL66" s="69"/>
      <c r="AM66" s="69"/>
      <c r="AN66" s="7">
        <f t="shared" si="2"/>
        <v>42287</v>
      </c>
      <c r="AO66" s="7">
        <f t="shared" si="3"/>
        <v>42413</v>
      </c>
      <c r="AP66" s="7">
        <f t="shared" si="4"/>
        <v>42628</v>
      </c>
      <c r="AQ66" s="7">
        <f t="shared" si="5"/>
        <v>42785</v>
      </c>
      <c r="AR66" s="59">
        <f t="shared" si="6"/>
        <v>42815</v>
      </c>
      <c r="AS66" s="60">
        <f t="shared" si="7"/>
        <v>42952</v>
      </c>
      <c r="AT66" s="59">
        <f t="shared" si="8"/>
        <v>42770</v>
      </c>
      <c r="AU66" s="59">
        <f t="shared" si="9"/>
        <v>42695</v>
      </c>
      <c r="AV66" s="76">
        <f t="shared" si="10"/>
        <v>42287</v>
      </c>
      <c r="AW66" s="76">
        <f t="shared" si="11"/>
        <v>42287</v>
      </c>
      <c r="AX66" s="61">
        <f t="shared" si="12"/>
        <v>42413</v>
      </c>
      <c r="AY66" s="61">
        <f t="shared" si="13"/>
        <v>42413</v>
      </c>
      <c r="AZ66" s="61">
        <f t="shared" si="14"/>
        <v>42628</v>
      </c>
      <c r="BA66" s="61">
        <f t="shared" si="15"/>
        <v>42628</v>
      </c>
      <c r="BB66" s="61">
        <f t="shared" si="16"/>
        <v>42785</v>
      </c>
      <c r="BC66" s="61">
        <f t="shared" si="17"/>
        <v>42785</v>
      </c>
      <c r="BD66" s="61">
        <f t="shared" si="18"/>
        <v>42815</v>
      </c>
      <c r="BE66" s="61">
        <f t="shared" si="19"/>
        <v>42815</v>
      </c>
      <c r="BF66" s="61">
        <f t="shared" si="20"/>
        <v>42952</v>
      </c>
      <c r="BG66" s="61">
        <f t="shared" si="21"/>
        <v>42952</v>
      </c>
      <c r="BH66" s="61">
        <f t="shared" si="22"/>
        <v>42770</v>
      </c>
      <c r="BI66" s="61">
        <f t="shared" si="23"/>
        <v>42770</v>
      </c>
      <c r="BJ66" s="61">
        <f t="shared" si="24"/>
        <v>42695</v>
      </c>
      <c r="BK66" s="61">
        <f t="shared" si="25"/>
        <v>42695</v>
      </c>
    </row>
    <row r="67" spans="1:63">
      <c r="A67" s="25" t="s">
        <v>162</v>
      </c>
      <c r="B67" s="74" t="str">
        <f t="shared" si="26"/>
        <v>ANA</v>
      </c>
      <c r="C67" s="74" t="str">
        <f t="shared" si="27"/>
        <v>B787</v>
      </c>
      <c r="D67" s="7">
        <v>41968</v>
      </c>
      <c r="E67" s="7">
        <v>42124</v>
      </c>
      <c r="F67" s="7">
        <v>42186</v>
      </c>
      <c r="G67" s="7">
        <v>42299</v>
      </c>
      <c r="H67" s="59">
        <v>42353</v>
      </c>
      <c r="I67" s="60">
        <v>42449</v>
      </c>
      <c r="J67" s="59">
        <v>42282</v>
      </c>
      <c r="K67" s="59">
        <v>42264</v>
      </c>
      <c r="L67" s="57" t="str">
        <f>IF($A67="","",INDEX([1]Portfolio!$A$3:$AU$63,MATCH($A67,[1]Portfolio!$B$3:$B$63,0),3))</f>
        <v>ANA</v>
      </c>
      <c r="M67" s="57" t="str">
        <f>IF($A67="","",INDEX([1]Portfolio!$A$3:$AU$63,MATCH($A67,[1]Portfolio!$B$3:$B$63,0),5))</f>
        <v>B787</v>
      </c>
      <c r="N67" s="6">
        <f>IF($A67="","",INDEX([1]Portfolio!$A$3:$AU$63,MATCH($A67,[1]Portfolio!$B$3:$B$63,0),29))</f>
        <v>41968</v>
      </c>
      <c r="O67" s="6">
        <f>IF($A67="","",INDEX([1]Portfolio!$A$3:$AU$63,MATCH($A67,[1]Portfolio!$B$3:$B$63,0),32))</f>
        <v>42124</v>
      </c>
      <c r="P67" s="7">
        <f>IF($A67="","",INDEX([1]Portfolio!$A$3:$AU$63,MATCH($A67,[1]Portfolio!$B$3:$B$63,0),35))</f>
        <v>42186</v>
      </c>
      <c r="Q67" s="7">
        <f>IF($A67="","",INDEX([1]Portfolio!$A$3:$AU$63,MATCH($A67,[1]Portfolio!$B$3:$B$63,0),38))</f>
        <v>42361</v>
      </c>
      <c r="R67" s="7">
        <f>IF($A67="","",INDEX([1]Portfolio!$A$3:$AU$63,MATCH($A67,[1]Portfolio!$B$3:$B$63,0),42))</f>
        <v>42389</v>
      </c>
      <c r="S67" s="7">
        <f>IF($A67="","",INDEX([1]Portfolio!$A$3:$AU$63,MATCH($A67,[1]Portfolio!$B$3:$B$63,0),43))</f>
        <v>42450</v>
      </c>
      <c r="T67" s="7">
        <f>IF($A67="","",INDEX([1]Portfolio!$A$3:$AU$63,MATCH($A67,[1]Portfolio!$B$3:$B$63,0),37))</f>
        <v>42282</v>
      </c>
      <c r="U67" s="7">
        <f>IF($A67="","",INDEX([1]Portfolio!$A$3:$AU$63,MATCH($A67,[1]Portfolio!$B$3:$B$63,0),36))</f>
        <v>0</v>
      </c>
      <c r="V67" s="7">
        <f>IF($A67="","",(INDEX([2]Programmesjalons!$A$4:$AH$140,MATCH($A67,[2]Programmesjalons!$A$4:$A$140,0),8)))</f>
        <v>41968</v>
      </c>
      <c r="W67" s="7">
        <f>IF($A67="","",(INDEX([2]Programmesjalons!$A$4:$AH$140,MATCH($A67,[2]Programmesjalons!$A$4:$A$140,0),12)))</f>
        <v>42124</v>
      </c>
      <c r="X67" s="7">
        <f>IF($A67="","",(INDEX([2]Programmesjalons!$A$4:$AH$140,MATCH($A67,[2]Programmesjalons!$A$4:$A$140,0),16)))</f>
        <v>42186</v>
      </c>
      <c r="Y67" s="7">
        <f>IF($A67="","",(INDEX([2]Programmesjalons!$A$4:$AH$140,MATCH($A67,[2]Programmesjalons!$A$4:$A$140,0),30)))</f>
        <v>42299</v>
      </c>
      <c r="Z67" s="59">
        <f>IF($A67="","",(INDEX([2]Programmesjalons!$A$4:$AH$140,MATCH($A67,[2]Programmesjalons!$A$4:$A$140,0),32)))</f>
        <v>42353</v>
      </c>
      <c r="AA67" s="60">
        <f>IF($A67="","",(INDEX([2]Programmesjalons!$A$4:$AH$140,MATCH($A67,[2]Programmesjalons!$A$4:$A$140,0),34)))</f>
        <v>42449</v>
      </c>
      <c r="AB67" s="59">
        <f>IF($A67="","",(INDEX([2]Programmesjalons!$A$4:$AH$140,MATCH($A67,[2]Programmesjalons!$A$4:$A$140,0),26)))</f>
        <v>42294</v>
      </c>
      <c r="AC67" s="59">
        <f>IF($A67="","",(INDEX([2]Programmesjalons!$A$4:$AH$140,MATCH($A67,[2]Programmesjalons!$A$4:$A$140,0),18)))</f>
        <v>42264</v>
      </c>
      <c r="AD67" s="68"/>
      <c r="AE67" s="68"/>
      <c r="AF67" s="68"/>
      <c r="AG67" s="68"/>
      <c r="AH67" s="68"/>
      <c r="AI67" s="68"/>
      <c r="AJ67" s="69"/>
      <c r="AK67" s="70"/>
      <c r="AL67" s="69"/>
      <c r="AM67" s="69"/>
      <c r="AN67" s="7">
        <f t="shared" si="2"/>
        <v>41968</v>
      </c>
      <c r="AO67" s="7">
        <f t="shared" si="3"/>
        <v>42124</v>
      </c>
      <c r="AP67" s="7">
        <f t="shared" si="4"/>
        <v>42186</v>
      </c>
      <c r="AQ67" s="7">
        <f t="shared" si="5"/>
        <v>42299</v>
      </c>
      <c r="AR67" s="59">
        <f t="shared" si="6"/>
        <v>42353</v>
      </c>
      <c r="AS67" s="60">
        <f t="shared" si="7"/>
        <v>42449</v>
      </c>
      <c r="AT67" s="59">
        <f t="shared" si="8"/>
        <v>42282</v>
      </c>
      <c r="AU67" s="59">
        <f t="shared" si="9"/>
        <v>42264</v>
      </c>
      <c r="AV67" s="76">
        <f t="shared" si="10"/>
        <v>41968</v>
      </c>
      <c r="AW67" s="76">
        <f t="shared" si="11"/>
        <v>41968</v>
      </c>
      <c r="AX67" s="61">
        <f t="shared" si="12"/>
        <v>42124</v>
      </c>
      <c r="AY67" s="61">
        <f t="shared" si="13"/>
        <v>42124</v>
      </c>
      <c r="AZ67" s="61">
        <f t="shared" si="14"/>
        <v>42186</v>
      </c>
      <c r="BA67" s="61">
        <f t="shared" si="15"/>
        <v>42186</v>
      </c>
      <c r="BB67" s="61">
        <f t="shared" si="16"/>
        <v>42299</v>
      </c>
      <c r="BC67" s="61">
        <f t="shared" si="17"/>
        <v>42299</v>
      </c>
      <c r="BD67" s="61">
        <f t="shared" si="18"/>
        <v>42353</v>
      </c>
      <c r="BE67" s="61">
        <f t="shared" si="19"/>
        <v>42353</v>
      </c>
      <c r="BF67" s="61">
        <f t="shared" si="20"/>
        <v>42449</v>
      </c>
      <c r="BG67" s="61">
        <f t="shared" si="21"/>
        <v>42449</v>
      </c>
      <c r="BH67" s="61">
        <f t="shared" si="22"/>
        <v>42282</v>
      </c>
      <c r="BI67" s="61">
        <f t="shared" si="23"/>
        <v>42282</v>
      </c>
      <c r="BJ67" s="61">
        <f t="shared" si="24"/>
        <v>42264</v>
      </c>
      <c r="BK67" s="61">
        <f t="shared" si="25"/>
        <v>42264</v>
      </c>
    </row>
    <row r="68" spans="1:63">
      <c r="A68" s="25" t="s">
        <v>46</v>
      </c>
      <c r="B68" s="74">
        <f t="shared" si="26"/>
        <v>0</v>
      </c>
      <c r="C68" s="74">
        <f t="shared" si="27"/>
        <v>0</v>
      </c>
      <c r="D68" s="7">
        <v>41470</v>
      </c>
      <c r="E68" s="7">
        <v>41625</v>
      </c>
      <c r="F68" s="7">
        <v>41932</v>
      </c>
      <c r="G68" s="7">
        <v>42106</v>
      </c>
      <c r="H68" s="59">
        <v>42136</v>
      </c>
      <c r="I68" s="60">
        <v>42168</v>
      </c>
      <c r="J68" s="59">
        <v>42091</v>
      </c>
      <c r="K68" s="59">
        <v>42016</v>
      </c>
      <c r="L68" s="57" t="e">
        <f>IF($A68="","",INDEX([1]Portfolio!$A$3:$AU$63,MATCH($A68,[1]Portfolio!$B$3:$B$63,0),3))</f>
        <v>#N/A</v>
      </c>
      <c r="M68" s="57" t="e">
        <f>IF($A68="","",INDEX([1]Portfolio!$A$3:$AU$63,MATCH($A68,[1]Portfolio!$B$3:$B$63,0),5))</f>
        <v>#N/A</v>
      </c>
      <c r="N68" s="6" t="e">
        <f>IF($A68="","",INDEX([1]Portfolio!$A$3:$AU$63,MATCH($A68,[1]Portfolio!$B$3:$B$63,0),29))</f>
        <v>#N/A</v>
      </c>
      <c r="O68" s="6" t="e">
        <f>IF($A68="","",INDEX([1]Portfolio!$A$3:$AU$63,MATCH($A68,[1]Portfolio!$B$3:$B$63,0),32))</f>
        <v>#N/A</v>
      </c>
      <c r="P68" s="7" t="e">
        <f>IF($A68="","",INDEX([1]Portfolio!$A$3:$AU$63,MATCH($A68,[1]Portfolio!$B$3:$B$63,0),35))</f>
        <v>#N/A</v>
      </c>
      <c r="Q68" s="7" t="e">
        <f>IF($A68="","",INDEX([1]Portfolio!$A$3:$AU$63,MATCH($A68,[1]Portfolio!$B$3:$B$63,0),38))</f>
        <v>#N/A</v>
      </c>
      <c r="R68" s="7" t="e">
        <f>IF($A68="","",INDEX([1]Portfolio!$A$3:$AU$63,MATCH($A68,[1]Portfolio!$B$3:$B$63,0),42))</f>
        <v>#N/A</v>
      </c>
      <c r="S68" s="7" t="e">
        <f>IF($A68="","",INDEX([1]Portfolio!$A$3:$AU$63,MATCH($A68,[1]Portfolio!$B$3:$B$63,0),43))</f>
        <v>#N/A</v>
      </c>
      <c r="T68" s="7" t="e">
        <f>IF($A68="","",INDEX([1]Portfolio!$A$3:$AU$63,MATCH($A68,[1]Portfolio!$B$3:$B$63,0),37))</f>
        <v>#N/A</v>
      </c>
      <c r="U68" s="7" t="e">
        <f>IF($A68="","",INDEX([1]Portfolio!$A$3:$AU$63,MATCH($A68,[1]Portfolio!$B$3:$B$63,0),36))</f>
        <v>#N/A</v>
      </c>
      <c r="V68" s="7">
        <f>IF($A68="","",(INDEX([2]Programmesjalons!$A$4:$AH$140,MATCH($A68,[2]Programmesjalons!$A$4:$A$140,0),8)))</f>
        <v>41470</v>
      </c>
      <c r="W68" s="7">
        <f>IF($A68="","",(INDEX([2]Programmesjalons!$A$4:$AH$140,MATCH($A68,[2]Programmesjalons!$A$4:$A$140,0),12)))</f>
        <v>41625</v>
      </c>
      <c r="X68" s="7">
        <f>IF($A68="","",(INDEX([2]Programmesjalons!$A$4:$AH$140,MATCH($A68,[2]Programmesjalons!$A$4:$A$140,0),16)))</f>
        <v>41932</v>
      </c>
      <c r="Y68" s="7">
        <f>IF($A68="","",(INDEX([2]Programmesjalons!$A$4:$AH$140,MATCH($A68,[2]Programmesjalons!$A$4:$A$140,0),30)))</f>
        <v>42106</v>
      </c>
      <c r="Z68" s="59">
        <f>IF($A68="","",(INDEX([2]Programmesjalons!$A$4:$AH$140,MATCH($A68,[2]Programmesjalons!$A$4:$A$140,0),32)))</f>
        <v>42136</v>
      </c>
      <c r="AA68" s="60">
        <f>IF($A68="","",(INDEX([2]Programmesjalons!$A$4:$AH$140,MATCH($A68,[2]Programmesjalons!$A$4:$A$140,0),34)))</f>
        <v>42168</v>
      </c>
      <c r="AB68" s="59">
        <f>IF($A68="","",(INDEX([2]Programmesjalons!$A$4:$AH$140,MATCH($A68,[2]Programmesjalons!$A$4:$A$140,0),26)))</f>
        <v>42091</v>
      </c>
      <c r="AC68" s="59">
        <f>IF($A68="","",(INDEX([2]Programmesjalons!$A$4:$AH$140,MATCH($A68,[2]Programmesjalons!$A$4:$A$140,0),18)))</f>
        <v>42016</v>
      </c>
      <c r="AD68" s="68"/>
      <c r="AE68" s="68"/>
      <c r="AF68" s="68"/>
      <c r="AG68" s="68"/>
      <c r="AH68" s="68"/>
      <c r="AI68" s="68"/>
      <c r="AJ68" s="69"/>
      <c r="AK68" s="70"/>
      <c r="AL68" s="69"/>
      <c r="AM68" s="69"/>
      <c r="AN68" s="7">
        <f t="shared" si="2"/>
        <v>41470</v>
      </c>
      <c r="AO68" s="7">
        <f t="shared" si="3"/>
        <v>41625</v>
      </c>
      <c r="AP68" s="7">
        <f t="shared" si="4"/>
        <v>41932</v>
      </c>
      <c r="AQ68" s="7">
        <f t="shared" si="5"/>
        <v>42106</v>
      </c>
      <c r="AR68" s="59">
        <f t="shared" si="6"/>
        <v>42136</v>
      </c>
      <c r="AS68" s="60">
        <f t="shared" si="7"/>
        <v>42168</v>
      </c>
      <c r="AT68" s="59">
        <f t="shared" si="8"/>
        <v>42091</v>
      </c>
      <c r="AU68" s="59">
        <f t="shared" si="9"/>
        <v>42016</v>
      </c>
      <c r="AV68" s="76">
        <f t="shared" si="10"/>
        <v>41470</v>
      </c>
      <c r="AW68" s="76">
        <f t="shared" si="11"/>
        <v>41470</v>
      </c>
      <c r="AX68" s="61">
        <f t="shared" si="12"/>
        <v>41625</v>
      </c>
      <c r="AY68" s="61">
        <f t="shared" si="13"/>
        <v>41625</v>
      </c>
      <c r="AZ68" s="61">
        <f t="shared" si="14"/>
        <v>41932</v>
      </c>
      <c r="BA68" s="61">
        <f t="shared" si="15"/>
        <v>41932</v>
      </c>
      <c r="BB68" s="61">
        <f t="shared" si="16"/>
        <v>42106</v>
      </c>
      <c r="BC68" s="61">
        <f t="shared" si="17"/>
        <v>42106</v>
      </c>
      <c r="BD68" s="61">
        <f t="shared" si="18"/>
        <v>42136</v>
      </c>
      <c r="BE68" s="61">
        <f t="shared" si="19"/>
        <v>42136</v>
      </c>
      <c r="BF68" s="61">
        <f t="shared" si="20"/>
        <v>42168</v>
      </c>
      <c r="BG68" s="61">
        <f t="shared" si="21"/>
        <v>42168</v>
      </c>
      <c r="BH68" s="61">
        <f t="shared" si="22"/>
        <v>42091</v>
      </c>
      <c r="BI68" s="61">
        <f t="shared" si="23"/>
        <v>42091</v>
      </c>
      <c r="BJ68" s="61">
        <f t="shared" si="24"/>
        <v>42016</v>
      </c>
      <c r="BK68" s="61">
        <f t="shared" si="25"/>
        <v>42016</v>
      </c>
    </row>
    <row r="69" spans="1:63">
      <c r="A69" s="13" t="s">
        <v>192</v>
      </c>
      <c r="B69" s="74" t="str">
        <f t="shared" si="26"/>
        <v>ANA Gouv Jap</v>
      </c>
      <c r="C69" s="74" t="str">
        <f t="shared" si="27"/>
        <v>B777</v>
      </c>
      <c r="D69" s="7">
        <v>42012</v>
      </c>
      <c r="E69" s="7">
        <v>42117</v>
      </c>
      <c r="F69" s="7">
        <v>42277</v>
      </c>
      <c r="G69" s="7">
        <v>42421</v>
      </c>
      <c r="H69" s="59">
        <v>42450</v>
      </c>
      <c r="I69" s="60">
        <v>42522</v>
      </c>
      <c r="J69" s="59">
        <v>42373</v>
      </c>
      <c r="K69" s="59">
        <v>42331</v>
      </c>
      <c r="L69" s="57" t="str">
        <f>IF($A69="","",INDEX([1]Portfolio!$A$3:$AU$63,MATCH($A69,[1]Portfolio!$B$3:$B$63,0),3))</f>
        <v>ANA Gouv Jap</v>
      </c>
      <c r="M69" s="57" t="str">
        <f>IF($A69="","",INDEX([1]Portfolio!$A$3:$AU$63,MATCH($A69,[1]Portfolio!$B$3:$B$63,0),5))</f>
        <v>B777</v>
      </c>
      <c r="N69" s="6">
        <f>IF($A69="","",INDEX([1]Portfolio!$A$3:$AU$63,MATCH($A69,[1]Portfolio!$B$3:$B$63,0),29))</f>
        <v>42012</v>
      </c>
      <c r="O69" s="6">
        <f>IF($A69="","",INDEX([1]Portfolio!$A$3:$AU$63,MATCH($A69,[1]Portfolio!$B$3:$B$63,0),32))</f>
        <v>42117</v>
      </c>
      <c r="P69" s="7">
        <f>IF($A69="","",INDEX([1]Portfolio!$A$3:$AU$63,MATCH($A69,[1]Portfolio!$B$3:$B$63,0),35))</f>
        <v>42277</v>
      </c>
      <c r="Q69" s="7">
        <f>IF($A69="","",INDEX([1]Portfolio!$A$3:$AU$63,MATCH($A69,[1]Portfolio!$B$3:$B$63,0),38))</f>
        <v>42422</v>
      </c>
      <c r="R69" s="7">
        <f>IF($A69="","",INDEX([1]Portfolio!$A$3:$AU$63,MATCH($A69,[1]Portfolio!$B$3:$B$63,0),42))</f>
        <v>42450</v>
      </c>
      <c r="S69" s="7">
        <f>IF($A69="","",INDEX([1]Portfolio!$A$3:$AU$63,MATCH($A69,[1]Portfolio!$B$3:$B$63,0),43))</f>
        <v>42522</v>
      </c>
      <c r="T69" s="7">
        <f>IF($A69="","",INDEX([1]Portfolio!$A$3:$AU$63,MATCH($A69,[1]Portfolio!$B$3:$B$63,0),37))</f>
        <v>42373</v>
      </c>
      <c r="U69" s="7">
        <f>IF($A69="","",INDEX([1]Portfolio!$A$3:$AU$63,MATCH($A69,[1]Portfolio!$B$3:$B$63,0),36))</f>
        <v>0</v>
      </c>
      <c r="V69" s="7">
        <f>IF($A69="","",(INDEX([2]Programmesjalons!$A$4:$AH$140,MATCH($A69,[2]Programmesjalons!$A$4:$A$140,0),8)))</f>
        <v>42012</v>
      </c>
      <c r="W69" s="7">
        <f>IF($A69="","",(INDEX([2]Programmesjalons!$A$4:$AH$140,MATCH($A69,[2]Programmesjalons!$A$4:$A$140,0),12)))</f>
        <v>42117</v>
      </c>
      <c r="X69" s="7">
        <f>IF($A69="","",(INDEX([2]Programmesjalons!$A$4:$AH$140,MATCH($A69,[2]Programmesjalons!$A$4:$A$140,0),16)))</f>
        <v>42277</v>
      </c>
      <c r="Y69" s="7">
        <f>IF($A69="","",(INDEX([2]Programmesjalons!$A$4:$AH$140,MATCH($A69,[2]Programmesjalons!$A$4:$A$140,0),30)))</f>
        <v>42421</v>
      </c>
      <c r="Z69" s="59">
        <f>IF($A69="","",(INDEX([2]Programmesjalons!$A$4:$AH$140,MATCH($A69,[2]Programmesjalons!$A$4:$A$140,0),32)))</f>
        <v>42450</v>
      </c>
      <c r="AA69" s="60">
        <f>IF($A69="","",(INDEX([2]Programmesjalons!$A$4:$AH$140,MATCH($A69,[2]Programmesjalons!$A$4:$A$140,0),34)))</f>
        <v>42522</v>
      </c>
      <c r="AB69" s="59">
        <f>IF($A69="","",(INDEX([2]Programmesjalons!$A$4:$AH$140,MATCH($A69,[2]Programmesjalons!$A$4:$A$140,0),26)))</f>
        <v>42406</v>
      </c>
      <c r="AC69" s="59">
        <f>IF($A69="","",(INDEX([2]Programmesjalons!$A$4:$AH$140,MATCH($A69,[2]Programmesjalons!$A$4:$A$140,0),18)))</f>
        <v>42331</v>
      </c>
      <c r="AD69" s="68"/>
      <c r="AE69" s="68"/>
      <c r="AF69" s="68"/>
      <c r="AG69" s="68"/>
      <c r="AH69" s="68"/>
      <c r="AI69" s="68"/>
      <c r="AJ69" s="69"/>
      <c r="AK69" s="70"/>
      <c r="AL69" s="69"/>
      <c r="AM69" s="69"/>
      <c r="AN69" s="7">
        <f t="shared" si="2"/>
        <v>42012</v>
      </c>
      <c r="AO69" s="7">
        <f t="shared" si="3"/>
        <v>42117</v>
      </c>
      <c r="AP69" s="7">
        <f t="shared" si="4"/>
        <v>42277</v>
      </c>
      <c r="AQ69" s="7">
        <f t="shared" si="5"/>
        <v>42421</v>
      </c>
      <c r="AR69" s="59">
        <f t="shared" si="6"/>
        <v>42450</v>
      </c>
      <c r="AS69" s="60">
        <f t="shared" si="7"/>
        <v>42522</v>
      </c>
      <c r="AT69" s="59">
        <f t="shared" si="8"/>
        <v>42373</v>
      </c>
      <c r="AU69" s="59">
        <f t="shared" si="9"/>
        <v>42331</v>
      </c>
      <c r="AV69" s="76">
        <f t="shared" si="10"/>
        <v>42012</v>
      </c>
      <c r="AW69" s="76">
        <f t="shared" si="11"/>
        <v>42012</v>
      </c>
      <c r="AX69" s="61">
        <f t="shared" si="12"/>
        <v>42117</v>
      </c>
      <c r="AY69" s="61">
        <f t="shared" si="13"/>
        <v>42117</v>
      </c>
      <c r="AZ69" s="61">
        <f t="shared" si="14"/>
        <v>42277</v>
      </c>
      <c r="BA69" s="61">
        <f t="shared" si="15"/>
        <v>42277</v>
      </c>
      <c r="BB69" s="61">
        <f t="shared" si="16"/>
        <v>42421</v>
      </c>
      <c r="BC69" s="61">
        <f t="shared" si="17"/>
        <v>42421</v>
      </c>
      <c r="BD69" s="61">
        <f t="shared" si="18"/>
        <v>42450</v>
      </c>
      <c r="BE69" s="61">
        <f t="shared" si="19"/>
        <v>42450</v>
      </c>
      <c r="BF69" s="61">
        <f t="shared" si="20"/>
        <v>42522</v>
      </c>
      <c r="BG69" s="61">
        <f t="shared" si="21"/>
        <v>42522</v>
      </c>
      <c r="BH69" s="61">
        <f t="shared" si="22"/>
        <v>42373</v>
      </c>
      <c r="BI69" s="61">
        <f t="shared" si="23"/>
        <v>42373</v>
      </c>
      <c r="BJ69" s="61">
        <f t="shared" si="24"/>
        <v>42331</v>
      </c>
      <c r="BK69" s="61">
        <f t="shared" si="25"/>
        <v>42331</v>
      </c>
    </row>
    <row r="70" spans="1:63">
      <c r="A70" s="25" t="s">
        <v>51</v>
      </c>
      <c r="B70" s="74" t="str">
        <f t="shared" si="26"/>
        <v>Finnair / ACS</v>
      </c>
      <c r="C70" s="74" t="str">
        <f t="shared" si="27"/>
        <v>A350-900</v>
      </c>
      <c r="D70" s="7">
        <v>41249</v>
      </c>
      <c r="E70" s="7">
        <v>41418</v>
      </c>
      <c r="F70" s="7">
        <v>41817</v>
      </c>
      <c r="G70" s="7">
        <v>42035</v>
      </c>
      <c r="H70" s="59">
        <v>42065</v>
      </c>
      <c r="I70" s="60">
        <v>42131</v>
      </c>
      <c r="J70" s="59">
        <v>41913</v>
      </c>
      <c r="K70" s="59">
        <v>41945</v>
      </c>
      <c r="L70" s="57" t="str">
        <f>IF($A70="","",INDEX([1]Portfolio!$A$3:$AU$63,MATCH($A70,[1]Portfolio!$B$3:$B$63,0),3))</f>
        <v>Finnair / ACS</v>
      </c>
      <c r="M70" s="57" t="str">
        <f>IF($A70="","",INDEX([1]Portfolio!$A$3:$AU$63,MATCH($A70,[1]Portfolio!$B$3:$B$63,0),5))</f>
        <v>A350-900</v>
      </c>
      <c r="N70" s="6">
        <f>IF($A70="","",INDEX([1]Portfolio!$A$3:$AU$63,MATCH($A70,[1]Portfolio!$B$3:$B$63,0),29))</f>
        <v>41249</v>
      </c>
      <c r="O70" s="6">
        <f>IF($A70="","",INDEX([1]Portfolio!$A$3:$AU$63,MATCH($A70,[1]Portfolio!$B$3:$B$63,0),32))</f>
        <v>41418</v>
      </c>
      <c r="P70" s="7">
        <f>IF($A70="","",INDEX([1]Portfolio!$A$3:$AU$63,MATCH($A70,[1]Portfolio!$B$3:$B$63,0),35))</f>
        <v>41817</v>
      </c>
      <c r="Q70" s="7">
        <f>IF($A70="","",INDEX([1]Portfolio!$A$3:$AU$63,MATCH($A70,[1]Portfolio!$B$3:$B$63,0),38))</f>
        <v>42037</v>
      </c>
      <c r="R70" s="7">
        <f>IF($A70="","",INDEX([1]Portfolio!$A$3:$AU$63,MATCH($A70,[1]Portfolio!$B$3:$B$63,0),42))</f>
        <v>42065</v>
      </c>
      <c r="S70" s="7">
        <f>IF($A70="","",INDEX([1]Portfolio!$A$3:$AU$63,MATCH($A70,[1]Portfolio!$B$3:$B$63,0),43))</f>
        <v>0</v>
      </c>
      <c r="T70" s="7">
        <f>IF($A70="","",INDEX([1]Portfolio!$A$3:$AU$63,MATCH($A70,[1]Portfolio!$B$3:$B$63,0),37))</f>
        <v>41913</v>
      </c>
      <c r="U70" s="7">
        <f>IF($A70="","",INDEX([1]Portfolio!$A$3:$AU$63,MATCH($A70,[1]Portfolio!$B$3:$B$63,0),36))</f>
        <v>0</v>
      </c>
      <c r="V70" s="7">
        <f>IF($A70="","",(INDEX([2]Programmesjalons!$A$4:$AH$140,MATCH($A70,[2]Programmesjalons!$A$4:$A$140,0),8)))</f>
        <v>41249</v>
      </c>
      <c r="W70" s="7">
        <f>IF($A70="","",(INDEX([2]Programmesjalons!$A$4:$AH$140,MATCH($A70,[2]Programmesjalons!$A$4:$A$140,0),12)))</f>
        <v>41418</v>
      </c>
      <c r="X70" s="7">
        <f>IF($A70="","",(INDEX([2]Programmesjalons!$A$4:$AH$140,MATCH($A70,[2]Programmesjalons!$A$4:$A$140,0),16)))</f>
        <v>41817</v>
      </c>
      <c r="Y70" s="7">
        <f>IF($A70="","",(INDEX([2]Programmesjalons!$A$4:$AH$140,MATCH($A70,[2]Programmesjalons!$A$4:$A$140,0),30)))</f>
        <v>42035</v>
      </c>
      <c r="Z70" s="59">
        <f>IF($A70="","",(INDEX([2]Programmesjalons!$A$4:$AH$140,MATCH($A70,[2]Programmesjalons!$A$4:$A$140,0),32)))</f>
        <v>42065</v>
      </c>
      <c r="AA70" s="60">
        <f>IF($A70="","",(INDEX([2]Programmesjalons!$A$4:$AH$140,MATCH($A70,[2]Programmesjalons!$A$4:$A$140,0),34)))</f>
        <v>42131</v>
      </c>
      <c r="AB70" s="59">
        <f>IF($A70="","",(INDEX([2]Programmesjalons!$A$4:$AH$140,MATCH($A70,[2]Programmesjalons!$A$4:$A$140,0),26)))</f>
        <v>42020</v>
      </c>
      <c r="AC70" s="59">
        <f>IF($A70="","",(INDEX([2]Programmesjalons!$A$4:$AH$140,MATCH($A70,[2]Programmesjalons!$A$4:$A$140,0),18)))</f>
        <v>41945</v>
      </c>
      <c r="AD70" s="68"/>
      <c r="AE70" s="68"/>
      <c r="AF70" s="68"/>
      <c r="AG70" s="68"/>
      <c r="AH70" s="68"/>
      <c r="AI70" s="68"/>
      <c r="AJ70" s="69"/>
      <c r="AK70" s="70"/>
      <c r="AL70" s="69"/>
      <c r="AM70" s="69"/>
      <c r="AN70" s="7">
        <f t="shared" si="2"/>
        <v>41249</v>
      </c>
      <c r="AO70" s="7">
        <f t="shared" si="3"/>
        <v>41418</v>
      </c>
      <c r="AP70" s="7">
        <f t="shared" si="4"/>
        <v>41817</v>
      </c>
      <c r="AQ70" s="7">
        <f t="shared" si="5"/>
        <v>42035</v>
      </c>
      <c r="AR70" s="59">
        <f t="shared" si="6"/>
        <v>42065</v>
      </c>
      <c r="AS70" s="60">
        <f t="shared" si="7"/>
        <v>42131</v>
      </c>
      <c r="AT70" s="59">
        <f t="shared" si="8"/>
        <v>41913</v>
      </c>
      <c r="AU70" s="59">
        <f t="shared" si="9"/>
        <v>41945</v>
      </c>
      <c r="AV70" s="76">
        <f t="shared" si="10"/>
        <v>41249</v>
      </c>
      <c r="AW70" s="76">
        <f t="shared" si="11"/>
        <v>41249</v>
      </c>
      <c r="AX70" s="61">
        <f t="shared" si="12"/>
        <v>41418</v>
      </c>
      <c r="AY70" s="61">
        <f t="shared" si="13"/>
        <v>41418</v>
      </c>
      <c r="AZ70" s="61">
        <f t="shared" si="14"/>
        <v>41817</v>
      </c>
      <c r="BA70" s="61">
        <f t="shared" si="15"/>
        <v>41817</v>
      </c>
      <c r="BB70" s="61">
        <f t="shared" si="16"/>
        <v>42035</v>
      </c>
      <c r="BC70" s="61">
        <f t="shared" si="17"/>
        <v>42035</v>
      </c>
      <c r="BD70" s="61">
        <f t="shared" si="18"/>
        <v>42065</v>
      </c>
      <c r="BE70" s="61">
        <f t="shared" si="19"/>
        <v>42065</v>
      </c>
      <c r="BF70" s="61">
        <f t="shared" si="20"/>
        <v>42131</v>
      </c>
      <c r="BG70" s="61">
        <f t="shared" si="21"/>
        <v>42131</v>
      </c>
      <c r="BH70" s="61">
        <f t="shared" si="22"/>
        <v>41913</v>
      </c>
      <c r="BI70" s="61">
        <f t="shared" si="23"/>
        <v>41913</v>
      </c>
      <c r="BJ70" s="61">
        <f t="shared" si="24"/>
        <v>41945</v>
      </c>
      <c r="BK70" s="61">
        <f t="shared" si="25"/>
        <v>41945</v>
      </c>
    </row>
    <row r="71" spans="1:63">
      <c r="A71" s="25" t="s">
        <v>53</v>
      </c>
      <c r="B71" s="74">
        <f t="shared" ref="B71:B102" si="28">IF($A71=0,"",IF(ISNA(L71),AD71,L71))</f>
        <v>0</v>
      </c>
      <c r="C71" s="74">
        <f t="shared" ref="C71:C102" si="29">IF($A71=0,"",IF(ISNA(M71),AE71,M71))</f>
        <v>0</v>
      </c>
      <c r="D71" s="7" t="s">
        <v>242</v>
      </c>
      <c r="E71" s="7" t="s">
        <v>242</v>
      </c>
      <c r="F71" s="7" t="s">
        <v>242</v>
      </c>
      <c r="G71" s="7" t="s">
        <v>242</v>
      </c>
      <c r="H71" s="59" t="s">
        <v>242</v>
      </c>
      <c r="I71" s="60" t="s">
        <v>242</v>
      </c>
      <c r="J71" s="59" t="s">
        <v>242</v>
      </c>
      <c r="K71" s="59" t="s">
        <v>242</v>
      </c>
      <c r="L71" s="57" t="e">
        <f>IF($A71="","",INDEX([1]Portfolio!$A$3:$AU$63,MATCH($A71,[1]Portfolio!$B$3:$B$63,0),3))</f>
        <v>#N/A</v>
      </c>
      <c r="M71" s="57" t="e">
        <f>IF($A71="","",INDEX([1]Portfolio!$A$3:$AU$63,MATCH($A71,[1]Portfolio!$B$3:$B$63,0),5))</f>
        <v>#N/A</v>
      </c>
      <c r="N71" s="6" t="e">
        <f>IF($A71="","",INDEX([1]Portfolio!$A$3:$AU$63,MATCH($A71,[1]Portfolio!$B$3:$B$63,0),29))</f>
        <v>#N/A</v>
      </c>
      <c r="O71" s="6" t="e">
        <f>IF($A71="","",INDEX([1]Portfolio!$A$3:$AU$63,MATCH($A71,[1]Portfolio!$B$3:$B$63,0),32))</f>
        <v>#N/A</v>
      </c>
      <c r="P71" s="7" t="e">
        <f>IF($A71="","",INDEX([1]Portfolio!$A$3:$AU$63,MATCH($A71,[1]Portfolio!$B$3:$B$63,0),35))</f>
        <v>#N/A</v>
      </c>
      <c r="Q71" s="7" t="e">
        <f>IF($A71="","",INDEX([1]Portfolio!$A$3:$AU$63,MATCH($A71,[1]Portfolio!$B$3:$B$63,0),38))</f>
        <v>#N/A</v>
      </c>
      <c r="R71" s="7" t="e">
        <f>IF($A71="","",INDEX([1]Portfolio!$A$3:$AU$63,MATCH($A71,[1]Portfolio!$B$3:$B$63,0),42))</f>
        <v>#N/A</v>
      </c>
      <c r="S71" s="7" t="e">
        <f>IF($A71="","",INDEX([1]Portfolio!$A$3:$AU$63,MATCH($A71,[1]Portfolio!$B$3:$B$63,0),43))</f>
        <v>#N/A</v>
      </c>
      <c r="T71" s="7" t="e">
        <f>IF($A71="","",INDEX([1]Portfolio!$A$3:$AU$63,MATCH($A71,[1]Portfolio!$B$3:$B$63,0),37))</f>
        <v>#N/A</v>
      </c>
      <c r="U71" s="7" t="e">
        <f>IF($A71="","",INDEX([1]Portfolio!$A$3:$AU$63,MATCH($A71,[1]Portfolio!$B$3:$B$63,0),36))</f>
        <v>#N/A</v>
      </c>
      <c r="V71" s="7" t="e">
        <f>IF($A71="","",(INDEX([2]Programmesjalons!$A$4:$AH$140,MATCH($A71,[2]Programmesjalons!$A$4:$A$140,0),8)))</f>
        <v>#N/A</v>
      </c>
      <c r="W71" s="7" t="e">
        <f>IF($A71="","",(INDEX([2]Programmesjalons!$A$4:$AH$140,MATCH($A71,[2]Programmesjalons!$A$4:$A$140,0),12)))</f>
        <v>#N/A</v>
      </c>
      <c r="X71" s="7" t="e">
        <f>IF($A71="","",(INDEX([2]Programmesjalons!$A$4:$AH$140,MATCH($A71,[2]Programmesjalons!$A$4:$A$140,0),16)))</f>
        <v>#N/A</v>
      </c>
      <c r="Y71" s="7" t="e">
        <f>IF($A71="","",(INDEX([2]Programmesjalons!$A$4:$AH$140,MATCH($A71,[2]Programmesjalons!$A$4:$A$140,0),30)))</f>
        <v>#N/A</v>
      </c>
      <c r="Z71" s="59" t="e">
        <f>IF($A71="","",(INDEX([2]Programmesjalons!$A$4:$AH$140,MATCH($A71,[2]Programmesjalons!$A$4:$A$140,0),32)))</f>
        <v>#N/A</v>
      </c>
      <c r="AA71" s="60" t="e">
        <f>IF($A71="","",(INDEX([2]Programmesjalons!$A$4:$AH$140,MATCH($A71,[2]Programmesjalons!$A$4:$A$140,0),34)))</f>
        <v>#N/A</v>
      </c>
      <c r="AB71" s="59" t="e">
        <f>IF($A71="","",(INDEX([2]Programmesjalons!$A$4:$AH$140,MATCH($A71,[2]Programmesjalons!$A$4:$A$140,0),26)))</f>
        <v>#N/A</v>
      </c>
      <c r="AC71" s="59" t="e">
        <f>IF($A71="","",(INDEX([2]Programmesjalons!$A$4:$AH$140,MATCH($A71,[2]Programmesjalons!$A$4:$A$140,0),18)))</f>
        <v>#N/A</v>
      </c>
      <c r="AD71" s="68"/>
      <c r="AE71" s="68"/>
      <c r="AF71" s="68"/>
      <c r="AG71" s="68"/>
      <c r="AH71" s="68"/>
      <c r="AI71" s="68"/>
      <c r="AJ71" s="69"/>
      <c r="AK71" s="70"/>
      <c r="AL71" s="69"/>
      <c r="AM71" s="69"/>
      <c r="AN71" s="7" t="str">
        <f t="shared" si="2"/>
        <v>manque date</v>
      </c>
      <c r="AO71" s="7" t="str">
        <f t="shared" si="3"/>
        <v>manque date</v>
      </c>
      <c r="AP71" s="7" t="str">
        <f t="shared" si="4"/>
        <v>manque date</v>
      </c>
      <c r="AQ71" s="7" t="str">
        <f t="shared" si="5"/>
        <v>manque date</v>
      </c>
      <c r="AR71" s="59" t="str">
        <f t="shared" si="6"/>
        <v>manque date</v>
      </c>
      <c r="AS71" s="60" t="str">
        <f t="shared" si="7"/>
        <v>manque date</v>
      </c>
      <c r="AT71" s="59" t="str">
        <f t="shared" si="8"/>
        <v>manque date</v>
      </c>
      <c r="AU71" s="59" t="str">
        <f t="shared" si="9"/>
        <v>manque date</v>
      </c>
      <c r="AV71" s="76">
        <f t="shared" si="10"/>
        <v>0</v>
      </c>
      <c r="AW71" s="76" t="str">
        <f t="shared" si="11"/>
        <v>manque date</v>
      </c>
      <c r="AX71" s="61">
        <f t="shared" si="12"/>
        <v>0</v>
      </c>
      <c r="AY71" s="61" t="str">
        <f t="shared" si="13"/>
        <v>manque date</v>
      </c>
      <c r="AZ71" s="61">
        <f t="shared" si="14"/>
        <v>0</v>
      </c>
      <c r="BA71" s="61" t="str">
        <f t="shared" si="15"/>
        <v>manque date</v>
      </c>
      <c r="BB71" s="61">
        <f t="shared" si="16"/>
        <v>0</v>
      </c>
      <c r="BC71" s="61" t="str">
        <f t="shared" si="17"/>
        <v>manque date</v>
      </c>
      <c r="BD71" s="61">
        <f t="shared" si="18"/>
        <v>0</v>
      </c>
      <c r="BE71" s="61" t="str">
        <f t="shared" si="19"/>
        <v>manque date</v>
      </c>
      <c r="BF71" s="61">
        <f t="shared" si="20"/>
        <v>0</v>
      </c>
      <c r="BG71" s="61" t="str">
        <f t="shared" si="21"/>
        <v>manque date</v>
      </c>
      <c r="BH71" s="61">
        <f t="shared" si="22"/>
        <v>0</v>
      </c>
      <c r="BI71" s="61" t="str">
        <f t="shared" si="23"/>
        <v>manque date</v>
      </c>
      <c r="BJ71" s="61">
        <f t="shared" si="24"/>
        <v>0</v>
      </c>
      <c r="BK71" s="61" t="str">
        <f t="shared" si="25"/>
        <v>manque date</v>
      </c>
    </row>
    <row r="72" spans="1:63">
      <c r="A72" s="25" t="s">
        <v>49</v>
      </c>
      <c r="B72" s="74" t="str">
        <f t="shared" si="28"/>
        <v>KLM</v>
      </c>
      <c r="C72" s="74" t="str">
        <f t="shared" si="29"/>
        <v>B787-9</v>
      </c>
      <c r="D72" s="7">
        <v>41568</v>
      </c>
      <c r="E72" s="7">
        <v>41701</v>
      </c>
      <c r="F72" s="7">
        <v>41892</v>
      </c>
      <c r="G72" s="7">
        <v>42145</v>
      </c>
      <c r="H72" s="59">
        <v>42173</v>
      </c>
      <c r="I72" s="60">
        <v>42214</v>
      </c>
      <c r="J72" s="59">
        <v>41988</v>
      </c>
      <c r="K72" s="59">
        <v>42055</v>
      </c>
      <c r="L72" s="57" t="str">
        <f>IF($A72="","",INDEX([1]Portfolio!$A$3:$AU$63,MATCH($A72,[1]Portfolio!$B$3:$B$63,0),3))</f>
        <v>KLM</v>
      </c>
      <c r="M72" s="57" t="str">
        <f>IF($A72="","",INDEX([1]Portfolio!$A$3:$AU$63,MATCH($A72,[1]Portfolio!$B$3:$B$63,0),5))</f>
        <v>B787-9</v>
      </c>
      <c r="N72" s="6">
        <f>IF($A72="","",INDEX([1]Portfolio!$A$3:$AU$63,MATCH($A72,[1]Portfolio!$B$3:$B$63,0),29))</f>
        <v>41568</v>
      </c>
      <c r="O72" s="6">
        <f>IF($A72="","",INDEX([1]Portfolio!$A$3:$AU$63,MATCH($A72,[1]Portfolio!$B$3:$B$63,0),32))</f>
        <v>41701</v>
      </c>
      <c r="P72" s="7">
        <f>IF($A72="","",INDEX([1]Portfolio!$A$3:$AU$63,MATCH($A72,[1]Portfolio!$B$3:$B$63,0),35))</f>
        <v>41892</v>
      </c>
      <c r="Q72" s="7">
        <f>IF($A72="","",INDEX([1]Portfolio!$A$3:$AU$63,MATCH($A72,[1]Portfolio!$B$3:$B$63,0),38))</f>
        <v>42145</v>
      </c>
      <c r="R72" s="7">
        <f>IF($A72="","",INDEX([1]Portfolio!$A$3:$AU$63,MATCH($A72,[1]Portfolio!$B$3:$B$63,0),42))</f>
        <v>42173</v>
      </c>
      <c r="S72" s="7">
        <f>IF($A72="","",INDEX([1]Portfolio!$A$3:$AU$63,MATCH($A72,[1]Portfolio!$B$3:$B$63,0),43))</f>
        <v>42430</v>
      </c>
      <c r="T72" s="7">
        <f>IF($A72="","",INDEX([1]Portfolio!$A$3:$AU$63,MATCH($A72,[1]Portfolio!$B$3:$B$63,0),37))</f>
        <v>41988</v>
      </c>
      <c r="U72" s="7" t="str">
        <f>IF($A72="","",INDEX([1]Portfolio!$A$3:$AU$63,MATCH($A72,[1]Portfolio!$B$3:$B$63,0),36))</f>
        <v>**</v>
      </c>
      <c r="V72" s="7">
        <f>IF($A72="","",(INDEX([2]Programmesjalons!$A$4:$AH$140,MATCH($A72,[2]Programmesjalons!$A$4:$A$140,0),8)))</f>
        <v>41568</v>
      </c>
      <c r="W72" s="7">
        <f>IF($A72="","",(INDEX([2]Programmesjalons!$A$4:$AH$140,MATCH($A72,[2]Programmesjalons!$A$4:$A$140,0),12)))</f>
        <v>41701</v>
      </c>
      <c r="X72" s="7">
        <f>IF($A72="","",(INDEX([2]Programmesjalons!$A$4:$AH$140,MATCH($A72,[2]Programmesjalons!$A$4:$A$140,0),16)))</f>
        <v>41901</v>
      </c>
      <c r="Y72" s="7">
        <f>IF($A72="","",(INDEX([2]Programmesjalons!$A$4:$AH$140,MATCH($A72,[2]Programmesjalons!$A$4:$A$140,0),30)))</f>
        <v>42145</v>
      </c>
      <c r="Z72" s="59">
        <f>IF($A72="","",(INDEX([2]Programmesjalons!$A$4:$AH$140,MATCH($A72,[2]Programmesjalons!$A$4:$A$140,0),32)))</f>
        <v>42173</v>
      </c>
      <c r="AA72" s="60">
        <f>IF($A72="","",(INDEX([2]Programmesjalons!$A$4:$AH$140,MATCH($A72,[2]Programmesjalons!$A$4:$A$140,0),34)))</f>
        <v>42214</v>
      </c>
      <c r="AB72" s="59">
        <f>IF($A72="","",(INDEX([2]Programmesjalons!$A$4:$AH$140,MATCH($A72,[2]Programmesjalons!$A$4:$A$140,0),26)))</f>
        <v>42130</v>
      </c>
      <c r="AC72" s="59">
        <f>IF($A72="","",(INDEX([2]Programmesjalons!$A$4:$AH$140,MATCH($A72,[2]Programmesjalons!$A$4:$A$140,0),18)))</f>
        <v>42055</v>
      </c>
      <c r="AD72" s="68"/>
      <c r="AE72" s="68"/>
      <c r="AF72" s="68"/>
      <c r="AG72" s="68"/>
      <c r="AH72" s="68"/>
      <c r="AI72" s="68"/>
      <c r="AJ72" s="69"/>
      <c r="AK72" s="70"/>
      <c r="AL72" s="69"/>
      <c r="AM72" s="69"/>
      <c r="AN72" s="7">
        <f t="shared" ref="AN72:AN125" si="30">IF($A72=0,"",IF(AF72&lt;&gt;0,IF(AV72=0,AF72,MIN(AF72,AV72)),IF(AW72=0,"manque date",AW72)))</f>
        <v>41568</v>
      </c>
      <c r="AO72" s="7">
        <f t="shared" ref="AO72:AO125" si="31">IF($A72=0,"",IF(AG72&lt;&gt;0,IF(AX72=0,AG72,MIN(AG72,AX72)),IF(AY72=0,"manque date",AY72)))</f>
        <v>41701</v>
      </c>
      <c r="AP72" s="7">
        <f t="shared" ref="AP72:AP125" si="32">IF($A72=0,"",IF(AH72&lt;&gt;0,IF(AZ72=0,AH72,MIN(AH72,AZ72)),IF(BA72=0,"manque date",BA72)))</f>
        <v>41892</v>
      </c>
      <c r="AQ72" s="7">
        <f t="shared" ref="AQ72:AQ125" si="33">IF($A72=0,"",IF(AI72&lt;&gt;0,IF(BB72=0,AI72,MIN(AI72,BB72)),IF(BC72=0,"manque date",BC72)))</f>
        <v>42145</v>
      </c>
      <c r="AR72" s="59">
        <f t="shared" ref="AR72:AR125" si="34">IF($A72=0,"",IF(AJ72&lt;&gt;0,IF(BD72=0,AJ72,MIN(AJ72,BD72)),IF(BE72=0,"manque date",BE72)))</f>
        <v>42173</v>
      </c>
      <c r="AS72" s="60">
        <f t="shared" ref="AS72:AS125" si="35">IF($A72=0,"",IF(AK72&lt;&gt;0,IF(BF72=0,AK72,MIN(AK72,BF72)),IF(BG72=0,"manque date",BG72)))</f>
        <v>42214</v>
      </c>
      <c r="AT72" s="59">
        <f t="shared" ref="AT72:AT125" si="36">IF($A72=0,"",IF(AL72&lt;&gt;0,IF(BH72=0,AL72,MIN(AL72,BH72)),IF(BI72=0,"manque date",BI72)))</f>
        <v>41988</v>
      </c>
      <c r="AU72" s="59">
        <f t="shared" ref="AU72:AU125" si="37">IF($A72=0,"",IF(AM72&lt;&gt;0,IF(BJ72=0,AM72,MIN(AM72,BJ72)),IF(BK72=0,"manque date",BK72)))</f>
        <v>42055</v>
      </c>
      <c r="AV72" s="76">
        <f t="shared" ref="AV72:AV125" si="38">IF(AND(OR(ISNA(N72),ISTEXT(N72)),OR(ISNA(V72),ISTEXT(V72))),AF72,IF(OR(ISNA(N72),ISTEXT(N72)),IF(V72=0,AF72,MIN(V72,AF72)),IF(OR(ISNA(V72),ISTEXT(V72)),IF(N72=0,AF72,MIN(N72,AF72)),IF(N72=0,IF(V72=0,AF72,MIN(V72,AF72)),MIN(N72,V72,AF72)))))</f>
        <v>41568</v>
      </c>
      <c r="AW72" s="76">
        <f t="shared" ref="AW72:AW125" si="39">IF(AND(OR(ISNA(N72),ISTEXT(N72)),OR(ISNA(V72),ISTEXT(V72))),"manque date",IF(OR(ISNA(N72),ISTEXT(N72)),V72,IF(OR(ISNA(V72),ISTEXT(V72)),N72,IF(N72=0,V72,IF(V72=0,N72,MIN(N72,V72))))))</f>
        <v>41568</v>
      </c>
      <c r="AX72" s="61">
        <f t="shared" ref="AX72:AX125" si="40">IF(AND(OR(ISNA(O72),ISTEXT(O72)),OR(ISNA(W72),ISTEXT(W72))),AG72,IF(OR(ISNA(O72),ISTEXT(O72)),IF(W72=0,AG72,MIN(W72,AG72)),IF(OR(ISNA(W72),ISTEXT(W72)),IF(O72=0,AG72,MIN(O72,AG72)),IF(O72=0,IF(W72=0,AG72,MIN(W72,AG72)),MIN(O72,W72,AG72)))))</f>
        <v>41701</v>
      </c>
      <c r="AY72" s="61">
        <f t="shared" ref="AY72:AY125" si="41">IF(AND(OR(ISNA(O72),ISTEXT(O72)),OR(ISNA(W72),ISTEXT(W72))),"manque date",IF(OR(ISNA(O72),ISTEXT(O72)),W72,IF(OR(ISNA(W72),ISTEXT(W72)),O72,IF(O72=0,W72,IF(W72=0,O72,MIN(O72,W72))))))</f>
        <v>41701</v>
      </c>
      <c r="AZ72" s="61">
        <f t="shared" ref="AZ72:AZ125" si="42">IF(AND(OR(ISNA(P72),ISTEXT(P72)),OR(ISNA(X72),ISTEXT(X72))),AH72,IF(OR(ISNA(P72),ISTEXT(P72)),IF(X72=0,AH72,MIN(X72,AH72)),IF(OR(ISNA(X72),ISTEXT(X72)),IF(P72=0,AH72,MIN(P72,AH72)),IF(P72=0,IF(X72=0,AH72,MIN(X72,AH72)),MIN(P72,X72,AH72)))))</f>
        <v>41892</v>
      </c>
      <c r="BA72" s="61">
        <f t="shared" ref="BA72:BA125" si="43">IF(AND(OR(ISNA(P72),ISTEXT(P72)),OR(ISNA(X72),ISTEXT(X72))),"manque date",IF(OR(ISNA(P72),ISTEXT(P72)),X72,IF(OR(ISNA(X72),ISTEXT(X72)),P72,IF(P72=0,X72,IF(X72=0,P72,MIN(P72,X72))))))</f>
        <v>41892</v>
      </c>
      <c r="BB72" s="61">
        <f t="shared" ref="BB72:BB125" si="44">IF(AND(OR(ISNA(Q72),ISTEXT(Q72)),OR(ISNA(Y72),ISTEXT(Y72))),AI72,IF(OR(ISNA(Q72),ISTEXT(Q72)),IF(Y72=0,AI72,MIN(Y72,AI72)),IF(OR(ISNA(Y72),ISTEXT(Y72)),IF(Q72=0,AI72,MIN(Q72,AI72)),IF(Q72=0,IF(Y72=0,AI72,MIN(Y72,AI72)),MIN(Q72,Y72,AI72)))))</f>
        <v>42145</v>
      </c>
      <c r="BC72" s="61">
        <f t="shared" ref="BC72:BC125" si="45">IF(AND(OR(ISNA(Q72),ISTEXT(Q72)),OR(ISNA(Y72),ISTEXT(Y72))),"manque date",IF(OR(ISNA(Q72),ISTEXT(Q72)),Y72,IF(OR(ISNA(Y72),ISTEXT(Y72)),Q72,IF(Q72=0,Y72,IF(Y72=0,Q72,MIN(Q72,Y72))))))</f>
        <v>42145</v>
      </c>
      <c r="BD72" s="61">
        <f t="shared" ref="BD72:BD125" si="46">IF(AND(OR(ISNA(S72),ISTEXT(S72)),OR(ISNA(Z72),ISTEXT(Z72))),AJ72,IF(OR(ISNA(S72),ISTEXT(S72)),IF(Z72=0,AJ72,MIN(Z72,AJ72)),IF(OR(ISNA(Z72),ISTEXT(Z72)),IF(S72=0,AJ72,MIN(S72,AJ72)),IF(S72=0,IF(Z72=0,AJ72,MIN(Z72,AJ72)),MIN(S72,Z72,AJ72)))))</f>
        <v>42173</v>
      </c>
      <c r="BE72" s="61">
        <f t="shared" ref="BE72:BE125" si="47">IF(AND(OR(ISNA(R72),ISTEXT(R72)),OR(ISNA(Z72),ISTEXT(Z72))),"manque date",IF(OR(ISNA(R72),ISTEXT(R72)),Z72,IF(OR(ISNA(Z72),ISTEXT(Z72)),R72,IF(R72=0,Z72,IF(Z72=0,R72,MIN(R72,Z72))))))</f>
        <v>42173</v>
      </c>
      <c r="BF72" s="61">
        <f t="shared" ref="BF72:BF125" si="48">IF(AND(OR(ISNA(S72),ISTEXT(S72)),OR(ISNA(AA72),ISTEXT(AA72))),AK72,IF(OR(ISNA(S72),ISTEXT(S72)),IF(AA72=0,AK72,MIN(AA72,AK72)),IF(OR(ISNA(AA72),ISTEXT(AA72)),IF(S72=0,AK72,MIN(S72,AK72)),IF(S72=0,IF(AA72=0,AK72,MIN(AA72,AK72)),MIN(S72,AA72,AK72)))))</f>
        <v>42214</v>
      </c>
      <c r="BG72" s="61">
        <f t="shared" ref="BG72:BG125" si="49">IF(AND(OR(ISNA(S72),ISTEXT(S72)),OR(ISNA(AA72),ISTEXT(AA72))),"manque date",IF(OR(ISNA(S72),ISTEXT(S72)),AA72,IF(OR(ISNA(AA72),ISTEXT(AA72)),S72,IF(S72=0,AA72,IF(AA72=0,S72,MIN(S72,AA72))))))</f>
        <v>42214</v>
      </c>
      <c r="BH72" s="61">
        <f t="shared" ref="BH72:BH125" si="50">IF(AND(OR(ISNA(T72),ISTEXT(T72)),OR(ISNA(AB72),ISTEXT(AB72))),AL72,IF(OR(ISNA(T72),ISTEXT(T72)),IF(AB72=0,AL72,MIN(AB72,AL72)),IF(OR(ISNA(AB72),ISTEXT(AB72)),IF(T72=0,AL72,MIN(T72,AL72)),IF(T72=0,IF(AB72=0,AL72,MIN(AB72,AL72)),MIN(T72,AB72,AL72)))))</f>
        <v>41988</v>
      </c>
      <c r="BI72" s="61">
        <f t="shared" ref="BI72:BI125" si="51">IF(AND(OR(ISNA(T72),ISTEXT(T72)),OR(ISNA(AB72),ISTEXT(AB72))),"manque date",IF(OR(ISNA(T72),ISTEXT(T72)),AB72,IF(OR(ISNA(AB72),ISTEXT(AB72)),T72,IF(T72=0,AB72,IF(AB72=0,T72,MIN(T72,AB72))))))</f>
        <v>41988</v>
      </c>
      <c r="BJ72" s="61">
        <f t="shared" ref="BJ72:BJ125" si="52">IF(AND(OR(ISNA(U72),ISTEXT(U72)),OR(ISNA(AC72),ISTEXT(AC72))),AM72,IF(OR(ISNA(U72),ISTEXT(U72)),IF(AC72=0,AM72,MIN(AC72,AM72)),IF(OR(ISNA(AC72),ISTEXT(AC72)),IF(U72=0,AM72,MIN(U72,AM72)),IF(U72=0,IF(AC72=0,AM72,MIN(AC72,AM72)),MIN(U72,AC72,AM72)))))</f>
        <v>42055</v>
      </c>
      <c r="BK72" s="61">
        <f t="shared" ref="BK72:BK125" si="53">IF(AND(OR(ISNA(U72),ISTEXT(U72)),OR(ISNA(AC72),ISTEXT(AC72))),"manque date",IF(OR(ISNA(U72),ISTEXT(U72)),AC72,IF(OR(ISNA(AC72),ISTEXT(AC72)),U72,IF(U72=0,AC72,IF(AC72=0,U72,MIN(U72,AC72))))))</f>
        <v>42055</v>
      </c>
    </row>
    <row r="73" spans="1:63">
      <c r="A73" s="25" t="s">
        <v>50</v>
      </c>
      <c r="B73" s="74" t="str">
        <f t="shared" si="28"/>
        <v>Vietnam / catalog</v>
      </c>
      <c r="C73" s="74" t="str">
        <f t="shared" si="29"/>
        <v>B787-9</v>
      </c>
      <c r="D73" s="7">
        <v>41470</v>
      </c>
      <c r="E73" s="7">
        <v>41562</v>
      </c>
      <c r="F73" s="7">
        <v>41723</v>
      </c>
      <c r="G73" s="7">
        <v>42009</v>
      </c>
      <c r="H73" s="59">
        <v>42037</v>
      </c>
      <c r="I73" s="60">
        <v>42104</v>
      </c>
      <c r="J73" s="59">
        <v>41819</v>
      </c>
      <c r="K73" s="59" t="s">
        <v>242</v>
      </c>
      <c r="L73" s="57" t="str">
        <f>IF($A73="","",INDEX([1]Portfolio!$A$3:$AU$63,MATCH($A73,[1]Portfolio!$B$3:$B$63,0),3))</f>
        <v>Vietnam / catalog</v>
      </c>
      <c r="M73" s="57" t="str">
        <f>IF($A73="","",INDEX([1]Portfolio!$A$3:$AU$63,MATCH($A73,[1]Portfolio!$B$3:$B$63,0),5))</f>
        <v>B787-9</v>
      </c>
      <c r="N73" s="6">
        <f>IF($A73="","",INDEX([1]Portfolio!$A$3:$AU$63,MATCH($A73,[1]Portfolio!$B$3:$B$63,0),29))</f>
        <v>41470</v>
      </c>
      <c r="O73" s="6">
        <f>IF($A73="","",INDEX([1]Portfolio!$A$3:$AU$63,MATCH($A73,[1]Portfolio!$B$3:$B$63,0),32))</f>
        <v>41562</v>
      </c>
      <c r="P73" s="7">
        <f>IF($A73="","",INDEX([1]Portfolio!$A$3:$AU$63,MATCH($A73,[1]Portfolio!$B$3:$B$63,0),35))</f>
        <v>41723</v>
      </c>
      <c r="Q73" s="7">
        <f>IF($A73="","",INDEX([1]Portfolio!$A$3:$AU$63,MATCH($A73,[1]Portfolio!$B$3:$B$63,0),38))</f>
        <v>42009</v>
      </c>
      <c r="R73" s="7">
        <f>IF($A73="","",INDEX([1]Portfolio!$A$3:$AU$63,MATCH($A73,[1]Portfolio!$B$3:$B$63,0),42))</f>
        <v>42037</v>
      </c>
      <c r="S73" s="7">
        <f>IF($A73="","",INDEX([1]Portfolio!$A$3:$AU$63,MATCH($A73,[1]Portfolio!$B$3:$B$63,0),43))</f>
        <v>42453</v>
      </c>
      <c r="T73" s="7">
        <f>IF($A73="","",INDEX([1]Portfolio!$A$3:$AU$63,MATCH($A73,[1]Portfolio!$B$3:$B$63,0),37))</f>
        <v>41819</v>
      </c>
      <c r="U73" s="7" t="str">
        <f>IF($A73="","",INDEX([1]Portfolio!$A$3:$AU$63,MATCH($A73,[1]Portfolio!$B$3:$B$63,0),36))</f>
        <v>**</v>
      </c>
      <c r="V73" s="7">
        <f>IF($A73="","",(INDEX([2]Programmesjalons!$A$4:$AH$140,MATCH($A73,[2]Programmesjalons!$A$4:$A$140,0),8)))</f>
        <v>41470</v>
      </c>
      <c r="W73" s="7">
        <f>IF($A73="","",(INDEX([2]Programmesjalons!$A$4:$AH$140,MATCH($A73,[2]Programmesjalons!$A$4:$A$140,0),12)))</f>
        <v>41562</v>
      </c>
      <c r="X73" s="7">
        <f>IF($A73="","",(INDEX([2]Programmesjalons!$A$4:$AH$140,MATCH($A73,[2]Programmesjalons!$A$4:$A$140,0),16)))</f>
        <v>41723</v>
      </c>
      <c r="Y73" s="7">
        <f>IF($A73="","",(INDEX([2]Programmesjalons!$A$4:$AH$140,MATCH($A73,[2]Programmesjalons!$A$4:$A$140,0),30)))</f>
        <v>0</v>
      </c>
      <c r="Z73" s="59">
        <f>IF($A73="","",(INDEX([2]Programmesjalons!$A$4:$AH$140,MATCH($A73,[2]Programmesjalons!$A$4:$A$140,0),32)))</f>
        <v>42037</v>
      </c>
      <c r="AA73" s="60">
        <f>IF($A73="","",(INDEX([2]Programmesjalons!$A$4:$AH$140,MATCH($A73,[2]Programmesjalons!$A$4:$A$140,0),34)))</f>
        <v>42104</v>
      </c>
      <c r="AB73" s="59">
        <f>IF($A73="","",(INDEX([2]Programmesjalons!$A$4:$AH$140,MATCH($A73,[2]Programmesjalons!$A$4:$A$140,0),26)))</f>
        <v>0</v>
      </c>
      <c r="AC73" s="59">
        <f>IF($A73="","",(INDEX([2]Programmesjalons!$A$4:$AH$140,MATCH($A73,[2]Programmesjalons!$A$4:$A$140,0),18)))</f>
        <v>0</v>
      </c>
      <c r="AD73" s="68"/>
      <c r="AE73" s="68"/>
      <c r="AF73" s="68"/>
      <c r="AG73" s="68"/>
      <c r="AH73" s="68"/>
      <c r="AI73" s="68"/>
      <c r="AJ73" s="69"/>
      <c r="AK73" s="70"/>
      <c r="AL73" s="69"/>
      <c r="AM73" s="69"/>
      <c r="AN73" s="7">
        <f t="shared" si="30"/>
        <v>41470</v>
      </c>
      <c r="AO73" s="7">
        <f t="shared" si="31"/>
        <v>41562</v>
      </c>
      <c r="AP73" s="7">
        <f t="shared" si="32"/>
        <v>41723</v>
      </c>
      <c r="AQ73" s="7">
        <f t="shared" si="33"/>
        <v>42009</v>
      </c>
      <c r="AR73" s="59">
        <f t="shared" si="34"/>
        <v>42037</v>
      </c>
      <c r="AS73" s="60">
        <f t="shared" si="35"/>
        <v>42104</v>
      </c>
      <c r="AT73" s="59">
        <f t="shared" si="36"/>
        <v>41819</v>
      </c>
      <c r="AU73" s="59" t="str">
        <f t="shared" si="37"/>
        <v>manque date</v>
      </c>
      <c r="AV73" s="76">
        <f t="shared" si="38"/>
        <v>41470</v>
      </c>
      <c r="AW73" s="76">
        <f t="shared" si="39"/>
        <v>41470</v>
      </c>
      <c r="AX73" s="61">
        <f t="shared" si="40"/>
        <v>41562</v>
      </c>
      <c r="AY73" s="61">
        <f t="shared" si="41"/>
        <v>41562</v>
      </c>
      <c r="AZ73" s="61">
        <f t="shared" si="42"/>
        <v>41723</v>
      </c>
      <c r="BA73" s="61">
        <f t="shared" si="43"/>
        <v>41723</v>
      </c>
      <c r="BB73" s="61">
        <f t="shared" si="44"/>
        <v>0</v>
      </c>
      <c r="BC73" s="61">
        <f t="shared" si="45"/>
        <v>42009</v>
      </c>
      <c r="BD73" s="61">
        <f t="shared" si="46"/>
        <v>42037</v>
      </c>
      <c r="BE73" s="61">
        <f t="shared" si="47"/>
        <v>42037</v>
      </c>
      <c r="BF73" s="61">
        <f t="shared" si="48"/>
        <v>42104</v>
      </c>
      <c r="BG73" s="61">
        <f t="shared" si="49"/>
        <v>42104</v>
      </c>
      <c r="BH73" s="61">
        <f t="shared" si="50"/>
        <v>0</v>
      </c>
      <c r="BI73" s="61">
        <f t="shared" si="51"/>
        <v>41819</v>
      </c>
      <c r="BJ73" s="61">
        <f t="shared" si="52"/>
        <v>0</v>
      </c>
      <c r="BK73" s="61">
        <f t="shared" si="53"/>
        <v>0</v>
      </c>
    </row>
    <row r="74" spans="1:63">
      <c r="A74" s="25" t="s">
        <v>54</v>
      </c>
      <c r="B74" s="74">
        <f t="shared" si="28"/>
        <v>0</v>
      </c>
      <c r="C74" s="74">
        <f t="shared" si="29"/>
        <v>0</v>
      </c>
      <c r="D74" s="7">
        <v>41611</v>
      </c>
      <c r="E74" s="7">
        <v>41701</v>
      </c>
      <c r="F74" s="7">
        <v>41814</v>
      </c>
      <c r="G74" s="7">
        <v>42102</v>
      </c>
      <c r="H74" s="59">
        <v>42132</v>
      </c>
      <c r="I74" s="60">
        <v>42210</v>
      </c>
      <c r="J74" s="59">
        <v>42087</v>
      </c>
      <c r="K74" s="59">
        <v>42012</v>
      </c>
      <c r="L74" s="57" t="e">
        <f>IF($A74="","",INDEX([1]Portfolio!$A$3:$AU$63,MATCH($A74,[1]Portfolio!$B$3:$B$63,0),3))</f>
        <v>#N/A</v>
      </c>
      <c r="M74" s="57" t="e">
        <f>IF($A74="","",INDEX([1]Portfolio!$A$3:$AU$63,MATCH($A74,[1]Portfolio!$B$3:$B$63,0),5))</f>
        <v>#N/A</v>
      </c>
      <c r="N74" s="6" t="e">
        <f>IF($A74="","",INDEX([1]Portfolio!$A$3:$AU$63,MATCH($A74,[1]Portfolio!$B$3:$B$63,0),29))</f>
        <v>#N/A</v>
      </c>
      <c r="O74" s="6" t="e">
        <f>IF($A74="","",INDEX([1]Portfolio!$A$3:$AU$63,MATCH($A74,[1]Portfolio!$B$3:$B$63,0),32))</f>
        <v>#N/A</v>
      </c>
      <c r="P74" s="7" t="e">
        <f>IF($A74="","",INDEX([1]Portfolio!$A$3:$AU$63,MATCH($A74,[1]Portfolio!$B$3:$B$63,0),35))</f>
        <v>#N/A</v>
      </c>
      <c r="Q74" s="7" t="e">
        <f>IF($A74="","",INDEX([1]Portfolio!$A$3:$AU$63,MATCH($A74,[1]Portfolio!$B$3:$B$63,0),38))</f>
        <v>#N/A</v>
      </c>
      <c r="R74" s="7" t="e">
        <f>IF($A74="","",INDEX([1]Portfolio!$A$3:$AU$63,MATCH($A74,[1]Portfolio!$B$3:$B$63,0),42))</f>
        <v>#N/A</v>
      </c>
      <c r="S74" s="7" t="e">
        <f>IF($A74="","",INDEX([1]Portfolio!$A$3:$AU$63,MATCH($A74,[1]Portfolio!$B$3:$B$63,0),43))</f>
        <v>#N/A</v>
      </c>
      <c r="T74" s="7" t="e">
        <f>IF($A74="","",INDEX([1]Portfolio!$A$3:$AU$63,MATCH($A74,[1]Portfolio!$B$3:$B$63,0),37))</f>
        <v>#N/A</v>
      </c>
      <c r="U74" s="7" t="e">
        <f>IF($A74="","",INDEX([1]Portfolio!$A$3:$AU$63,MATCH($A74,[1]Portfolio!$B$3:$B$63,0),36))</f>
        <v>#N/A</v>
      </c>
      <c r="V74" s="7">
        <f>IF($A74="","",(INDEX([2]Programmesjalons!$A$4:$AH$140,MATCH($A74,[2]Programmesjalons!$A$4:$A$140,0),8)))</f>
        <v>41611</v>
      </c>
      <c r="W74" s="7">
        <f>IF($A74="","",(INDEX([2]Programmesjalons!$A$4:$AH$140,MATCH($A74,[2]Programmesjalons!$A$4:$A$140,0),12)))</f>
        <v>41701</v>
      </c>
      <c r="X74" s="7">
        <f>IF($A74="","",(INDEX([2]Programmesjalons!$A$4:$AH$140,MATCH($A74,[2]Programmesjalons!$A$4:$A$140,0),16)))</f>
        <v>41814</v>
      </c>
      <c r="Y74" s="7">
        <f>IF($A74="","",(INDEX([2]Programmesjalons!$A$4:$AH$140,MATCH($A74,[2]Programmesjalons!$A$4:$A$140,0),30)))</f>
        <v>42102</v>
      </c>
      <c r="Z74" s="59">
        <f>IF($A74="","",(INDEX([2]Programmesjalons!$A$4:$AH$140,MATCH($A74,[2]Programmesjalons!$A$4:$A$140,0),32)))</f>
        <v>42132</v>
      </c>
      <c r="AA74" s="60">
        <f>IF($A74="","",(INDEX([2]Programmesjalons!$A$4:$AH$140,MATCH($A74,[2]Programmesjalons!$A$4:$A$140,0),34)))</f>
        <v>42210</v>
      </c>
      <c r="AB74" s="59">
        <f>IF($A74="","",(INDEX([2]Programmesjalons!$A$4:$AH$140,MATCH($A74,[2]Programmesjalons!$A$4:$A$140,0),26)))</f>
        <v>42087</v>
      </c>
      <c r="AC74" s="59">
        <f>IF($A74="","",(INDEX([2]Programmesjalons!$A$4:$AH$140,MATCH($A74,[2]Programmesjalons!$A$4:$A$140,0),18)))</f>
        <v>42012</v>
      </c>
      <c r="AD74" s="68"/>
      <c r="AE74" s="68"/>
      <c r="AF74" s="68"/>
      <c r="AG74" s="68"/>
      <c r="AH74" s="68"/>
      <c r="AI74" s="68"/>
      <c r="AJ74" s="69"/>
      <c r="AK74" s="70"/>
      <c r="AL74" s="69"/>
      <c r="AM74" s="69"/>
      <c r="AN74" s="7">
        <f t="shared" si="30"/>
        <v>41611</v>
      </c>
      <c r="AO74" s="7">
        <f t="shared" si="31"/>
        <v>41701</v>
      </c>
      <c r="AP74" s="7">
        <f t="shared" si="32"/>
        <v>41814</v>
      </c>
      <c r="AQ74" s="7">
        <f t="shared" si="33"/>
        <v>42102</v>
      </c>
      <c r="AR74" s="59">
        <f t="shared" si="34"/>
        <v>42132</v>
      </c>
      <c r="AS74" s="60">
        <f t="shared" si="35"/>
        <v>42210</v>
      </c>
      <c r="AT74" s="59">
        <f t="shared" si="36"/>
        <v>42087</v>
      </c>
      <c r="AU74" s="59">
        <f t="shared" si="37"/>
        <v>42012</v>
      </c>
      <c r="AV74" s="76">
        <f t="shared" si="38"/>
        <v>41611</v>
      </c>
      <c r="AW74" s="76">
        <f t="shared" si="39"/>
        <v>41611</v>
      </c>
      <c r="AX74" s="61">
        <f t="shared" si="40"/>
        <v>41701</v>
      </c>
      <c r="AY74" s="61">
        <f t="shared" si="41"/>
        <v>41701</v>
      </c>
      <c r="AZ74" s="61">
        <f t="shared" si="42"/>
        <v>41814</v>
      </c>
      <c r="BA74" s="61">
        <f t="shared" si="43"/>
        <v>41814</v>
      </c>
      <c r="BB74" s="61">
        <f t="shared" si="44"/>
        <v>42102</v>
      </c>
      <c r="BC74" s="61">
        <f t="shared" si="45"/>
        <v>42102</v>
      </c>
      <c r="BD74" s="61">
        <f t="shared" si="46"/>
        <v>42132</v>
      </c>
      <c r="BE74" s="61">
        <f t="shared" si="47"/>
        <v>42132</v>
      </c>
      <c r="BF74" s="61">
        <f t="shared" si="48"/>
        <v>42210</v>
      </c>
      <c r="BG74" s="61">
        <f t="shared" si="49"/>
        <v>42210</v>
      </c>
      <c r="BH74" s="61">
        <f t="shared" si="50"/>
        <v>42087</v>
      </c>
      <c r="BI74" s="61">
        <f t="shared" si="51"/>
        <v>42087</v>
      </c>
      <c r="BJ74" s="61">
        <f t="shared" si="52"/>
        <v>42012</v>
      </c>
      <c r="BK74" s="61">
        <f t="shared" si="53"/>
        <v>42012</v>
      </c>
    </row>
    <row r="75" spans="1:63">
      <c r="A75" s="25" t="s">
        <v>62</v>
      </c>
      <c r="B75" s="74" t="str">
        <f t="shared" si="28"/>
        <v>Air France</v>
      </c>
      <c r="C75" s="74" t="str">
        <f t="shared" si="29"/>
        <v>B787-9</v>
      </c>
      <c r="D75" s="7">
        <v>41920</v>
      </c>
      <c r="E75" s="7">
        <v>42072</v>
      </c>
      <c r="F75" s="7">
        <v>42261</v>
      </c>
      <c r="G75" s="7">
        <v>42431</v>
      </c>
      <c r="H75" s="59">
        <v>42492</v>
      </c>
      <c r="I75" s="60">
        <v>42585</v>
      </c>
      <c r="J75" s="59">
        <v>42357</v>
      </c>
      <c r="K75" s="59">
        <v>42341</v>
      </c>
      <c r="L75" s="57" t="str">
        <f>IF($A75="","",INDEX([1]Portfolio!$A$3:$AU$63,MATCH($A75,[1]Portfolio!$B$3:$B$63,0),3))</f>
        <v>Air France</v>
      </c>
      <c r="M75" s="57" t="str">
        <f>IF($A75="","",INDEX([1]Portfolio!$A$3:$AU$63,MATCH($A75,[1]Portfolio!$B$3:$B$63,0),5))</f>
        <v>B787-9</v>
      </c>
      <c r="N75" s="6">
        <f>IF($A75="","",INDEX([1]Portfolio!$A$3:$AU$63,MATCH($A75,[1]Portfolio!$B$3:$B$63,0),29))</f>
        <v>41920</v>
      </c>
      <c r="O75" s="6">
        <f>IF($A75="","",INDEX([1]Portfolio!$A$3:$AU$63,MATCH($A75,[1]Portfolio!$B$3:$B$63,0),32))</f>
        <v>42072</v>
      </c>
      <c r="P75" s="7">
        <f>IF($A75="","",INDEX([1]Portfolio!$A$3:$AU$63,MATCH($A75,[1]Portfolio!$B$3:$B$63,0),35))</f>
        <v>42261</v>
      </c>
      <c r="Q75" s="7">
        <f>IF($A75="","",INDEX([1]Portfolio!$A$3:$AU$63,MATCH($A75,[1]Portfolio!$B$3:$B$63,0),38))</f>
        <v>42464</v>
      </c>
      <c r="R75" s="7">
        <f>IF($A75="","",INDEX([1]Portfolio!$A$3:$AU$63,MATCH($A75,[1]Portfolio!$B$3:$B$63,0),42))</f>
        <v>42492</v>
      </c>
      <c r="S75" s="7">
        <f>IF($A75="","",INDEX([1]Portfolio!$A$3:$AU$63,MATCH($A75,[1]Portfolio!$B$3:$B$63,0),43))</f>
        <v>42353</v>
      </c>
      <c r="T75" s="7">
        <f>IF($A75="","",INDEX([1]Portfolio!$A$3:$AU$63,MATCH($A75,[1]Portfolio!$B$3:$B$63,0),37))</f>
        <v>42357</v>
      </c>
      <c r="U75" s="7">
        <f>IF($A75="","",INDEX([1]Portfolio!$A$3:$AU$63,MATCH($A75,[1]Portfolio!$B$3:$B$63,0),36))</f>
        <v>0</v>
      </c>
      <c r="V75" s="7">
        <f>IF($A75="","",(INDEX([2]Programmesjalons!$A$4:$AH$140,MATCH($A75,[2]Programmesjalons!$A$4:$A$140,0),8)))</f>
        <v>41922</v>
      </c>
      <c r="W75" s="7">
        <f>IF($A75="","",(INDEX([2]Programmesjalons!$A$4:$AH$140,MATCH($A75,[2]Programmesjalons!$A$4:$A$140,0),12)))</f>
        <v>42072</v>
      </c>
      <c r="X75" s="7">
        <f>IF($A75="","",(INDEX([2]Programmesjalons!$A$4:$AH$140,MATCH($A75,[2]Programmesjalons!$A$4:$A$140,0),16)))</f>
        <v>42261</v>
      </c>
      <c r="Y75" s="7">
        <f>IF($A75="","",(INDEX([2]Programmesjalons!$A$4:$AH$140,MATCH($A75,[2]Programmesjalons!$A$4:$A$140,0),30)))</f>
        <v>42431</v>
      </c>
      <c r="Z75" s="59">
        <f>IF($A75="","",(INDEX([2]Programmesjalons!$A$4:$AH$140,MATCH($A75,[2]Programmesjalons!$A$4:$A$140,0),32)))</f>
        <v>42492</v>
      </c>
      <c r="AA75" s="60">
        <f>IF($A75="","",(INDEX([2]Programmesjalons!$A$4:$AH$140,MATCH($A75,[2]Programmesjalons!$A$4:$A$140,0),34)))</f>
        <v>42585</v>
      </c>
      <c r="AB75" s="59">
        <f>IF($A75="","",(INDEX([2]Programmesjalons!$A$4:$AH$140,MATCH($A75,[2]Programmesjalons!$A$4:$A$140,0),26)))</f>
        <v>42416</v>
      </c>
      <c r="AC75" s="59">
        <f>IF($A75="","",(INDEX([2]Programmesjalons!$A$4:$AH$140,MATCH($A75,[2]Programmesjalons!$A$4:$A$140,0),18)))</f>
        <v>42341</v>
      </c>
      <c r="AD75" s="68"/>
      <c r="AE75" s="68"/>
      <c r="AF75" s="68"/>
      <c r="AG75" s="68"/>
      <c r="AH75" s="68"/>
      <c r="AI75" s="68"/>
      <c r="AJ75" s="69"/>
      <c r="AK75" s="70"/>
      <c r="AL75" s="69"/>
      <c r="AM75" s="69"/>
      <c r="AN75" s="7">
        <f t="shared" si="30"/>
        <v>41920</v>
      </c>
      <c r="AO75" s="7">
        <f t="shared" si="31"/>
        <v>42072</v>
      </c>
      <c r="AP75" s="7">
        <f t="shared" si="32"/>
        <v>42261</v>
      </c>
      <c r="AQ75" s="7">
        <f t="shared" si="33"/>
        <v>42431</v>
      </c>
      <c r="AR75" s="59">
        <f t="shared" si="34"/>
        <v>42492</v>
      </c>
      <c r="AS75" s="60">
        <f t="shared" si="35"/>
        <v>42353</v>
      </c>
      <c r="AT75" s="59">
        <f t="shared" si="36"/>
        <v>42357</v>
      </c>
      <c r="AU75" s="59">
        <f t="shared" si="37"/>
        <v>42341</v>
      </c>
      <c r="AV75" s="76">
        <f t="shared" si="38"/>
        <v>41920</v>
      </c>
      <c r="AW75" s="76">
        <f t="shared" si="39"/>
        <v>41920</v>
      </c>
      <c r="AX75" s="61">
        <f t="shared" si="40"/>
        <v>42072</v>
      </c>
      <c r="AY75" s="61">
        <f t="shared" si="41"/>
        <v>42072</v>
      </c>
      <c r="AZ75" s="61">
        <f t="shared" si="42"/>
        <v>42261</v>
      </c>
      <c r="BA75" s="61">
        <f t="shared" si="43"/>
        <v>42261</v>
      </c>
      <c r="BB75" s="61">
        <f t="shared" si="44"/>
        <v>42431</v>
      </c>
      <c r="BC75" s="61">
        <f t="shared" si="45"/>
        <v>42431</v>
      </c>
      <c r="BD75" s="61">
        <f t="shared" si="46"/>
        <v>42353</v>
      </c>
      <c r="BE75" s="61">
        <f t="shared" si="47"/>
        <v>42492</v>
      </c>
      <c r="BF75" s="61">
        <f t="shared" si="48"/>
        <v>42353</v>
      </c>
      <c r="BG75" s="61">
        <f t="shared" si="49"/>
        <v>42353</v>
      </c>
      <c r="BH75" s="61">
        <f t="shared" si="50"/>
        <v>42357</v>
      </c>
      <c r="BI75" s="61">
        <f t="shared" si="51"/>
        <v>42357</v>
      </c>
      <c r="BJ75" s="61">
        <f t="shared" si="52"/>
        <v>42341</v>
      </c>
      <c r="BK75" s="61">
        <f t="shared" si="53"/>
        <v>42341</v>
      </c>
    </row>
    <row r="76" spans="1:63">
      <c r="A76" s="25" t="s">
        <v>63</v>
      </c>
      <c r="B76" s="74" t="str">
        <f t="shared" si="28"/>
        <v>Sri Lankan / ACS</v>
      </c>
      <c r="C76" s="74" t="str">
        <f t="shared" si="29"/>
        <v>A350-9</v>
      </c>
      <c r="D76" s="7">
        <v>41813</v>
      </c>
      <c r="E76" s="7">
        <v>41968</v>
      </c>
      <c r="F76" s="7">
        <v>42142</v>
      </c>
      <c r="G76" s="7">
        <v>42320</v>
      </c>
      <c r="H76" s="59">
        <v>42389</v>
      </c>
      <c r="I76" s="60">
        <v>42430</v>
      </c>
      <c r="J76" s="59">
        <v>42238</v>
      </c>
      <c r="K76" s="59">
        <v>42240</v>
      </c>
      <c r="L76" s="57" t="str">
        <f>IF($A76="","",INDEX([1]Portfolio!$A$3:$AU$63,MATCH($A76,[1]Portfolio!$B$3:$B$63,0),3))</f>
        <v>Sri Lankan / ACS</v>
      </c>
      <c r="M76" s="57" t="str">
        <f>IF($A76="","",INDEX([1]Portfolio!$A$3:$AU$63,MATCH($A76,[1]Portfolio!$B$3:$B$63,0),5))</f>
        <v>A350-9</v>
      </c>
      <c r="N76" s="6">
        <f>IF($A76="","",INDEX([1]Portfolio!$A$3:$AU$63,MATCH($A76,[1]Portfolio!$B$3:$B$63,0),29))</f>
        <v>41813</v>
      </c>
      <c r="O76" s="6" t="str">
        <f>IF($A76="","",INDEX([1]Portfolio!$A$3:$AU$63,MATCH($A76,[1]Portfolio!$B$3:$B$63,0),32))</f>
        <v>N/A</v>
      </c>
      <c r="P76" s="7">
        <f>IF($A76="","",INDEX([1]Portfolio!$A$3:$AU$63,MATCH($A76,[1]Portfolio!$B$3:$B$63,0),35))</f>
        <v>42142</v>
      </c>
      <c r="Q76" s="7">
        <f>IF($A76="","",INDEX([1]Portfolio!$A$3:$AU$63,MATCH($A76,[1]Portfolio!$B$3:$B$63,0),38))</f>
        <v>42352</v>
      </c>
      <c r="R76" s="7">
        <f>IF($A76="","",INDEX([1]Portfolio!$A$3:$AU$63,MATCH($A76,[1]Portfolio!$B$3:$B$63,0),42))</f>
        <v>42389</v>
      </c>
      <c r="S76" s="7">
        <f>IF($A76="","",INDEX([1]Portfolio!$A$3:$AU$63,MATCH($A76,[1]Portfolio!$B$3:$B$63,0),43))</f>
        <v>42430</v>
      </c>
      <c r="T76" s="7">
        <f>IF($A76="","",INDEX([1]Portfolio!$A$3:$AU$63,MATCH($A76,[1]Portfolio!$B$3:$B$63,0),37))</f>
        <v>42238</v>
      </c>
      <c r="U76" s="7" t="str">
        <f>IF($A76="","",INDEX([1]Portfolio!$A$3:$AU$63,MATCH($A76,[1]Portfolio!$B$3:$B$63,0),36))</f>
        <v>**</v>
      </c>
      <c r="V76" s="7">
        <f>IF($A76="","",(INDEX([2]Programmesjalons!$A$4:$AH$140,MATCH($A76,[2]Programmesjalons!$A$4:$A$140,0),8)))</f>
        <v>41813</v>
      </c>
      <c r="W76" s="7">
        <f>IF($A76="","",(INDEX([2]Programmesjalons!$A$4:$AH$140,MATCH($A76,[2]Programmesjalons!$A$4:$A$140,0),12)))</f>
        <v>41968</v>
      </c>
      <c r="X76" s="7">
        <f>IF($A76="","",(INDEX([2]Programmesjalons!$A$4:$AH$140,MATCH($A76,[2]Programmesjalons!$A$4:$A$140,0),16)))</f>
        <v>42142</v>
      </c>
      <c r="Y76" s="7">
        <f>IF($A76="","",(INDEX([2]Programmesjalons!$A$4:$AH$140,MATCH($A76,[2]Programmesjalons!$A$4:$A$140,0),30)))</f>
        <v>42320</v>
      </c>
      <c r="Z76" s="59">
        <f>IF($A76="","",(INDEX([2]Programmesjalons!$A$4:$AH$140,MATCH($A76,[2]Programmesjalons!$A$4:$A$140,0),32)))</f>
        <v>42389</v>
      </c>
      <c r="AA76" s="60">
        <f>IF($A76="","",(INDEX([2]Programmesjalons!$A$4:$AH$140,MATCH($A76,[2]Programmesjalons!$A$4:$A$140,0),34)))</f>
        <v>42430</v>
      </c>
      <c r="AB76" s="59">
        <f>IF($A76="","",(INDEX([2]Programmesjalons!$A$4:$AH$140,MATCH($A76,[2]Programmesjalons!$A$4:$A$140,0),26)))</f>
        <v>42305</v>
      </c>
      <c r="AC76" s="59">
        <f>IF($A76="","",(INDEX([2]Programmesjalons!$A$4:$AH$140,MATCH($A76,[2]Programmesjalons!$A$4:$A$140,0),18)))</f>
        <v>42240</v>
      </c>
      <c r="AD76" s="68"/>
      <c r="AE76" s="68"/>
      <c r="AF76" s="68"/>
      <c r="AG76" s="68"/>
      <c r="AH76" s="68"/>
      <c r="AI76" s="68"/>
      <c r="AJ76" s="69"/>
      <c r="AK76" s="70"/>
      <c r="AL76" s="69"/>
      <c r="AM76" s="69"/>
      <c r="AN76" s="7">
        <f t="shared" si="30"/>
        <v>41813</v>
      </c>
      <c r="AO76" s="7">
        <f t="shared" si="31"/>
        <v>41968</v>
      </c>
      <c r="AP76" s="7">
        <f t="shared" si="32"/>
        <v>42142</v>
      </c>
      <c r="AQ76" s="7">
        <f t="shared" si="33"/>
        <v>42320</v>
      </c>
      <c r="AR76" s="59">
        <f t="shared" si="34"/>
        <v>42389</v>
      </c>
      <c r="AS76" s="60">
        <f t="shared" si="35"/>
        <v>42430</v>
      </c>
      <c r="AT76" s="59">
        <f t="shared" si="36"/>
        <v>42238</v>
      </c>
      <c r="AU76" s="59">
        <f t="shared" si="37"/>
        <v>42240</v>
      </c>
      <c r="AV76" s="76">
        <f t="shared" si="38"/>
        <v>41813</v>
      </c>
      <c r="AW76" s="76">
        <f t="shared" si="39"/>
        <v>41813</v>
      </c>
      <c r="AX76" s="61">
        <f t="shared" si="40"/>
        <v>41968</v>
      </c>
      <c r="AY76" s="61">
        <f t="shared" si="41"/>
        <v>41968</v>
      </c>
      <c r="AZ76" s="61">
        <f t="shared" si="42"/>
        <v>42142</v>
      </c>
      <c r="BA76" s="61">
        <f t="shared" si="43"/>
        <v>42142</v>
      </c>
      <c r="BB76" s="61">
        <f t="shared" si="44"/>
        <v>42320</v>
      </c>
      <c r="BC76" s="61">
        <f t="shared" si="45"/>
        <v>42320</v>
      </c>
      <c r="BD76" s="61">
        <f t="shared" si="46"/>
        <v>42389</v>
      </c>
      <c r="BE76" s="61">
        <f t="shared" si="47"/>
        <v>42389</v>
      </c>
      <c r="BF76" s="61">
        <f t="shared" si="48"/>
        <v>42430</v>
      </c>
      <c r="BG76" s="61">
        <f t="shared" si="49"/>
        <v>42430</v>
      </c>
      <c r="BH76" s="61">
        <f t="shared" si="50"/>
        <v>42238</v>
      </c>
      <c r="BI76" s="61">
        <f t="shared" si="51"/>
        <v>42238</v>
      </c>
      <c r="BJ76" s="61">
        <f t="shared" si="52"/>
        <v>42240</v>
      </c>
      <c r="BK76" s="61">
        <f t="shared" si="53"/>
        <v>42240</v>
      </c>
    </row>
    <row r="77" spans="1:63">
      <c r="A77" s="25" t="s">
        <v>64</v>
      </c>
      <c r="B77" s="74" t="str">
        <f t="shared" si="28"/>
        <v>Vietnam / ACS</v>
      </c>
      <c r="C77" s="74" t="str">
        <f t="shared" si="29"/>
        <v>A350-9</v>
      </c>
      <c r="D77" s="7">
        <v>41829</v>
      </c>
      <c r="E77" s="7">
        <v>41988</v>
      </c>
      <c r="F77" s="7">
        <v>42144</v>
      </c>
      <c r="G77" s="7">
        <v>42320</v>
      </c>
      <c r="H77" s="59">
        <v>42401</v>
      </c>
      <c r="I77" s="60">
        <v>42453</v>
      </c>
      <c r="J77" s="59">
        <v>42240</v>
      </c>
      <c r="K77" s="59">
        <v>42243</v>
      </c>
      <c r="L77" s="57" t="str">
        <f>IF($A77="","",INDEX([1]Portfolio!$A$3:$AU$63,MATCH($A77,[1]Portfolio!$B$3:$B$63,0),3))</f>
        <v>Vietnam / ACS</v>
      </c>
      <c r="M77" s="57" t="str">
        <f>IF($A77="","",INDEX([1]Portfolio!$A$3:$AU$63,MATCH($A77,[1]Portfolio!$B$3:$B$63,0),5))</f>
        <v>A350-9</v>
      </c>
      <c r="N77" s="6">
        <f>IF($A77="","",INDEX([1]Portfolio!$A$3:$AU$63,MATCH($A77,[1]Portfolio!$B$3:$B$63,0),29))</f>
        <v>41829</v>
      </c>
      <c r="O77" s="6" t="str">
        <f>IF($A77="","",INDEX([1]Portfolio!$A$3:$AU$63,MATCH($A77,[1]Portfolio!$B$3:$B$63,0),32))</f>
        <v>N/A</v>
      </c>
      <c r="P77" s="7">
        <f>IF($A77="","",INDEX([1]Portfolio!$A$3:$AU$63,MATCH($A77,[1]Portfolio!$B$3:$B$63,0),35))</f>
        <v>42144</v>
      </c>
      <c r="Q77" s="7">
        <f>IF($A77="","",INDEX([1]Portfolio!$A$3:$AU$63,MATCH($A77,[1]Portfolio!$B$3:$B$63,0),38))</f>
        <v>42320</v>
      </c>
      <c r="R77" s="7">
        <f>IF($A77="","",INDEX([1]Portfolio!$A$3:$AU$63,MATCH($A77,[1]Portfolio!$B$3:$B$63,0),42))</f>
        <v>42401</v>
      </c>
      <c r="S77" s="7">
        <f>IF($A77="","",INDEX([1]Portfolio!$A$3:$AU$63,MATCH($A77,[1]Portfolio!$B$3:$B$63,0),43))</f>
        <v>42453</v>
      </c>
      <c r="T77" s="7">
        <f>IF($A77="","",INDEX([1]Portfolio!$A$3:$AU$63,MATCH($A77,[1]Portfolio!$B$3:$B$63,0),37))</f>
        <v>42240</v>
      </c>
      <c r="U77" s="7" t="str">
        <f>IF($A77="","",INDEX([1]Portfolio!$A$3:$AU$63,MATCH($A77,[1]Portfolio!$B$3:$B$63,0),36))</f>
        <v>**</v>
      </c>
      <c r="V77" s="7">
        <f>IF($A77="","",(INDEX([2]Programmesjalons!$A$4:$AH$140,MATCH($A77,[2]Programmesjalons!$A$4:$A$140,0),8)))</f>
        <v>41829</v>
      </c>
      <c r="W77" s="7">
        <f>IF($A77="","",(INDEX([2]Programmesjalons!$A$4:$AH$140,MATCH($A77,[2]Programmesjalons!$A$4:$A$140,0),12)))</f>
        <v>41988</v>
      </c>
      <c r="X77" s="7">
        <f>IF($A77="","",(INDEX([2]Programmesjalons!$A$4:$AH$140,MATCH($A77,[2]Programmesjalons!$A$4:$A$140,0),16)))</f>
        <v>42144</v>
      </c>
      <c r="Y77" s="7">
        <f>IF($A77="","",(INDEX([2]Programmesjalons!$A$4:$AH$140,MATCH($A77,[2]Programmesjalons!$A$4:$A$140,0),30)))</f>
        <v>42333</v>
      </c>
      <c r="Z77" s="59">
        <f>IF($A77="","",(INDEX([2]Programmesjalons!$A$4:$AH$140,MATCH($A77,[2]Programmesjalons!$A$4:$A$140,0),32)))</f>
        <v>42401</v>
      </c>
      <c r="AA77" s="60">
        <f>IF($A77="","",(INDEX([2]Programmesjalons!$A$4:$AH$140,MATCH($A77,[2]Programmesjalons!$A$4:$A$140,0),34)))</f>
        <v>42453</v>
      </c>
      <c r="AB77" s="59">
        <f>IF($A77="","",(INDEX([2]Programmesjalons!$A$4:$AH$140,MATCH($A77,[2]Programmesjalons!$A$4:$A$140,0),26)))</f>
        <v>42318</v>
      </c>
      <c r="AC77" s="59">
        <f>IF($A77="","",(INDEX([2]Programmesjalons!$A$4:$AH$140,MATCH($A77,[2]Programmesjalons!$A$4:$A$140,0),18)))</f>
        <v>42243</v>
      </c>
      <c r="AD77" s="68"/>
      <c r="AE77" s="68"/>
      <c r="AF77" s="68"/>
      <c r="AG77" s="68"/>
      <c r="AH77" s="68"/>
      <c r="AI77" s="68"/>
      <c r="AJ77" s="69"/>
      <c r="AK77" s="70"/>
      <c r="AL77" s="69"/>
      <c r="AM77" s="69"/>
      <c r="AN77" s="7">
        <f t="shared" si="30"/>
        <v>41829</v>
      </c>
      <c r="AO77" s="7">
        <f t="shared" si="31"/>
        <v>41988</v>
      </c>
      <c r="AP77" s="7">
        <f t="shared" si="32"/>
        <v>42144</v>
      </c>
      <c r="AQ77" s="7">
        <f t="shared" si="33"/>
        <v>42320</v>
      </c>
      <c r="AR77" s="59">
        <f t="shared" si="34"/>
        <v>42401</v>
      </c>
      <c r="AS77" s="60">
        <f t="shared" si="35"/>
        <v>42453</v>
      </c>
      <c r="AT77" s="59">
        <f t="shared" si="36"/>
        <v>42240</v>
      </c>
      <c r="AU77" s="59">
        <f t="shared" si="37"/>
        <v>42243</v>
      </c>
      <c r="AV77" s="76">
        <f t="shared" si="38"/>
        <v>41829</v>
      </c>
      <c r="AW77" s="76">
        <f t="shared" si="39"/>
        <v>41829</v>
      </c>
      <c r="AX77" s="61">
        <f t="shared" si="40"/>
        <v>41988</v>
      </c>
      <c r="AY77" s="61">
        <f t="shared" si="41"/>
        <v>41988</v>
      </c>
      <c r="AZ77" s="61">
        <f t="shared" si="42"/>
        <v>42144</v>
      </c>
      <c r="BA77" s="61">
        <f t="shared" si="43"/>
        <v>42144</v>
      </c>
      <c r="BB77" s="61">
        <f t="shared" si="44"/>
        <v>42320</v>
      </c>
      <c r="BC77" s="61">
        <f t="shared" si="45"/>
        <v>42320</v>
      </c>
      <c r="BD77" s="61">
        <f t="shared" si="46"/>
        <v>42401</v>
      </c>
      <c r="BE77" s="61">
        <f t="shared" si="47"/>
        <v>42401</v>
      </c>
      <c r="BF77" s="61">
        <f t="shared" si="48"/>
        <v>42453</v>
      </c>
      <c r="BG77" s="61">
        <f t="shared" si="49"/>
        <v>42453</v>
      </c>
      <c r="BH77" s="61">
        <f t="shared" si="50"/>
        <v>42240</v>
      </c>
      <c r="BI77" s="61">
        <f t="shared" si="51"/>
        <v>42240</v>
      </c>
      <c r="BJ77" s="61">
        <f t="shared" si="52"/>
        <v>42243</v>
      </c>
      <c r="BK77" s="61">
        <f t="shared" si="53"/>
        <v>42243</v>
      </c>
    </row>
    <row r="78" spans="1:63">
      <c r="A78" s="13" t="s">
        <v>159</v>
      </c>
      <c r="B78" s="74" t="str">
        <f t="shared" si="28"/>
        <v>Hainan Airlines / catalog</v>
      </c>
      <c r="C78" s="74" t="str">
        <f t="shared" si="29"/>
        <v>B787-9</v>
      </c>
      <c r="D78" s="7">
        <v>42223</v>
      </c>
      <c r="E78" s="7">
        <v>42320</v>
      </c>
      <c r="F78" s="7">
        <v>42452</v>
      </c>
      <c r="G78" s="7">
        <v>42646</v>
      </c>
      <c r="H78" s="59">
        <v>42681</v>
      </c>
      <c r="I78" s="60">
        <v>42353</v>
      </c>
      <c r="J78" s="59">
        <v>42548</v>
      </c>
      <c r="K78" s="59">
        <v>42591</v>
      </c>
      <c r="L78" s="57" t="str">
        <f>IF($A78="","",INDEX([1]Portfolio!$A$3:$AU$63,MATCH($A78,[1]Portfolio!$B$3:$B$63,0),3))</f>
        <v>Hainan Airlines / catalog</v>
      </c>
      <c r="M78" s="57" t="str">
        <f>IF($A78="","",INDEX([1]Portfolio!$A$3:$AU$63,MATCH($A78,[1]Portfolio!$B$3:$B$63,0),5))</f>
        <v>B787-9</v>
      </c>
      <c r="N78" s="6">
        <f>IF($A78="","",INDEX([1]Portfolio!$A$3:$AU$63,MATCH($A78,[1]Portfolio!$B$3:$B$63,0),29))</f>
        <v>42223</v>
      </c>
      <c r="O78" s="6">
        <f>IF($A78="","",INDEX([1]Portfolio!$A$3:$AU$63,MATCH($A78,[1]Portfolio!$B$3:$B$63,0),32))</f>
        <v>42320</v>
      </c>
      <c r="P78" s="7">
        <f>IF($A78="","",INDEX([1]Portfolio!$A$3:$AU$63,MATCH($A78,[1]Portfolio!$B$3:$B$63,0),35))</f>
        <v>42452</v>
      </c>
      <c r="Q78" s="7">
        <f>IF($A78="","",INDEX([1]Portfolio!$A$3:$AU$63,MATCH($A78,[1]Portfolio!$B$3:$B$63,0),38))</f>
        <v>42646</v>
      </c>
      <c r="R78" s="7">
        <f>IF($A78="","",INDEX([1]Portfolio!$A$3:$AU$63,MATCH($A78,[1]Portfolio!$B$3:$B$63,0),42))</f>
        <v>42681</v>
      </c>
      <c r="S78" s="7">
        <f>IF($A78="","",INDEX([1]Portfolio!$A$3:$AU$63,MATCH($A78,[1]Portfolio!$B$3:$B$63,0),43))</f>
        <v>42353</v>
      </c>
      <c r="T78" s="7">
        <f>IF($A78="","",INDEX([1]Portfolio!$A$3:$AU$63,MATCH($A78,[1]Portfolio!$B$3:$B$63,0),37))</f>
        <v>42548</v>
      </c>
      <c r="U78" s="7">
        <f>IF($A78="","",INDEX([1]Portfolio!$A$3:$AU$63,MATCH($A78,[1]Portfolio!$B$3:$B$63,0),36))</f>
        <v>0</v>
      </c>
      <c r="V78" s="7">
        <f>IF($A78="","",(INDEX([2]Programmesjalons!$A$4:$AH$140,MATCH($A78,[2]Programmesjalons!$A$4:$A$140,0),8)))</f>
        <v>42223</v>
      </c>
      <c r="W78" s="7">
        <f>IF($A78="","",(INDEX([2]Programmesjalons!$A$4:$AH$140,MATCH($A78,[2]Programmesjalons!$A$4:$A$140,0),12)))</f>
        <v>42338</v>
      </c>
      <c r="X78" s="7">
        <f>IF($A78="","",(INDEX([2]Programmesjalons!$A$4:$AH$140,MATCH($A78,[2]Programmesjalons!$A$4:$A$140,0),16)))</f>
        <v>42490</v>
      </c>
      <c r="Y78" s="7">
        <f>IF($A78="","",(INDEX([2]Programmesjalons!$A$4:$AH$140,MATCH($A78,[2]Programmesjalons!$A$4:$A$140,0),30)))</f>
        <v>42661</v>
      </c>
      <c r="Z78" s="59">
        <f>IF($A78="","",(INDEX([2]Programmesjalons!$A$4:$AH$140,MATCH($A78,[2]Programmesjalons!$A$4:$A$140,0),32)))</f>
        <v>42681</v>
      </c>
      <c r="AA78" s="60">
        <f>IF($A78="","",(INDEX([2]Programmesjalons!$A$4:$AH$140,MATCH($A78,[2]Programmesjalons!$A$4:$A$140,0),34)))</f>
        <v>42735</v>
      </c>
      <c r="AB78" s="59">
        <f>IF($A78="","",(INDEX([2]Programmesjalons!$A$4:$AH$140,MATCH($A78,[2]Programmesjalons!$A$4:$A$140,0),26)))</f>
        <v>42656</v>
      </c>
      <c r="AC78" s="59">
        <f>IF($A78="","",(INDEX([2]Programmesjalons!$A$4:$AH$140,MATCH($A78,[2]Programmesjalons!$A$4:$A$140,0),18)))</f>
        <v>42591</v>
      </c>
      <c r="AD78" s="68"/>
      <c r="AE78" s="68"/>
      <c r="AF78" s="68"/>
      <c r="AG78" s="68"/>
      <c r="AH78" s="68"/>
      <c r="AI78" s="68"/>
      <c r="AJ78" s="69"/>
      <c r="AK78" s="70"/>
      <c r="AL78" s="69"/>
      <c r="AM78" s="69"/>
      <c r="AN78" s="7">
        <f t="shared" si="30"/>
        <v>42223</v>
      </c>
      <c r="AO78" s="7">
        <f t="shared" si="31"/>
        <v>42320</v>
      </c>
      <c r="AP78" s="7">
        <f t="shared" si="32"/>
        <v>42452</v>
      </c>
      <c r="AQ78" s="7">
        <f t="shared" si="33"/>
        <v>42646</v>
      </c>
      <c r="AR78" s="59">
        <f t="shared" si="34"/>
        <v>42681</v>
      </c>
      <c r="AS78" s="60">
        <f t="shared" si="35"/>
        <v>42353</v>
      </c>
      <c r="AT78" s="59">
        <f t="shared" si="36"/>
        <v>42548</v>
      </c>
      <c r="AU78" s="59">
        <f t="shared" si="37"/>
        <v>42591</v>
      </c>
      <c r="AV78" s="76">
        <f t="shared" si="38"/>
        <v>42223</v>
      </c>
      <c r="AW78" s="76">
        <f t="shared" si="39"/>
        <v>42223</v>
      </c>
      <c r="AX78" s="61">
        <f t="shared" si="40"/>
        <v>42320</v>
      </c>
      <c r="AY78" s="61">
        <f t="shared" si="41"/>
        <v>42320</v>
      </c>
      <c r="AZ78" s="61">
        <f t="shared" si="42"/>
        <v>42452</v>
      </c>
      <c r="BA78" s="61">
        <f t="shared" si="43"/>
        <v>42452</v>
      </c>
      <c r="BB78" s="61">
        <f t="shared" si="44"/>
        <v>42646</v>
      </c>
      <c r="BC78" s="61">
        <f t="shared" si="45"/>
        <v>42646</v>
      </c>
      <c r="BD78" s="61">
        <f t="shared" si="46"/>
        <v>42353</v>
      </c>
      <c r="BE78" s="61">
        <f t="shared" si="47"/>
        <v>42681</v>
      </c>
      <c r="BF78" s="61">
        <f t="shared" si="48"/>
        <v>42353</v>
      </c>
      <c r="BG78" s="61">
        <f t="shared" si="49"/>
        <v>42353</v>
      </c>
      <c r="BH78" s="61">
        <f t="shared" si="50"/>
        <v>42548</v>
      </c>
      <c r="BI78" s="61">
        <f t="shared" si="51"/>
        <v>42548</v>
      </c>
      <c r="BJ78" s="61">
        <f t="shared" si="52"/>
        <v>42591</v>
      </c>
      <c r="BK78" s="61">
        <f t="shared" si="53"/>
        <v>42591</v>
      </c>
    </row>
    <row r="79" spans="1:63">
      <c r="A79" s="13" t="s">
        <v>161</v>
      </c>
      <c r="B79" s="74" t="str">
        <f t="shared" si="28"/>
        <v>Tianjin / Hainan</v>
      </c>
      <c r="C79" s="74" t="str">
        <f t="shared" si="29"/>
        <v>A320 Neo</v>
      </c>
      <c r="D79" s="7">
        <v>42262</v>
      </c>
      <c r="E79" s="7">
        <v>42363</v>
      </c>
      <c r="F79" s="7">
        <v>42495</v>
      </c>
      <c r="G79" s="7" t="s">
        <v>242</v>
      </c>
      <c r="H79" s="59">
        <v>42701</v>
      </c>
      <c r="I79" s="60">
        <v>42750</v>
      </c>
      <c r="J79" s="59" t="s">
        <v>242</v>
      </c>
      <c r="K79" s="59" t="s">
        <v>242</v>
      </c>
      <c r="L79" s="57" t="str">
        <f>IF($A79="","",INDEX([1]Portfolio!$A$3:$AU$63,MATCH($A79,[1]Portfolio!$B$3:$B$63,0),3))</f>
        <v>Tianjin / Hainan</v>
      </c>
      <c r="M79" s="57" t="str">
        <f>IF($A79="","",INDEX([1]Portfolio!$A$3:$AU$63,MATCH($A79,[1]Portfolio!$B$3:$B$63,0),5))</f>
        <v>A320 Neo</v>
      </c>
      <c r="N79" s="6">
        <f>IF($A79="","",INDEX([1]Portfolio!$A$3:$AU$63,MATCH($A79,[1]Portfolio!$B$3:$B$63,0),29))</f>
        <v>42389</v>
      </c>
      <c r="O79" s="6">
        <f>IF($A79="","",INDEX([1]Portfolio!$A$3:$AU$63,MATCH($A79,[1]Portfolio!$B$3:$B$63,0),32))</f>
        <v>0</v>
      </c>
      <c r="P79" s="7">
        <f>IF($A79="","",INDEX([1]Portfolio!$A$3:$AU$63,MATCH($A79,[1]Portfolio!$B$3:$B$63,0),35))</f>
        <v>0</v>
      </c>
      <c r="Q79" s="7">
        <f>IF($A79="","",INDEX([1]Portfolio!$A$3:$AU$63,MATCH($A79,[1]Portfolio!$B$3:$B$63,0),38))</f>
        <v>0</v>
      </c>
      <c r="R79" s="7">
        <f>IF($A79="","",INDEX([1]Portfolio!$A$3:$AU$63,MATCH($A79,[1]Portfolio!$B$3:$B$63,0),42))</f>
        <v>0</v>
      </c>
      <c r="S79" s="7">
        <f>IF($A79="","",INDEX([1]Portfolio!$A$3:$AU$63,MATCH($A79,[1]Portfolio!$B$3:$B$63,0),43))</f>
        <v>0</v>
      </c>
      <c r="T79" s="7">
        <f>IF($A79="","",INDEX([1]Portfolio!$A$3:$AU$63,MATCH($A79,[1]Portfolio!$B$3:$B$63,0),37))</f>
        <v>0</v>
      </c>
      <c r="U79" s="7">
        <f>IF($A79="","",INDEX([1]Portfolio!$A$3:$AU$63,MATCH($A79,[1]Portfolio!$B$3:$B$63,0),36))</f>
        <v>0</v>
      </c>
      <c r="V79" s="7">
        <f>IF($A79="","",(INDEX([2]Programmesjalons!$A$4:$AH$140,MATCH($A79,[2]Programmesjalons!$A$4:$A$140,0),8)))</f>
        <v>42262</v>
      </c>
      <c r="W79" s="7">
        <f>IF($A79="","",(INDEX([2]Programmesjalons!$A$4:$AH$140,MATCH($A79,[2]Programmesjalons!$A$4:$A$140,0),12)))</f>
        <v>42363</v>
      </c>
      <c r="X79" s="7">
        <f>IF($A79="","",(INDEX([2]Programmesjalons!$A$4:$AH$140,MATCH($A79,[2]Programmesjalons!$A$4:$A$140,0),16)))</f>
        <v>42495</v>
      </c>
      <c r="Y79" s="7">
        <f>IF($A79="","",(INDEX([2]Programmesjalons!$A$4:$AH$140,MATCH($A79,[2]Programmesjalons!$A$4:$A$140,0),30)))</f>
        <v>0</v>
      </c>
      <c r="Z79" s="59">
        <f>IF($A79="","",(INDEX([2]Programmesjalons!$A$4:$AH$140,MATCH($A79,[2]Programmesjalons!$A$4:$A$140,0),32)))</f>
        <v>42701</v>
      </c>
      <c r="AA79" s="60">
        <f>IF($A79="","",(INDEX([2]Programmesjalons!$A$4:$AH$140,MATCH($A79,[2]Programmesjalons!$A$4:$A$140,0),34)))</f>
        <v>42750</v>
      </c>
      <c r="AB79" s="59">
        <f>IF($A79="","",(INDEX([2]Programmesjalons!$A$4:$AH$140,MATCH($A79,[2]Programmesjalons!$A$4:$A$140,0),26)))</f>
        <v>0</v>
      </c>
      <c r="AC79" s="59">
        <f>IF($A79="","",(INDEX([2]Programmesjalons!$A$4:$AH$140,MATCH($A79,[2]Programmesjalons!$A$4:$A$140,0),18)))</f>
        <v>0</v>
      </c>
      <c r="AD79" s="68"/>
      <c r="AE79" s="68"/>
      <c r="AF79" s="68"/>
      <c r="AG79" s="68"/>
      <c r="AH79" s="68"/>
      <c r="AI79" s="68"/>
      <c r="AJ79" s="69"/>
      <c r="AK79" s="70"/>
      <c r="AL79" s="69"/>
      <c r="AM79" s="69"/>
      <c r="AN79" s="7">
        <f t="shared" si="30"/>
        <v>42262</v>
      </c>
      <c r="AO79" s="7">
        <f t="shared" si="31"/>
        <v>42363</v>
      </c>
      <c r="AP79" s="7">
        <f t="shared" si="32"/>
        <v>42495</v>
      </c>
      <c r="AQ79" s="7" t="str">
        <f t="shared" si="33"/>
        <v>manque date</v>
      </c>
      <c r="AR79" s="59">
        <f t="shared" si="34"/>
        <v>42701</v>
      </c>
      <c r="AS79" s="60">
        <f t="shared" si="35"/>
        <v>42750</v>
      </c>
      <c r="AT79" s="59" t="str">
        <f t="shared" si="36"/>
        <v>manque date</v>
      </c>
      <c r="AU79" s="59" t="str">
        <f t="shared" si="37"/>
        <v>manque date</v>
      </c>
      <c r="AV79" s="76">
        <f t="shared" si="38"/>
        <v>42262</v>
      </c>
      <c r="AW79" s="76">
        <f t="shared" si="39"/>
        <v>42262</v>
      </c>
      <c r="AX79" s="61">
        <f t="shared" si="40"/>
        <v>42363</v>
      </c>
      <c r="AY79" s="61">
        <f t="shared" si="41"/>
        <v>42363</v>
      </c>
      <c r="AZ79" s="61">
        <f t="shared" si="42"/>
        <v>42495</v>
      </c>
      <c r="BA79" s="61">
        <f t="shared" si="43"/>
        <v>42495</v>
      </c>
      <c r="BB79" s="61">
        <f t="shared" si="44"/>
        <v>0</v>
      </c>
      <c r="BC79" s="61">
        <f t="shared" si="45"/>
        <v>0</v>
      </c>
      <c r="BD79" s="61">
        <f t="shared" si="46"/>
        <v>42701</v>
      </c>
      <c r="BE79" s="61">
        <f t="shared" si="47"/>
        <v>42701</v>
      </c>
      <c r="BF79" s="61">
        <f t="shared" si="48"/>
        <v>42750</v>
      </c>
      <c r="BG79" s="61">
        <f t="shared" si="49"/>
        <v>42750</v>
      </c>
      <c r="BH79" s="61">
        <f t="shared" si="50"/>
        <v>0</v>
      </c>
      <c r="BI79" s="61">
        <f t="shared" si="51"/>
        <v>0</v>
      </c>
      <c r="BJ79" s="61">
        <f t="shared" si="52"/>
        <v>0</v>
      </c>
      <c r="BK79" s="61">
        <f t="shared" si="53"/>
        <v>0</v>
      </c>
    </row>
    <row r="80" spans="1:63">
      <c r="A80" s="58" t="s">
        <v>65</v>
      </c>
      <c r="B80" s="74" t="str">
        <f t="shared" si="28"/>
        <v>Cathay Pacific</v>
      </c>
      <c r="C80" s="74" t="str">
        <f t="shared" si="29"/>
        <v>A350-900 /-1000</v>
      </c>
      <c r="D80" s="7">
        <v>41526</v>
      </c>
      <c r="E80" s="7">
        <v>41723</v>
      </c>
      <c r="F80" s="7">
        <v>41975</v>
      </c>
      <c r="G80" s="7">
        <v>42219</v>
      </c>
      <c r="H80" s="59">
        <v>42282</v>
      </c>
      <c r="I80" s="60">
        <v>42285</v>
      </c>
      <c r="J80" s="59">
        <v>42071</v>
      </c>
      <c r="K80" s="59">
        <v>42128</v>
      </c>
      <c r="L80" s="57" t="str">
        <f>IF($A80="","",INDEX([1]Portfolio!$A$3:$AU$63,MATCH($A80,[1]Portfolio!$B$3:$B$63,0),3))</f>
        <v>Cathay Pacific</v>
      </c>
      <c r="M80" s="57" t="str">
        <f>IF($A80="","",INDEX([1]Portfolio!$A$3:$AU$63,MATCH($A80,[1]Portfolio!$B$3:$B$63,0),5))</f>
        <v>A350-900 /-1000</v>
      </c>
      <c r="N80" s="6">
        <f>IF($A80="","",INDEX([1]Portfolio!$A$3:$AU$63,MATCH($A80,[1]Portfolio!$B$3:$B$63,0),29))</f>
        <v>41526</v>
      </c>
      <c r="O80" s="6">
        <f>IF($A80="","",INDEX([1]Portfolio!$A$3:$AU$63,MATCH($A80,[1]Portfolio!$B$3:$B$63,0),32))</f>
        <v>41723</v>
      </c>
      <c r="P80" s="7">
        <f>IF($A80="","",INDEX([1]Portfolio!$A$3:$AU$63,MATCH($A80,[1]Portfolio!$B$3:$B$63,0),35))</f>
        <v>41975</v>
      </c>
      <c r="Q80" s="7">
        <f>IF($A80="","",INDEX([1]Portfolio!$A$3:$AU$63,MATCH($A80,[1]Portfolio!$B$3:$B$63,0),38))</f>
        <v>42268</v>
      </c>
      <c r="R80" s="7">
        <f>IF($A80="","",INDEX([1]Portfolio!$A$3:$AU$63,MATCH($A80,[1]Portfolio!$B$3:$B$63,0),42))</f>
        <v>42296</v>
      </c>
      <c r="S80" s="7">
        <f>IF($A80="","",INDEX([1]Portfolio!$A$3:$AU$63,MATCH($A80,[1]Portfolio!$B$3:$B$63,0),43))</f>
        <v>42285</v>
      </c>
      <c r="T80" s="7">
        <f>IF($A80="","",INDEX([1]Portfolio!$A$3:$AU$63,MATCH($A80,[1]Portfolio!$B$3:$B$63,0),37))</f>
        <v>42071</v>
      </c>
      <c r="U80" s="7">
        <f>IF($A80="","",INDEX([1]Portfolio!$A$3:$AU$63,MATCH($A80,[1]Portfolio!$B$3:$B$63,0),36))</f>
        <v>42128</v>
      </c>
      <c r="V80" s="7">
        <f>IF($A80="","",(INDEX([2]Programmesjalons!$A$4:$AH$140,MATCH($A80,[2]Programmesjalons!$A$4:$A$140,0),8)))</f>
        <v>41526</v>
      </c>
      <c r="W80" s="7">
        <f>IF($A80="","",(INDEX([2]Programmesjalons!$A$4:$AH$140,MATCH($A80,[2]Programmesjalons!$A$4:$A$140,0),12)))</f>
        <v>41723</v>
      </c>
      <c r="X80" s="7">
        <f>IF($A80="","",(INDEX([2]Programmesjalons!$A$4:$AH$140,MATCH($A80,[2]Programmesjalons!$A$4:$A$140,0),16)))</f>
        <v>41975</v>
      </c>
      <c r="Y80" s="7">
        <f>IF($A80="","",(INDEX([2]Programmesjalons!$A$4:$AH$140,MATCH($A80,[2]Programmesjalons!$A$4:$A$140,0),30)))</f>
        <v>42219</v>
      </c>
      <c r="Z80" s="59">
        <f>IF($A80="","",(INDEX([2]Programmesjalons!$A$4:$AH$140,MATCH($A80,[2]Programmesjalons!$A$4:$A$140,0),32)))</f>
        <v>42282</v>
      </c>
      <c r="AA80" s="60">
        <f>IF($A80="","",(INDEX([2]Programmesjalons!$A$4:$AH$140,MATCH($A80,[2]Programmesjalons!$A$4:$A$140,0),34)))</f>
        <v>42300</v>
      </c>
      <c r="AB80" s="59">
        <f>IF($A80="","",(INDEX([2]Programmesjalons!$A$4:$AH$140,MATCH($A80,[2]Programmesjalons!$A$4:$A$140,0),26)))</f>
        <v>42204</v>
      </c>
      <c r="AC80" s="59">
        <f>IF($A80="","",(INDEX([2]Programmesjalons!$A$4:$AH$140,MATCH($A80,[2]Programmesjalons!$A$4:$A$140,0),18)))</f>
        <v>42129</v>
      </c>
      <c r="AD80" s="68"/>
      <c r="AE80" s="68"/>
      <c r="AF80" s="68"/>
      <c r="AG80" s="68"/>
      <c r="AH80" s="68"/>
      <c r="AI80" s="68"/>
      <c r="AJ80" s="69"/>
      <c r="AK80" s="70"/>
      <c r="AL80" s="69"/>
      <c r="AM80" s="69"/>
      <c r="AN80" s="7">
        <f t="shared" si="30"/>
        <v>41526</v>
      </c>
      <c r="AO80" s="7">
        <f t="shared" si="31"/>
        <v>41723</v>
      </c>
      <c r="AP80" s="7">
        <f t="shared" si="32"/>
        <v>41975</v>
      </c>
      <c r="AQ80" s="7">
        <f t="shared" si="33"/>
        <v>42219</v>
      </c>
      <c r="AR80" s="59">
        <f t="shared" si="34"/>
        <v>42282</v>
      </c>
      <c r="AS80" s="60">
        <f t="shared" si="35"/>
        <v>42285</v>
      </c>
      <c r="AT80" s="59">
        <f t="shared" si="36"/>
        <v>42071</v>
      </c>
      <c r="AU80" s="59">
        <f t="shared" si="37"/>
        <v>42128</v>
      </c>
      <c r="AV80" s="76">
        <f t="shared" si="38"/>
        <v>41526</v>
      </c>
      <c r="AW80" s="76">
        <f t="shared" si="39"/>
        <v>41526</v>
      </c>
      <c r="AX80" s="61">
        <f t="shared" si="40"/>
        <v>41723</v>
      </c>
      <c r="AY80" s="61">
        <f t="shared" si="41"/>
        <v>41723</v>
      </c>
      <c r="AZ80" s="61">
        <f t="shared" si="42"/>
        <v>41975</v>
      </c>
      <c r="BA80" s="61">
        <f t="shared" si="43"/>
        <v>41975</v>
      </c>
      <c r="BB80" s="61">
        <f t="shared" si="44"/>
        <v>42219</v>
      </c>
      <c r="BC80" s="61">
        <f t="shared" si="45"/>
        <v>42219</v>
      </c>
      <c r="BD80" s="61">
        <f t="shared" si="46"/>
        <v>42282</v>
      </c>
      <c r="BE80" s="61">
        <f t="shared" si="47"/>
        <v>42282</v>
      </c>
      <c r="BF80" s="61">
        <f t="shared" si="48"/>
        <v>42285</v>
      </c>
      <c r="BG80" s="61">
        <f t="shared" si="49"/>
        <v>42285</v>
      </c>
      <c r="BH80" s="61">
        <f t="shared" si="50"/>
        <v>42071</v>
      </c>
      <c r="BI80" s="61">
        <f t="shared" si="51"/>
        <v>42071</v>
      </c>
      <c r="BJ80" s="61">
        <f t="shared" si="52"/>
        <v>42128</v>
      </c>
      <c r="BK80" s="61">
        <f t="shared" si="53"/>
        <v>42128</v>
      </c>
    </row>
    <row r="81" spans="1:63">
      <c r="A81" s="13" t="s">
        <v>160</v>
      </c>
      <c r="B81" s="74" t="str">
        <f t="shared" si="28"/>
        <v>Cathay Pacific</v>
      </c>
      <c r="C81" s="74" t="str">
        <f t="shared" si="29"/>
        <v>A350-1000</v>
      </c>
      <c r="D81" s="7">
        <v>42338</v>
      </c>
      <c r="E81" s="7">
        <v>42401</v>
      </c>
      <c r="F81" s="7">
        <v>42552</v>
      </c>
      <c r="G81" s="7">
        <v>42548</v>
      </c>
      <c r="H81" s="59">
        <v>42576</v>
      </c>
      <c r="I81" s="60">
        <v>42948</v>
      </c>
      <c r="J81" s="59">
        <v>42729</v>
      </c>
      <c r="K81" s="59" t="s">
        <v>242</v>
      </c>
      <c r="L81" s="57" t="str">
        <f>IF($A81="","",INDEX([1]Portfolio!$A$3:$AU$63,MATCH($A81,[1]Portfolio!$B$3:$B$63,0),3))</f>
        <v>Cathay Pacific</v>
      </c>
      <c r="M81" s="57" t="str">
        <f>IF($A81="","",INDEX([1]Portfolio!$A$3:$AU$63,MATCH($A81,[1]Portfolio!$B$3:$B$63,0),5))</f>
        <v>A350-1000</v>
      </c>
      <c r="N81" s="6">
        <f>IF($A81="","",INDEX([1]Portfolio!$A$3:$AU$63,MATCH($A81,[1]Portfolio!$B$3:$B$63,0),29))</f>
        <v>42338</v>
      </c>
      <c r="O81" s="6">
        <f>IF($A81="","",INDEX([1]Portfolio!$A$3:$AU$63,MATCH($A81,[1]Portfolio!$B$3:$B$63,0),32))</f>
        <v>42458</v>
      </c>
      <c r="P81" s="7">
        <f>IF($A81="","",INDEX([1]Portfolio!$A$3:$AU$63,MATCH($A81,[1]Portfolio!$B$3:$B$63,0),35))</f>
        <v>42633</v>
      </c>
      <c r="Q81" s="7">
        <f>IF($A81="","",INDEX([1]Portfolio!$A$3:$AU$63,MATCH($A81,[1]Portfolio!$B$3:$B$63,0),38))</f>
        <v>42548</v>
      </c>
      <c r="R81" s="7">
        <f>IF($A81="","",INDEX([1]Portfolio!$A$3:$AU$63,MATCH($A81,[1]Portfolio!$B$3:$B$63,0),42))</f>
        <v>42576</v>
      </c>
      <c r="S81" s="7">
        <f>IF($A81="","",INDEX([1]Portfolio!$A$3:$AU$63,MATCH($A81,[1]Portfolio!$B$3:$B$63,0),43))</f>
        <v>42948</v>
      </c>
      <c r="T81" s="7">
        <f>IF($A81="","",INDEX([1]Portfolio!$A$3:$AU$63,MATCH($A81,[1]Portfolio!$B$3:$B$63,0),37))</f>
        <v>42729</v>
      </c>
      <c r="U81" s="7">
        <f>IF($A81="","",INDEX([1]Portfolio!$A$3:$AU$63,MATCH($A81,[1]Portfolio!$B$3:$B$63,0),36))</f>
        <v>0</v>
      </c>
      <c r="V81" s="7">
        <f>IF($A81="","",(INDEX([2]Programmesjalons!$A$4:$AH$140,MATCH($A81,[2]Programmesjalons!$A$4:$A$140,0),8)))</f>
        <v>42338</v>
      </c>
      <c r="W81" s="7">
        <f>IF($A81="","",(INDEX([2]Programmesjalons!$A$4:$AH$140,MATCH($A81,[2]Programmesjalons!$A$4:$A$140,0),12)))</f>
        <v>42401</v>
      </c>
      <c r="X81" s="7">
        <f>IF($A81="","",(INDEX([2]Programmesjalons!$A$4:$AH$140,MATCH($A81,[2]Programmesjalons!$A$4:$A$140,0),16)))</f>
        <v>42552</v>
      </c>
      <c r="Y81" s="7">
        <f>IF($A81="","",(INDEX([2]Programmesjalons!$A$4:$AH$140,MATCH($A81,[2]Programmesjalons!$A$4:$A$140,0),30)))</f>
        <v>0</v>
      </c>
      <c r="Z81" s="59">
        <f>IF($A81="","",(INDEX([2]Programmesjalons!$A$4:$AH$140,MATCH($A81,[2]Programmesjalons!$A$4:$A$140,0),32)))</f>
        <v>42705</v>
      </c>
      <c r="AA81" s="60">
        <f>IF($A81="","",(INDEX([2]Programmesjalons!$A$4:$AH$140,MATCH($A81,[2]Programmesjalons!$A$4:$A$140,0),34)))</f>
        <v>0</v>
      </c>
      <c r="AB81" s="59">
        <f>IF($A81="","",(INDEX([2]Programmesjalons!$A$4:$AH$140,MATCH($A81,[2]Programmesjalons!$A$4:$A$140,0),26)))</f>
        <v>0</v>
      </c>
      <c r="AC81" s="59">
        <f>IF($A81="","",(INDEX([2]Programmesjalons!$A$4:$AH$140,MATCH($A81,[2]Programmesjalons!$A$4:$A$140,0),18)))</f>
        <v>0</v>
      </c>
      <c r="AD81" s="68"/>
      <c r="AE81" s="68"/>
      <c r="AF81" s="68"/>
      <c r="AG81" s="68"/>
      <c r="AH81" s="68"/>
      <c r="AI81" s="68"/>
      <c r="AJ81" s="69"/>
      <c r="AK81" s="70"/>
      <c r="AL81" s="69"/>
      <c r="AM81" s="69"/>
      <c r="AN81" s="7">
        <f t="shared" si="30"/>
        <v>42338</v>
      </c>
      <c r="AO81" s="7">
        <f t="shared" si="31"/>
        <v>42401</v>
      </c>
      <c r="AP81" s="7">
        <f t="shared" si="32"/>
        <v>42552</v>
      </c>
      <c r="AQ81" s="7">
        <f t="shared" si="33"/>
        <v>42548</v>
      </c>
      <c r="AR81" s="59">
        <f t="shared" si="34"/>
        <v>42576</v>
      </c>
      <c r="AS81" s="60">
        <f t="shared" si="35"/>
        <v>42948</v>
      </c>
      <c r="AT81" s="59">
        <f t="shared" si="36"/>
        <v>42729</v>
      </c>
      <c r="AU81" s="59" t="str">
        <f t="shared" si="37"/>
        <v>manque date</v>
      </c>
      <c r="AV81" s="76">
        <f t="shared" si="38"/>
        <v>42338</v>
      </c>
      <c r="AW81" s="76">
        <f t="shared" si="39"/>
        <v>42338</v>
      </c>
      <c r="AX81" s="61">
        <f t="shared" si="40"/>
        <v>42401</v>
      </c>
      <c r="AY81" s="61">
        <f t="shared" si="41"/>
        <v>42401</v>
      </c>
      <c r="AZ81" s="61">
        <f t="shared" si="42"/>
        <v>42552</v>
      </c>
      <c r="BA81" s="61">
        <f t="shared" si="43"/>
        <v>42552</v>
      </c>
      <c r="BB81" s="61">
        <f t="shared" si="44"/>
        <v>0</v>
      </c>
      <c r="BC81" s="61">
        <f t="shared" si="45"/>
        <v>42548</v>
      </c>
      <c r="BD81" s="61">
        <f t="shared" si="46"/>
        <v>42705</v>
      </c>
      <c r="BE81" s="61">
        <f t="shared" si="47"/>
        <v>42576</v>
      </c>
      <c r="BF81" s="61">
        <f t="shared" si="48"/>
        <v>0</v>
      </c>
      <c r="BG81" s="61">
        <f t="shared" si="49"/>
        <v>42948</v>
      </c>
      <c r="BH81" s="61">
        <f t="shared" si="50"/>
        <v>0</v>
      </c>
      <c r="BI81" s="61">
        <f t="shared" si="51"/>
        <v>42729</v>
      </c>
      <c r="BJ81" s="61">
        <f t="shared" si="52"/>
        <v>0</v>
      </c>
      <c r="BK81" s="61">
        <f t="shared" si="53"/>
        <v>0</v>
      </c>
    </row>
    <row r="82" spans="1:63">
      <c r="A82" s="13" t="s">
        <v>186</v>
      </c>
      <c r="B82" s="74">
        <f t="shared" si="28"/>
        <v>0</v>
      </c>
      <c r="C82" s="74">
        <f t="shared" si="29"/>
        <v>0</v>
      </c>
      <c r="D82" s="7">
        <v>42277</v>
      </c>
      <c r="E82" s="7">
        <v>42430</v>
      </c>
      <c r="F82" s="7">
        <v>42644</v>
      </c>
      <c r="G82" s="7">
        <v>42806</v>
      </c>
      <c r="H82" s="59">
        <v>42826</v>
      </c>
      <c r="I82" s="60">
        <v>42948</v>
      </c>
      <c r="J82" s="59" t="s">
        <v>242</v>
      </c>
      <c r="K82" s="59" t="s">
        <v>242</v>
      </c>
      <c r="L82" s="57" t="e">
        <f>IF($A82="","",INDEX([1]Portfolio!$A$3:$AU$63,MATCH($A82,[1]Portfolio!$B$3:$B$63,0),3))</f>
        <v>#N/A</v>
      </c>
      <c r="M82" s="57" t="e">
        <f>IF($A82="","",INDEX([1]Portfolio!$A$3:$AU$63,MATCH($A82,[1]Portfolio!$B$3:$B$63,0),5))</f>
        <v>#N/A</v>
      </c>
      <c r="N82" s="6" t="e">
        <f>IF($A82="","",INDEX([1]Portfolio!$A$3:$AU$63,MATCH($A82,[1]Portfolio!$B$3:$B$63,0),29))</f>
        <v>#N/A</v>
      </c>
      <c r="O82" s="6" t="e">
        <f>IF($A82="","",INDEX([1]Portfolio!$A$3:$AU$63,MATCH($A82,[1]Portfolio!$B$3:$B$63,0),32))</f>
        <v>#N/A</v>
      </c>
      <c r="P82" s="7" t="e">
        <f>IF($A82="","",INDEX([1]Portfolio!$A$3:$AU$63,MATCH($A82,[1]Portfolio!$B$3:$B$63,0),35))</f>
        <v>#N/A</v>
      </c>
      <c r="Q82" s="7" t="e">
        <f>IF($A82="","",INDEX([1]Portfolio!$A$3:$AU$63,MATCH($A82,[1]Portfolio!$B$3:$B$63,0),38))</f>
        <v>#N/A</v>
      </c>
      <c r="R82" s="7" t="e">
        <f>IF($A82="","",INDEX([1]Portfolio!$A$3:$AU$63,MATCH($A82,[1]Portfolio!$B$3:$B$63,0),42))</f>
        <v>#N/A</v>
      </c>
      <c r="S82" s="7" t="e">
        <f>IF($A82="","",INDEX([1]Portfolio!$A$3:$AU$63,MATCH($A82,[1]Portfolio!$B$3:$B$63,0),43))</f>
        <v>#N/A</v>
      </c>
      <c r="T82" s="7" t="e">
        <f>IF($A82="","",INDEX([1]Portfolio!$A$3:$AU$63,MATCH($A82,[1]Portfolio!$B$3:$B$63,0),37))</f>
        <v>#N/A</v>
      </c>
      <c r="U82" s="7" t="e">
        <f>IF($A82="","",INDEX([1]Portfolio!$A$3:$AU$63,MATCH($A82,[1]Portfolio!$B$3:$B$63,0),36))</f>
        <v>#N/A</v>
      </c>
      <c r="V82" s="7">
        <f>IF($A82="","",(INDEX([2]Programmesjalons!$A$4:$AH$140,MATCH($A82,[2]Programmesjalons!$A$4:$A$140,0),8)))</f>
        <v>42277</v>
      </c>
      <c r="W82" s="7">
        <f>IF($A82="","",(INDEX([2]Programmesjalons!$A$4:$AH$140,MATCH($A82,[2]Programmesjalons!$A$4:$A$140,0),12)))</f>
        <v>42430</v>
      </c>
      <c r="X82" s="7">
        <f>IF($A82="","",(INDEX([2]Programmesjalons!$A$4:$AH$140,MATCH($A82,[2]Programmesjalons!$A$4:$A$140,0),16)))</f>
        <v>42644</v>
      </c>
      <c r="Y82" s="7">
        <f>IF($A82="","",(INDEX([2]Programmesjalons!$A$4:$AH$140,MATCH($A82,[2]Programmesjalons!$A$4:$A$140,0),30)))</f>
        <v>42806</v>
      </c>
      <c r="Z82" s="59">
        <f>IF($A82="","",(INDEX([2]Programmesjalons!$A$4:$AH$140,MATCH($A82,[2]Programmesjalons!$A$4:$A$140,0),32)))</f>
        <v>42826</v>
      </c>
      <c r="AA82" s="60">
        <f>IF($A82="","",(INDEX([2]Programmesjalons!$A$4:$AH$140,MATCH($A82,[2]Programmesjalons!$A$4:$A$140,0),34)))</f>
        <v>42948</v>
      </c>
      <c r="AB82" s="59">
        <f>IF($A82="","",(INDEX([2]Programmesjalons!$A$4:$AH$140,MATCH($A82,[2]Programmesjalons!$A$4:$A$140,0),26)))</f>
        <v>0</v>
      </c>
      <c r="AC82" s="59">
        <f>IF($A82="","",(INDEX([2]Programmesjalons!$A$4:$AH$140,MATCH($A82,[2]Programmesjalons!$A$4:$A$140,0),18)))</f>
        <v>0</v>
      </c>
      <c r="AD82" s="68"/>
      <c r="AE82" s="68"/>
      <c r="AF82" s="68"/>
      <c r="AG82" s="68"/>
      <c r="AH82" s="68"/>
      <c r="AI82" s="68"/>
      <c r="AJ82" s="69"/>
      <c r="AK82" s="70"/>
      <c r="AL82" s="69"/>
      <c r="AM82" s="69"/>
      <c r="AN82" s="7">
        <f t="shared" si="30"/>
        <v>42277</v>
      </c>
      <c r="AO82" s="7">
        <f t="shared" si="31"/>
        <v>42430</v>
      </c>
      <c r="AP82" s="7">
        <f t="shared" si="32"/>
        <v>42644</v>
      </c>
      <c r="AQ82" s="7">
        <f t="shared" si="33"/>
        <v>42806</v>
      </c>
      <c r="AR82" s="59">
        <f t="shared" si="34"/>
        <v>42826</v>
      </c>
      <c r="AS82" s="60">
        <f t="shared" si="35"/>
        <v>42948</v>
      </c>
      <c r="AT82" s="59" t="str">
        <f t="shared" si="36"/>
        <v>manque date</v>
      </c>
      <c r="AU82" s="59" t="str">
        <f t="shared" si="37"/>
        <v>manque date</v>
      </c>
      <c r="AV82" s="76">
        <f t="shared" si="38"/>
        <v>42277</v>
      </c>
      <c r="AW82" s="76">
        <f t="shared" si="39"/>
        <v>42277</v>
      </c>
      <c r="AX82" s="61">
        <f t="shared" si="40"/>
        <v>42430</v>
      </c>
      <c r="AY82" s="61">
        <f t="shared" si="41"/>
        <v>42430</v>
      </c>
      <c r="AZ82" s="61">
        <f t="shared" si="42"/>
        <v>42644</v>
      </c>
      <c r="BA82" s="61">
        <f t="shared" si="43"/>
        <v>42644</v>
      </c>
      <c r="BB82" s="61">
        <f t="shared" si="44"/>
        <v>42806</v>
      </c>
      <c r="BC82" s="61">
        <f t="shared" si="45"/>
        <v>42806</v>
      </c>
      <c r="BD82" s="61">
        <f t="shared" si="46"/>
        <v>42826</v>
      </c>
      <c r="BE82" s="61">
        <f t="shared" si="47"/>
        <v>42826</v>
      </c>
      <c r="BF82" s="61">
        <f t="shared" si="48"/>
        <v>42948</v>
      </c>
      <c r="BG82" s="61">
        <f t="shared" si="49"/>
        <v>42948</v>
      </c>
      <c r="BH82" s="61">
        <f t="shared" si="50"/>
        <v>0</v>
      </c>
      <c r="BI82" s="61">
        <f t="shared" si="51"/>
        <v>0</v>
      </c>
      <c r="BJ82" s="61">
        <f t="shared" si="52"/>
        <v>0</v>
      </c>
      <c r="BK82" s="61">
        <f t="shared" si="53"/>
        <v>0</v>
      </c>
    </row>
    <row r="83" spans="1:63">
      <c r="A83" s="25" t="s">
        <v>52</v>
      </c>
      <c r="B83" s="74">
        <f t="shared" si="28"/>
        <v>0</v>
      </c>
      <c r="C83" s="74">
        <f t="shared" si="29"/>
        <v>0</v>
      </c>
      <c r="D83" s="7" t="s">
        <v>242</v>
      </c>
      <c r="E83" s="7" t="s">
        <v>242</v>
      </c>
      <c r="F83" s="7" t="s">
        <v>242</v>
      </c>
      <c r="G83" s="7" t="s">
        <v>242</v>
      </c>
      <c r="H83" s="59" t="s">
        <v>242</v>
      </c>
      <c r="I83" s="60" t="s">
        <v>242</v>
      </c>
      <c r="J83" s="59" t="s">
        <v>242</v>
      </c>
      <c r="K83" s="59" t="s">
        <v>242</v>
      </c>
      <c r="L83" s="57" t="e">
        <f>IF($A83="","",INDEX([1]Portfolio!$A$3:$AU$63,MATCH($A83,[1]Portfolio!$B$3:$B$63,0),3))</f>
        <v>#N/A</v>
      </c>
      <c r="M83" s="57" t="e">
        <f>IF($A83="","",INDEX([1]Portfolio!$A$3:$AU$63,MATCH($A83,[1]Portfolio!$B$3:$B$63,0),5))</f>
        <v>#N/A</v>
      </c>
      <c r="N83" s="6" t="e">
        <f>IF($A83="","",INDEX([1]Portfolio!$A$3:$AU$63,MATCH($A83,[1]Portfolio!$B$3:$B$63,0),29))</f>
        <v>#N/A</v>
      </c>
      <c r="O83" s="6" t="e">
        <f>IF($A83="","",INDEX([1]Portfolio!$A$3:$AU$63,MATCH($A83,[1]Portfolio!$B$3:$B$63,0),32))</f>
        <v>#N/A</v>
      </c>
      <c r="P83" s="7" t="e">
        <f>IF($A83="","",INDEX([1]Portfolio!$A$3:$AU$63,MATCH($A83,[1]Portfolio!$B$3:$B$63,0),35))</f>
        <v>#N/A</v>
      </c>
      <c r="Q83" s="7" t="e">
        <f>IF($A83="","",INDEX([1]Portfolio!$A$3:$AU$63,MATCH($A83,[1]Portfolio!$B$3:$B$63,0),38))</f>
        <v>#N/A</v>
      </c>
      <c r="R83" s="7" t="e">
        <f>IF($A83="","",INDEX([1]Portfolio!$A$3:$AU$63,MATCH($A83,[1]Portfolio!$B$3:$B$63,0),42))</f>
        <v>#N/A</v>
      </c>
      <c r="S83" s="7" t="e">
        <f>IF($A83="","",INDEX([1]Portfolio!$A$3:$AU$63,MATCH($A83,[1]Portfolio!$B$3:$B$63,0),43))</f>
        <v>#N/A</v>
      </c>
      <c r="T83" s="7" t="e">
        <f>IF($A83="","",INDEX([1]Portfolio!$A$3:$AU$63,MATCH($A83,[1]Portfolio!$B$3:$B$63,0),37))</f>
        <v>#N/A</v>
      </c>
      <c r="U83" s="7" t="e">
        <f>IF($A83="","",INDEX([1]Portfolio!$A$3:$AU$63,MATCH($A83,[1]Portfolio!$B$3:$B$63,0),36))</f>
        <v>#N/A</v>
      </c>
      <c r="V83" s="7">
        <f>IF($A83="","",(INDEX([2]Programmesjalons!$A$4:$AH$140,MATCH($A83,[2]Programmesjalons!$A$4:$A$140,0),8)))</f>
        <v>0</v>
      </c>
      <c r="W83" s="7">
        <f>IF($A83="","",(INDEX([2]Programmesjalons!$A$4:$AH$140,MATCH($A83,[2]Programmesjalons!$A$4:$A$140,0),12)))</f>
        <v>0</v>
      </c>
      <c r="X83" s="7">
        <f>IF($A83="","",(INDEX([2]Programmesjalons!$A$4:$AH$140,MATCH($A83,[2]Programmesjalons!$A$4:$A$140,0),16)))</f>
        <v>0</v>
      </c>
      <c r="Y83" s="7">
        <f>IF($A83="","",(INDEX([2]Programmesjalons!$A$4:$AH$140,MATCH($A83,[2]Programmesjalons!$A$4:$A$140,0),30)))</f>
        <v>0</v>
      </c>
      <c r="Z83" s="59">
        <f>IF($A83="","",(INDEX([2]Programmesjalons!$A$4:$AH$140,MATCH($A83,[2]Programmesjalons!$A$4:$A$140,0),32)))</f>
        <v>0</v>
      </c>
      <c r="AA83" s="60">
        <f>IF($A83="","",(INDEX([2]Programmesjalons!$A$4:$AH$140,MATCH($A83,[2]Programmesjalons!$A$4:$A$140,0),34)))</f>
        <v>0</v>
      </c>
      <c r="AB83" s="59">
        <f>IF($A83="","",(INDEX([2]Programmesjalons!$A$4:$AH$140,MATCH($A83,[2]Programmesjalons!$A$4:$A$140,0),26)))</f>
        <v>0</v>
      </c>
      <c r="AC83" s="59">
        <f>IF($A83="","",(INDEX([2]Programmesjalons!$A$4:$AH$140,MATCH($A83,[2]Programmesjalons!$A$4:$A$140,0),18)))</f>
        <v>0</v>
      </c>
      <c r="AD83" s="68"/>
      <c r="AE83" s="68"/>
      <c r="AF83" s="68"/>
      <c r="AG83" s="68"/>
      <c r="AH83" s="68"/>
      <c r="AI83" s="68"/>
      <c r="AJ83" s="69"/>
      <c r="AK83" s="70"/>
      <c r="AL83" s="69"/>
      <c r="AM83" s="69"/>
      <c r="AN83" s="7" t="str">
        <f t="shared" si="30"/>
        <v>manque date</v>
      </c>
      <c r="AO83" s="7" t="str">
        <f t="shared" si="31"/>
        <v>manque date</v>
      </c>
      <c r="AP83" s="7" t="str">
        <f t="shared" si="32"/>
        <v>manque date</v>
      </c>
      <c r="AQ83" s="7" t="str">
        <f t="shared" si="33"/>
        <v>manque date</v>
      </c>
      <c r="AR83" s="59" t="str">
        <f t="shared" si="34"/>
        <v>manque date</v>
      </c>
      <c r="AS83" s="60" t="str">
        <f t="shared" si="35"/>
        <v>manque date</v>
      </c>
      <c r="AT83" s="59" t="str">
        <f t="shared" si="36"/>
        <v>manque date</v>
      </c>
      <c r="AU83" s="59" t="str">
        <f t="shared" si="37"/>
        <v>manque date</v>
      </c>
      <c r="AV83" s="76">
        <f t="shared" si="38"/>
        <v>0</v>
      </c>
      <c r="AW83" s="76">
        <f t="shared" si="39"/>
        <v>0</v>
      </c>
      <c r="AX83" s="61">
        <f t="shared" si="40"/>
        <v>0</v>
      </c>
      <c r="AY83" s="61">
        <f t="shared" si="41"/>
        <v>0</v>
      </c>
      <c r="AZ83" s="61">
        <f t="shared" si="42"/>
        <v>0</v>
      </c>
      <c r="BA83" s="61">
        <f t="shared" si="43"/>
        <v>0</v>
      </c>
      <c r="BB83" s="61">
        <f t="shared" si="44"/>
        <v>0</v>
      </c>
      <c r="BC83" s="61">
        <f t="shared" si="45"/>
        <v>0</v>
      </c>
      <c r="BD83" s="61">
        <f t="shared" si="46"/>
        <v>0</v>
      </c>
      <c r="BE83" s="61">
        <f t="shared" si="47"/>
        <v>0</v>
      </c>
      <c r="BF83" s="61">
        <f t="shared" si="48"/>
        <v>0</v>
      </c>
      <c r="BG83" s="61">
        <f t="shared" si="49"/>
        <v>0</v>
      </c>
      <c r="BH83" s="61">
        <f t="shared" si="50"/>
        <v>0</v>
      </c>
      <c r="BI83" s="61">
        <f t="shared" si="51"/>
        <v>0</v>
      </c>
      <c r="BJ83" s="61">
        <f t="shared" si="52"/>
        <v>0</v>
      </c>
      <c r="BK83" s="61">
        <f t="shared" si="53"/>
        <v>0</v>
      </c>
    </row>
    <row r="84" spans="1:63">
      <c r="A84" s="13" t="s">
        <v>226</v>
      </c>
      <c r="B84" s="74">
        <f t="shared" si="28"/>
        <v>0</v>
      </c>
      <c r="C84" s="74">
        <f t="shared" si="29"/>
        <v>0</v>
      </c>
      <c r="D84" s="7" t="s">
        <v>242</v>
      </c>
      <c r="E84" s="7" t="s">
        <v>242</v>
      </c>
      <c r="F84" s="7" t="s">
        <v>242</v>
      </c>
      <c r="G84" s="7" t="s">
        <v>242</v>
      </c>
      <c r="H84" s="59" t="s">
        <v>242</v>
      </c>
      <c r="I84" s="60" t="s">
        <v>242</v>
      </c>
      <c r="J84" s="59" t="s">
        <v>242</v>
      </c>
      <c r="K84" s="59" t="s">
        <v>242</v>
      </c>
      <c r="L84" s="57" t="e">
        <f>IF($A84="","",INDEX([1]Portfolio!$A$3:$AU$63,MATCH($A84,[1]Portfolio!$B$3:$B$63,0),3))</f>
        <v>#N/A</v>
      </c>
      <c r="M84" s="57" t="e">
        <f>IF($A84="","",INDEX([1]Portfolio!$A$3:$AU$63,MATCH($A84,[1]Portfolio!$B$3:$B$63,0),5))</f>
        <v>#N/A</v>
      </c>
      <c r="N84" s="6" t="e">
        <f>IF($A84="","",INDEX([1]Portfolio!$A$3:$AU$63,MATCH($A84,[1]Portfolio!$B$3:$B$63,0),29))</f>
        <v>#N/A</v>
      </c>
      <c r="O84" s="6" t="e">
        <f>IF($A84="","",INDEX([1]Portfolio!$A$3:$AU$63,MATCH($A84,[1]Portfolio!$B$3:$B$63,0),32))</f>
        <v>#N/A</v>
      </c>
      <c r="P84" s="7" t="e">
        <f>IF($A84="","",INDEX([1]Portfolio!$A$3:$AU$63,MATCH($A84,[1]Portfolio!$B$3:$B$63,0),35))</f>
        <v>#N/A</v>
      </c>
      <c r="Q84" s="7" t="e">
        <f>IF($A84="","",INDEX([1]Portfolio!$A$3:$AU$63,MATCH($A84,[1]Portfolio!$B$3:$B$63,0),38))</f>
        <v>#N/A</v>
      </c>
      <c r="R84" s="7" t="e">
        <f>IF($A84="","",INDEX([1]Portfolio!$A$3:$AU$63,MATCH($A84,[1]Portfolio!$B$3:$B$63,0),42))</f>
        <v>#N/A</v>
      </c>
      <c r="S84" s="7" t="e">
        <f>IF($A84="","",INDEX([1]Portfolio!$A$3:$AU$63,MATCH($A84,[1]Portfolio!$B$3:$B$63,0),43))</f>
        <v>#N/A</v>
      </c>
      <c r="T84" s="7" t="e">
        <f>IF($A84="","",INDEX([1]Portfolio!$A$3:$AU$63,MATCH($A84,[1]Portfolio!$B$3:$B$63,0),37))</f>
        <v>#N/A</v>
      </c>
      <c r="U84" s="7" t="e">
        <f>IF($A84="","",INDEX([1]Portfolio!$A$3:$AU$63,MATCH($A84,[1]Portfolio!$B$3:$B$63,0),36))</f>
        <v>#N/A</v>
      </c>
      <c r="V84" s="7">
        <f>IF($A84="","",(INDEX([2]Programmesjalons!$A$4:$AH$140,MATCH($A84,[2]Programmesjalons!$A$4:$A$140,0),8)))</f>
        <v>0</v>
      </c>
      <c r="W84" s="7">
        <f>IF($A84="","",(INDEX([2]Programmesjalons!$A$4:$AH$140,MATCH($A84,[2]Programmesjalons!$A$4:$A$140,0),12)))</f>
        <v>0</v>
      </c>
      <c r="X84" s="7">
        <f>IF($A84="","",(INDEX([2]Programmesjalons!$A$4:$AH$140,MATCH($A84,[2]Programmesjalons!$A$4:$A$140,0),16)))</f>
        <v>0</v>
      </c>
      <c r="Y84" s="7">
        <f>IF($A84="","",(INDEX([2]Programmesjalons!$A$4:$AH$140,MATCH($A84,[2]Programmesjalons!$A$4:$A$140,0),30)))</f>
        <v>0</v>
      </c>
      <c r="Z84" s="59">
        <f>IF($A84="","",(INDEX([2]Programmesjalons!$A$4:$AH$140,MATCH($A84,[2]Programmesjalons!$A$4:$A$140,0),32)))</f>
        <v>0</v>
      </c>
      <c r="AA84" s="60">
        <f>IF($A84="","",(INDEX([2]Programmesjalons!$A$4:$AH$140,MATCH($A84,[2]Programmesjalons!$A$4:$A$140,0),34)))</f>
        <v>0</v>
      </c>
      <c r="AB84" s="59">
        <f>IF($A84="","",(INDEX([2]Programmesjalons!$A$4:$AH$140,MATCH($A84,[2]Programmesjalons!$A$4:$A$140,0),26)))</f>
        <v>0</v>
      </c>
      <c r="AC84" s="59">
        <f>IF($A84="","",(INDEX([2]Programmesjalons!$A$4:$AH$140,MATCH($A84,[2]Programmesjalons!$A$4:$A$140,0),18)))</f>
        <v>0</v>
      </c>
      <c r="AD84" s="68"/>
      <c r="AE84" s="68"/>
      <c r="AF84" s="68"/>
      <c r="AG84" s="68"/>
      <c r="AH84" s="68"/>
      <c r="AI84" s="68"/>
      <c r="AJ84" s="69"/>
      <c r="AK84" s="70"/>
      <c r="AL84" s="69"/>
      <c r="AM84" s="69"/>
      <c r="AN84" s="7" t="str">
        <f t="shared" si="30"/>
        <v>manque date</v>
      </c>
      <c r="AO84" s="7" t="str">
        <f t="shared" si="31"/>
        <v>manque date</v>
      </c>
      <c r="AP84" s="7" t="str">
        <f t="shared" si="32"/>
        <v>manque date</v>
      </c>
      <c r="AQ84" s="7" t="str">
        <f t="shared" si="33"/>
        <v>manque date</v>
      </c>
      <c r="AR84" s="59" t="str">
        <f t="shared" si="34"/>
        <v>manque date</v>
      </c>
      <c r="AS84" s="60" t="str">
        <f t="shared" si="35"/>
        <v>manque date</v>
      </c>
      <c r="AT84" s="59" t="str">
        <f t="shared" si="36"/>
        <v>manque date</v>
      </c>
      <c r="AU84" s="59" t="str">
        <f t="shared" si="37"/>
        <v>manque date</v>
      </c>
      <c r="AV84" s="76">
        <f t="shared" si="38"/>
        <v>0</v>
      </c>
      <c r="AW84" s="76">
        <f t="shared" si="39"/>
        <v>0</v>
      </c>
      <c r="AX84" s="61">
        <f t="shared" si="40"/>
        <v>0</v>
      </c>
      <c r="AY84" s="61">
        <f t="shared" si="41"/>
        <v>0</v>
      </c>
      <c r="AZ84" s="61">
        <f t="shared" si="42"/>
        <v>0</v>
      </c>
      <c r="BA84" s="61">
        <f t="shared" si="43"/>
        <v>0</v>
      </c>
      <c r="BB84" s="61">
        <f t="shared" si="44"/>
        <v>0</v>
      </c>
      <c r="BC84" s="61">
        <f t="shared" si="45"/>
        <v>0</v>
      </c>
      <c r="BD84" s="61">
        <f t="shared" si="46"/>
        <v>0</v>
      </c>
      <c r="BE84" s="61">
        <f t="shared" si="47"/>
        <v>0</v>
      </c>
      <c r="BF84" s="61">
        <f t="shared" si="48"/>
        <v>0</v>
      </c>
      <c r="BG84" s="61">
        <f t="shared" si="49"/>
        <v>0</v>
      </c>
      <c r="BH84" s="61">
        <f t="shared" si="50"/>
        <v>0</v>
      </c>
      <c r="BI84" s="61">
        <f t="shared" si="51"/>
        <v>0</v>
      </c>
      <c r="BJ84" s="61">
        <f t="shared" si="52"/>
        <v>0</v>
      </c>
      <c r="BK84" s="61">
        <f t="shared" si="53"/>
        <v>0</v>
      </c>
    </row>
    <row r="85" spans="1:63">
      <c r="A85" s="13" t="s">
        <v>227</v>
      </c>
      <c r="B85" s="74">
        <f t="shared" si="28"/>
        <v>0</v>
      </c>
      <c r="C85" s="74">
        <f t="shared" si="29"/>
        <v>0</v>
      </c>
      <c r="D85" s="7" t="s">
        <v>242</v>
      </c>
      <c r="E85" s="7" t="s">
        <v>242</v>
      </c>
      <c r="F85" s="7" t="s">
        <v>242</v>
      </c>
      <c r="G85" s="7" t="s">
        <v>242</v>
      </c>
      <c r="H85" s="59" t="s">
        <v>242</v>
      </c>
      <c r="I85" s="60" t="s">
        <v>242</v>
      </c>
      <c r="J85" s="59" t="s">
        <v>242</v>
      </c>
      <c r="K85" s="59" t="s">
        <v>242</v>
      </c>
      <c r="L85" s="57" t="e">
        <f>IF($A85="","",INDEX([1]Portfolio!$A$3:$AU$63,MATCH($A85,[1]Portfolio!$B$3:$B$63,0),3))</f>
        <v>#N/A</v>
      </c>
      <c r="M85" s="57" t="e">
        <f>IF($A85="","",INDEX([1]Portfolio!$A$3:$AU$63,MATCH($A85,[1]Portfolio!$B$3:$B$63,0),5))</f>
        <v>#N/A</v>
      </c>
      <c r="N85" s="6" t="e">
        <f>IF($A85="","",INDEX([1]Portfolio!$A$3:$AU$63,MATCH($A85,[1]Portfolio!$B$3:$B$63,0),29))</f>
        <v>#N/A</v>
      </c>
      <c r="O85" s="6" t="e">
        <f>IF($A85="","",INDEX([1]Portfolio!$A$3:$AU$63,MATCH($A85,[1]Portfolio!$B$3:$B$63,0),32))</f>
        <v>#N/A</v>
      </c>
      <c r="P85" s="7" t="e">
        <f>IF($A85="","",INDEX([1]Portfolio!$A$3:$AU$63,MATCH($A85,[1]Portfolio!$B$3:$B$63,0),35))</f>
        <v>#N/A</v>
      </c>
      <c r="Q85" s="7" t="e">
        <f>IF($A85="","",INDEX([1]Portfolio!$A$3:$AU$63,MATCH($A85,[1]Portfolio!$B$3:$B$63,0),38))</f>
        <v>#N/A</v>
      </c>
      <c r="R85" s="7" t="e">
        <f>IF($A85="","",INDEX([1]Portfolio!$A$3:$AU$63,MATCH($A85,[1]Portfolio!$B$3:$B$63,0),42))</f>
        <v>#N/A</v>
      </c>
      <c r="S85" s="7" t="e">
        <f>IF($A85="","",INDEX([1]Portfolio!$A$3:$AU$63,MATCH($A85,[1]Portfolio!$B$3:$B$63,0),43))</f>
        <v>#N/A</v>
      </c>
      <c r="T85" s="7" t="e">
        <f>IF($A85="","",INDEX([1]Portfolio!$A$3:$AU$63,MATCH($A85,[1]Portfolio!$B$3:$B$63,0),37))</f>
        <v>#N/A</v>
      </c>
      <c r="U85" s="7" t="e">
        <f>IF($A85="","",INDEX([1]Portfolio!$A$3:$AU$63,MATCH($A85,[1]Portfolio!$B$3:$B$63,0),36))</f>
        <v>#N/A</v>
      </c>
      <c r="V85" s="7">
        <f>IF($A85="","",(INDEX([2]Programmesjalons!$A$4:$AH$140,MATCH($A85,[2]Programmesjalons!$A$4:$A$140,0),8)))</f>
        <v>0</v>
      </c>
      <c r="W85" s="7">
        <f>IF($A85="","",(INDEX([2]Programmesjalons!$A$4:$AH$140,MATCH($A85,[2]Programmesjalons!$A$4:$A$140,0),12)))</f>
        <v>0</v>
      </c>
      <c r="X85" s="7">
        <f>IF($A85="","",(INDEX([2]Programmesjalons!$A$4:$AH$140,MATCH($A85,[2]Programmesjalons!$A$4:$A$140,0),16)))</f>
        <v>0</v>
      </c>
      <c r="Y85" s="7">
        <f>IF($A85="","",(INDEX([2]Programmesjalons!$A$4:$AH$140,MATCH($A85,[2]Programmesjalons!$A$4:$A$140,0),30)))</f>
        <v>0</v>
      </c>
      <c r="Z85" s="59">
        <f>IF($A85="","",(INDEX([2]Programmesjalons!$A$4:$AH$140,MATCH($A85,[2]Programmesjalons!$A$4:$A$140,0),32)))</f>
        <v>0</v>
      </c>
      <c r="AA85" s="60">
        <f>IF($A85="","",(INDEX([2]Programmesjalons!$A$4:$AH$140,MATCH($A85,[2]Programmesjalons!$A$4:$A$140,0),34)))</f>
        <v>0</v>
      </c>
      <c r="AB85" s="59">
        <f>IF($A85="","",(INDEX([2]Programmesjalons!$A$4:$AH$140,MATCH($A85,[2]Programmesjalons!$A$4:$A$140,0),26)))</f>
        <v>0</v>
      </c>
      <c r="AC85" s="59">
        <f>IF($A85="","",(INDEX([2]Programmesjalons!$A$4:$AH$140,MATCH($A85,[2]Programmesjalons!$A$4:$A$140,0),18)))</f>
        <v>0</v>
      </c>
      <c r="AD85" s="68"/>
      <c r="AE85" s="68"/>
      <c r="AF85" s="68"/>
      <c r="AG85" s="68"/>
      <c r="AH85" s="68"/>
      <c r="AI85" s="68"/>
      <c r="AJ85" s="69"/>
      <c r="AK85" s="70"/>
      <c r="AL85" s="69"/>
      <c r="AM85" s="69"/>
      <c r="AN85" s="7" t="str">
        <f t="shared" si="30"/>
        <v>manque date</v>
      </c>
      <c r="AO85" s="7" t="str">
        <f t="shared" si="31"/>
        <v>manque date</v>
      </c>
      <c r="AP85" s="7" t="str">
        <f t="shared" si="32"/>
        <v>manque date</v>
      </c>
      <c r="AQ85" s="7" t="str">
        <f t="shared" si="33"/>
        <v>manque date</v>
      </c>
      <c r="AR85" s="59" t="str">
        <f t="shared" si="34"/>
        <v>manque date</v>
      </c>
      <c r="AS85" s="60" t="str">
        <f t="shared" si="35"/>
        <v>manque date</v>
      </c>
      <c r="AT85" s="59" t="str">
        <f t="shared" si="36"/>
        <v>manque date</v>
      </c>
      <c r="AU85" s="59" t="str">
        <f t="shared" si="37"/>
        <v>manque date</v>
      </c>
      <c r="AV85" s="76">
        <f t="shared" si="38"/>
        <v>0</v>
      </c>
      <c r="AW85" s="76">
        <f t="shared" si="39"/>
        <v>0</v>
      </c>
      <c r="AX85" s="61">
        <f t="shared" si="40"/>
        <v>0</v>
      </c>
      <c r="AY85" s="61">
        <f t="shared" si="41"/>
        <v>0</v>
      </c>
      <c r="AZ85" s="61">
        <f t="shared" si="42"/>
        <v>0</v>
      </c>
      <c r="BA85" s="61">
        <f t="shared" si="43"/>
        <v>0</v>
      </c>
      <c r="BB85" s="61">
        <f t="shared" si="44"/>
        <v>0</v>
      </c>
      <c r="BC85" s="61">
        <f t="shared" si="45"/>
        <v>0</v>
      </c>
      <c r="BD85" s="61">
        <f t="shared" si="46"/>
        <v>0</v>
      </c>
      <c r="BE85" s="61">
        <f t="shared" si="47"/>
        <v>0</v>
      </c>
      <c r="BF85" s="61">
        <f t="shared" si="48"/>
        <v>0</v>
      </c>
      <c r="BG85" s="61">
        <f t="shared" si="49"/>
        <v>0</v>
      </c>
      <c r="BH85" s="61">
        <f t="shared" si="50"/>
        <v>0</v>
      </c>
      <c r="BI85" s="61">
        <f t="shared" si="51"/>
        <v>0</v>
      </c>
      <c r="BJ85" s="61">
        <f t="shared" si="52"/>
        <v>0</v>
      </c>
      <c r="BK85" s="61">
        <f t="shared" si="53"/>
        <v>0</v>
      </c>
    </row>
    <row r="86" spans="1:63">
      <c r="A86" s="13" t="s">
        <v>228</v>
      </c>
      <c r="B86" s="74">
        <f t="shared" si="28"/>
        <v>0</v>
      </c>
      <c r="C86" s="74">
        <f t="shared" si="29"/>
        <v>0</v>
      </c>
      <c r="D86" s="7" t="s">
        <v>242</v>
      </c>
      <c r="E86" s="7" t="s">
        <v>242</v>
      </c>
      <c r="F86" s="7" t="s">
        <v>242</v>
      </c>
      <c r="G86" s="7" t="s">
        <v>242</v>
      </c>
      <c r="H86" s="59" t="s">
        <v>242</v>
      </c>
      <c r="I86" s="60" t="s">
        <v>242</v>
      </c>
      <c r="J86" s="59" t="s">
        <v>242</v>
      </c>
      <c r="K86" s="59" t="s">
        <v>242</v>
      </c>
      <c r="L86" s="57" t="e">
        <f>IF($A86="","",INDEX([1]Portfolio!$A$3:$AU$63,MATCH($A86,[1]Portfolio!$B$3:$B$63,0),3))</f>
        <v>#N/A</v>
      </c>
      <c r="M86" s="57" t="e">
        <f>IF($A86="","",INDEX([1]Portfolio!$A$3:$AU$63,MATCH($A86,[1]Portfolio!$B$3:$B$63,0),5))</f>
        <v>#N/A</v>
      </c>
      <c r="N86" s="6" t="e">
        <f>IF($A86="","",INDEX([1]Portfolio!$A$3:$AU$63,MATCH($A86,[1]Portfolio!$B$3:$B$63,0),29))</f>
        <v>#N/A</v>
      </c>
      <c r="O86" s="6" t="e">
        <f>IF($A86="","",INDEX([1]Portfolio!$A$3:$AU$63,MATCH($A86,[1]Portfolio!$B$3:$B$63,0),32))</f>
        <v>#N/A</v>
      </c>
      <c r="P86" s="7" t="e">
        <f>IF($A86="","",INDEX([1]Portfolio!$A$3:$AU$63,MATCH($A86,[1]Portfolio!$B$3:$B$63,0),35))</f>
        <v>#N/A</v>
      </c>
      <c r="Q86" s="7" t="e">
        <f>IF($A86="","",INDEX([1]Portfolio!$A$3:$AU$63,MATCH($A86,[1]Portfolio!$B$3:$B$63,0),38))</f>
        <v>#N/A</v>
      </c>
      <c r="R86" s="7" t="e">
        <f>IF($A86="","",INDEX([1]Portfolio!$A$3:$AU$63,MATCH($A86,[1]Portfolio!$B$3:$B$63,0),42))</f>
        <v>#N/A</v>
      </c>
      <c r="S86" s="7" t="e">
        <f>IF($A86="","",INDEX([1]Portfolio!$A$3:$AU$63,MATCH($A86,[1]Portfolio!$B$3:$B$63,0),43))</f>
        <v>#N/A</v>
      </c>
      <c r="T86" s="7" t="e">
        <f>IF($A86="","",INDEX([1]Portfolio!$A$3:$AU$63,MATCH($A86,[1]Portfolio!$B$3:$B$63,0),37))</f>
        <v>#N/A</v>
      </c>
      <c r="U86" s="7" t="e">
        <f>IF($A86="","",INDEX([1]Portfolio!$A$3:$AU$63,MATCH($A86,[1]Portfolio!$B$3:$B$63,0),36))</f>
        <v>#N/A</v>
      </c>
      <c r="V86" s="7">
        <f>IF($A86="","",(INDEX([2]Programmesjalons!$A$4:$AH$140,MATCH($A86,[2]Programmesjalons!$A$4:$A$140,0),8)))</f>
        <v>0</v>
      </c>
      <c r="W86" s="7">
        <f>IF($A86="","",(INDEX([2]Programmesjalons!$A$4:$AH$140,MATCH($A86,[2]Programmesjalons!$A$4:$A$140,0),12)))</f>
        <v>0</v>
      </c>
      <c r="X86" s="7">
        <f>IF($A86="","",(INDEX([2]Programmesjalons!$A$4:$AH$140,MATCH($A86,[2]Programmesjalons!$A$4:$A$140,0),16)))</f>
        <v>0</v>
      </c>
      <c r="Y86" s="7">
        <f>IF($A86="","",(INDEX([2]Programmesjalons!$A$4:$AH$140,MATCH($A86,[2]Programmesjalons!$A$4:$A$140,0),30)))</f>
        <v>0</v>
      </c>
      <c r="Z86" s="59">
        <f>IF($A86="","",(INDEX([2]Programmesjalons!$A$4:$AH$140,MATCH($A86,[2]Programmesjalons!$A$4:$A$140,0),32)))</f>
        <v>0</v>
      </c>
      <c r="AA86" s="60">
        <f>IF($A86="","",(INDEX([2]Programmesjalons!$A$4:$AH$140,MATCH($A86,[2]Programmesjalons!$A$4:$A$140,0),34)))</f>
        <v>0</v>
      </c>
      <c r="AB86" s="59">
        <f>IF($A86="","",(INDEX([2]Programmesjalons!$A$4:$AH$140,MATCH($A86,[2]Programmesjalons!$A$4:$A$140,0),26)))</f>
        <v>0</v>
      </c>
      <c r="AC86" s="59">
        <f>IF($A86="","",(INDEX([2]Programmesjalons!$A$4:$AH$140,MATCH($A86,[2]Programmesjalons!$A$4:$A$140,0),18)))</f>
        <v>0</v>
      </c>
      <c r="AD86" s="68"/>
      <c r="AE86" s="68"/>
      <c r="AF86" s="68"/>
      <c r="AG86" s="68"/>
      <c r="AH86" s="68"/>
      <c r="AI86" s="68"/>
      <c r="AJ86" s="69"/>
      <c r="AK86" s="70"/>
      <c r="AL86" s="69"/>
      <c r="AM86" s="69"/>
      <c r="AN86" s="7" t="str">
        <f t="shared" si="30"/>
        <v>manque date</v>
      </c>
      <c r="AO86" s="7" t="str">
        <f t="shared" si="31"/>
        <v>manque date</v>
      </c>
      <c r="AP86" s="7" t="str">
        <f t="shared" si="32"/>
        <v>manque date</v>
      </c>
      <c r="AQ86" s="7" t="str">
        <f t="shared" si="33"/>
        <v>manque date</v>
      </c>
      <c r="AR86" s="59" t="str">
        <f t="shared" si="34"/>
        <v>manque date</v>
      </c>
      <c r="AS86" s="60" t="str">
        <f t="shared" si="35"/>
        <v>manque date</v>
      </c>
      <c r="AT86" s="59" t="str">
        <f t="shared" si="36"/>
        <v>manque date</v>
      </c>
      <c r="AU86" s="59" t="str">
        <f t="shared" si="37"/>
        <v>manque date</v>
      </c>
      <c r="AV86" s="76">
        <f t="shared" si="38"/>
        <v>0</v>
      </c>
      <c r="AW86" s="76">
        <f t="shared" si="39"/>
        <v>0</v>
      </c>
      <c r="AX86" s="61">
        <f t="shared" si="40"/>
        <v>0</v>
      </c>
      <c r="AY86" s="61">
        <f t="shared" si="41"/>
        <v>0</v>
      </c>
      <c r="AZ86" s="61">
        <f t="shared" si="42"/>
        <v>0</v>
      </c>
      <c r="BA86" s="61">
        <f t="shared" si="43"/>
        <v>0</v>
      </c>
      <c r="BB86" s="61">
        <f t="shared" si="44"/>
        <v>0</v>
      </c>
      <c r="BC86" s="61">
        <f t="shared" si="45"/>
        <v>0</v>
      </c>
      <c r="BD86" s="61">
        <f t="shared" si="46"/>
        <v>0</v>
      </c>
      <c r="BE86" s="61">
        <f t="shared" si="47"/>
        <v>0</v>
      </c>
      <c r="BF86" s="61">
        <f t="shared" si="48"/>
        <v>0</v>
      </c>
      <c r="BG86" s="61">
        <f t="shared" si="49"/>
        <v>0</v>
      </c>
      <c r="BH86" s="61">
        <f t="shared" si="50"/>
        <v>0</v>
      </c>
      <c r="BI86" s="61">
        <f t="shared" si="51"/>
        <v>0</v>
      </c>
      <c r="BJ86" s="61">
        <f t="shared" si="52"/>
        <v>0</v>
      </c>
      <c r="BK86" s="61">
        <f t="shared" si="53"/>
        <v>0</v>
      </c>
    </row>
    <row r="87" spans="1:63">
      <c r="A87" s="13" t="s">
        <v>229</v>
      </c>
      <c r="B87" s="74">
        <f t="shared" si="28"/>
        <v>0</v>
      </c>
      <c r="C87" s="74">
        <f t="shared" si="29"/>
        <v>0</v>
      </c>
      <c r="D87" s="7" t="s">
        <v>242</v>
      </c>
      <c r="E87" s="7" t="s">
        <v>242</v>
      </c>
      <c r="F87" s="7" t="s">
        <v>242</v>
      </c>
      <c r="G87" s="7" t="s">
        <v>242</v>
      </c>
      <c r="H87" s="59" t="s">
        <v>242</v>
      </c>
      <c r="I87" s="60" t="s">
        <v>242</v>
      </c>
      <c r="J87" s="59" t="s">
        <v>242</v>
      </c>
      <c r="K87" s="59" t="s">
        <v>242</v>
      </c>
      <c r="L87" s="57" t="e">
        <f>IF($A87="","",INDEX([1]Portfolio!$A$3:$AU$63,MATCH($A87,[1]Portfolio!$B$3:$B$63,0),3))</f>
        <v>#N/A</v>
      </c>
      <c r="M87" s="57" t="e">
        <f>IF($A87="","",INDEX([1]Portfolio!$A$3:$AU$63,MATCH($A87,[1]Portfolio!$B$3:$B$63,0),5))</f>
        <v>#N/A</v>
      </c>
      <c r="N87" s="6" t="e">
        <f>IF($A87="","",INDEX([1]Portfolio!$A$3:$AU$63,MATCH($A87,[1]Portfolio!$B$3:$B$63,0),29))</f>
        <v>#N/A</v>
      </c>
      <c r="O87" s="6" t="e">
        <f>IF($A87="","",INDEX([1]Portfolio!$A$3:$AU$63,MATCH($A87,[1]Portfolio!$B$3:$B$63,0),32))</f>
        <v>#N/A</v>
      </c>
      <c r="P87" s="7" t="e">
        <f>IF($A87="","",INDEX([1]Portfolio!$A$3:$AU$63,MATCH($A87,[1]Portfolio!$B$3:$B$63,0),35))</f>
        <v>#N/A</v>
      </c>
      <c r="Q87" s="7" t="e">
        <f>IF($A87="","",INDEX([1]Portfolio!$A$3:$AU$63,MATCH($A87,[1]Portfolio!$B$3:$B$63,0),38))</f>
        <v>#N/A</v>
      </c>
      <c r="R87" s="7" t="e">
        <f>IF($A87="","",INDEX([1]Portfolio!$A$3:$AU$63,MATCH($A87,[1]Portfolio!$B$3:$B$63,0),42))</f>
        <v>#N/A</v>
      </c>
      <c r="S87" s="7" t="e">
        <f>IF($A87="","",INDEX([1]Portfolio!$A$3:$AU$63,MATCH($A87,[1]Portfolio!$B$3:$B$63,0),43))</f>
        <v>#N/A</v>
      </c>
      <c r="T87" s="7" t="e">
        <f>IF($A87="","",INDEX([1]Portfolio!$A$3:$AU$63,MATCH($A87,[1]Portfolio!$B$3:$B$63,0),37))</f>
        <v>#N/A</v>
      </c>
      <c r="U87" s="7" t="e">
        <f>IF($A87="","",INDEX([1]Portfolio!$A$3:$AU$63,MATCH($A87,[1]Portfolio!$B$3:$B$63,0),36))</f>
        <v>#N/A</v>
      </c>
      <c r="V87" s="7">
        <f>IF($A87="","",(INDEX([2]Programmesjalons!$A$4:$AH$140,MATCH($A87,[2]Programmesjalons!$A$4:$A$140,0),8)))</f>
        <v>0</v>
      </c>
      <c r="W87" s="7">
        <f>IF($A87="","",(INDEX([2]Programmesjalons!$A$4:$AH$140,MATCH($A87,[2]Programmesjalons!$A$4:$A$140,0),12)))</f>
        <v>0</v>
      </c>
      <c r="X87" s="7">
        <f>IF($A87="","",(INDEX([2]Programmesjalons!$A$4:$AH$140,MATCH($A87,[2]Programmesjalons!$A$4:$A$140,0),16)))</f>
        <v>0</v>
      </c>
      <c r="Y87" s="7">
        <f>IF($A87="","",(INDEX([2]Programmesjalons!$A$4:$AH$140,MATCH($A87,[2]Programmesjalons!$A$4:$A$140,0),30)))</f>
        <v>0</v>
      </c>
      <c r="Z87" s="59">
        <f>IF($A87="","",(INDEX([2]Programmesjalons!$A$4:$AH$140,MATCH($A87,[2]Programmesjalons!$A$4:$A$140,0),32)))</f>
        <v>0</v>
      </c>
      <c r="AA87" s="60">
        <f>IF($A87="","",(INDEX([2]Programmesjalons!$A$4:$AH$140,MATCH($A87,[2]Programmesjalons!$A$4:$A$140,0),34)))</f>
        <v>0</v>
      </c>
      <c r="AB87" s="59">
        <f>IF($A87="","",(INDEX([2]Programmesjalons!$A$4:$AH$140,MATCH($A87,[2]Programmesjalons!$A$4:$A$140,0),26)))</f>
        <v>0</v>
      </c>
      <c r="AC87" s="59">
        <f>IF($A87="","",(INDEX([2]Programmesjalons!$A$4:$AH$140,MATCH($A87,[2]Programmesjalons!$A$4:$A$140,0),18)))</f>
        <v>0</v>
      </c>
      <c r="AD87" s="68"/>
      <c r="AE87" s="68"/>
      <c r="AF87" s="68"/>
      <c r="AG87" s="68"/>
      <c r="AH87" s="68"/>
      <c r="AI87" s="68"/>
      <c r="AJ87" s="69"/>
      <c r="AK87" s="70"/>
      <c r="AL87" s="69"/>
      <c r="AM87" s="69"/>
      <c r="AN87" s="7" t="str">
        <f t="shared" si="30"/>
        <v>manque date</v>
      </c>
      <c r="AO87" s="7" t="str">
        <f t="shared" si="31"/>
        <v>manque date</v>
      </c>
      <c r="AP87" s="7" t="str">
        <f t="shared" si="32"/>
        <v>manque date</v>
      </c>
      <c r="AQ87" s="7" t="str">
        <f t="shared" si="33"/>
        <v>manque date</v>
      </c>
      <c r="AR87" s="59" t="str">
        <f t="shared" si="34"/>
        <v>manque date</v>
      </c>
      <c r="AS87" s="60" t="str">
        <f t="shared" si="35"/>
        <v>manque date</v>
      </c>
      <c r="AT87" s="59" t="str">
        <f t="shared" si="36"/>
        <v>manque date</v>
      </c>
      <c r="AU87" s="59" t="str">
        <f t="shared" si="37"/>
        <v>manque date</v>
      </c>
      <c r="AV87" s="76">
        <f t="shared" si="38"/>
        <v>0</v>
      </c>
      <c r="AW87" s="76">
        <f t="shared" si="39"/>
        <v>0</v>
      </c>
      <c r="AX87" s="61">
        <f t="shared" si="40"/>
        <v>0</v>
      </c>
      <c r="AY87" s="61">
        <f t="shared" si="41"/>
        <v>0</v>
      </c>
      <c r="AZ87" s="61">
        <f t="shared" si="42"/>
        <v>0</v>
      </c>
      <c r="BA87" s="61">
        <f t="shared" si="43"/>
        <v>0</v>
      </c>
      <c r="BB87" s="61">
        <f t="shared" si="44"/>
        <v>0</v>
      </c>
      <c r="BC87" s="61">
        <f t="shared" si="45"/>
        <v>0</v>
      </c>
      <c r="BD87" s="61">
        <f t="shared" si="46"/>
        <v>0</v>
      </c>
      <c r="BE87" s="61">
        <f t="shared" si="47"/>
        <v>0</v>
      </c>
      <c r="BF87" s="61">
        <f t="shared" si="48"/>
        <v>0</v>
      </c>
      <c r="BG87" s="61">
        <f t="shared" si="49"/>
        <v>0</v>
      </c>
      <c r="BH87" s="61">
        <f t="shared" si="50"/>
        <v>0</v>
      </c>
      <c r="BI87" s="61">
        <f t="shared" si="51"/>
        <v>0</v>
      </c>
      <c r="BJ87" s="61">
        <f t="shared" si="52"/>
        <v>0</v>
      </c>
      <c r="BK87" s="61">
        <f t="shared" si="53"/>
        <v>0</v>
      </c>
    </row>
    <row r="88" spans="1:63">
      <c r="A88" s="13" t="s">
        <v>230</v>
      </c>
      <c r="B88" s="74">
        <f t="shared" si="28"/>
        <v>0</v>
      </c>
      <c r="C88" s="74">
        <f t="shared" si="29"/>
        <v>0</v>
      </c>
      <c r="D88" s="7" t="s">
        <v>242</v>
      </c>
      <c r="E88" s="7" t="s">
        <v>242</v>
      </c>
      <c r="F88" s="7" t="s">
        <v>242</v>
      </c>
      <c r="G88" s="7" t="s">
        <v>242</v>
      </c>
      <c r="H88" s="59" t="s">
        <v>242</v>
      </c>
      <c r="I88" s="60" t="s">
        <v>242</v>
      </c>
      <c r="J88" s="59" t="s">
        <v>242</v>
      </c>
      <c r="K88" s="59" t="s">
        <v>242</v>
      </c>
      <c r="L88" s="57" t="e">
        <f>IF($A88="","",INDEX([1]Portfolio!$A$3:$AU$63,MATCH($A88,[1]Portfolio!$B$3:$B$63,0),3))</f>
        <v>#N/A</v>
      </c>
      <c r="M88" s="57" t="e">
        <f>IF($A88="","",INDEX([1]Portfolio!$A$3:$AU$63,MATCH($A88,[1]Portfolio!$B$3:$B$63,0),5))</f>
        <v>#N/A</v>
      </c>
      <c r="N88" s="6" t="e">
        <f>IF($A88="","",INDEX([1]Portfolio!$A$3:$AU$63,MATCH($A88,[1]Portfolio!$B$3:$B$63,0),29))</f>
        <v>#N/A</v>
      </c>
      <c r="O88" s="6" t="e">
        <f>IF($A88="","",INDEX([1]Portfolio!$A$3:$AU$63,MATCH($A88,[1]Portfolio!$B$3:$B$63,0),32))</f>
        <v>#N/A</v>
      </c>
      <c r="P88" s="7" t="e">
        <f>IF($A88="","",INDEX([1]Portfolio!$A$3:$AU$63,MATCH($A88,[1]Portfolio!$B$3:$B$63,0),35))</f>
        <v>#N/A</v>
      </c>
      <c r="Q88" s="7" t="e">
        <f>IF($A88="","",INDEX([1]Portfolio!$A$3:$AU$63,MATCH($A88,[1]Portfolio!$B$3:$B$63,0),38))</f>
        <v>#N/A</v>
      </c>
      <c r="R88" s="7" t="e">
        <f>IF($A88="","",INDEX([1]Portfolio!$A$3:$AU$63,MATCH($A88,[1]Portfolio!$B$3:$B$63,0),42))</f>
        <v>#N/A</v>
      </c>
      <c r="S88" s="7" t="e">
        <f>IF($A88="","",INDEX([1]Portfolio!$A$3:$AU$63,MATCH($A88,[1]Portfolio!$B$3:$B$63,0),43))</f>
        <v>#N/A</v>
      </c>
      <c r="T88" s="7" t="e">
        <f>IF($A88="","",INDEX([1]Portfolio!$A$3:$AU$63,MATCH($A88,[1]Portfolio!$B$3:$B$63,0),37))</f>
        <v>#N/A</v>
      </c>
      <c r="U88" s="7" t="e">
        <f>IF($A88="","",INDEX([1]Portfolio!$A$3:$AU$63,MATCH($A88,[1]Portfolio!$B$3:$B$63,0),36))</f>
        <v>#N/A</v>
      </c>
      <c r="V88" s="7">
        <f>IF($A88="","",(INDEX([2]Programmesjalons!$A$4:$AH$140,MATCH($A88,[2]Programmesjalons!$A$4:$A$140,0),8)))</f>
        <v>0</v>
      </c>
      <c r="W88" s="7">
        <f>IF($A88="","",(INDEX([2]Programmesjalons!$A$4:$AH$140,MATCH($A88,[2]Programmesjalons!$A$4:$A$140,0),12)))</f>
        <v>0</v>
      </c>
      <c r="X88" s="7">
        <f>IF($A88="","",(INDEX([2]Programmesjalons!$A$4:$AH$140,MATCH($A88,[2]Programmesjalons!$A$4:$A$140,0),16)))</f>
        <v>0</v>
      </c>
      <c r="Y88" s="7">
        <f>IF($A88="","",(INDEX([2]Programmesjalons!$A$4:$AH$140,MATCH($A88,[2]Programmesjalons!$A$4:$A$140,0),30)))</f>
        <v>0</v>
      </c>
      <c r="Z88" s="59">
        <f>IF($A88="","",(INDEX([2]Programmesjalons!$A$4:$AH$140,MATCH($A88,[2]Programmesjalons!$A$4:$A$140,0),32)))</f>
        <v>0</v>
      </c>
      <c r="AA88" s="60">
        <f>IF($A88="","",(INDEX([2]Programmesjalons!$A$4:$AH$140,MATCH($A88,[2]Programmesjalons!$A$4:$A$140,0),34)))</f>
        <v>0</v>
      </c>
      <c r="AB88" s="59">
        <f>IF($A88="","",(INDEX([2]Programmesjalons!$A$4:$AH$140,MATCH($A88,[2]Programmesjalons!$A$4:$A$140,0),26)))</f>
        <v>0</v>
      </c>
      <c r="AC88" s="59">
        <f>IF($A88="","",(INDEX([2]Programmesjalons!$A$4:$AH$140,MATCH($A88,[2]Programmesjalons!$A$4:$A$140,0),18)))</f>
        <v>0</v>
      </c>
      <c r="AD88" s="68"/>
      <c r="AE88" s="68"/>
      <c r="AF88" s="68"/>
      <c r="AG88" s="68"/>
      <c r="AH88" s="68"/>
      <c r="AI88" s="68"/>
      <c r="AJ88" s="69"/>
      <c r="AK88" s="70"/>
      <c r="AL88" s="69"/>
      <c r="AM88" s="69"/>
      <c r="AN88" s="7" t="str">
        <f t="shared" si="30"/>
        <v>manque date</v>
      </c>
      <c r="AO88" s="7" t="str">
        <f t="shared" si="31"/>
        <v>manque date</v>
      </c>
      <c r="AP88" s="7" t="str">
        <f t="shared" si="32"/>
        <v>manque date</v>
      </c>
      <c r="AQ88" s="7" t="str">
        <f t="shared" si="33"/>
        <v>manque date</v>
      </c>
      <c r="AR88" s="59" t="str">
        <f t="shared" si="34"/>
        <v>manque date</v>
      </c>
      <c r="AS88" s="60" t="str">
        <f t="shared" si="35"/>
        <v>manque date</v>
      </c>
      <c r="AT88" s="59" t="str">
        <f t="shared" si="36"/>
        <v>manque date</v>
      </c>
      <c r="AU88" s="59" t="str">
        <f t="shared" si="37"/>
        <v>manque date</v>
      </c>
      <c r="AV88" s="76">
        <f t="shared" si="38"/>
        <v>0</v>
      </c>
      <c r="AW88" s="76">
        <f t="shared" si="39"/>
        <v>0</v>
      </c>
      <c r="AX88" s="61">
        <f t="shared" si="40"/>
        <v>0</v>
      </c>
      <c r="AY88" s="61">
        <f t="shared" si="41"/>
        <v>0</v>
      </c>
      <c r="AZ88" s="61">
        <f t="shared" si="42"/>
        <v>0</v>
      </c>
      <c r="BA88" s="61">
        <f t="shared" si="43"/>
        <v>0</v>
      </c>
      <c r="BB88" s="61">
        <f t="shared" si="44"/>
        <v>0</v>
      </c>
      <c r="BC88" s="61">
        <f t="shared" si="45"/>
        <v>0</v>
      </c>
      <c r="BD88" s="61">
        <f t="shared" si="46"/>
        <v>0</v>
      </c>
      <c r="BE88" s="61">
        <f t="shared" si="47"/>
        <v>0</v>
      </c>
      <c r="BF88" s="61">
        <f t="shared" si="48"/>
        <v>0</v>
      </c>
      <c r="BG88" s="61">
        <f t="shared" si="49"/>
        <v>0</v>
      </c>
      <c r="BH88" s="61">
        <f t="shared" si="50"/>
        <v>0</v>
      </c>
      <c r="BI88" s="61">
        <f t="shared" si="51"/>
        <v>0</v>
      </c>
      <c r="BJ88" s="61">
        <f t="shared" si="52"/>
        <v>0</v>
      </c>
      <c r="BK88" s="61">
        <f t="shared" si="53"/>
        <v>0</v>
      </c>
    </row>
    <row r="89" spans="1:63">
      <c r="A89" s="13" t="s">
        <v>194</v>
      </c>
      <c r="B89" s="74">
        <f t="shared" si="28"/>
        <v>0</v>
      </c>
      <c r="C89" s="74">
        <f t="shared" si="29"/>
        <v>0</v>
      </c>
      <c r="D89" s="7">
        <v>42287</v>
      </c>
      <c r="E89" s="7">
        <v>42413</v>
      </c>
      <c r="F89" s="7">
        <v>42628</v>
      </c>
      <c r="G89" s="7">
        <v>42785</v>
      </c>
      <c r="H89" s="59">
        <v>42815</v>
      </c>
      <c r="I89" s="60">
        <v>42952</v>
      </c>
      <c r="J89" s="59">
        <v>42770</v>
      </c>
      <c r="K89" s="59">
        <v>42695</v>
      </c>
      <c r="L89" s="57" t="e">
        <f>IF($A89="","",INDEX([1]Portfolio!$A$3:$AU$63,MATCH($A89,[1]Portfolio!$B$3:$B$63,0),3))</f>
        <v>#N/A</v>
      </c>
      <c r="M89" s="57" t="e">
        <f>IF($A89="","",INDEX([1]Portfolio!$A$3:$AU$63,MATCH($A89,[1]Portfolio!$B$3:$B$63,0),5))</f>
        <v>#N/A</v>
      </c>
      <c r="N89" s="6" t="e">
        <f>IF($A89="","",INDEX([1]Portfolio!$A$3:$AU$63,MATCH($A89,[1]Portfolio!$B$3:$B$63,0),29))</f>
        <v>#N/A</v>
      </c>
      <c r="O89" s="6" t="e">
        <f>IF($A89="","",INDEX([1]Portfolio!$A$3:$AU$63,MATCH($A89,[1]Portfolio!$B$3:$B$63,0),32))</f>
        <v>#N/A</v>
      </c>
      <c r="P89" s="7" t="e">
        <f>IF($A89="","",INDEX([1]Portfolio!$A$3:$AU$63,MATCH($A89,[1]Portfolio!$B$3:$B$63,0),35))</f>
        <v>#N/A</v>
      </c>
      <c r="Q89" s="7" t="e">
        <f>IF($A89="","",INDEX([1]Portfolio!$A$3:$AU$63,MATCH($A89,[1]Portfolio!$B$3:$B$63,0),38))</f>
        <v>#N/A</v>
      </c>
      <c r="R89" s="7" t="e">
        <f>IF($A89="","",INDEX([1]Portfolio!$A$3:$AU$63,MATCH($A89,[1]Portfolio!$B$3:$B$63,0),42))</f>
        <v>#N/A</v>
      </c>
      <c r="S89" s="7" t="e">
        <f>IF($A89="","",INDEX([1]Portfolio!$A$3:$AU$63,MATCH($A89,[1]Portfolio!$B$3:$B$63,0),43))</f>
        <v>#N/A</v>
      </c>
      <c r="T89" s="7" t="e">
        <f>IF($A89="","",INDEX([1]Portfolio!$A$3:$AU$63,MATCH($A89,[1]Portfolio!$B$3:$B$63,0),37))</f>
        <v>#N/A</v>
      </c>
      <c r="U89" s="7" t="e">
        <f>IF($A89="","",INDEX([1]Portfolio!$A$3:$AU$63,MATCH($A89,[1]Portfolio!$B$3:$B$63,0),36))</f>
        <v>#N/A</v>
      </c>
      <c r="V89" s="7">
        <f>IF($A89="","",(INDEX([2]Programmesjalons!$A$4:$AH$140,MATCH($A89,[2]Programmesjalons!$A$4:$A$140,0),8)))</f>
        <v>42287</v>
      </c>
      <c r="W89" s="7">
        <f>IF($A89="","",(INDEX([2]Programmesjalons!$A$4:$AH$140,MATCH($A89,[2]Programmesjalons!$A$4:$A$140,0),12)))</f>
        <v>42413</v>
      </c>
      <c r="X89" s="7">
        <f>IF($A89="","",(INDEX([2]Programmesjalons!$A$4:$AH$140,MATCH($A89,[2]Programmesjalons!$A$4:$A$140,0),16)))</f>
        <v>42628</v>
      </c>
      <c r="Y89" s="7">
        <f>IF($A89="","",(INDEX([2]Programmesjalons!$A$4:$AH$140,MATCH($A89,[2]Programmesjalons!$A$4:$A$140,0),30)))</f>
        <v>42785</v>
      </c>
      <c r="Z89" s="59">
        <f>IF($A89="","",(INDEX([2]Programmesjalons!$A$4:$AH$140,MATCH($A89,[2]Programmesjalons!$A$4:$A$140,0),32)))</f>
        <v>42815</v>
      </c>
      <c r="AA89" s="60">
        <f>IF($A89="","",(INDEX([2]Programmesjalons!$A$4:$AH$140,MATCH($A89,[2]Programmesjalons!$A$4:$A$140,0),34)))</f>
        <v>42952</v>
      </c>
      <c r="AB89" s="59">
        <f>IF($A89="","",(INDEX([2]Programmesjalons!$A$4:$AH$140,MATCH($A89,[2]Programmesjalons!$A$4:$A$140,0),26)))</f>
        <v>42770</v>
      </c>
      <c r="AC89" s="59">
        <f>IF($A89="","",(INDEX([2]Programmesjalons!$A$4:$AH$140,MATCH($A89,[2]Programmesjalons!$A$4:$A$140,0),18)))</f>
        <v>42695</v>
      </c>
      <c r="AD89" s="68"/>
      <c r="AE89" s="68"/>
      <c r="AF89" s="68"/>
      <c r="AG89" s="68"/>
      <c r="AH89" s="68"/>
      <c r="AI89" s="68"/>
      <c r="AJ89" s="69"/>
      <c r="AK89" s="70"/>
      <c r="AL89" s="69"/>
      <c r="AM89" s="69"/>
      <c r="AN89" s="7">
        <f t="shared" si="30"/>
        <v>42287</v>
      </c>
      <c r="AO89" s="7">
        <f t="shared" si="31"/>
        <v>42413</v>
      </c>
      <c r="AP89" s="7">
        <f t="shared" si="32"/>
        <v>42628</v>
      </c>
      <c r="AQ89" s="7">
        <f t="shared" si="33"/>
        <v>42785</v>
      </c>
      <c r="AR89" s="59">
        <f t="shared" si="34"/>
        <v>42815</v>
      </c>
      <c r="AS89" s="60">
        <f t="shared" si="35"/>
        <v>42952</v>
      </c>
      <c r="AT89" s="59">
        <f t="shared" si="36"/>
        <v>42770</v>
      </c>
      <c r="AU89" s="59">
        <f t="shared" si="37"/>
        <v>42695</v>
      </c>
      <c r="AV89" s="76">
        <f t="shared" si="38"/>
        <v>42287</v>
      </c>
      <c r="AW89" s="76">
        <f t="shared" si="39"/>
        <v>42287</v>
      </c>
      <c r="AX89" s="61">
        <f t="shared" si="40"/>
        <v>42413</v>
      </c>
      <c r="AY89" s="61">
        <f t="shared" si="41"/>
        <v>42413</v>
      </c>
      <c r="AZ89" s="61">
        <f t="shared" si="42"/>
        <v>42628</v>
      </c>
      <c r="BA89" s="61">
        <f t="shared" si="43"/>
        <v>42628</v>
      </c>
      <c r="BB89" s="61">
        <f t="shared" si="44"/>
        <v>42785</v>
      </c>
      <c r="BC89" s="61">
        <f t="shared" si="45"/>
        <v>42785</v>
      </c>
      <c r="BD89" s="61">
        <f t="shared" si="46"/>
        <v>42815</v>
      </c>
      <c r="BE89" s="61">
        <f t="shared" si="47"/>
        <v>42815</v>
      </c>
      <c r="BF89" s="61">
        <f t="shared" si="48"/>
        <v>42952</v>
      </c>
      <c r="BG89" s="61">
        <f t="shared" si="49"/>
        <v>42952</v>
      </c>
      <c r="BH89" s="61">
        <f t="shared" si="50"/>
        <v>42770</v>
      </c>
      <c r="BI89" s="61">
        <f t="shared" si="51"/>
        <v>42770</v>
      </c>
      <c r="BJ89" s="61">
        <f t="shared" si="52"/>
        <v>42695</v>
      </c>
      <c r="BK89" s="61">
        <f t="shared" si="53"/>
        <v>42695</v>
      </c>
    </row>
    <row r="90" spans="1:63">
      <c r="A90" s="13" t="s">
        <v>194</v>
      </c>
      <c r="B90" s="74">
        <f t="shared" si="28"/>
        <v>0</v>
      </c>
      <c r="C90" s="74">
        <f t="shared" si="29"/>
        <v>0</v>
      </c>
      <c r="D90" s="7">
        <v>42287</v>
      </c>
      <c r="E90" s="7">
        <v>42413</v>
      </c>
      <c r="F90" s="7">
        <v>42628</v>
      </c>
      <c r="G90" s="7">
        <v>42785</v>
      </c>
      <c r="H90" s="59">
        <v>42815</v>
      </c>
      <c r="I90" s="60">
        <v>42952</v>
      </c>
      <c r="J90" s="59">
        <v>42770</v>
      </c>
      <c r="K90" s="59">
        <v>42695</v>
      </c>
      <c r="L90" s="57" t="e">
        <f>IF($A90="","",INDEX([1]Portfolio!$A$3:$AU$63,MATCH($A90,[1]Portfolio!$B$3:$B$63,0),3))</f>
        <v>#N/A</v>
      </c>
      <c r="M90" s="57" t="e">
        <f>IF($A90="","",INDEX([1]Portfolio!$A$3:$AU$63,MATCH($A90,[1]Portfolio!$B$3:$B$63,0),5))</f>
        <v>#N/A</v>
      </c>
      <c r="N90" s="6" t="e">
        <f>IF($A90="","",INDEX([1]Portfolio!$A$3:$AU$63,MATCH($A90,[1]Portfolio!$B$3:$B$63,0),29))</f>
        <v>#N/A</v>
      </c>
      <c r="O90" s="6" t="e">
        <f>IF($A90="","",INDEX([1]Portfolio!$A$3:$AU$63,MATCH($A90,[1]Portfolio!$B$3:$B$63,0),32))</f>
        <v>#N/A</v>
      </c>
      <c r="P90" s="7" t="e">
        <f>IF($A90="","",INDEX([1]Portfolio!$A$3:$AU$63,MATCH($A90,[1]Portfolio!$B$3:$B$63,0),35))</f>
        <v>#N/A</v>
      </c>
      <c r="Q90" s="7" t="e">
        <f>IF($A90="","",INDEX([1]Portfolio!$A$3:$AU$63,MATCH($A90,[1]Portfolio!$B$3:$B$63,0),38))</f>
        <v>#N/A</v>
      </c>
      <c r="R90" s="7" t="e">
        <f>IF($A90="","",INDEX([1]Portfolio!$A$3:$AU$63,MATCH($A90,[1]Portfolio!$B$3:$B$63,0),42))</f>
        <v>#N/A</v>
      </c>
      <c r="S90" s="7" t="e">
        <f>IF($A90="","",INDEX([1]Portfolio!$A$3:$AU$63,MATCH($A90,[1]Portfolio!$B$3:$B$63,0),43))</f>
        <v>#N/A</v>
      </c>
      <c r="T90" s="7" t="e">
        <f>IF($A90="","",INDEX([1]Portfolio!$A$3:$AU$63,MATCH($A90,[1]Portfolio!$B$3:$B$63,0),37))</f>
        <v>#N/A</v>
      </c>
      <c r="U90" s="7" t="e">
        <f>IF($A90="","",INDEX([1]Portfolio!$A$3:$AU$63,MATCH($A90,[1]Portfolio!$B$3:$B$63,0),36))</f>
        <v>#N/A</v>
      </c>
      <c r="V90" s="7">
        <f>IF($A90="","",(INDEX([2]Programmesjalons!$A$4:$AH$140,MATCH($A90,[2]Programmesjalons!$A$4:$A$140,0),8)))</f>
        <v>42287</v>
      </c>
      <c r="W90" s="7">
        <f>IF($A90="","",(INDEX([2]Programmesjalons!$A$4:$AH$140,MATCH($A90,[2]Programmesjalons!$A$4:$A$140,0),12)))</f>
        <v>42413</v>
      </c>
      <c r="X90" s="7">
        <f>IF($A90="","",(INDEX([2]Programmesjalons!$A$4:$AH$140,MATCH($A90,[2]Programmesjalons!$A$4:$A$140,0),16)))</f>
        <v>42628</v>
      </c>
      <c r="Y90" s="7">
        <f>IF($A90="","",(INDEX([2]Programmesjalons!$A$4:$AH$140,MATCH($A90,[2]Programmesjalons!$A$4:$A$140,0),30)))</f>
        <v>42785</v>
      </c>
      <c r="Z90" s="59">
        <f>IF($A90="","",(INDEX([2]Programmesjalons!$A$4:$AH$140,MATCH($A90,[2]Programmesjalons!$A$4:$A$140,0),32)))</f>
        <v>42815</v>
      </c>
      <c r="AA90" s="60">
        <f>IF($A90="","",(INDEX([2]Programmesjalons!$A$4:$AH$140,MATCH($A90,[2]Programmesjalons!$A$4:$A$140,0),34)))</f>
        <v>42952</v>
      </c>
      <c r="AB90" s="59">
        <f>IF($A90="","",(INDEX([2]Programmesjalons!$A$4:$AH$140,MATCH($A90,[2]Programmesjalons!$A$4:$A$140,0),26)))</f>
        <v>42770</v>
      </c>
      <c r="AC90" s="59">
        <f>IF($A90="","",(INDEX([2]Programmesjalons!$A$4:$AH$140,MATCH($A90,[2]Programmesjalons!$A$4:$A$140,0),18)))</f>
        <v>42695</v>
      </c>
      <c r="AD90" s="68"/>
      <c r="AE90" s="68"/>
      <c r="AF90" s="68"/>
      <c r="AG90" s="68"/>
      <c r="AH90" s="68"/>
      <c r="AI90" s="68"/>
      <c r="AJ90" s="69"/>
      <c r="AK90" s="70"/>
      <c r="AL90" s="69"/>
      <c r="AM90" s="69"/>
      <c r="AN90" s="7">
        <f t="shared" si="30"/>
        <v>42287</v>
      </c>
      <c r="AO90" s="7">
        <f t="shared" si="31"/>
        <v>42413</v>
      </c>
      <c r="AP90" s="7">
        <f t="shared" si="32"/>
        <v>42628</v>
      </c>
      <c r="AQ90" s="7">
        <f t="shared" si="33"/>
        <v>42785</v>
      </c>
      <c r="AR90" s="59">
        <f t="shared" si="34"/>
        <v>42815</v>
      </c>
      <c r="AS90" s="60">
        <f t="shared" si="35"/>
        <v>42952</v>
      </c>
      <c r="AT90" s="59">
        <f t="shared" si="36"/>
        <v>42770</v>
      </c>
      <c r="AU90" s="59">
        <f t="shared" si="37"/>
        <v>42695</v>
      </c>
      <c r="AV90" s="76">
        <f t="shared" si="38"/>
        <v>42287</v>
      </c>
      <c r="AW90" s="76">
        <f t="shared" si="39"/>
        <v>42287</v>
      </c>
      <c r="AX90" s="61">
        <f t="shared" si="40"/>
        <v>42413</v>
      </c>
      <c r="AY90" s="61">
        <f t="shared" si="41"/>
        <v>42413</v>
      </c>
      <c r="AZ90" s="61">
        <f t="shared" si="42"/>
        <v>42628</v>
      </c>
      <c r="BA90" s="61">
        <f t="shared" si="43"/>
        <v>42628</v>
      </c>
      <c r="BB90" s="61">
        <f t="shared" si="44"/>
        <v>42785</v>
      </c>
      <c r="BC90" s="61">
        <f t="shared" si="45"/>
        <v>42785</v>
      </c>
      <c r="BD90" s="61">
        <f t="shared" si="46"/>
        <v>42815</v>
      </c>
      <c r="BE90" s="61">
        <f t="shared" si="47"/>
        <v>42815</v>
      </c>
      <c r="BF90" s="61">
        <f t="shared" si="48"/>
        <v>42952</v>
      </c>
      <c r="BG90" s="61">
        <f t="shared" si="49"/>
        <v>42952</v>
      </c>
      <c r="BH90" s="61">
        <f t="shared" si="50"/>
        <v>42770</v>
      </c>
      <c r="BI90" s="61">
        <f t="shared" si="51"/>
        <v>42770</v>
      </c>
      <c r="BJ90" s="61">
        <f t="shared" si="52"/>
        <v>42695</v>
      </c>
      <c r="BK90" s="61">
        <f t="shared" si="53"/>
        <v>42695</v>
      </c>
    </row>
    <row r="91" spans="1:63">
      <c r="A91" s="13" t="s">
        <v>231</v>
      </c>
      <c r="B91" s="74">
        <f t="shared" si="28"/>
        <v>0</v>
      </c>
      <c r="C91" s="74">
        <f t="shared" si="29"/>
        <v>0</v>
      </c>
      <c r="D91" s="7" t="s">
        <v>242</v>
      </c>
      <c r="E91" s="7" t="s">
        <v>242</v>
      </c>
      <c r="F91" s="7" t="s">
        <v>242</v>
      </c>
      <c r="G91" s="7" t="s">
        <v>242</v>
      </c>
      <c r="H91" s="59" t="s">
        <v>242</v>
      </c>
      <c r="I91" s="60" t="s">
        <v>242</v>
      </c>
      <c r="J91" s="59" t="s">
        <v>242</v>
      </c>
      <c r="K91" s="59" t="s">
        <v>242</v>
      </c>
      <c r="L91" s="57" t="e">
        <f>IF($A91="","",INDEX([1]Portfolio!$A$3:$AU$63,MATCH($A91,[1]Portfolio!$B$3:$B$63,0),3))</f>
        <v>#N/A</v>
      </c>
      <c r="M91" s="57" t="e">
        <f>IF($A91="","",INDEX([1]Portfolio!$A$3:$AU$63,MATCH($A91,[1]Portfolio!$B$3:$B$63,0),5))</f>
        <v>#N/A</v>
      </c>
      <c r="N91" s="6" t="e">
        <f>IF($A91="","",INDEX([1]Portfolio!$A$3:$AU$63,MATCH($A91,[1]Portfolio!$B$3:$B$63,0),29))</f>
        <v>#N/A</v>
      </c>
      <c r="O91" s="6" t="e">
        <f>IF($A91="","",INDEX([1]Portfolio!$A$3:$AU$63,MATCH($A91,[1]Portfolio!$B$3:$B$63,0),32))</f>
        <v>#N/A</v>
      </c>
      <c r="P91" s="7" t="e">
        <f>IF($A91="","",INDEX([1]Portfolio!$A$3:$AU$63,MATCH($A91,[1]Portfolio!$B$3:$B$63,0),35))</f>
        <v>#N/A</v>
      </c>
      <c r="Q91" s="7" t="e">
        <f>IF($A91="","",INDEX([1]Portfolio!$A$3:$AU$63,MATCH($A91,[1]Portfolio!$B$3:$B$63,0),38))</f>
        <v>#N/A</v>
      </c>
      <c r="R91" s="7" t="e">
        <f>IF($A91="","",INDEX([1]Portfolio!$A$3:$AU$63,MATCH($A91,[1]Portfolio!$B$3:$B$63,0),42))</f>
        <v>#N/A</v>
      </c>
      <c r="S91" s="7" t="e">
        <f>IF($A91="","",INDEX([1]Portfolio!$A$3:$AU$63,MATCH($A91,[1]Portfolio!$B$3:$B$63,0),43))</f>
        <v>#N/A</v>
      </c>
      <c r="T91" s="7" t="e">
        <f>IF($A91="","",INDEX([1]Portfolio!$A$3:$AU$63,MATCH($A91,[1]Portfolio!$B$3:$B$63,0),37))</f>
        <v>#N/A</v>
      </c>
      <c r="U91" s="7" t="e">
        <f>IF($A91="","",INDEX([1]Portfolio!$A$3:$AU$63,MATCH($A91,[1]Portfolio!$B$3:$B$63,0),36))</f>
        <v>#N/A</v>
      </c>
      <c r="V91" s="7">
        <f>IF($A91="","",(INDEX([2]Programmesjalons!$A$4:$AH$140,MATCH($A91,[2]Programmesjalons!$A$4:$A$140,0),8)))</f>
        <v>0</v>
      </c>
      <c r="W91" s="7">
        <f>IF($A91="","",(INDEX([2]Programmesjalons!$A$4:$AH$140,MATCH($A91,[2]Programmesjalons!$A$4:$A$140,0),12)))</f>
        <v>0</v>
      </c>
      <c r="X91" s="7">
        <f>IF($A91="","",(INDEX([2]Programmesjalons!$A$4:$AH$140,MATCH($A91,[2]Programmesjalons!$A$4:$A$140,0),16)))</f>
        <v>0</v>
      </c>
      <c r="Y91" s="7">
        <f>IF($A91="","",(INDEX([2]Programmesjalons!$A$4:$AH$140,MATCH($A91,[2]Programmesjalons!$A$4:$A$140,0),30)))</f>
        <v>0</v>
      </c>
      <c r="Z91" s="59">
        <f>IF($A91="","",(INDEX([2]Programmesjalons!$A$4:$AH$140,MATCH($A91,[2]Programmesjalons!$A$4:$A$140,0),32)))</f>
        <v>0</v>
      </c>
      <c r="AA91" s="60">
        <f>IF($A91="","",(INDEX([2]Programmesjalons!$A$4:$AH$140,MATCH($A91,[2]Programmesjalons!$A$4:$A$140,0),34)))</f>
        <v>0</v>
      </c>
      <c r="AB91" s="59">
        <f>IF($A91="","",(INDEX([2]Programmesjalons!$A$4:$AH$140,MATCH($A91,[2]Programmesjalons!$A$4:$A$140,0),26)))</f>
        <v>0</v>
      </c>
      <c r="AC91" s="59">
        <f>IF($A91="","",(INDEX([2]Programmesjalons!$A$4:$AH$140,MATCH($A91,[2]Programmesjalons!$A$4:$A$140,0),18)))</f>
        <v>0</v>
      </c>
      <c r="AD91" s="68"/>
      <c r="AE91" s="68"/>
      <c r="AF91" s="68"/>
      <c r="AG91" s="68"/>
      <c r="AH91" s="68"/>
      <c r="AI91" s="68"/>
      <c r="AJ91" s="69"/>
      <c r="AK91" s="70"/>
      <c r="AL91" s="69"/>
      <c r="AM91" s="69"/>
      <c r="AN91" s="7" t="str">
        <f t="shared" si="30"/>
        <v>manque date</v>
      </c>
      <c r="AO91" s="7" t="str">
        <f t="shared" si="31"/>
        <v>manque date</v>
      </c>
      <c r="AP91" s="7" t="str">
        <f t="shared" si="32"/>
        <v>manque date</v>
      </c>
      <c r="AQ91" s="7" t="str">
        <f t="shared" si="33"/>
        <v>manque date</v>
      </c>
      <c r="AR91" s="59" t="str">
        <f t="shared" si="34"/>
        <v>manque date</v>
      </c>
      <c r="AS91" s="60" t="str">
        <f t="shared" si="35"/>
        <v>manque date</v>
      </c>
      <c r="AT91" s="59" t="str">
        <f t="shared" si="36"/>
        <v>manque date</v>
      </c>
      <c r="AU91" s="59" t="str">
        <f t="shared" si="37"/>
        <v>manque date</v>
      </c>
      <c r="AV91" s="76">
        <f t="shared" si="38"/>
        <v>0</v>
      </c>
      <c r="AW91" s="76">
        <f t="shared" si="39"/>
        <v>0</v>
      </c>
      <c r="AX91" s="61">
        <f t="shared" si="40"/>
        <v>0</v>
      </c>
      <c r="AY91" s="61">
        <f t="shared" si="41"/>
        <v>0</v>
      </c>
      <c r="AZ91" s="61">
        <f t="shared" si="42"/>
        <v>0</v>
      </c>
      <c r="BA91" s="61">
        <f t="shared" si="43"/>
        <v>0</v>
      </c>
      <c r="BB91" s="61">
        <f t="shared" si="44"/>
        <v>0</v>
      </c>
      <c r="BC91" s="61">
        <f t="shared" si="45"/>
        <v>0</v>
      </c>
      <c r="BD91" s="61">
        <f t="shared" si="46"/>
        <v>0</v>
      </c>
      <c r="BE91" s="61">
        <f t="shared" si="47"/>
        <v>0</v>
      </c>
      <c r="BF91" s="61">
        <f t="shared" si="48"/>
        <v>0</v>
      </c>
      <c r="BG91" s="61">
        <f t="shared" si="49"/>
        <v>0</v>
      </c>
      <c r="BH91" s="61">
        <f t="shared" si="50"/>
        <v>0</v>
      </c>
      <c r="BI91" s="61">
        <f t="shared" si="51"/>
        <v>0</v>
      </c>
      <c r="BJ91" s="61">
        <f t="shared" si="52"/>
        <v>0</v>
      </c>
      <c r="BK91" s="61">
        <f t="shared" si="53"/>
        <v>0</v>
      </c>
    </row>
    <row r="92" spans="1:63">
      <c r="A92" s="13" t="s">
        <v>269</v>
      </c>
      <c r="B92" s="74" t="str">
        <f t="shared" si="28"/>
        <v>URAL AIRLINES</v>
      </c>
      <c r="C92" s="74" t="str">
        <f t="shared" si="29"/>
        <v>A320-A321</v>
      </c>
      <c r="D92" s="7">
        <v>42333</v>
      </c>
      <c r="E92" s="7" t="s">
        <v>242</v>
      </c>
      <c r="F92" s="7" t="s">
        <v>242</v>
      </c>
      <c r="G92" s="7" t="s">
        <v>242</v>
      </c>
      <c r="H92" s="59" t="s">
        <v>242</v>
      </c>
      <c r="I92" s="60">
        <v>42456</v>
      </c>
      <c r="J92" s="59" t="s">
        <v>242</v>
      </c>
      <c r="K92" s="59" t="s">
        <v>242</v>
      </c>
      <c r="L92" s="57" t="str">
        <f>IF($A92="","",INDEX([1]Portfolio!$A$3:$AU$63,MATCH($A92,[1]Portfolio!$B$3:$B$63,0),3))</f>
        <v>URAL AIRLINES</v>
      </c>
      <c r="M92" s="57" t="str">
        <f>IF($A92="","",INDEX([1]Portfolio!$A$3:$AU$63,MATCH($A92,[1]Portfolio!$B$3:$B$63,0),5))</f>
        <v>A320-A321</v>
      </c>
      <c r="N92" s="6">
        <f>IF($A92="","",INDEX([1]Portfolio!$A$3:$AU$63,MATCH($A92,[1]Portfolio!$B$3:$B$63,0),29))</f>
        <v>41779</v>
      </c>
      <c r="O92" s="6">
        <f>IF($A92="","",INDEX([1]Portfolio!$A$3:$AU$63,MATCH($A92,[1]Portfolio!$B$3:$B$63,0),32))</f>
        <v>41877</v>
      </c>
      <c r="P92" s="7">
        <f>IF($A92="","",INDEX([1]Portfolio!$A$3:$AU$63,MATCH($A92,[1]Portfolio!$B$3:$B$63,0),35))</f>
        <v>42093</v>
      </c>
      <c r="Q92" s="7">
        <f>IF($A92="","",INDEX([1]Portfolio!$A$3:$AU$63,MATCH($A92,[1]Portfolio!$B$3:$B$63,0),38))</f>
        <v>42277</v>
      </c>
      <c r="R92" s="7">
        <f>IF($A92="","",INDEX([1]Portfolio!$A$3:$AU$63,MATCH($A92,[1]Portfolio!$B$3:$B$63,0),42))</f>
        <v>42338</v>
      </c>
      <c r="S92" s="7">
        <f>IF($A92="","",INDEX([1]Portfolio!$A$3:$AU$63,MATCH($A92,[1]Portfolio!$B$3:$B$63,0),43))</f>
        <v>42411</v>
      </c>
      <c r="T92" s="7">
        <f>IF($A92="","",INDEX([1]Portfolio!$A$3:$AU$63,MATCH($A92,[1]Portfolio!$B$3:$B$63,0),37))</f>
        <v>42189</v>
      </c>
      <c r="U92" s="7">
        <f>IF($A92="","",INDEX([1]Portfolio!$A$3:$AU$63,MATCH($A92,[1]Portfolio!$B$3:$B$63,0),36))</f>
        <v>0</v>
      </c>
      <c r="V92" s="7">
        <f>IF($A92="","",(INDEX([2]Programmesjalons!$A$4:$AH$140,MATCH($A92,[2]Programmesjalons!$A$4:$A$140,0),8)))</f>
        <v>42333</v>
      </c>
      <c r="W92" s="7">
        <f>IF($A92="","",(INDEX([2]Programmesjalons!$A$4:$AH$140,MATCH($A92,[2]Programmesjalons!$A$4:$A$140,0),12)))</f>
        <v>0</v>
      </c>
      <c r="X92" s="7">
        <f>IF($A92="","",(INDEX([2]Programmesjalons!$A$4:$AH$140,MATCH($A92,[2]Programmesjalons!$A$4:$A$140,0),16)))</f>
        <v>0</v>
      </c>
      <c r="Y92" s="7">
        <f>IF($A92="","",(INDEX([2]Programmesjalons!$A$4:$AH$140,MATCH($A92,[2]Programmesjalons!$A$4:$A$140,0),30)))</f>
        <v>0</v>
      </c>
      <c r="Z92" s="59">
        <f>IF($A92="","",(INDEX([2]Programmesjalons!$A$4:$AH$140,MATCH($A92,[2]Programmesjalons!$A$4:$A$140,0),32)))</f>
        <v>0</v>
      </c>
      <c r="AA92" s="60">
        <f>IF($A92="","",(INDEX([2]Programmesjalons!$A$4:$AH$140,MATCH($A92,[2]Programmesjalons!$A$4:$A$140,0),34)))</f>
        <v>42456</v>
      </c>
      <c r="AB92" s="59">
        <f>IF($A92="","",(INDEX([2]Programmesjalons!$A$4:$AH$140,MATCH($A92,[2]Programmesjalons!$A$4:$A$140,0),26)))</f>
        <v>0</v>
      </c>
      <c r="AC92" s="59">
        <f>IF($A92="","",(INDEX([2]Programmesjalons!$A$4:$AH$140,MATCH($A92,[2]Programmesjalons!$A$4:$A$140,0),18)))</f>
        <v>0</v>
      </c>
      <c r="AD92" s="68"/>
      <c r="AE92" s="68"/>
      <c r="AF92" s="68"/>
      <c r="AG92" s="68"/>
      <c r="AH92" s="68"/>
      <c r="AI92" s="68"/>
      <c r="AJ92" s="69"/>
      <c r="AK92" s="70"/>
      <c r="AL92" s="69"/>
      <c r="AM92" s="69"/>
      <c r="AN92" s="7">
        <f t="shared" si="30"/>
        <v>41779</v>
      </c>
      <c r="AO92" s="7">
        <f t="shared" si="31"/>
        <v>41877</v>
      </c>
      <c r="AP92" s="7">
        <f t="shared" si="32"/>
        <v>42093</v>
      </c>
      <c r="AQ92" s="7">
        <f t="shared" si="33"/>
        <v>42277</v>
      </c>
      <c r="AR92" s="59">
        <f t="shared" si="34"/>
        <v>42338</v>
      </c>
      <c r="AS92" s="60">
        <f t="shared" si="35"/>
        <v>42411</v>
      </c>
      <c r="AT92" s="59">
        <f t="shared" si="36"/>
        <v>42189</v>
      </c>
      <c r="AU92" s="59" t="str">
        <f t="shared" si="37"/>
        <v>manque date</v>
      </c>
      <c r="AV92" s="76">
        <f t="shared" si="38"/>
        <v>41779</v>
      </c>
      <c r="AW92" s="76">
        <f t="shared" si="39"/>
        <v>41779</v>
      </c>
      <c r="AX92" s="61">
        <f t="shared" si="40"/>
        <v>0</v>
      </c>
      <c r="AY92" s="61">
        <f t="shared" si="41"/>
        <v>41877</v>
      </c>
      <c r="AZ92" s="61">
        <f t="shared" si="42"/>
        <v>0</v>
      </c>
      <c r="BA92" s="61">
        <f t="shared" si="43"/>
        <v>42093</v>
      </c>
      <c r="BB92" s="61">
        <f t="shared" si="44"/>
        <v>0</v>
      </c>
      <c r="BC92" s="61">
        <f t="shared" si="45"/>
        <v>42277</v>
      </c>
      <c r="BD92" s="61">
        <f t="shared" si="46"/>
        <v>0</v>
      </c>
      <c r="BE92" s="61">
        <f t="shared" si="47"/>
        <v>42338</v>
      </c>
      <c r="BF92" s="61">
        <f t="shared" si="48"/>
        <v>42411</v>
      </c>
      <c r="BG92" s="61">
        <f t="shared" si="49"/>
        <v>42411</v>
      </c>
      <c r="BH92" s="61">
        <f t="shared" si="50"/>
        <v>0</v>
      </c>
      <c r="BI92" s="61">
        <f t="shared" si="51"/>
        <v>42189</v>
      </c>
      <c r="BJ92" s="61">
        <f t="shared" si="52"/>
        <v>0</v>
      </c>
      <c r="BK92" s="61">
        <f t="shared" si="53"/>
        <v>0</v>
      </c>
    </row>
    <row r="93" spans="1:63">
      <c r="A93" s="13" t="s">
        <v>270</v>
      </c>
      <c r="B93" s="74" t="str">
        <f t="shared" si="28"/>
        <v>Airbus Defence &amp; Space MRTT (Korea Army)</v>
      </c>
      <c r="C93" s="74" t="str">
        <f>IF($A93=0,"",IF(ISNA(M93),AE93,M93))</f>
        <v>B787</v>
      </c>
      <c r="D93" s="7">
        <v>42338</v>
      </c>
      <c r="E93" s="7">
        <v>42396</v>
      </c>
      <c r="F93" s="7">
        <v>42452</v>
      </c>
      <c r="G93" s="7">
        <v>42661</v>
      </c>
      <c r="H93" s="59">
        <v>42668</v>
      </c>
      <c r="I93" s="60">
        <v>42765</v>
      </c>
      <c r="J93" s="59">
        <v>42472</v>
      </c>
      <c r="K93" s="59" t="s">
        <v>242</v>
      </c>
      <c r="L93" s="57" t="str">
        <f>IF($A93="","",INDEX([1]Portfolio!$A$3:$AU$63,MATCH($A93,[1]Portfolio!$B$3:$B$63,0),3))</f>
        <v>Airbus Defence &amp; Space MRTT (Korea Army)</v>
      </c>
      <c r="M93" s="57" t="str">
        <f>IF($A93="","",INDEX([1]Portfolio!$A$3:$AU$63,MATCH($A93,[1]Portfolio!$B$3:$B$63,0),5))</f>
        <v>B787</v>
      </c>
      <c r="N93" s="6">
        <f>IF($A93="","",INDEX([1]Portfolio!$A$3:$AU$63,MATCH($A93,[1]Portfolio!$B$3:$B$63,0),29))</f>
        <v>42338</v>
      </c>
      <c r="O93" s="6">
        <f>IF($A93="","",INDEX([1]Portfolio!$A$3:$AU$63,MATCH($A93,[1]Portfolio!$B$3:$B$63,0),32))</f>
        <v>42401</v>
      </c>
      <c r="P93" s="7">
        <f>IF($A93="","",INDEX([1]Portfolio!$A$3:$AU$63,MATCH($A93,[1]Portfolio!$B$3:$B$63,0),35))</f>
        <v>42491</v>
      </c>
      <c r="Q93" s="7">
        <f>IF($A93="","",INDEX([1]Portfolio!$A$3:$AU$63,MATCH($A93,[1]Portfolio!$B$3:$B$63,0),38))</f>
        <v>42114</v>
      </c>
      <c r="R93" s="7">
        <f>IF($A93="","",INDEX([1]Portfolio!$A$3:$AU$63,MATCH($A93,[1]Portfolio!$B$3:$B$63,0),42))</f>
        <v>42644</v>
      </c>
      <c r="S93" s="7">
        <f>IF($A93="","",INDEX([1]Portfolio!$A$3:$AU$63,MATCH($A93,[1]Portfolio!$B$3:$B$63,0),43))</f>
        <v>42180</v>
      </c>
      <c r="T93" s="7">
        <f>IF($A93="","",INDEX([1]Portfolio!$A$3:$AU$63,MATCH($A93,[1]Portfolio!$B$3:$B$63,0),37))</f>
        <v>41898</v>
      </c>
      <c r="U93" s="7">
        <f>IF($A93="","",INDEX([1]Portfolio!$A$3:$AU$63,MATCH($A93,[1]Portfolio!$B$3:$B$63,0),36))</f>
        <v>0</v>
      </c>
      <c r="V93" s="7">
        <f>IF($A93="","",(INDEX([2]Programmesjalons!$A$4:$AH$140,MATCH($A93,[2]Programmesjalons!$A$4:$A$140,0),8)))</f>
        <v>42338</v>
      </c>
      <c r="W93" s="7">
        <f>IF($A93="","",(INDEX([2]Programmesjalons!$A$4:$AH$140,MATCH($A93,[2]Programmesjalons!$A$4:$A$140,0),12)))</f>
        <v>42396</v>
      </c>
      <c r="X93" s="7">
        <f>IF($A93="","",(INDEX([2]Programmesjalons!$A$4:$AH$140,MATCH($A93,[2]Programmesjalons!$A$4:$A$140,0),16)))</f>
        <v>42452</v>
      </c>
      <c r="Y93" s="7">
        <f>IF($A93="","",(INDEX([2]Programmesjalons!$A$4:$AH$140,MATCH($A93,[2]Programmesjalons!$A$4:$A$140,0),30)))</f>
        <v>0</v>
      </c>
      <c r="Z93" s="59">
        <f>IF($A93="","",(INDEX([2]Programmesjalons!$A$4:$AH$140,MATCH($A93,[2]Programmesjalons!$A$4:$A$140,0),32)))</f>
        <v>42744</v>
      </c>
      <c r="AA93" s="60">
        <f>IF($A93="","",(INDEX([2]Programmesjalons!$A$4:$AH$140,MATCH($A93,[2]Programmesjalons!$A$4:$A$140,0),34)))</f>
        <v>42768</v>
      </c>
      <c r="AB93" s="59">
        <f>IF($A93="","",(INDEX([2]Programmesjalons!$A$4:$AH$140,MATCH($A93,[2]Programmesjalons!$A$4:$A$140,0),26)))</f>
        <v>0</v>
      </c>
      <c r="AC93" s="59">
        <f>IF($A93="","",(INDEX([2]Programmesjalons!$A$4:$AH$140,MATCH($A93,[2]Programmesjalons!$A$4:$A$140,0),18)))</f>
        <v>0</v>
      </c>
      <c r="AD93" s="68"/>
      <c r="AE93" s="68" t="s">
        <v>265</v>
      </c>
      <c r="AF93" s="68">
        <v>42338</v>
      </c>
      <c r="AG93" s="68">
        <v>42410</v>
      </c>
      <c r="AH93" s="68">
        <v>42459</v>
      </c>
      <c r="AI93" s="68">
        <v>42661</v>
      </c>
      <c r="AJ93" s="69">
        <v>42668</v>
      </c>
      <c r="AK93" s="70">
        <v>42765</v>
      </c>
      <c r="AL93" s="69">
        <v>42472</v>
      </c>
      <c r="AM93" s="69"/>
      <c r="AN93" s="7">
        <f t="shared" si="30"/>
        <v>42338</v>
      </c>
      <c r="AO93" s="7">
        <f t="shared" si="31"/>
        <v>42396</v>
      </c>
      <c r="AP93" s="7">
        <f t="shared" si="32"/>
        <v>42452</v>
      </c>
      <c r="AQ93" s="7">
        <f t="shared" si="33"/>
        <v>42661</v>
      </c>
      <c r="AR93" s="59">
        <f t="shared" si="34"/>
        <v>42180</v>
      </c>
      <c r="AS93" s="60">
        <f t="shared" si="35"/>
        <v>42180</v>
      </c>
      <c r="AT93" s="59">
        <f t="shared" si="36"/>
        <v>42472</v>
      </c>
      <c r="AU93" s="59" t="str">
        <f t="shared" si="37"/>
        <v>manque date</v>
      </c>
      <c r="AV93" s="76">
        <f t="shared" si="38"/>
        <v>42338</v>
      </c>
      <c r="AW93" s="76">
        <f t="shared" si="39"/>
        <v>42338</v>
      </c>
      <c r="AX93" s="61">
        <f t="shared" si="40"/>
        <v>42396</v>
      </c>
      <c r="AY93" s="61">
        <f t="shared" si="41"/>
        <v>42396</v>
      </c>
      <c r="AZ93" s="61">
        <f t="shared" si="42"/>
        <v>42452</v>
      </c>
      <c r="BA93" s="61">
        <f t="shared" si="43"/>
        <v>42452</v>
      </c>
      <c r="BB93" s="61">
        <f t="shared" si="44"/>
        <v>0</v>
      </c>
      <c r="BC93" s="61">
        <f t="shared" si="45"/>
        <v>42114</v>
      </c>
      <c r="BD93" s="61">
        <f t="shared" si="46"/>
        <v>42180</v>
      </c>
      <c r="BE93" s="61">
        <f t="shared" si="47"/>
        <v>42644</v>
      </c>
      <c r="BF93" s="61">
        <f t="shared" si="48"/>
        <v>42180</v>
      </c>
      <c r="BG93" s="61">
        <f t="shared" si="49"/>
        <v>42180</v>
      </c>
      <c r="BH93" s="61">
        <f t="shared" si="50"/>
        <v>0</v>
      </c>
      <c r="BI93" s="61">
        <f t="shared" si="51"/>
        <v>41898</v>
      </c>
      <c r="BJ93" s="61">
        <f t="shared" si="52"/>
        <v>0</v>
      </c>
      <c r="BK93" s="61">
        <f t="shared" si="53"/>
        <v>0</v>
      </c>
    </row>
    <row r="94" spans="1:63">
      <c r="A94" s="13"/>
      <c r="B94" s="74" t="str">
        <f t="shared" si="28"/>
        <v/>
      </c>
      <c r="C94" s="74" t="str">
        <f t="shared" si="29"/>
        <v/>
      </c>
      <c r="D94" s="7" t="s">
        <v>243</v>
      </c>
      <c r="E94" s="7" t="s">
        <v>243</v>
      </c>
      <c r="F94" s="7" t="s">
        <v>243</v>
      </c>
      <c r="G94" s="7" t="s">
        <v>243</v>
      </c>
      <c r="H94" s="59" t="s">
        <v>243</v>
      </c>
      <c r="I94" s="60" t="s">
        <v>243</v>
      </c>
      <c r="J94" s="59" t="s">
        <v>243</v>
      </c>
      <c r="K94" s="59" t="s">
        <v>243</v>
      </c>
      <c r="L94" s="57" t="str">
        <f>IF($A94="","",INDEX([1]Portfolio!$A$3:$AU$63,MATCH($A94,[1]Portfolio!$B$3:$B$63,0),3))</f>
        <v/>
      </c>
      <c r="M94" s="57" t="str">
        <f>IF($A94="","",INDEX([1]Portfolio!$A$3:$AU$63,MATCH($A94,[1]Portfolio!$B$3:$B$63,0),5))</f>
        <v/>
      </c>
      <c r="N94" s="6" t="str">
        <f>IF($A94="","",INDEX([1]Portfolio!$A$3:$AU$63,MATCH($A94,[1]Portfolio!$B$3:$B$63,0),29))</f>
        <v/>
      </c>
      <c r="O94" s="6" t="str">
        <f>IF($A94="","",INDEX([1]Portfolio!$A$3:$AU$63,MATCH($A94,[1]Portfolio!$B$3:$B$63,0),32))</f>
        <v/>
      </c>
      <c r="P94" s="7" t="str">
        <f>IF($A94="","",INDEX([1]Portfolio!$A$3:$AU$63,MATCH($A94,[1]Portfolio!$B$3:$B$63,0),35))</f>
        <v/>
      </c>
      <c r="Q94" s="7" t="str">
        <f>IF($A94="","",INDEX([1]Portfolio!$A$3:$AU$63,MATCH($A94,[1]Portfolio!$B$3:$B$63,0),38))</f>
        <v/>
      </c>
      <c r="R94" s="7" t="str">
        <f>IF($A94="","",INDEX([1]Portfolio!$A$3:$AU$63,MATCH($A94,[1]Portfolio!$B$3:$B$63,0),42))</f>
        <v/>
      </c>
      <c r="S94" s="7" t="str">
        <f>IF($A94="","",INDEX([1]Portfolio!$A$3:$AU$63,MATCH($A94,[1]Portfolio!$B$3:$B$63,0),43))</f>
        <v/>
      </c>
      <c r="T94" s="7" t="str">
        <f>IF($A94="","",INDEX([1]Portfolio!$A$3:$AU$63,MATCH($A94,[1]Portfolio!$B$3:$B$63,0),37))</f>
        <v/>
      </c>
      <c r="U94" s="7" t="str">
        <f>IF($A94="","",INDEX([1]Portfolio!$A$3:$AU$63,MATCH($A94,[1]Portfolio!$B$3:$B$63,0),36))</f>
        <v/>
      </c>
      <c r="V94" s="7" t="str">
        <f>IF($A94="","",(INDEX([2]Programmesjalons!$A$4:$AH$140,MATCH($A94,[2]Programmesjalons!$A$4:$A$140,0),8)))</f>
        <v/>
      </c>
      <c r="W94" s="7" t="str">
        <f>IF($A94="","",(INDEX([2]Programmesjalons!$A$4:$AH$140,MATCH($A94,[2]Programmesjalons!$A$4:$A$140,0),12)))</f>
        <v/>
      </c>
      <c r="X94" s="7" t="str">
        <f>IF($A94="","",(INDEX([2]Programmesjalons!$A$4:$AH$140,MATCH($A94,[2]Programmesjalons!$A$4:$A$140,0),16)))</f>
        <v/>
      </c>
      <c r="Y94" s="7" t="str">
        <f>IF($A94="","",(INDEX([2]Programmesjalons!$A$4:$AH$140,MATCH($A94,[2]Programmesjalons!$A$4:$A$140,0),30)))</f>
        <v/>
      </c>
      <c r="Z94" s="59" t="str">
        <f>IF($A94="","",(INDEX([2]Programmesjalons!$A$4:$AH$140,MATCH($A94,[2]Programmesjalons!$A$4:$A$140,0),32)))</f>
        <v/>
      </c>
      <c r="AA94" s="60" t="str">
        <f>IF($A94="","",(INDEX([2]Programmesjalons!$A$4:$AH$140,MATCH($A94,[2]Programmesjalons!$A$4:$A$140,0),34)))</f>
        <v/>
      </c>
      <c r="AB94" s="59" t="str">
        <f>IF($A94="","",(INDEX([2]Programmesjalons!$A$4:$AH$140,MATCH($A94,[2]Programmesjalons!$A$4:$A$140,0),26)))</f>
        <v/>
      </c>
      <c r="AC94" s="59" t="str">
        <f>IF($A94="","",(INDEX([2]Programmesjalons!$A$4:$AH$140,MATCH($A94,[2]Programmesjalons!$A$4:$A$140,0),18)))</f>
        <v/>
      </c>
      <c r="AD94" s="68"/>
      <c r="AE94" s="68"/>
      <c r="AF94" s="68"/>
      <c r="AG94" s="68"/>
      <c r="AH94" s="68"/>
      <c r="AI94" s="68"/>
      <c r="AJ94" s="69"/>
      <c r="AK94" s="70"/>
      <c r="AL94" s="69"/>
      <c r="AM94" s="69"/>
      <c r="AN94" s="7" t="str">
        <f t="shared" si="30"/>
        <v/>
      </c>
      <c r="AO94" s="7" t="str">
        <f t="shared" si="31"/>
        <v/>
      </c>
      <c r="AP94" s="7" t="str">
        <f t="shared" si="32"/>
        <v/>
      </c>
      <c r="AQ94" s="7" t="str">
        <f t="shared" si="33"/>
        <v/>
      </c>
      <c r="AR94" s="59" t="str">
        <f t="shared" si="34"/>
        <v/>
      </c>
      <c r="AS94" s="60" t="str">
        <f t="shared" si="35"/>
        <v/>
      </c>
      <c r="AT94" s="59" t="str">
        <f t="shared" si="36"/>
        <v/>
      </c>
      <c r="AU94" s="59" t="str">
        <f t="shared" si="37"/>
        <v/>
      </c>
      <c r="AV94" s="76">
        <f t="shared" si="38"/>
        <v>0</v>
      </c>
      <c r="AW94" s="76" t="str">
        <f t="shared" si="39"/>
        <v>manque date</v>
      </c>
      <c r="AX94" s="61">
        <f t="shared" si="40"/>
        <v>0</v>
      </c>
      <c r="AY94" s="61" t="str">
        <f t="shared" si="41"/>
        <v>manque date</v>
      </c>
      <c r="AZ94" s="61">
        <f t="shared" si="42"/>
        <v>0</v>
      </c>
      <c r="BA94" s="61" t="str">
        <f t="shared" si="43"/>
        <v>manque date</v>
      </c>
      <c r="BB94" s="61">
        <f t="shared" si="44"/>
        <v>0</v>
      </c>
      <c r="BC94" s="61" t="str">
        <f t="shared" si="45"/>
        <v>manque date</v>
      </c>
      <c r="BD94" s="61">
        <f t="shared" si="46"/>
        <v>0</v>
      </c>
      <c r="BE94" s="61" t="str">
        <f t="shared" si="47"/>
        <v>manque date</v>
      </c>
      <c r="BF94" s="61">
        <f t="shared" si="48"/>
        <v>0</v>
      </c>
      <c r="BG94" s="61" t="str">
        <f t="shared" si="49"/>
        <v>manque date</v>
      </c>
      <c r="BH94" s="61">
        <f t="shared" si="50"/>
        <v>0</v>
      </c>
      <c r="BI94" s="61" t="str">
        <f t="shared" si="51"/>
        <v>manque date</v>
      </c>
      <c r="BJ94" s="61">
        <f t="shared" si="52"/>
        <v>0</v>
      </c>
      <c r="BK94" s="61" t="str">
        <f t="shared" si="53"/>
        <v>manque date</v>
      </c>
    </row>
    <row r="95" spans="1:63">
      <c r="A95" s="13"/>
      <c r="B95" s="74" t="str">
        <f t="shared" si="28"/>
        <v/>
      </c>
      <c r="C95" s="74" t="str">
        <f t="shared" si="29"/>
        <v/>
      </c>
      <c r="D95" s="7" t="s">
        <v>243</v>
      </c>
      <c r="E95" s="7" t="s">
        <v>243</v>
      </c>
      <c r="F95" s="7" t="s">
        <v>243</v>
      </c>
      <c r="G95" s="7" t="s">
        <v>243</v>
      </c>
      <c r="H95" s="59" t="s">
        <v>243</v>
      </c>
      <c r="I95" s="60" t="s">
        <v>243</v>
      </c>
      <c r="J95" s="59" t="s">
        <v>243</v>
      </c>
      <c r="K95" s="59" t="s">
        <v>243</v>
      </c>
      <c r="L95" s="57" t="str">
        <f>IF($A95="","",INDEX([1]Portfolio!$A$3:$AU$63,MATCH($A95,[1]Portfolio!$B$3:$B$63,0),3))</f>
        <v/>
      </c>
      <c r="M95" s="57" t="str">
        <f>IF($A95="","",INDEX([1]Portfolio!$A$3:$AU$63,MATCH($A95,[1]Portfolio!$B$3:$B$63,0),5))</f>
        <v/>
      </c>
      <c r="N95" s="6" t="str">
        <f>IF($A95="","",INDEX([1]Portfolio!$A$3:$AU$63,MATCH($A95,[1]Portfolio!$B$3:$B$63,0),29))</f>
        <v/>
      </c>
      <c r="O95" s="6" t="str">
        <f>IF($A95="","",INDEX([1]Portfolio!$A$3:$AU$63,MATCH($A95,[1]Portfolio!$B$3:$B$63,0),32))</f>
        <v/>
      </c>
      <c r="P95" s="7" t="str">
        <f>IF($A95="","",INDEX([1]Portfolio!$A$3:$AU$63,MATCH($A95,[1]Portfolio!$B$3:$B$63,0),35))</f>
        <v/>
      </c>
      <c r="Q95" s="7" t="str">
        <f>IF($A95="","",INDEX([1]Portfolio!$A$3:$AU$63,MATCH($A95,[1]Portfolio!$B$3:$B$63,0),38))</f>
        <v/>
      </c>
      <c r="R95" s="7" t="str">
        <f>IF($A95="","",INDEX([1]Portfolio!$A$3:$AU$63,MATCH($A95,[1]Portfolio!$B$3:$B$63,0),42))</f>
        <v/>
      </c>
      <c r="S95" s="7" t="str">
        <f>IF($A95="","",INDEX([1]Portfolio!$A$3:$AU$63,MATCH($A95,[1]Portfolio!$B$3:$B$63,0),43))</f>
        <v/>
      </c>
      <c r="T95" s="7" t="str">
        <f>IF($A95="","",INDEX([1]Portfolio!$A$3:$AU$63,MATCH($A95,[1]Portfolio!$B$3:$B$63,0),37))</f>
        <v/>
      </c>
      <c r="U95" s="7" t="str">
        <f>IF($A95="","",INDEX([1]Portfolio!$A$3:$AU$63,MATCH($A95,[1]Portfolio!$B$3:$B$63,0),36))</f>
        <v/>
      </c>
      <c r="V95" s="7" t="str">
        <f>IF($A95="","",(INDEX([2]Programmesjalons!$A$4:$AH$140,MATCH($A95,[2]Programmesjalons!$A$4:$A$140,0),8)))</f>
        <v/>
      </c>
      <c r="W95" s="7" t="str">
        <f>IF($A95="","",(INDEX([2]Programmesjalons!$A$4:$AH$140,MATCH($A95,[2]Programmesjalons!$A$4:$A$140,0),12)))</f>
        <v/>
      </c>
      <c r="X95" s="7" t="str">
        <f>IF($A95="","",(INDEX([2]Programmesjalons!$A$4:$AH$140,MATCH($A95,[2]Programmesjalons!$A$4:$A$140,0),16)))</f>
        <v/>
      </c>
      <c r="Y95" s="7" t="str">
        <f>IF($A95="","",(INDEX([2]Programmesjalons!$A$4:$AH$140,MATCH($A95,[2]Programmesjalons!$A$4:$A$140,0),30)))</f>
        <v/>
      </c>
      <c r="Z95" s="59" t="str">
        <f>IF($A95="","",(INDEX([2]Programmesjalons!$A$4:$AH$140,MATCH($A95,[2]Programmesjalons!$A$4:$A$140,0),32)))</f>
        <v/>
      </c>
      <c r="AA95" s="60" t="str">
        <f>IF($A95="","",(INDEX([2]Programmesjalons!$A$4:$AH$140,MATCH($A95,[2]Programmesjalons!$A$4:$A$140,0),34)))</f>
        <v/>
      </c>
      <c r="AB95" s="59" t="str">
        <f>IF($A95="","",(INDEX([2]Programmesjalons!$A$4:$AH$140,MATCH($A95,[2]Programmesjalons!$A$4:$A$140,0),26)))</f>
        <v/>
      </c>
      <c r="AC95" s="59" t="str">
        <f>IF($A95="","",(INDEX([2]Programmesjalons!$A$4:$AH$140,MATCH($A95,[2]Programmesjalons!$A$4:$A$140,0),18)))</f>
        <v/>
      </c>
      <c r="AD95" s="68"/>
      <c r="AE95" s="68"/>
      <c r="AF95" s="68"/>
      <c r="AG95" s="68"/>
      <c r="AH95" s="68"/>
      <c r="AI95" s="68"/>
      <c r="AJ95" s="69"/>
      <c r="AK95" s="70"/>
      <c r="AL95" s="69"/>
      <c r="AM95" s="69"/>
      <c r="AN95" s="7" t="str">
        <f t="shared" si="30"/>
        <v/>
      </c>
      <c r="AO95" s="7" t="str">
        <f t="shared" si="31"/>
        <v/>
      </c>
      <c r="AP95" s="7" t="str">
        <f t="shared" si="32"/>
        <v/>
      </c>
      <c r="AQ95" s="7" t="str">
        <f t="shared" si="33"/>
        <v/>
      </c>
      <c r="AR95" s="59" t="str">
        <f t="shared" si="34"/>
        <v/>
      </c>
      <c r="AS95" s="60" t="str">
        <f t="shared" si="35"/>
        <v/>
      </c>
      <c r="AT95" s="59" t="str">
        <f t="shared" si="36"/>
        <v/>
      </c>
      <c r="AU95" s="59" t="str">
        <f t="shared" si="37"/>
        <v/>
      </c>
      <c r="AV95" s="76">
        <f t="shared" si="38"/>
        <v>0</v>
      </c>
      <c r="AW95" s="76" t="str">
        <f t="shared" si="39"/>
        <v>manque date</v>
      </c>
      <c r="AX95" s="61">
        <f t="shared" si="40"/>
        <v>0</v>
      </c>
      <c r="AY95" s="61" t="str">
        <f t="shared" si="41"/>
        <v>manque date</v>
      </c>
      <c r="AZ95" s="61">
        <f t="shared" si="42"/>
        <v>0</v>
      </c>
      <c r="BA95" s="61" t="str">
        <f t="shared" si="43"/>
        <v>manque date</v>
      </c>
      <c r="BB95" s="61">
        <f t="shared" si="44"/>
        <v>0</v>
      </c>
      <c r="BC95" s="61" t="str">
        <f t="shared" si="45"/>
        <v>manque date</v>
      </c>
      <c r="BD95" s="61">
        <f t="shared" si="46"/>
        <v>0</v>
      </c>
      <c r="BE95" s="61" t="str">
        <f t="shared" si="47"/>
        <v>manque date</v>
      </c>
      <c r="BF95" s="61">
        <f t="shared" si="48"/>
        <v>0</v>
      </c>
      <c r="BG95" s="61" t="str">
        <f t="shared" si="49"/>
        <v>manque date</v>
      </c>
      <c r="BH95" s="61">
        <f t="shared" si="50"/>
        <v>0</v>
      </c>
      <c r="BI95" s="61" t="str">
        <f t="shared" si="51"/>
        <v>manque date</v>
      </c>
      <c r="BJ95" s="61">
        <f t="shared" si="52"/>
        <v>0</v>
      </c>
      <c r="BK95" s="61" t="str">
        <f t="shared" si="53"/>
        <v>manque date</v>
      </c>
    </row>
    <row r="96" spans="1:63">
      <c r="A96" s="13"/>
      <c r="B96" s="74" t="str">
        <f t="shared" si="28"/>
        <v/>
      </c>
      <c r="C96" s="74" t="str">
        <f t="shared" si="29"/>
        <v/>
      </c>
      <c r="D96" s="7" t="s">
        <v>243</v>
      </c>
      <c r="E96" s="7" t="s">
        <v>243</v>
      </c>
      <c r="F96" s="7" t="s">
        <v>243</v>
      </c>
      <c r="G96" s="7" t="s">
        <v>243</v>
      </c>
      <c r="H96" s="59" t="s">
        <v>243</v>
      </c>
      <c r="I96" s="60" t="s">
        <v>243</v>
      </c>
      <c r="J96" s="59" t="s">
        <v>243</v>
      </c>
      <c r="K96" s="59" t="s">
        <v>243</v>
      </c>
      <c r="L96" s="57" t="str">
        <f>IF($A96="","",INDEX([1]Portfolio!$A$3:$AU$63,MATCH($A96,[1]Portfolio!$B$3:$B$63,0),3))</f>
        <v/>
      </c>
      <c r="M96" s="57" t="str">
        <f>IF($A96="","",INDEX([1]Portfolio!$A$3:$AU$63,MATCH($A96,[1]Portfolio!$B$3:$B$63,0),5))</f>
        <v/>
      </c>
      <c r="N96" s="6" t="str">
        <f>IF($A96="","",INDEX([1]Portfolio!$A$3:$AU$63,MATCH($A96,[1]Portfolio!$B$3:$B$63,0),29))</f>
        <v/>
      </c>
      <c r="O96" s="6" t="str">
        <f>IF($A96="","",INDEX([1]Portfolio!$A$3:$AU$63,MATCH($A96,[1]Portfolio!$B$3:$B$63,0),32))</f>
        <v/>
      </c>
      <c r="P96" s="7" t="str">
        <f>IF($A96="","",INDEX([1]Portfolio!$A$3:$AU$63,MATCH($A96,[1]Portfolio!$B$3:$B$63,0),35))</f>
        <v/>
      </c>
      <c r="Q96" s="7" t="str">
        <f>IF($A96="","",INDEX([1]Portfolio!$A$3:$AU$63,MATCH($A96,[1]Portfolio!$B$3:$B$63,0),38))</f>
        <v/>
      </c>
      <c r="R96" s="7" t="str">
        <f>IF($A96="","",INDEX([1]Portfolio!$A$3:$AU$63,MATCH($A96,[1]Portfolio!$B$3:$B$63,0),42))</f>
        <v/>
      </c>
      <c r="S96" s="7" t="str">
        <f>IF($A96="","",INDEX([1]Portfolio!$A$3:$AU$63,MATCH($A96,[1]Portfolio!$B$3:$B$63,0),43))</f>
        <v/>
      </c>
      <c r="T96" s="7" t="str">
        <f>IF($A96="","",INDEX([1]Portfolio!$A$3:$AU$63,MATCH($A96,[1]Portfolio!$B$3:$B$63,0),37))</f>
        <v/>
      </c>
      <c r="U96" s="7" t="str">
        <f>IF($A96="","",INDEX([1]Portfolio!$A$3:$AU$63,MATCH($A96,[1]Portfolio!$B$3:$B$63,0),36))</f>
        <v/>
      </c>
      <c r="V96" s="7" t="str">
        <f>IF($A96="","",(INDEX([2]Programmesjalons!$A$4:$AH$140,MATCH($A96,[2]Programmesjalons!$A$4:$A$140,0),8)))</f>
        <v/>
      </c>
      <c r="W96" s="7" t="str">
        <f>IF($A96="","",(INDEX([2]Programmesjalons!$A$4:$AH$140,MATCH($A96,[2]Programmesjalons!$A$4:$A$140,0),12)))</f>
        <v/>
      </c>
      <c r="X96" s="7" t="str">
        <f>IF($A96="","",(INDEX([2]Programmesjalons!$A$4:$AH$140,MATCH($A96,[2]Programmesjalons!$A$4:$A$140,0),16)))</f>
        <v/>
      </c>
      <c r="Y96" s="7" t="str">
        <f>IF($A96="","",(INDEX([2]Programmesjalons!$A$4:$AH$140,MATCH($A96,[2]Programmesjalons!$A$4:$A$140,0),30)))</f>
        <v/>
      </c>
      <c r="Z96" s="59" t="str">
        <f>IF($A96="","",(INDEX([2]Programmesjalons!$A$4:$AH$140,MATCH($A96,[2]Programmesjalons!$A$4:$A$140,0),32)))</f>
        <v/>
      </c>
      <c r="AA96" s="60" t="str">
        <f>IF($A96="","",(INDEX([2]Programmesjalons!$A$4:$AH$140,MATCH($A96,[2]Programmesjalons!$A$4:$A$140,0),34)))</f>
        <v/>
      </c>
      <c r="AB96" s="59" t="str">
        <f>IF($A96="","",(INDEX([2]Programmesjalons!$A$4:$AH$140,MATCH($A96,[2]Programmesjalons!$A$4:$A$140,0),26)))</f>
        <v/>
      </c>
      <c r="AC96" s="59" t="str">
        <f>IF($A96="","",(INDEX([2]Programmesjalons!$A$4:$AH$140,MATCH($A96,[2]Programmesjalons!$A$4:$A$140,0),18)))</f>
        <v/>
      </c>
      <c r="AD96" s="68"/>
      <c r="AE96" s="68"/>
      <c r="AF96" s="68"/>
      <c r="AG96" s="68"/>
      <c r="AH96" s="68"/>
      <c r="AI96" s="68"/>
      <c r="AJ96" s="69"/>
      <c r="AK96" s="70"/>
      <c r="AL96" s="69"/>
      <c r="AM96" s="69"/>
      <c r="AN96" s="7" t="str">
        <f t="shared" si="30"/>
        <v/>
      </c>
      <c r="AO96" s="7" t="str">
        <f t="shared" si="31"/>
        <v/>
      </c>
      <c r="AP96" s="7" t="str">
        <f t="shared" si="32"/>
        <v/>
      </c>
      <c r="AQ96" s="7" t="str">
        <f t="shared" si="33"/>
        <v/>
      </c>
      <c r="AR96" s="59" t="str">
        <f t="shared" si="34"/>
        <v/>
      </c>
      <c r="AS96" s="60" t="str">
        <f t="shared" si="35"/>
        <v/>
      </c>
      <c r="AT96" s="59" t="str">
        <f t="shared" si="36"/>
        <v/>
      </c>
      <c r="AU96" s="59" t="str">
        <f t="shared" si="37"/>
        <v/>
      </c>
      <c r="AV96" s="76">
        <f t="shared" si="38"/>
        <v>0</v>
      </c>
      <c r="AW96" s="76" t="str">
        <f t="shared" si="39"/>
        <v>manque date</v>
      </c>
      <c r="AX96" s="61">
        <f t="shared" si="40"/>
        <v>0</v>
      </c>
      <c r="AY96" s="61" t="str">
        <f t="shared" si="41"/>
        <v>manque date</v>
      </c>
      <c r="AZ96" s="61">
        <f t="shared" si="42"/>
        <v>0</v>
      </c>
      <c r="BA96" s="61" t="str">
        <f t="shared" si="43"/>
        <v>manque date</v>
      </c>
      <c r="BB96" s="61">
        <f t="shared" si="44"/>
        <v>0</v>
      </c>
      <c r="BC96" s="61" t="str">
        <f t="shared" si="45"/>
        <v>manque date</v>
      </c>
      <c r="BD96" s="61">
        <f t="shared" si="46"/>
        <v>0</v>
      </c>
      <c r="BE96" s="61" t="str">
        <f t="shared" si="47"/>
        <v>manque date</v>
      </c>
      <c r="BF96" s="61">
        <f t="shared" si="48"/>
        <v>0</v>
      </c>
      <c r="BG96" s="61" t="str">
        <f t="shared" si="49"/>
        <v>manque date</v>
      </c>
      <c r="BH96" s="61">
        <f t="shared" si="50"/>
        <v>0</v>
      </c>
      <c r="BI96" s="61" t="str">
        <f t="shared" si="51"/>
        <v>manque date</v>
      </c>
      <c r="BJ96" s="61">
        <f t="shared" si="52"/>
        <v>0</v>
      </c>
      <c r="BK96" s="61" t="str">
        <f t="shared" si="53"/>
        <v>manque date</v>
      </c>
    </row>
    <row r="97" spans="1:63">
      <c r="A97" s="13"/>
      <c r="B97" s="74" t="str">
        <f t="shared" si="28"/>
        <v/>
      </c>
      <c r="C97" s="74" t="str">
        <f t="shared" si="29"/>
        <v/>
      </c>
      <c r="D97" s="7" t="s">
        <v>243</v>
      </c>
      <c r="E97" s="7" t="s">
        <v>243</v>
      </c>
      <c r="F97" s="7" t="s">
        <v>243</v>
      </c>
      <c r="G97" s="7" t="s">
        <v>243</v>
      </c>
      <c r="H97" s="59" t="s">
        <v>243</v>
      </c>
      <c r="I97" s="60" t="s">
        <v>243</v>
      </c>
      <c r="J97" s="59" t="s">
        <v>243</v>
      </c>
      <c r="K97" s="59" t="s">
        <v>243</v>
      </c>
      <c r="L97" s="57" t="str">
        <f>IF($A97="","",INDEX([1]Portfolio!$A$3:$AU$63,MATCH($A97,[1]Portfolio!$B$3:$B$63,0),3))</f>
        <v/>
      </c>
      <c r="M97" s="57" t="str">
        <f>IF($A97="","",INDEX([1]Portfolio!$A$3:$AU$63,MATCH($A97,[1]Portfolio!$B$3:$B$63,0),5))</f>
        <v/>
      </c>
      <c r="N97" s="6" t="str">
        <f>IF($A97="","",INDEX([1]Portfolio!$A$3:$AU$63,MATCH($A97,[1]Portfolio!$B$3:$B$63,0),29))</f>
        <v/>
      </c>
      <c r="O97" s="6" t="str">
        <f>IF($A97="","",INDEX([1]Portfolio!$A$3:$AU$63,MATCH($A97,[1]Portfolio!$B$3:$B$63,0),32))</f>
        <v/>
      </c>
      <c r="P97" s="7" t="str">
        <f>IF($A97="","",INDEX([1]Portfolio!$A$3:$AU$63,MATCH($A97,[1]Portfolio!$B$3:$B$63,0),35))</f>
        <v/>
      </c>
      <c r="Q97" s="7" t="str">
        <f>IF($A97="","",INDEX([1]Portfolio!$A$3:$AU$63,MATCH($A97,[1]Portfolio!$B$3:$B$63,0),38))</f>
        <v/>
      </c>
      <c r="R97" s="7" t="str">
        <f>IF($A97="","",INDEX([1]Portfolio!$A$3:$AU$63,MATCH($A97,[1]Portfolio!$B$3:$B$63,0),42))</f>
        <v/>
      </c>
      <c r="S97" s="7" t="str">
        <f>IF($A97="","",INDEX([1]Portfolio!$A$3:$AU$63,MATCH($A97,[1]Portfolio!$B$3:$B$63,0),43))</f>
        <v/>
      </c>
      <c r="T97" s="7" t="str">
        <f>IF($A97="","",INDEX([1]Portfolio!$A$3:$AU$63,MATCH($A97,[1]Portfolio!$B$3:$B$63,0),37))</f>
        <v/>
      </c>
      <c r="U97" s="7" t="str">
        <f>IF($A97="","",INDEX([1]Portfolio!$A$3:$AU$63,MATCH($A97,[1]Portfolio!$B$3:$B$63,0),36))</f>
        <v/>
      </c>
      <c r="V97" s="7" t="str">
        <f>IF($A97="","",(INDEX([2]Programmesjalons!$A$4:$AH$140,MATCH($A97,[2]Programmesjalons!$A$4:$A$140,0),8)))</f>
        <v/>
      </c>
      <c r="W97" s="7" t="str">
        <f>IF($A97="","",(INDEX([2]Programmesjalons!$A$4:$AH$140,MATCH($A97,[2]Programmesjalons!$A$4:$A$140,0),12)))</f>
        <v/>
      </c>
      <c r="X97" s="7" t="str">
        <f>IF($A97="","",(INDEX([2]Programmesjalons!$A$4:$AH$140,MATCH($A97,[2]Programmesjalons!$A$4:$A$140,0),16)))</f>
        <v/>
      </c>
      <c r="Y97" s="7" t="str">
        <f>IF($A97="","",(INDEX([2]Programmesjalons!$A$4:$AH$140,MATCH($A97,[2]Programmesjalons!$A$4:$A$140,0),30)))</f>
        <v/>
      </c>
      <c r="Z97" s="59" t="str">
        <f>IF($A97="","",(INDEX([2]Programmesjalons!$A$4:$AH$140,MATCH($A97,[2]Programmesjalons!$A$4:$A$140,0),32)))</f>
        <v/>
      </c>
      <c r="AA97" s="60" t="str">
        <f>IF($A97="","",(INDEX([2]Programmesjalons!$A$4:$AH$140,MATCH($A97,[2]Programmesjalons!$A$4:$A$140,0),34)))</f>
        <v/>
      </c>
      <c r="AB97" s="59" t="str">
        <f>IF($A97="","",(INDEX([2]Programmesjalons!$A$4:$AH$140,MATCH($A97,[2]Programmesjalons!$A$4:$A$140,0),26)))</f>
        <v/>
      </c>
      <c r="AC97" s="59" t="str">
        <f>IF($A97="","",(INDEX([2]Programmesjalons!$A$4:$AH$140,MATCH($A97,[2]Programmesjalons!$A$4:$A$140,0),18)))</f>
        <v/>
      </c>
      <c r="AD97" s="68"/>
      <c r="AE97" s="68"/>
      <c r="AF97" s="68"/>
      <c r="AG97" s="68"/>
      <c r="AH97" s="68"/>
      <c r="AI97" s="68"/>
      <c r="AJ97" s="69"/>
      <c r="AK97" s="70"/>
      <c r="AL97" s="69"/>
      <c r="AM97" s="69"/>
      <c r="AN97" s="7" t="str">
        <f t="shared" si="30"/>
        <v/>
      </c>
      <c r="AO97" s="7" t="str">
        <f t="shared" si="31"/>
        <v/>
      </c>
      <c r="AP97" s="7" t="str">
        <f t="shared" si="32"/>
        <v/>
      </c>
      <c r="AQ97" s="7" t="str">
        <f t="shared" si="33"/>
        <v/>
      </c>
      <c r="AR97" s="59" t="str">
        <f t="shared" si="34"/>
        <v/>
      </c>
      <c r="AS97" s="60" t="str">
        <f t="shared" si="35"/>
        <v/>
      </c>
      <c r="AT97" s="59" t="str">
        <f t="shared" si="36"/>
        <v/>
      </c>
      <c r="AU97" s="59" t="str">
        <f t="shared" si="37"/>
        <v/>
      </c>
      <c r="AV97" s="76">
        <f t="shared" si="38"/>
        <v>0</v>
      </c>
      <c r="AW97" s="76" t="str">
        <f t="shared" si="39"/>
        <v>manque date</v>
      </c>
      <c r="AX97" s="61">
        <f t="shared" si="40"/>
        <v>0</v>
      </c>
      <c r="AY97" s="61" t="str">
        <f t="shared" si="41"/>
        <v>manque date</v>
      </c>
      <c r="AZ97" s="61">
        <f t="shared" si="42"/>
        <v>0</v>
      </c>
      <c r="BA97" s="61" t="str">
        <f t="shared" si="43"/>
        <v>manque date</v>
      </c>
      <c r="BB97" s="61">
        <f t="shared" si="44"/>
        <v>0</v>
      </c>
      <c r="BC97" s="61" t="str">
        <f t="shared" si="45"/>
        <v>manque date</v>
      </c>
      <c r="BD97" s="61">
        <f t="shared" si="46"/>
        <v>0</v>
      </c>
      <c r="BE97" s="61" t="str">
        <f t="shared" si="47"/>
        <v>manque date</v>
      </c>
      <c r="BF97" s="61">
        <f t="shared" si="48"/>
        <v>0</v>
      </c>
      <c r="BG97" s="61" t="str">
        <f t="shared" si="49"/>
        <v>manque date</v>
      </c>
      <c r="BH97" s="61">
        <f t="shared" si="50"/>
        <v>0</v>
      </c>
      <c r="BI97" s="61" t="str">
        <f t="shared" si="51"/>
        <v>manque date</v>
      </c>
      <c r="BJ97" s="61">
        <f t="shared" si="52"/>
        <v>0</v>
      </c>
      <c r="BK97" s="61" t="str">
        <f t="shared" si="53"/>
        <v>manque date</v>
      </c>
    </row>
    <row r="98" spans="1:63">
      <c r="A98" s="13"/>
      <c r="B98" s="74" t="str">
        <f t="shared" si="28"/>
        <v/>
      </c>
      <c r="C98" s="74" t="str">
        <f t="shared" si="29"/>
        <v/>
      </c>
      <c r="D98" s="7" t="s">
        <v>243</v>
      </c>
      <c r="E98" s="7" t="s">
        <v>243</v>
      </c>
      <c r="F98" s="7" t="s">
        <v>243</v>
      </c>
      <c r="G98" s="7" t="s">
        <v>243</v>
      </c>
      <c r="H98" s="59" t="s">
        <v>243</v>
      </c>
      <c r="I98" s="60" t="s">
        <v>243</v>
      </c>
      <c r="J98" s="59" t="s">
        <v>243</v>
      </c>
      <c r="K98" s="59" t="s">
        <v>243</v>
      </c>
      <c r="L98" s="57" t="str">
        <f>IF($A98="","",INDEX([1]Portfolio!$A$3:$AU$63,MATCH($A98,[1]Portfolio!$B$3:$B$63,0),3))</f>
        <v/>
      </c>
      <c r="M98" s="57" t="str">
        <f>IF($A98="","",INDEX([1]Portfolio!$A$3:$AU$63,MATCH($A98,[1]Portfolio!$B$3:$B$63,0),5))</f>
        <v/>
      </c>
      <c r="N98" s="6" t="str">
        <f>IF($A98="","",INDEX([1]Portfolio!$A$3:$AU$63,MATCH($A98,[1]Portfolio!$B$3:$B$63,0),29))</f>
        <v/>
      </c>
      <c r="O98" s="6" t="str">
        <f>IF($A98="","",INDEX([1]Portfolio!$A$3:$AU$63,MATCH($A98,[1]Portfolio!$B$3:$B$63,0),32))</f>
        <v/>
      </c>
      <c r="P98" s="7" t="str">
        <f>IF($A98="","",INDEX([1]Portfolio!$A$3:$AU$63,MATCH($A98,[1]Portfolio!$B$3:$B$63,0),35))</f>
        <v/>
      </c>
      <c r="Q98" s="7" t="str">
        <f>IF($A98="","",INDEX([1]Portfolio!$A$3:$AU$63,MATCH($A98,[1]Portfolio!$B$3:$B$63,0),38))</f>
        <v/>
      </c>
      <c r="R98" s="7" t="str">
        <f>IF($A98="","",INDEX([1]Portfolio!$A$3:$AU$63,MATCH($A98,[1]Portfolio!$B$3:$B$63,0),42))</f>
        <v/>
      </c>
      <c r="S98" s="7" t="str">
        <f>IF($A98="","",INDEX([1]Portfolio!$A$3:$AU$63,MATCH($A98,[1]Portfolio!$B$3:$B$63,0),43))</f>
        <v/>
      </c>
      <c r="T98" s="7" t="str">
        <f>IF($A98="","",INDEX([1]Portfolio!$A$3:$AU$63,MATCH($A98,[1]Portfolio!$B$3:$B$63,0),37))</f>
        <v/>
      </c>
      <c r="U98" s="7" t="str">
        <f>IF($A98="","",INDEX([1]Portfolio!$A$3:$AU$63,MATCH($A98,[1]Portfolio!$B$3:$B$63,0),36))</f>
        <v/>
      </c>
      <c r="V98" s="7" t="str">
        <f>IF($A98="","",(INDEX([2]Programmesjalons!$A$4:$AH$140,MATCH($A98,[2]Programmesjalons!$A$4:$A$140,0),8)))</f>
        <v/>
      </c>
      <c r="W98" s="7" t="str">
        <f>IF($A98="","",(INDEX([2]Programmesjalons!$A$4:$AH$140,MATCH($A98,[2]Programmesjalons!$A$4:$A$140,0),12)))</f>
        <v/>
      </c>
      <c r="X98" s="7" t="str">
        <f>IF($A98="","",(INDEX([2]Programmesjalons!$A$4:$AH$140,MATCH($A98,[2]Programmesjalons!$A$4:$A$140,0),16)))</f>
        <v/>
      </c>
      <c r="Y98" s="7" t="str">
        <f>IF($A98="","",(INDEX([2]Programmesjalons!$A$4:$AH$140,MATCH($A98,[2]Programmesjalons!$A$4:$A$140,0),30)))</f>
        <v/>
      </c>
      <c r="Z98" s="59" t="str">
        <f>IF($A98="","",(INDEX([2]Programmesjalons!$A$4:$AH$140,MATCH($A98,[2]Programmesjalons!$A$4:$A$140,0),32)))</f>
        <v/>
      </c>
      <c r="AA98" s="60" t="str">
        <f>IF($A98="","",(INDEX([2]Programmesjalons!$A$4:$AH$140,MATCH($A98,[2]Programmesjalons!$A$4:$A$140,0),34)))</f>
        <v/>
      </c>
      <c r="AB98" s="59" t="str">
        <f>IF($A98="","",(INDEX([2]Programmesjalons!$A$4:$AH$140,MATCH($A98,[2]Programmesjalons!$A$4:$A$140,0),26)))</f>
        <v/>
      </c>
      <c r="AC98" s="59" t="str">
        <f>IF($A98="","",(INDEX([2]Programmesjalons!$A$4:$AH$140,MATCH($A98,[2]Programmesjalons!$A$4:$A$140,0),18)))</f>
        <v/>
      </c>
      <c r="AD98" s="68"/>
      <c r="AE98" s="68"/>
      <c r="AF98" s="68"/>
      <c r="AG98" s="68"/>
      <c r="AH98" s="68"/>
      <c r="AI98" s="68"/>
      <c r="AJ98" s="69"/>
      <c r="AK98" s="70"/>
      <c r="AL98" s="69"/>
      <c r="AM98" s="69"/>
      <c r="AN98" s="7" t="str">
        <f t="shared" si="30"/>
        <v/>
      </c>
      <c r="AO98" s="7" t="str">
        <f t="shared" si="31"/>
        <v/>
      </c>
      <c r="AP98" s="7" t="str">
        <f t="shared" si="32"/>
        <v/>
      </c>
      <c r="AQ98" s="7" t="str">
        <f t="shared" si="33"/>
        <v/>
      </c>
      <c r="AR98" s="59" t="str">
        <f t="shared" si="34"/>
        <v/>
      </c>
      <c r="AS98" s="60" t="str">
        <f t="shared" si="35"/>
        <v/>
      </c>
      <c r="AT98" s="59" t="str">
        <f t="shared" si="36"/>
        <v/>
      </c>
      <c r="AU98" s="59" t="str">
        <f t="shared" si="37"/>
        <v/>
      </c>
      <c r="AV98" s="76">
        <f t="shared" si="38"/>
        <v>0</v>
      </c>
      <c r="AW98" s="76" t="str">
        <f t="shared" si="39"/>
        <v>manque date</v>
      </c>
      <c r="AX98" s="61">
        <f t="shared" si="40"/>
        <v>0</v>
      </c>
      <c r="AY98" s="61" t="str">
        <f t="shared" si="41"/>
        <v>manque date</v>
      </c>
      <c r="AZ98" s="61">
        <f t="shared" si="42"/>
        <v>0</v>
      </c>
      <c r="BA98" s="61" t="str">
        <f t="shared" si="43"/>
        <v>manque date</v>
      </c>
      <c r="BB98" s="61">
        <f t="shared" si="44"/>
        <v>0</v>
      </c>
      <c r="BC98" s="61" t="str">
        <f t="shared" si="45"/>
        <v>manque date</v>
      </c>
      <c r="BD98" s="61">
        <f t="shared" si="46"/>
        <v>0</v>
      </c>
      <c r="BE98" s="61" t="str">
        <f t="shared" si="47"/>
        <v>manque date</v>
      </c>
      <c r="BF98" s="61">
        <f t="shared" si="48"/>
        <v>0</v>
      </c>
      <c r="BG98" s="61" t="str">
        <f t="shared" si="49"/>
        <v>manque date</v>
      </c>
      <c r="BH98" s="61">
        <f t="shared" si="50"/>
        <v>0</v>
      </c>
      <c r="BI98" s="61" t="str">
        <f t="shared" si="51"/>
        <v>manque date</v>
      </c>
      <c r="BJ98" s="61">
        <f t="shared" si="52"/>
        <v>0</v>
      </c>
      <c r="BK98" s="61" t="str">
        <f t="shared" si="53"/>
        <v>manque date</v>
      </c>
    </row>
    <row r="99" spans="1:63">
      <c r="A99" s="13"/>
      <c r="B99" s="74" t="str">
        <f t="shared" si="28"/>
        <v/>
      </c>
      <c r="C99" s="74" t="str">
        <f t="shared" si="29"/>
        <v/>
      </c>
      <c r="D99" s="7" t="s">
        <v>243</v>
      </c>
      <c r="E99" s="7" t="s">
        <v>243</v>
      </c>
      <c r="F99" s="7" t="s">
        <v>243</v>
      </c>
      <c r="G99" s="7" t="s">
        <v>243</v>
      </c>
      <c r="H99" s="59" t="s">
        <v>243</v>
      </c>
      <c r="I99" s="60" t="s">
        <v>243</v>
      </c>
      <c r="J99" s="59" t="s">
        <v>243</v>
      </c>
      <c r="K99" s="59" t="s">
        <v>243</v>
      </c>
      <c r="L99" s="57" t="str">
        <f>IF($A99="","",INDEX([1]Portfolio!$A$3:$AU$63,MATCH($A99,[1]Portfolio!$B$3:$B$63,0),3))</f>
        <v/>
      </c>
      <c r="M99" s="57" t="str">
        <f>IF($A99="","",INDEX([1]Portfolio!$A$3:$AU$63,MATCH($A99,[1]Portfolio!$B$3:$B$63,0),5))</f>
        <v/>
      </c>
      <c r="N99" s="6" t="str">
        <f>IF($A99="","",INDEX([1]Portfolio!$A$3:$AU$63,MATCH($A99,[1]Portfolio!$B$3:$B$63,0),29))</f>
        <v/>
      </c>
      <c r="O99" s="6" t="str">
        <f>IF($A99="","",INDEX([1]Portfolio!$A$3:$AU$63,MATCH($A99,[1]Portfolio!$B$3:$B$63,0),32))</f>
        <v/>
      </c>
      <c r="P99" s="7" t="str">
        <f>IF($A99="","",INDEX([1]Portfolio!$A$3:$AU$63,MATCH($A99,[1]Portfolio!$B$3:$B$63,0),35))</f>
        <v/>
      </c>
      <c r="Q99" s="7" t="str">
        <f>IF($A99="","",INDEX([1]Portfolio!$A$3:$AU$63,MATCH($A99,[1]Portfolio!$B$3:$B$63,0),38))</f>
        <v/>
      </c>
      <c r="R99" s="7" t="str">
        <f>IF($A99="","",INDEX([1]Portfolio!$A$3:$AU$63,MATCH($A99,[1]Portfolio!$B$3:$B$63,0),42))</f>
        <v/>
      </c>
      <c r="S99" s="7" t="str">
        <f>IF($A99="","",INDEX([1]Portfolio!$A$3:$AU$63,MATCH($A99,[1]Portfolio!$B$3:$B$63,0),43))</f>
        <v/>
      </c>
      <c r="T99" s="7" t="str">
        <f>IF($A99="","",INDEX([1]Portfolio!$A$3:$AU$63,MATCH($A99,[1]Portfolio!$B$3:$B$63,0),37))</f>
        <v/>
      </c>
      <c r="U99" s="7" t="str">
        <f>IF($A99="","",INDEX([1]Portfolio!$A$3:$AU$63,MATCH($A99,[1]Portfolio!$B$3:$B$63,0),36))</f>
        <v/>
      </c>
      <c r="V99" s="7" t="str">
        <f>IF($A99="","",(INDEX([2]Programmesjalons!$A$4:$AH$140,MATCH($A99,[2]Programmesjalons!$A$4:$A$140,0),8)))</f>
        <v/>
      </c>
      <c r="W99" s="7" t="str">
        <f>IF($A99="","",(INDEX([2]Programmesjalons!$A$4:$AH$140,MATCH($A99,[2]Programmesjalons!$A$4:$A$140,0),12)))</f>
        <v/>
      </c>
      <c r="X99" s="7" t="str">
        <f>IF($A99="","",(INDEX([2]Programmesjalons!$A$4:$AH$140,MATCH($A99,[2]Programmesjalons!$A$4:$A$140,0),16)))</f>
        <v/>
      </c>
      <c r="Y99" s="7" t="str">
        <f>IF($A99="","",(INDEX([2]Programmesjalons!$A$4:$AH$140,MATCH($A99,[2]Programmesjalons!$A$4:$A$140,0),30)))</f>
        <v/>
      </c>
      <c r="Z99" s="59" t="str">
        <f>IF($A99="","",(INDEX([2]Programmesjalons!$A$4:$AH$140,MATCH($A99,[2]Programmesjalons!$A$4:$A$140,0),32)))</f>
        <v/>
      </c>
      <c r="AA99" s="60" t="str">
        <f>IF($A99="","",(INDEX([2]Programmesjalons!$A$4:$AH$140,MATCH($A99,[2]Programmesjalons!$A$4:$A$140,0),34)))</f>
        <v/>
      </c>
      <c r="AB99" s="59" t="str">
        <f>IF($A99="","",(INDEX([2]Programmesjalons!$A$4:$AH$140,MATCH($A99,[2]Programmesjalons!$A$4:$A$140,0),26)))</f>
        <v/>
      </c>
      <c r="AC99" s="59" t="str">
        <f>IF($A99="","",(INDEX([2]Programmesjalons!$A$4:$AH$140,MATCH($A99,[2]Programmesjalons!$A$4:$A$140,0),18)))</f>
        <v/>
      </c>
      <c r="AD99" s="68"/>
      <c r="AE99" s="68"/>
      <c r="AF99" s="68"/>
      <c r="AG99" s="68"/>
      <c r="AH99" s="68"/>
      <c r="AI99" s="68"/>
      <c r="AJ99" s="69"/>
      <c r="AK99" s="70"/>
      <c r="AL99" s="69"/>
      <c r="AM99" s="69"/>
      <c r="AN99" s="7" t="str">
        <f t="shared" si="30"/>
        <v/>
      </c>
      <c r="AO99" s="7" t="str">
        <f t="shared" si="31"/>
        <v/>
      </c>
      <c r="AP99" s="7" t="str">
        <f t="shared" si="32"/>
        <v/>
      </c>
      <c r="AQ99" s="7" t="str">
        <f t="shared" si="33"/>
        <v/>
      </c>
      <c r="AR99" s="59" t="str">
        <f t="shared" si="34"/>
        <v/>
      </c>
      <c r="AS99" s="60" t="str">
        <f t="shared" si="35"/>
        <v/>
      </c>
      <c r="AT99" s="59" t="str">
        <f t="shared" si="36"/>
        <v/>
      </c>
      <c r="AU99" s="59" t="str">
        <f t="shared" si="37"/>
        <v/>
      </c>
      <c r="AV99" s="76">
        <f t="shared" si="38"/>
        <v>0</v>
      </c>
      <c r="AW99" s="76" t="str">
        <f t="shared" si="39"/>
        <v>manque date</v>
      </c>
      <c r="AX99" s="61">
        <f t="shared" si="40"/>
        <v>0</v>
      </c>
      <c r="AY99" s="61" t="str">
        <f t="shared" si="41"/>
        <v>manque date</v>
      </c>
      <c r="AZ99" s="61">
        <f t="shared" si="42"/>
        <v>0</v>
      </c>
      <c r="BA99" s="61" t="str">
        <f t="shared" si="43"/>
        <v>manque date</v>
      </c>
      <c r="BB99" s="61">
        <f t="shared" si="44"/>
        <v>0</v>
      </c>
      <c r="BC99" s="61" t="str">
        <f t="shared" si="45"/>
        <v>manque date</v>
      </c>
      <c r="BD99" s="61">
        <f t="shared" si="46"/>
        <v>0</v>
      </c>
      <c r="BE99" s="61" t="str">
        <f t="shared" si="47"/>
        <v>manque date</v>
      </c>
      <c r="BF99" s="61">
        <f t="shared" si="48"/>
        <v>0</v>
      </c>
      <c r="BG99" s="61" t="str">
        <f t="shared" si="49"/>
        <v>manque date</v>
      </c>
      <c r="BH99" s="61">
        <f t="shared" si="50"/>
        <v>0</v>
      </c>
      <c r="BI99" s="61" t="str">
        <f t="shared" si="51"/>
        <v>manque date</v>
      </c>
      <c r="BJ99" s="61">
        <f t="shared" si="52"/>
        <v>0</v>
      </c>
      <c r="BK99" s="61" t="str">
        <f t="shared" si="53"/>
        <v>manque date</v>
      </c>
    </row>
    <row r="100" spans="1:63">
      <c r="A100" s="71"/>
      <c r="B100" s="74" t="str">
        <f t="shared" si="28"/>
        <v/>
      </c>
      <c r="C100" s="74" t="str">
        <f t="shared" si="29"/>
        <v/>
      </c>
      <c r="D100" s="7" t="s">
        <v>243</v>
      </c>
      <c r="E100" s="7" t="s">
        <v>243</v>
      </c>
      <c r="F100" s="7" t="s">
        <v>243</v>
      </c>
      <c r="G100" s="7" t="s">
        <v>243</v>
      </c>
      <c r="H100" s="59" t="s">
        <v>243</v>
      </c>
      <c r="I100" s="60" t="s">
        <v>243</v>
      </c>
      <c r="J100" s="59" t="s">
        <v>243</v>
      </c>
      <c r="K100" s="59" t="s">
        <v>243</v>
      </c>
      <c r="L100" s="57" t="str">
        <f>IF($A100="","",INDEX([1]Portfolio!$A$3:$AU$63,MATCH($A100,[1]Portfolio!$B$3:$B$63,0),3))</f>
        <v/>
      </c>
      <c r="M100" s="57" t="str">
        <f>IF($A100="","",INDEX([1]Portfolio!$A$3:$AU$63,MATCH($A100,[1]Portfolio!$B$3:$B$63,0),5))</f>
        <v/>
      </c>
      <c r="N100" s="6" t="str">
        <f>IF($A100="","",INDEX([1]Portfolio!$A$3:$AU$63,MATCH($A100,[1]Portfolio!$B$3:$B$63,0),29))</f>
        <v/>
      </c>
      <c r="O100" s="6" t="str">
        <f>IF($A100="","",INDEX([1]Portfolio!$A$3:$AU$63,MATCH($A100,[1]Portfolio!$B$3:$B$63,0),32))</f>
        <v/>
      </c>
      <c r="P100" s="7" t="str">
        <f>IF($A100="","",INDEX([1]Portfolio!$A$3:$AU$63,MATCH($A100,[1]Portfolio!$B$3:$B$63,0),35))</f>
        <v/>
      </c>
      <c r="Q100" s="7" t="str">
        <f>IF($A100="","",INDEX([1]Portfolio!$A$3:$AU$63,MATCH($A100,[1]Portfolio!$B$3:$B$63,0),38))</f>
        <v/>
      </c>
      <c r="R100" s="7" t="str">
        <f>IF($A100="","",INDEX([1]Portfolio!$A$3:$AU$63,MATCH($A100,[1]Portfolio!$B$3:$B$63,0),42))</f>
        <v/>
      </c>
      <c r="S100" s="7" t="str">
        <f>IF($A100="","",INDEX([1]Portfolio!$A$3:$AU$63,MATCH($A100,[1]Portfolio!$B$3:$B$63,0),43))</f>
        <v/>
      </c>
      <c r="T100" s="7" t="str">
        <f>IF($A100="","",INDEX([1]Portfolio!$A$3:$AU$63,MATCH($A100,[1]Portfolio!$B$3:$B$63,0),37))</f>
        <v/>
      </c>
      <c r="U100" s="7" t="str">
        <f>IF($A100="","",INDEX([1]Portfolio!$A$3:$AU$63,MATCH($A100,[1]Portfolio!$B$3:$B$63,0),36))</f>
        <v/>
      </c>
      <c r="V100" s="7" t="str">
        <f>IF($A100="","",(INDEX([2]Programmesjalons!$A$4:$AH$140,MATCH($A100,[2]Programmesjalons!$A$4:$A$140,0),8)))</f>
        <v/>
      </c>
      <c r="W100" s="7" t="str">
        <f>IF($A100="","",(INDEX([2]Programmesjalons!$A$4:$AH$140,MATCH($A100,[2]Programmesjalons!$A$4:$A$140,0),12)))</f>
        <v/>
      </c>
      <c r="X100" s="7" t="str">
        <f>IF($A100="","",(INDEX([2]Programmesjalons!$A$4:$AH$140,MATCH($A100,[2]Programmesjalons!$A$4:$A$140,0),16)))</f>
        <v/>
      </c>
      <c r="Y100" s="7" t="str">
        <f>IF($A100="","",(INDEX([2]Programmesjalons!$A$4:$AH$140,MATCH($A100,[2]Programmesjalons!$A$4:$A$140,0),30)))</f>
        <v/>
      </c>
      <c r="Z100" s="59" t="str">
        <f>IF($A100="","",(INDEX([2]Programmesjalons!$A$4:$AH$140,MATCH($A100,[2]Programmesjalons!$A$4:$A$140,0),32)))</f>
        <v/>
      </c>
      <c r="AA100" s="60" t="str">
        <f>IF($A100="","",(INDEX([2]Programmesjalons!$A$4:$AH$140,MATCH($A100,[2]Programmesjalons!$A$4:$A$140,0),34)))</f>
        <v/>
      </c>
      <c r="AB100" s="59" t="str">
        <f>IF($A100="","",(INDEX([2]Programmesjalons!$A$4:$AH$140,MATCH($A100,[2]Programmesjalons!$A$4:$A$140,0),26)))</f>
        <v/>
      </c>
      <c r="AC100" s="59" t="str">
        <f>IF($A100="","",(INDEX([2]Programmesjalons!$A$4:$AH$140,MATCH($A100,[2]Programmesjalons!$A$4:$A$140,0),18)))</f>
        <v/>
      </c>
      <c r="AD100" s="68"/>
      <c r="AE100" s="68"/>
      <c r="AF100" s="68"/>
      <c r="AG100" s="68"/>
      <c r="AH100" s="68"/>
      <c r="AI100" s="68"/>
      <c r="AJ100" s="69"/>
      <c r="AK100" s="70"/>
      <c r="AL100" s="69"/>
      <c r="AM100" s="69"/>
      <c r="AN100" s="7" t="str">
        <f t="shared" si="30"/>
        <v/>
      </c>
      <c r="AO100" s="7" t="str">
        <f t="shared" si="31"/>
        <v/>
      </c>
      <c r="AP100" s="7" t="str">
        <f t="shared" si="32"/>
        <v/>
      </c>
      <c r="AQ100" s="7" t="str">
        <f t="shared" si="33"/>
        <v/>
      </c>
      <c r="AR100" s="59" t="str">
        <f t="shared" si="34"/>
        <v/>
      </c>
      <c r="AS100" s="60" t="str">
        <f t="shared" si="35"/>
        <v/>
      </c>
      <c r="AT100" s="59" t="str">
        <f t="shared" si="36"/>
        <v/>
      </c>
      <c r="AU100" s="59" t="str">
        <f t="shared" si="37"/>
        <v/>
      </c>
      <c r="AV100" s="76">
        <f t="shared" si="38"/>
        <v>0</v>
      </c>
      <c r="AW100" s="76" t="str">
        <f t="shared" si="39"/>
        <v>manque date</v>
      </c>
      <c r="AX100" s="61">
        <f t="shared" si="40"/>
        <v>0</v>
      </c>
      <c r="AY100" s="61" t="str">
        <f t="shared" si="41"/>
        <v>manque date</v>
      </c>
      <c r="AZ100" s="61">
        <f t="shared" si="42"/>
        <v>0</v>
      </c>
      <c r="BA100" s="61" t="str">
        <f t="shared" si="43"/>
        <v>manque date</v>
      </c>
      <c r="BB100" s="61">
        <f t="shared" si="44"/>
        <v>0</v>
      </c>
      <c r="BC100" s="61" t="str">
        <f t="shared" si="45"/>
        <v>manque date</v>
      </c>
      <c r="BD100" s="61">
        <f t="shared" si="46"/>
        <v>0</v>
      </c>
      <c r="BE100" s="61" t="str">
        <f t="shared" si="47"/>
        <v>manque date</v>
      </c>
      <c r="BF100" s="61">
        <f t="shared" si="48"/>
        <v>0</v>
      </c>
      <c r="BG100" s="61" t="str">
        <f t="shared" si="49"/>
        <v>manque date</v>
      </c>
      <c r="BH100" s="61">
        <f t="shared" si="50"/>
        <v>0</v>
      </c>
      <c r="BI100" s="61" t="str">
        <f t="shared" si="51"/>
        <v>manque date</v>
      </c>
      <c r="BJ100" s="61">
        <f t="shared" si="52"/>
        <v>0</v>
      </c>
      <c r="BK100" s="61" t="str">
        <f t="shared" si="53"/>
        <v>manque date</v>
      </c>
    </row>
    <row r="101" spans="1:63">
      <c r="A101" s="71"/>
      <c r="B101" s="74" t="str">
        <f t="shared" si="28"/>
        <v/>
      </c>
      <c r="C101" s="74" t="str">
        <f t="shared" si="29"/>
        <v/>
      </c>
      <c r="D101" s="7" t="s">
        <v>243</v>
      </c>
      <c r="E101" s="7" t="s">
        <v>243</v>
      </c>
      <c r="F101" s="7" t="s">
        <v>243</v>
      </c>
      <c r="G101" s="7" t="s">
        <v>243</v>
      </c>
      <c r="H101" s="59" t="s">
        <v>243</v>
      </c>
      <c r="I101" s="60" t="s">
        <v>243</v>
      </c>
      <c r="J101" s="59" t="s">
        <v>243</v>
      </c>
      <c r="K101" s="59" t="s">
        <v>243</v>
      </c>
      <c r="L101" s="57" t="str">
        <f>IF($A101="","",INDEX([1]Portfolio!$A$3:$AU$63,MATCH($A101,[1]Portfolio!$B$3:$B$63,0),3))</f>
        <v/>
      </c>
      <c r="M101" s="57" t="str">
        <f>IF($A101="","",INDEX([1]Portfolio!$A$3:$AU$63,MATCH($A101,[1]Portfolio!$B$3:$B$63,0),5))</f>
        <v/>
      </c>
      <c r="N101" s="6" t="str">
        <f>IF($A101="","",INDEX([1]Portfolio!$A$3:$AU$63,MATCH($A101,[1]Portfolio!$B$3:$B$63,0),29))</f>
        <v/>
      </c>
      <c r="O101" s="6" t="str">
        <f>IF($A101="","",INDEX([1]Portfolio!$A$3:$AU$63,MATCH($A101,[1]Portfolio!$B$3:$B$63,0),32))</f>
        <v/>
      </c>
      <c r="P101" s="7" t="str">
        <f>IF($A101="","",INDEX([1]Portfolio!$A$3:$AU$63,MATCH($A101,[1]Portfolio!$B$3:$B$63,0),35))</f>
        <v/>
      </c>
      <c r="Q101" s="7" t="str">
        <f>IF($A101="","",INDEX([1]Portfolio!$A$3:$AU$63,MATCH($A101,[1]Portfolio!$B$3:$B$63,0),38))</f>
        <v/>
      </c>
      <c r="R101" s="7" t="str">
        <f>IF($A101="","",INDEX([1]Portfolio!$A$3:$AU$63,MATCH($A101,[1]Portfolio!$B$3:$B$63,0),42))</f>
        <v/>
      </c>
      <c r="S101" s="7" t="str">
        <f>IF($A101="","",INDEX([1]Portfolio!$A$3:$AU$63,MATCH($A101,[1]Portfolio!$B$3:$B$63,0),43))</f>
        <v/>
      </c>
      <c r="T101" s="7" t="str">
        <f>IF($A101="","",INDEX([1]Portfolio!$A$3:$AU$63,MATCH($A101,[1]Portfolio!$B$3:$B$63,0),37))</f>
        <v/>
      </c>
      <c r="U101" s="7" t="str">
        <f>IF($A101="","",INDEX([1]Portfolio!$A$3:$AU$63,MATCH($A101,[1]Portfolio!$B$3:$B$63,0),36))</f>
        <v/>
      </c>
      <c r="V101" s="7" t="str">
        <f>IF($A101="","",(INDEX([2]Programmesjalons!$A$4:$AH$140,MATCH($A101,[2]Programmesjalons!$A$4:$A$140,0),8)))</f>
        <v/>
      </c>
      <c r="W101" s="7" t="str">
        <f>IF($A101="","",(INDEX([2]Programmesjalons!$A$4:$AH$140,MATCH($A101,[2]Programmesjalons!$A$4:$A$140,0),12)))</f>
        <v/>
      </c>
      <c r="X101" s="7" t="str">
        <f>IF($A101="","",(INDEX([2]Programmesjalons!$A$4:$AH$140,MATCH($A101,[2]Programmesjalons!$A$4:$A$140,0),16)))</f>
        <v/>
      </c>
      <c r="Y101" s="7" t="str">
        <f>IF($A101="","",(INDEX([2]Programmesjalons!$A$4:$AH$140,MATCH($A101,[2]Programmesjalons!$A$4:$A$140,0),30)))</f>
        <v/>
      </c>
      <c r="Z101" s="59" t="str">
        <f>IF($A101="","",(INDEX([2]Programmesjalons!$A$4:$AH$140,MATCH($A101,[2]Programmesjalons!$A$4:$A$140,0),32)))</f>
        <v/>
      </c>
      <c r="AA101" s="60" t="str">
        <f>IF($A101="","",(INDEX([2]Programmesjalons!$A$4:$AH$140,MATCH($A101,[2]Programmesjalons!$A$4:$A$140,0),34)))</f>
        <v/>
      </c>
      <c r="AB101" s="59" t="str">
        <f>IF($A101="","",(INDEX([2]Programmesjalons!$A$4:$AH$140,MATCH($A101,[2]Programmesjalons!$A$4:$A$140,0),26)))</f>
        <v/>
      </c>
      <c r="AC101" s="59" t="str">
        <f>IF($A101="","",(INDEX([2]Programmesjalons!$A$4:$AH$140,MATCH($A101,[2]Programmesjalons!$A$4:$A$140,0),18)))</f>
        <v/>
      </c>
      <c r="AD101" s="68"/>
      <c r="AE101" s="68"/>
      <c r="AF101" s="68"/>
      <c r="AG101" s="68"/>
      <c r="AH101" s="68"/>
      <c r="AI101" s="68"/>
      <c r="AJ101" s="69"/>
      <c r="AK101" s="70"/>
      <c r="AL101" s="69"/>
      <c r="AM101" s="69"/>
      <c r="AN101" s="7" t="str">
        <f t="shared" si="30"/>
        <v/>
      </c>
      <c r="AO101" s="7" t="str">
        <f t="shared" si="31"/>
        <v/>
      </c>
      <c r="AP101" s="7" t="str">
        <f t="shared" si="32"/>
        <v/>
      </c>
      <c r="AQ101" s="7" t="str">
        <f t="shared" si="33"/>
        <v/>
      </c>
      <c r="AR101" s="59" t="str">
        <f t="shared" si="34"/>
        <v/>
      </c>
      <c r="AS101" s="60" t="str">
        <f t="shared" si="35"/>
        <v/>
      </c>
      <c r="AT101" s="59" t="str">
        <f t="shared" si="36"/>
        <v/>
      </c>
      <c r="AU101" s="59" t="str">
        <f t="shared" si="37"/>
        <v/>
      </c>
      <c r="AV101" s="76">
        <f t="shared" si="38"/>
        <v>0</v>
      </c>
      <c r="AW101" s="76" t="str">
        <f t="shared" si="39"/>
        <v>manque date</v>
      </c>
      <c r="AX101" s="61">
        <f t="shared" si="40"/>
        <v>0</v>
      </c>
      <c r="AY101" s="61" t="str">
        <f t="shared" si="41"/>
        <v>manque date</v>
      </c>
      <c r="AZ101" s="61">
        <f t="shared" si="42"/>
        <v>0</v>
      </c>
      <c r="BA101" s="61" t="str">
        <f t="shared" si="43"/>
        <v>manque date</v>
      </c>
      <c r="BB101" s="61">
        <f t="shared" si="44"/>
        <v>0</v>
      </c>
      <c r="BC101" s="61" t="str">
        <f t="shared" si="45"/>
        <v>manque date</v>
      </c>
      <c r="BD101" s="61">
        <f t="shared" si="46"/>
        <v>0</v>
      </c>
      <c r="BE101" s="61" t="str">
        <f t="shared" si="47"/>
        <v>manque date</v>
      </c>
      <c r="BF101" s="61">
        <f t="shared" si="48"/>
        <v>0</v>
      </c>
      <c r="BG101" s="61" t="str">
        <f t="shared" si="49"/>
        <v>manque date</v>
      </c>
      <c r="BH101" s="61">
        <f t="shared" si="50"/>
        <v>0</v>
      </c>
      <c r="BI101" s="61" t="str">
        <f t="shared" si="51"/>
        <v>manque date</v>
      </c>
      <c r="BJ101" s="61">
        <f t="shared" si="52"/>
        <v>0</v>
      </c>
      <c r="BK101" s="61" t="str">
        <f t="shared" si="53"/>
        <v>manque date</v>
      </c>
    </row>
    <row r="102" spans="1:63">
      <c r="A102" s="71"/>
      <c r="B102" s="74" t="str">
        <f t="shared" si="28"/>
        <v/>
      </c>
      <c r="C102" s="74" t="str">
        <f t="shared" si="29"/>
        <v/>
      </c>
      <c r="D102" s="7" t="s">
        <v>243</v>
      </c>
      <c r="E102" s="7" t="s">
        <v>243</v>
      </c>
      <c r="F102" s="7" t="s">
        <v>243</v>
      </c>
      <c r="G102" s="7" t="s">
        <v>243</v>
      </c>
      <c r="H102" s="59" t="s">
        <v>243</v>
      </c>
      <c r="I102" s="60" t="s">
        <v>243</v>
      </c>
      <c r="J102" s="59" t="s">
        <v>243</v>
      </c>
      <c r="K102" s="59" t="s">
        <v>243</v>
      </c>
      <c r="L102" s="57" t="str">
        <f>IF($A102="","",INDEX([1]Portfolio!$A$3:$AU$63,MATCH($A102,[1]Portfolio!$B$3:$B$63,0),3))</f>
        <v/>
      </c>
      <c r="M102" s="57" t="str">
        <f>IF($A102="","",INDEX([1]Portfolio!$A$3:$AU$63,MATCH($A102,[1]Portfolio!$B$3:$B$63,0),5))</f>
        <v/>
      </c>
      <c r="N102" s="6" t="str">
        <f>IF($A102="","",INDEX([1]Portfolio!$A$3:$AU$63,MATCH($A102,[1]Portfolio!$B$3:$B$63,0),29))</f>
        <v/>
      </c>
      <c r="O102" s="6" t="str">
        <f>IF($A102="","",INDEX([1]Portfolio!$A$3:$AU$63,MATCH($A102,[1]Portfolio!$B$3:$B$63,0),32))</f>
        <v/>
      </c>
      <c r="P102" s="7" t="str">
        <f>IF($A102="","",INDEX([1]Portfolio!$A$3:$AU$63,MATCH($A102,[1]Portfolio!$B$3:$B$63,0),35))</f>
        <v/>
      </c>
      <c r="Q102" s="7" t="str">
        <f>IF($A102="","",INDEX([1]Portfolio!$A$3:$AU$63,MATCH($A102,[1]Portfolio!$B$3:$B$63,0),38))</f>
        <v/>
      </c>
      <c r="R102" s="7" t="str">
        <f>IF($A102="","",INDEX([1]Portfolio!$A$3:$AU$63,MATCH($A102,[1]Portfolio!$B$3:$B$63,0),42))</f>
        <v/>
      </c>
      <c r="S102" s="7" t="str">
        <f>IF($A102="","",INDEX([1]Portfolio!$A$3:$AU$63,MATCH($A102,[1]Portfolio!$B$3:$B$63,0),43))</f>
        <v/>
      </c>
      <c r="T102" s="7" t="str">
        <f>IF($A102="","",INDEX([1]Portfolio!$A$3:$AU$63,MATCH($A102,[1]Portfolio!$B$3:$B$63,0),37))</f>
        <v/>
      </c>
      <c r="U102" s="7" t="str">
        <f>IF($A102="","",INDEX([1]Portfolio!$A$3:$AU$63,MATCH($A102,[1]Portfolio!$B$3:$B$63,0),36))</f>
        <v/>
      </c>
      <c r="V102" s="7" t="str">
        <f>IF($A102="","",(INDEX([2]Programmesjalons!$A$4:$AH$140,MATCH($A102,[2]Programmesjalons!$A$4:$A$140,0),8)))</f>
        <v/>
      </c>
      <c r="W102" s="7" t="str">
        <f>IF($A102="","",(INDEX([2]Programmesjalons!$A$4:$AH$140,MATCH($A102,[2]Programmesjalons!$A$4:$A$140,0),12)))</f>
        <v/>
      </c>
      <c r="X102" s="7" t="str">
        <f>IF($A102="","",(INDEX([2]Programmesjalons!$A$4:$AH$140,MATCH($A102,[2]Programmesjalons!$A$4:$A$140,0),16)))</f>
        <v/>
      </c>
      <c r="Y102" s="7" t="str">
        <f>IF($A102="","",(INDEX([2]Programmesjalons!$A$4:$AH$140,MATCH($A102,[2]Programmesjalons!$A$4:$A$140,0),30)))</f>
        <v/>
      </c>
      <c r="Z102" s="59" t="str">
        <f>IF($A102="","",(INDEX([2]Programmesjalons!$A$4:$AH$140,MATCH($A102,[2]Programmesjalons!$A$4:$A$140,0),32)))</f>
        <v/>
      </c>
      <c r="AA102" s="60" t="str">
        <f>IF($A102="","",(INDEX([2]Programmesjalons!$A$4:$AH$140,MATCH($A102,[2]Programmesjalons!$A$4:$A$140,0),34)))</f>
        <v/>
      </c>
      <c r="AB102" s="59" t="str">
        <f>IF($A102="","",(INDEX([2]Programmesjalons!$A$4:$AH$140,MATCH($A102,[2]Programmesjalons!$A$4:$A$140,0),26)))</f>
        <v/>
      </c>
      <c r="AC102" s="59" t="str">
        <f>IF($A102="","",(INDEX([2]Programmesjalons!$A$4:$AH$140,MATCH($A102,[2]Programmesjalons!$A$4:$A$140,0),18)))</f>
        <v/>
      </c>
      <c r="AD102" s="68"/>
      <c r="AE102" s="68"/>
      <c r="AF102" s="68"/>
      <c r="AG102" s="68"/>
      <c r="AH102" s="68"/>
      <c r="AI102" s="68"/>
      <c r="AJ102" s="69"/>
      <c r="AK102" s="70"/>
      <c r="AL102" s="69"/>
      <c r="AM102" s="69"/>
      <c r="AN102" s="7" t="str">
        <f t="shared" si="30"/>
        <v/>
      </c>
      <c r="AO102" s="7" t="str">
        <f t="shared" si="31"/>
        <v/>
      </c>
      <c r="AP102" s="7" t="str">
        <f t="shared" si="32"/>
        <v/>
      </c>
      <c r="AQ102" s="7" t="str">
        <f t="shared" si="33"/>
        <v/>
      </c>
      <c r="AR102" s="59" t="str">
        <f t="shared" si="34"/>
        <v/>
      </c>
      <c r="AS102" s="60" t="str">
        <f t="shared" si="35"/>
        <v/>
      </c>
      <c r="AT102" s="59" t="str">
        <f t="shared" si="36"/>
        <v/>
      </c>
      <c r="AU102" s="59" t="str">
        <f t="shared" si="37"/>
        <v/>
      </c>
      <c r="AV102" s="76">
        <f t="shared" si="38"/>
        <v>0</v>
      </c>
      <c r="AW102" s="76" t="str">
        <f t="shared" si="39"/>
        <v>manque date</v>
      </c>
      <c r="AX102" s="61">
        <f t="shared" si="40"/>
        <v>0</v>
      </c>
      <c r="AY102" s="61" t="str">
        <f t="shared" si="41"/>
        <v>manque date</v>
      </c>
      <c r="AZ102" s="61">
        <f t="shared" si="42"/>
        <v>0</v>
      </c>
      <c r="BA102" s="61" t="str">
        <f t="shared" si="43"/>
        <v>manque date</v>
      </c>
      <c r="BB102" s="61">
        <f t="shared" si="44"/>
        <v>0</v>
      </c>
      <c r="BC102" s="61" t="str">
        <f t="shared" si="45"/>
        <v>manque date</v>
      </c>
      <c r="BD102" s="61">
        <f t="shared" si="46"/>
        <v>0</v>
      </c>
      <c r="BE102" s="61" t="str">
        <f t="shared" si="47"/>
        <v>manque date</v>
      </c>
      <c r="BF102" s="61">
        <f t="shared" si="48"/>
        <v>0</v>
      </c>
      <c r="BG102" s="61" t="str">
        <f t="shared" si="49"/>
        <v>manque date</v>
      </c>
      <c r="BH102" s="61">
        <f t="shared" si="50"/>
        <v>0</v>
      </c>
      <c r="BI102" s="61" t="str">
        <f t="shared" si="51"/>
        <v>manque date</v>
      </c>
      <c r="BJ102" s="61">
        <f t="shared" si="52"/>
        <v>0</v>
      </c>
      <c r="BK102" s="61" t="str">
        <f t="shared" si="53"/>
        <v>manque date</v>
      </c>
    </row>
    <row r="103" spans="1:63">
      <c r="A103" s="72"/>
      <c r="B103" s="74" t="str">
        <f t="shared" ref="B103:B125" si="54">IF($A103=0,"",IF(ISNA(L103),AD103,L103))</f>
        <v/>
      </c>
      <c r="C103" s="74" t="str">
        <f t="shared" ref="C103:C125" si="55">IF($A103=0,"",IF(ISNA(M103),AE103,M103))</f>
        <v/>
      </c>
      <c r="D103" s="7" t="s">
        <v>243</v>
      </c>
      <c r="E103" s="7" t="s">
        <v>243</v>
      </c>
      <c r="F103" s="7" t="s">
        <v>243</v>
      </c>
      <c r="G103" s="7" t="s">
        <v>243</v>
      </c>
      <c r="H103" s="59" t="s">
        <v>243</v>
      </c>
      <c r="I103" s="60" t="s">
        <v>243</v>
      </c>
      <c r="J103" s="59" t="s">
        <v>243</v>
      </c>
      <c r="K103" s="59" t="s">
        <v>243</v>
      </c>
      <c r="L103" s="57" t="str">
        <f>IF($A103="","",INDEX([1]Portfolio!$A$3:$AU$63,MATCH($A103,[1]Portfolio!$B$3:$B$63,0),3))</f>
        <v/>
      </c>
      <c r="M103" s="57" t="str">
        <f>IF($A103="","",INDEX([1]Portfolio!$A$3:$AU$63,MATCH($A103,[1]Portfolio!$B$3:$B$63,0),5))</f>
        <v/>
      </c>
      <c r="N103" s="6" t="str">
        <f>IF($A103="","",INDEX([1]Portfolio!$A$3:$AU$63,MATCH($A103,[1]Portfolio!$B$3:$B$63,0),29))</f>
        <v/>
      </c>
      <c r="O103" s="6" t="str">
        <f>IF($A103="","",INDEX([1]Portfolio!$A$3:$AU$63,MATCH($A103,[1]Portfolio!$B$3:$B$63,0),32))</f>
        <v/>
      </c>
      <c r="P103" s="7" t="str">
        <f>IF($A103="","",INDEX([1]Portfolio!$A$3:$AU$63,MATCH($A103,[1]Portfolio!$B$3:$B$63,0),35))</f>
        <v/>
      </c>
      <c r="Q103" s="7" t="str">
        <f>IF($A103="","",INDEX([1]Portfolio!$A$3:$AU$63,MATCH($A103,[1]Portfolio!$B$3:$B$63,0),38))</f>
        <v/>
      </c>
      <c r="R103" s="7" t="str">
        <f>IF($A103="","",INDEX([1]Portfolio!$A$3:$AU$63,MATCH($A103,[1]Portfolio!$B$3:$B$63,0),42))</f>
        <v/>
      </c>
      <c r="S103" s="7" t="str">
        <f>IF($A103="","",INDEX([1]Portfolio!$A$3:$AU$63,MATCH($A103,[1]Portfolio!$B$3:$B$63,0),43))</f>
        <v/>
      </c>
      <c r="T103" s="7" t="str">
        <f>IF($A103="","",INDEX([1]Portfolio!$A$3:$AU$63,MATCH($A103,[1]Portfolio!$B$3:$B$63,0),37))</f>
        <v/>
      </c>
      <c r="U103" s="7" t="str">
        <f>IF($A103="","",INDEX([1]Portfolio!$A$3:$AU$63,MATCH($A103,[1]Portfolio!$B$3:$B$63,0),36))</f>
        <v/>
      </c>
      <c r="V103" s="7" t="str">
        <f>IF($A103="","",(INDEX([2]Programmesjalons!$A$4:$AH$140,MATCH($A103,[2]Programmesjalons!$A$4:$A$140,0),8)))</f>
        <v/>
      </c>
      <c r="W103" s="7" t="str">
        <f>IF($A103="","",(INDEX([2]Programmesjalons!$A$4:$AH$140,MATCH($A103,[2]Programmesjalons!$A$4:$A$140,0),12)))</f>
        <v/>
      </c>
      <c r="X103" s="7" t="str">
        <f>IF($A103="","",(INDEX([2]Programmesjalons!$A$4:$AH$140,MATCH($A103,[2]Programmesjalons!$A$4:$A$140,0),16)))</f>
        <v/>
      </c>
      <c r="Y103" s="7" t="str">
        <f>IF($A103="","",(INDEX([2]Programmesjalons!$A$4:$AH$140,MATCH($A103,[2]Programmesjalons!$A$4:$A$140,0),30)))</f>
        <v/>
      </c>
      <c r="Z103" s="59" t="str">
        <f>IF($A103="","",(INDEX([2]Programmesjalons!$A$4:$AH$140,MATCH($A103,[2]Programmesjalons!$A$4:$A$140,0),32)))</f>
        <v/>
      </c>
      <c r="AA103" s="60" t="str">
        <f>IF($A103="","",(INDEX([2]Programmesjalons!$A$4:$AH$140,MATCH($A103,[2]Programmesjalons!$A$4:$A$140,0),34)))</f>
        <v/>
      </c>
      <c r="AB103" s="59" t="str">
        <f>IF($A103="","",(INDEX([2]Programmesjalons!$A$4:$AH$140,MATCH($A103,[2]Programmesjalons!$A$4:$A$140,0),26)))</f>
        <v/>
      </c>
      <c r="AC103" s="59" t="str">
        <f>IF($A103="","",(INDEX([2]Programmesjalons!$A$4:$AH$140,MATCH($A103,[2]Programmesjalons!$A$4:$A$140,0),18)))</f>
        <v/>
      </c>
      <c r="AD103" s="68"/>
      <c r="AE103" s="68"/>
      <c r="AF103" s="68"/>
      <c r="AG103" s="68"/>
      <c r="AH103" s="68"/>
      <c r="AI103" s="68"/>
      <c r="AJ103" s="69"/>
      <c r="AK103" s="70"/>
      <c r="AL103" s="69"/>
      <c r="AM103" s="69"/>
      <c r="AN103" s="7" t="str">
        <f t="shared" si="30"/>
        <v/>
      </c>
      <c r="AO103" s="7" t="str">
        <f t="shared" si="31"/>
        <v/>
      </c>
      <c r="AP103" s="7" t="str">
        <f t="shared" si="32"/>
        <v/>
      </c>
      <c r="AQ103" s="7" t="str">
        <f t="shared" si="33"/>
        <v/>
      </c>
      <c r="AR103" s="59" t="str">
        <f t="shared" si="34"/>
        <v/>
      </c>
      <c r="AS103" s="60" t="str">
        <f t="shared" si="35"/>
        <v/>
      </c>
      <c r="AT103" s="59" t="str">
        <f t="shared" si="36"/>
        <v/>
      </c>
      <c r="AU103" s="59" t="str">
        <f t="shared" si="37"/>
        <v/>
      </c>
      <c r="AV103" s="76">
        <f t="shared" si="38"/>
        <v>0</v>
      </c>
      <c r="AW103" s="76" t="str">
        <f t="shared" si="39"/>
        <v>manque date</v>
      </c>
      <c r="AX103" s="61">
        <f t="shared" si="40"/>
        <v>0</v>
      </c>
      <c r="AY103" s="61" t="str">
        <f t="shared" si="41"/>
        <v>manque date</v>
      </c>
      <c r="AZ103" s="61">
        <f t="shared" si="42"/>
        <v>0</v>
      </c>
      <c r="BA103" s="61" t="str">
        <f t="shared" si="43"/>
        <v>manque date</v>
      </c>
      <c r="BB103" s="61">
        <f t="shared" si="44"/>
        <v>0</v>
      </c>
      <c r="BC103" s="61" t="str">
        <f t="shared" si="45"/>
        <v>manque date</v>
      </c>
      <c r="BD103" s="61">
        <f t="shared" si="46"/>
        <v>0</v>
      </c>
      <c r="BE103" s="61" t="str">
        <f t="shared" si="47"/>
        <v>manque date</v>
      </c>
      <c r="BF103" s="61">
        <f t="shared" si="48"/>
        <v>0</v>
      </c>
      <c r="BG103" s="61" t="str">
        <f t="shared" si="49"/>
        <v>manque date</v>
      </c>
      <c r="BH103" s="61">
        <f t="shared" si="50"/>
        <v>0</v>
      </c>
      <c r="BI103" s="61" t="str">
        <f t="shared" si="51"/>
        <v>manque date</v>
      </c>
      <c r="BJ103" s="61">
        <f t="shared" si="52"/>
        <v>0</v>
      </c>
      <c r="BK103" s="61" t="str">
        <f t="shared" si="53"/>
        <v>manque date</v>
      </c>
    </row>
    <row r="104" spans="1:63">
      <c r="A104" s="71"/>
      <c r="B104" s="74" t="str">
        <f t="shared" si="54"/>
        <v/>
      </c>
      <c r="C104" s="74" t="str">
        <f t="shared" si="55"/>
        <v/>
      </c>
      <c r="D104" s="7" t="s">
        <v>243</v>
      </c>
      <c r="E104" s="7" t="s">
        <v>243</v>
      </c>
      <c r="F104" s="7" t="s">
        <v>243</v>
      </c>
      <c r="G104" s="7" t="s">
        <v>243</v>
      </c>
      <c r="H104" s="59" t="s">
        <v>243</v>
      </c>
      <c r="I104" s="60" t="s">
        <v>243</v>
      </c>
      <c r="J104" s="59" t="s">
        <v>243</v>
      </c>
      <c r="K104" s="59" t="s">
        <v>243</v>
      </c>
      <c r="L104" s="57" t="str">
        <f>IF($A104="","",INDEX([1]Portfolio!$A$3:$AU$63,MATCH($A104,[1]Portfolio!$B$3:$B$63,0),3))</f>
        <v/>
      </c>
      <c r="M104" s="57" t="str">
        <f>IF($A104="","",INDEX([1]Portfolio!$A$3:$AU$63,MATCH($A104,[1]Portfolio!$B$3:$B$63,0),5))</f>
        <v/>
      </c>
      <c r="N104" s="6" t="str">
        <f>IF($A104="","",INDEX([1]Portfolio!$A$3:$AU$63,MATCH($A104,[1]Portfolio!$B$3:$B$63,0),29))</f>
        <v/>
      </c>
      <c r="O104" s="6" t="str">
        <f>IF($A104="","",INDEX([1]Portfolio!$A$3:$AU$63,MATCH($A104,[1]Portfolio!$B$3:$B$63,0),32))</f>
        <v/>
      </c>
      <c r="P104" s="7" t="str">
        <f>IF($A104="","",INDEX([1]Portfolio!$A$3:$AU$63,MATCH($A104,[1]Portfolio!$B$3:$B$63,0),35))</f>
        <v/>
      </c>
      <c r="Q104" s="7" t="str">
        <f>IF($A104="","",INDEX([1]Portfolio!$A$3:$AU$63,MATCH($A104,[1]Portfolio!$B$3:$B$63,0),38))</f>
        <v/>
      </c>
      <c r="R104" s="7" t="str">
        <f>IF($A104="","",INDEX([1]Portfolio!$A$3:$AU$63,MATCH($A104,[1]Portfolio!$B$3:$B$63,0),42))</f>
        <v/>
      </c>
      <c r="S104" s="7" t="str">
        <f>IF($A104="","",INDEX([1]Portfolio!$A$3:$AU$63,MATCH($A104,[1]Portfolio!$B$3:$B$63,0),43))</f>
        <v/>
      </c>
      <c r="T104" s="7" t="str">
        <f>IF($A104="","",INDEX([1]Portfolio!$A$3:$AU$63,MATCH($A104,[1]Portfolio!$B$3:$B$63,0),37))</f>
        <v/>
      </c>
      <c r="U104" s="7" t="str">
        <f>IF($A104="","",INDEX([1]Portfolio!$A$3:$AU$63,MATCH($A104,[1]Portfolio!$B$3:$B$63,0),36))</f>
        <v/>
      </c>
      <c r="V104" s="7" t="str">
        <f>IF($A104="","",(INDEX([2]Programmesjalons!$A$4:$AH$140,MATCH($A104,[2]Programmesjalons!$A$4:$A$140,0),8)))</f>
        <v/>
      </c>
      <c r="W104" s="7" t="str">
        <f>IF($A104="","",(INDEX([2]Programmesjalons!$A$4:$AH$140,MATCH($A104,[2]Programmesjalons!$A$4:$A$140,0),12)))</f>
        <v/>
      </c>
      <c r="X104" s="7" t="str">
        <f>IF($A104="","",(INDEX([2]Programmesjalons!$A$4:$AH$140,MATCH($A104,[2]Programmesjalons!$A$4:$A$140,0),16)))</f>
        <v/>
      </c>
      <c r="Y104" s="7" t="str">
        <f>IF($A104="","",(INDEX([2]Programmesjalons!$A$4:$AH$140,MATCH($A104,[2]Programmesjalons!$A$4:$A$140,0),30)))</f>
        <v/>
      </c>
      <c r="Z104" s="59" t="str">
        <f>IF($A104="","",(INDEX([2]Programmesjalons!$A$4:$AH$140,MATCH($A104,[2]Programmesjalons!$A$4:$A$140,0),32)))</f>
        <v/>
      </c>
      <c r="AA104" s="60" t="str">
        <f>IF($A104="","",(INDEX([2]Programmesjalons!$A$4:$AH$140,MATCH($A104,[2]Programmesjalons!$A$4:$A$140,0),34)))</f>
        <v/>
      </c>
      <c r="AB104" s="59" t="str">
        <f>IF($A104="","",(INDEX([2]Programmesjalons!$A$4:$AH$140,MATCH($A104,[2]Programmesjalons!$A$4:$A$140,0),26)))</f>
        <v/>
      </c>
      <c r="AC104" s="59" t="str">
        <f>IF($A104="","",(INDEX([2]Programmesjalons!$A$4:$AH$140,MATCH($A104,[2]Programmesjalons!$A$4:$A$140,0),18)))</f>
        <v/>
      </c>
      <c r="AD104" s="68"/>
      <c r="AE104" s="68"/>
      <c r="AF104" s="68"/>
      <c r="AG104" s="68"/>
      <c r="AH104" s="68"/>
      <c r="AI104" s="68"/>
      <c r="AJ104" s="69"/>
      <c r="AK104" s="70"/>
      <c r="AL104" s="69"/>
      <c r="AM104" s="69"/>
      <c r="AN104" s="7" t="str">
        <f t="shared" si="30"/>
        <v/>
      </c>
      <c r="AO104" s="7" t="str">
        <f t="shared" si="31"/>
        <v/>
      </c>
      <c r="AP104" s="7" t="str">
        <f t="shared" si="32"/>
        <v/>
      </c>
      <c r="AQ104" s="7" t="str">
        <f t="shared" si="33"/>
        <v/>
      </c>
      <c r="AR104" s="59" t="str">
        <f t="shared" si="34"/>
        <v/>
      </c>
      <c r="AS104" s="60" t="str">
        <f t="shared" si="35"/>
        <v/>
      </c>
      <c r="AT104" s="59" t="str">
        <f t="shared" si="36"/>
        <v/>
      </c>
      <c r="AU104" s="59" t="str">
        <f t="shared" si="37"/>
        <v/>
      </c>
      <c r="AV104" s="76">
        <f t="shared" si="38"/>
        <v>0</v>
      </c>
      <c r="AW104" s="76" t="str">
        <f t="shared" si="39"/>
        <v>manque date</v>
      </c>
      <c r="AX104" s="61">
        <f t="shared" si="40"/>
        <v>0</v>
      </c>
      <c r="AY104" s="61" t="str">
        <f t="shared" si="41"/>
        <v>manque date</v>
      </c>
      <c r="AZ104" s="61">
        <f t="shared" si="42"/>
        <v>0</v>
      </c>
      <c r="BA104" s="61" t="str">
        <f t="shared" si="43"/>
        <v>manque date</v>
      </c>
      <c r="BB104" s="61">
        <f t="shared" si="44"/>
        <v>0</v>
      </c>
      <c r="BC104" s="61" t="str">
        <f t="shared" si="45"/>
        <v>manque date</v>
      </c>
      <c r="BD104" s="61">
        <f t="shared" si="46"/>
        <v>0</v>
      </c>
      <c r="BE104" s="61" t="str">
        <f t="shared" si="47"/>
        <v>manque date</v>
      </c>
      <c r="BF104" s="61">
        <f t="shared" si="48"/>
        <v>0</v>
      </c>
      <c r="BG104" s="61" t="str">
        <f t="shared" si="49"/>
        <v>manque date</v>
      </c>
      <c r="BH104" s="61">
        <f t="shared" si="50"/>
        <v>0</v>
      </c>
      <c r="BI104" s="61" t="str">
        <f t="shared" si="51"/>
        <v>manque date</v>
      </c>
      <c r="BJ104" s="61">
        <f t="shared" si="52"/>
        <v>0</v>
      </c>
      <c r="BK104" s="61" t="str">
        <f t="shared" si="53"/>
        <v>manque date</v>
      </c>
    </row>
    <row r="105" spans="1:63">
      <c r="A105" s="71"/>
      <c r="B105" s="74" t="str">
        <f t="shared" si="54"/>
        <v/>
      </c>
      <c r="C105" s="74" t="str">
        <f t="shared" si="55"/>
        <v/>
      </c>
      <c r="D105" s="7" t="s">
        <v>243</v>
      </c>
      <c r="E105" s="7" t="s">
        <v>243</v>
      </c>
      <c r="F105" s="7" t="s">
        <v>243</v>
      </c>
      <c r="G105" s="7" t="s">
        <v>243</v>
      </c>
      <c r="H105" s="59" t="s">
        <v>243</v>
      </c>
      <c r="I105" s="60" t="s">
        <v>243</v>
      </c>
      <c r="J105" s="59" t="s">
        <v>243</v>
      </c>
      <c r="K105" s="59"/>
      <c r="L105" s="57" t="str">
        <f>IF($A105="","",INDEX([1]Portfolio!$A$3:$AU$63,MATCH($A105,[1]Portfolio!$B$3:$B$63,0),3))</f>
        <v/>
      </c>
      <c r="M105" s="57" t="str">
        <f>IF($A105="","",INDEX([1]Portfolio!$A$3:$AU$63,MATCH($A105,[1]Portfolio!$B$3:$B$63,0),5))</f>
        <v/>
      </c>
      <c r="N105" s="6" t="str">
        <f>IF($A105="","",INDEX([1]Portfolio!$A$3:$AU$63,MATCH($A105,[1]Portfolio!$B$3:$B$63,0),29))</f>
        <v/>
      </c>
      <c r="O105" s="6" t="str">
        <f>IF($A105="","",INDEX([1]Portfolio!$A$3:$AU$63,MATCH($A105,[1]Portfolio!$B$3:$B$63,0),32))</f>
        <v/>
      </c>
      <c r="P105" s="7" t="str">
        <f>IF($A105="","",INDEX([1]Portfolio!$A$3:$AU$63,MATCH($A105,[1]Portfolio!$B$3:$B$63,0),35))</f>
        <v/>
      </c>
      <c r="Q105" s="7" t="str">
        <f>IF($A105="","",INDEX([1]Portfolio!$A$3:$AU$63,MATCH($A105,[1]Portfolio!$B$3:$B$63,0),38))</f>
        <v/>
      </c>
      <c r="R105" s="7" t="str">
        <f>IF($A105="","",INDEX([1]Portfolio!$A$3:$AU$63,MATCH($A105,[1]Portfolio!$B$3:$B$63,0),42))</f>
        <v/>
      </c>
      <c r="S105" s="7" t="str">
        <f>IF($A105="","",INDEX([1]Portfolio!$A$3:$AU$63,MATCH($A105,[1]Portfolio!$B$3:$B$63,0),43))</f>
        <v/>
      </c>
      <c r="T105" s="7" t="str">
        <f>IF($A105="","",INDEX([1]Portfolio!$A$3:$AU$63,MATCH($A105,[1]Portfolio!$B$3:$B$63,0),37))</f>
        <v/>
      </c>
      <c r="U105" s="7" t="str">
        <f>IF($A105="","",INDEX([1]Portfolio!$A$3:$AU$63,MATCH($A105,[1]Portfolio!$B$3:$B$63,0),36))</f>
        <v/>
      </c>
      <c r="V105" s="7" t="str">
        <f>IF($A105="","",(INDEX([2]Programmesjalons!$A$4:$AH$140,MATCH($A105,[2]Programmesjalons!$A$4:$A$140,0),8)))</f>
        <v/>
      </c>
      <c r="W105" s="7" t="str">
        <f>IF($A105="","",(INDEX([2]Programmesjalons!$A$4:$AH$140,MATCH($A105,[2]Programmesjalons!$A$4:$A$140,0),12)))</f>
        <v/>
      </c>
      <c r="X105" s="7" t="str">
        <f>IF($A105="","",(INDEX([2]Programmesjalons!$A$4:$AH$140,MATCH($A105,[2]Programmesjalons!$A$4:$A$140,0),16)))</f>
        <v/>
      </c>
      <c r="Y105" s="7" t="str">
        <f>IF($A105="","",(INDEX([2]Programmesjalons!$A$4:$AH$140,MATCH($A105,[2]Programmesjalons!$A$4:$A$140,0),30)))</f>
        <v/>
      </c>
      <c r="Z105" s="59" t="str">
        <f>IF($A105="","",(INDEX([2]Programmesjalons!$A$4:$AH$140,MATCH($A105,[2]Programmesjalons!$A$4:$A$140,0),32)))</f>
        <v/>
      </c>
      <c r="AA105" s="60" t="str">
        <f>IF($A105="","",(INDEX([2]Programmesjalons!$A$4:$AH$140,MATCH($A105,[2]Programmesjalons!$A$4:$A$140,0),34)))</f>
        <v/>
      </c>
      <c r="AB105" s="59" t="str">
        <f>IF($A105="","",(INDEX([2]Programmesjalons!$A$4:$AH$140,MATCH($A105,[2]Programmesjalons!$A$4:$A$140,0),26)))</f>
        <v/>
      </c>
      <c r="AC105" s="59" t="str">
        <f>IF($A105="","",(INDEX([2]Programmesjalons!$A$4:$AH$140,MATCH($A105,[2]Programmesjalons!$A$4:$A$140,0),18)))</f>
        <v/>
      </c>
      <c r="AD105" s="68"/>
      <c r="AE105" s="68"/>
      <c r="AF105" s="68"/>
      <c r="AG105" s="68"/>
      <c r="AH105" s="68"/>
      <c r="AI105" s="68"/>
      <c r="AJ105" s="69"/>
      <c r="AK105" s="70"/>
      <c r="AL105" s="69"/>
      <c r="AM105" s="69"/>
      <c r="AN105" s="7" t="str">
        <f t="shared" si="30"/>
        <v/>
      </c>
      <c r="AO105" s="7" t="str">
        <f t="shared" si="31"/>
        <v/>
      </c>
      <c r="AP105" s="7" t="str">
        <f t="shared" si="32"/>
        <v/>
      </c>
      <c r="AQ105" s="7" t="str">
        <f t="shared" si="33"/>
        <v/>
      </c>
      <c r="AR105" s="59" t="str">
        <f t="shared" si="34"/>
        <v/>
      </c>
      <c r="AS105" s="60" t="str">
        <f t="shared" si="35"/>
        <v/>
      </c>
      <c r="AT105" s="59" t="str">
        <f t="shared" si="36"/>
        <v/>
      </c>
      <c r="AU105" s="59" t="str">
        <f t="shared" si="37"/>
        <v/>
      </c>
      <c r="AV105" s="76">
        <f t="shared" si="38"/>
        <v>0</v>
      </c>
      <c r="AW105" s="76" t="str">
        <f t="shared" si="39"/>
        <v>manque date</v>
      </c>
      <c r="AX105" s="61">
        <f t="shared" si="40"/>
        <v>0</v>
      </c>
      <c r="AY105" s="61" t="str">
        <f t="shared" si="41"/>
        <v>manque date</v>
      </c>
      <c r="AZ105" s="61">
        <f t="shared" si="42"/>
        <v>0</v>
      </c>
      <c r="BA105" s="61" t="str">
        <f t="shared" si="43"/>
        <v>manque date</v>
      </c>
      <c r="BB105" s="61">
        <f t="shared" si="44"/>
        <v>0</v>
      </c>
      <c r="BC105" s="61" t="str">
        <f t="shared" si="45"/>
        <v>manque date</v>
      </c>
      <c r="BD105" s="61">
        <f t="shared" si="46"/>
        <v>0</v>
      </c>
      <c r="BE105" s="61" t="str">
        <f t="shared" si="47"/>
        <v>manque date</v>
      </c>
      <c r="BF105" s="61">
        <f t="shared" si="48"/>
        <v>0</v>
      </c>
      <c r="BG105" s="61" t="str">
        <f t="shared" si="49"/>
        <v>manque date</v>
      </c>
      <c r="BH105" s="61">
        <f t="shared" si="50"/>
        <v>0</v>
      </c>
      <c r="BI105" s="61" t="str">
        <f t="shared" si="51"/>
        <v>manque date</v>
      </c>
      <c r="BJ105" s="61">
        <f t="shared" si="52"/>
        <v>0</v>
      </c>
      <c r="BK105" s="61" t="str">
        <f t="shared" si="53"/>
        <v>manque date</v>
      </c>
    </row>
    <row r="106" spans="1:63">
      <c r="A106" s="71"/>
      <c r="B106" s="74" t="str">
        <f t="shared" si="54"/>
        <v/>
      </c>
      <c r="C106" s="74" t="str">
        <f t="shared" si="55"/>
        <v/>
      </c>
      <c r="D106" s="7" t="s">
        <v>243</v>
      </c>
      <c r="E106" s="7" t="s">
        <v>243</v>
      </c>
      <c r="F106" s="7" t="s">
        <v>243</v>
      </c>
      <c r="G106" s="7" t="s">
        <v>243</v>
      </c>
      <c r="H106" s="59" t="s">
        <v>243</v>
      </c>
      <c r="I106" s="60" t="s">
        <v>243</v>
      </c>
      <c r="J106" s="59" t="s">
        <v>243</v>
      </c>
      <c r="K106" s="59" t="s">
        <v>243</v>
      </c>
      <c r="L106" s="57" t="str">
        <f>IF($A106="","",INDEX([1]Portfolio!$A$3:$AU$63,MATCH($A106,[1]Portfolio!$B$3:$B$63,0),3))</f>
        <v/>
      </c>
      <c r="M106" s="57" t="str">
        <f>IF($A106="","",INDEX([1]Portfolio!$A$3:$AU$63,MATCH($A106,[1]Portfolio!$B$3:$B$63,0),5))</f>
        <v/>
      </c>
      <c r="N106" s="6" t="str">
        <f>IF($A106="","",INDEX([1]Portfolio!$A$3:$AU$63,MATCH($A106,[1]Portfolio!$B$3:$B$63,0),29))</f>
        <v/>
      </c>
      <c r="O106" s="6" t="str">
        <f>IF($A106="","",INDEX([1]Portfolio!$A$3:$AU$63,MATCH($A106,[1]Portfolio!$B$3:$B$63,0),32))</f>
        <v/>
      </c>
      <c r="P106" s="7" t="str">
        <f>IF($A106="","",INDEX([1]Portfolio!$A$3:$AU$63,MATCH($A106,[1]Portfolio!$B$3:$B$63,0),35))</f>
        <v/>
      </c>
      <c r="Q106" s="7" t="str">
        <f>IF($A106="","",INDEX([1]Portfolio!$A$3:$AU$63,MATCH($A106,[1]Portfolio!$B$3:$B$63,0),38))</f>
        <v/>
      </c>
      <c r="R106" s="7" t="str">
        <f>IF($A106="","",INDEX([1]Portfolio!$A$3:$AU$63,MATCH($A106,[1]Portfolio!$B$3:$B$63,0),42))</f>
        <v/>
      </c>
      <c r="S106" s="7" t="str">
        <f>IF($A106="","",INDEX([1]Portfolio!$A$3:$AU$63,MATCH($A106,[1]Portfolio!$B$3:$B$63,0),43))</f>
        <v/>
      </c>
      <c r="T106" s="7" t="str">
        <f>IF($A106="","",INDEX([1]Portfolio!$A$3:$AU$63,MATCH($A106,[1]Portfolio!$B$3:$B$63,0),37))</f>
        <v/>
      </c>
      <c r="U106" s="7" t="str">
        <f>IF($A106="","",INDEX([1]Portfolio!$A$3:$AU$63,MATCH($A106,[1]Portfolio!$B$3:$B$63,0),36))</f>
        <v/>
      </c>
      <c r="V106" s="7" t="str">
        <f>IF($A106="","",(INDEX([2]Programmesjalons!$A$4:$AH$140,MATCH($A106,[2]Programmesjalons!$A$4:$A$140,0),8)))</f>
        <v/>
      </c>
      <c r="W106" s="7" t="str">
        <f>IF($A106="","",(INDEX([2]Programmesjalons!$A$4:$AH$140,MATCH($A106,[2]Programmesjalons!$A$4:$A$140,0),12)))</f>
        <v/>
      </c>
      <c r="X106" s="7" t="str">
        <f>IF($A106="","",(INDEX([2]Programmesjalons!$A$4:$AH$140,MATCH($A106,[2]Programmesjalons!$A$4:$A$140,0),16)))</f>
        <v/>
      </c>
      <c r="Y106" s="7" t="str">
        <f>IF($A106="","",(INDEX([2]Programmesjalons!$A$4:$AH$140,MATCH($A106,[2]Programmesjalons!$A$4:$A$140,0),30)))</f>
        <v/>
      </c>
      <c r="Z106" s="59" t="str">
        <f>IF($A106="","",(INDEX([2]Programmesjalons!$A$4:$AH$140,MATCH($A106,[2]Programmesjalons!$A$4:$A$140,0),32)))</f>
        <v/>
      </c>
      <c r="AA106" s="60" t="str">
        <f>IF($A106="","",(INDEX([2]Programmesjalons!$A$4:$AH$140,MATCH($A106,[2]Programmesjalons!$A$4:$A$140,0),34)))</f>
        <v/>
      </c>
      <c r="AB106" s="59" t="str">
        <f>IF($A106="","",(INDEX([2]Programmesjalons!$A$4:$AH$140,MATCH($A106,[2]Programmesjalons!$A$4:$A$140,0),26)))</f>
        <v/>
      </c>
      <c r="AC106" s="59" t="str">
        <f>IF($A106="","",(INDEX([2]Programmesjalons!$A$4:$AH$140,MATCH($A106,[2]Programmesjalons!$A$4:$A$140,0),18)))</f>
        <v/>
      </c>
      <c r="AD106" s="68"/>
      <c r="AE106" s="68"/>
      <c r="AF106" s="68"/>
      <c r="AG106" s="68"/>
      <c r="AH106" s="68"/>
      <c r="AI106" s="68"/>
      <c r="AJ106" s="69"/>
      <c r="AK106" s="70"/>
      <c r="AL106" s="69"/>
      <c r="AM106" s="69"/>
      <c r="AN106" s="7" t="str">
        <f t="shared" si="30"/>
        <v/>
      </c>
      <c r="AO106" s="7" t="str">
        <f t="shared" si="31"/>
        <v/>
      </c>
      <c r="AP106" s="7" t="str">
        <f t="shared" si="32"/>
        <v/>
      </c>
      <c r="AQ106" s="7" t="str">
        <f t="shared" si="33"/>
        <v/>
      </c>
      <c r="AR106" s="59" t="str">
        <f t="shared" si="34"/>
        <v/>
      </c>
      <c r="AS106" s="60" t="str">
        <f t="shared" si="35"/>
        <v/>
      </c>
      <c r="AT106" s="59" t="str">
        <f t="shared" si="36"/>
        <v/>
      </c>
      <c r="AU106" s="59" t="str">
        <f t="shared" si="37"/>
        <v/>
      </c>
      <c r="AV106" s="76">
        <f t="shared" si="38"/>
        <v>0</v>
      </c>
      <c r="AW106" s="76" t="str">
        <f t="shared" si="39"/>
        <v>manque date</v>
      </c>
      <c r="AX106" s="61">
        <f t="shared" si="40"/>
        <v>0</v>
      </c>
      <c r="AY106" s="61" t="str">
        <f t="shared" si="41"/>
        <v>manque date</v>
      </c>
      <c r="AZ106" s="61">
        <f t="shared" si="42"/>
        <v>0</v>
      </c>
      <c r="BA106" s="61" t="str">
        <f t="shared" si="43"/>
        <v>manque date</v>
      </c>
      <c r="BB106" s="61">
        <f t="shared" si="44"/>
        <v>0</v>
      </c>
      <c r="BC106" s="61" t="str">
        <f t="shared" si="45"/>
        <v>manque date</v>
      </c>
      <c r="BD106" s="61">
        <f t="shared" si="46"/>
        <v>0</v>
      </c>
      <c r="BE106" s="61" t="str">
        <f t="shared" si="47"/>
        <v>manque date</v>
      </c>
      <c r="BF106" s="61">
        <f t="shared" si="48"/>
        <v>0</v>
      </c>
      <c r="BG106" s="61" t="str">
        <f t="shared" si="49"/>
        <v>manque date</v>
      </c>
      <c r="BH106" s="61">
        <f t="shared" si="50"/>
        <v>0</v>
      </c>
      <c r="BI106" s="61" t="str">
        <f t="shared" si="51"/>
        <v>manque date</v>
      </c>
      <c r="BJ106" s="61">
        <f t="shared" si="52"/>
        <v>0</v>
      </c>
      <c r="BK106" s="61" t="str">
        <f t="shared" si="53"/>
        <v>manque date</v>
      </c>
    </row>
    <row r="107" spans="1:63">
      <c r="A107" s="71"/>
      <c r="B107" s="74" t="str">
        <f t="shared" si="54"/>
        <v/>
      </c>
      <c r="C107" s="74" t="str">
        <f t="shared" si="55"/>
        <v/>
      </c>
      <c r="D107" s="7" t="s">
        <v>243</v>
      </c>
      <c r="E107" s="7" t="s">
        <v>243</v>
      </c>
      <c r="F107" s="7" t="s">
        <v>243</v>
      </c>
      <c r="G107" s="7" t="s">
        <v>243</v>
      </c>
      <c r="H107" s="59" t="s">
        <v>243</v>
      </c>
      <c r="I107" s="60" t="s">
        <v>243</v>
      </c>
      <c r="J107" s="59" t="s">
        <v>243</v>
      </c>
      <c r="K107" s="59" t="s">
        <v>243</v>
      </c>
      <c r="L107" s="57" t="str">
        <f>IF($A107="","",INDEX([1]Portfolio!$A$3:$AU$63,MATCH($A107,[1]Portfolio!$B$3:$B$63,0),3))</f>
        <v/>
      </c>
      <c r="M107" s="57" t="str">
        <f>IF($A107="","",INDEX([1]Portfolio!$A$3:$AU$63,MATCH($A107,[1]Portfolio!$B$3:$B$63,0),5))</f>
        <v/>
      </c>
      <c r="N107" s="6" t="str">
        <f>IF($A107="","",INDEX([1]Portfolio!$A$3:$AU$63,MATCH($A107,[1]Portfolio!$B$3:$B$63,0),29))</f>
        <v/>
      </c>
      <c r="O107" s="6" t="str">
        <f>IF($A107="","",INDEX([1]Portfolio!$A$3:$AU$63,MATCH($A107,[1]Portfolio!$B$3:$B$63,0),32))</f>
        <v/>
      </c>
      <c r="P107" s="7" t="str">
        <f>IF($A107="","",INDEX([1]Portfolio!$A$3:$AU$63,MATCH($A107,[1]Portfolio!$B$3:$B$63,0),35))</f>
        <v/>
      </c>
      <c r="Q107" s="7" t="str">
        <f>IF($A107="","",INDEX([1]Portfolio!$A$3:$AU$63,MATCH($A107,[1]Portfolio!$B$3:$B$63,0),38))</f>
        <v/>
      </c>
      <c r="R107" s="7" t="str">
        <f>IF($A107="","",INDEX([1]Portfolio!$A$3:$AU$63,MATCH($A107,[1]Portfolio!$B$3:$B$63,0),42))</f>
        <v/>
      </c>
      <c r="S107" s="7" t="str">
        <f>IF($A107="","",INDEX([1]Portfolio!$A$3:$AU$63,MATCH($A107,[1]Portfolio!$B$3:$B$63,0),43))</f>
        <v/>
      </c>
      <c r="T107" s="7" t="str">
        <f>IF($A107="","",INDEX([1]Portfolio!$A$3:$AU$63,MATCH($A107,[1]Portfolio!$B$3:$B$63,0),37))</f>
        <v/>
      </c>
      <c r="U107" s="7" t="str">
        <f>IF($A107="","",INDEX([1]Portfolio!$A$3:$AU$63,MATCH($A107,[1]Portfolio!$B$3:$B$63,0),36))</f>
        <v/>
      </c>
      <c r="V107" s="7" t="str">
        <f>IF($A107="","",(INDEX([2]Programmesjalons!$A$4:$AH$140,MATCH($A107,[2]Programmesjalons!$A$4:$A$140,0),8)))</f>
        <v/>
      </c>
      <c r="W107" s="7" t="str">
        <f>IF($A107="","",(INDEX([2]Programmesjalons!$A$4:$AH$140,MATCH($A107,[2]Programmesjalons!$A$4:$A$140,0),12)))</f>
        <v/>
      </c>
      <c r="X107" s="7" t="str">
        <f>IF($A107="","",(INDEX([2]Programmesjalons!$A$4:$AH$140,MATCH($A107,[2]Programmesjalons!$A$4:$A$140,0),16)))</f>
        <v/>
      </c>
      <c r="Y107" s="7" t="str">
        <f>IF($A107="","",(INDEX([2]Programmesjalons!$A$4:$AH$140,MATCH($A107,[2]Programmesjalons!$A$4:$A$140,0),30)))</f>
        <v/>
      </c>
      <c r="Z107" s="59" t="str">
        <f>IF($A107="","",(INDEX([2]Programmesjalons!$A$4:$AH$140,MATCH($A107,[2]Programmesjalons!$A$4:$A$140,0),32)))</f>
        <v/>
      </c>
      <c r="AA107" s="60" t="str">
        <f>IF($A107="","",(INDEX([2]Programmesjalons!$A$4:$AH$140,MATCH($A107,[2]Programmesjalons!$A$4:$A$140,0),34)))</f>
        <v/>
      </c>
      <c r="AB107" s="59" t="str">
        <f>IF($A107="","",(INDEX([2]Programmesjalons!$A$4:$AH$140,MATCH($A107,[2]Programmesjalons!$A$4:$A$140,0),26)))</f>
        <v/>
      </c>
      <c r="AC107" s="59" t="str">
        <f>IF($A107="","",(INDEX([2]Programmesjalons!$A$4:$AH$140,MATCH($A107,[2]Programmesjalons!$A$4:$A$140,0),18)))</f>
        <v/>
      </c>
      <c r="AD107" s="68"/>
      <c r="AE107" s="68"/>
      <c r="AF107" s="68"/>
      <c r="AG107" s="68"/>
      <c r="AH107" s="68"/>
      <c r="AI107" s="68"/>
      <c r="AJ107" s="69"/>
      <c r="AK107" s="70"/>
      <c r="AL107" s="69"/>
      <c r="AM107" s="69"/>
      <c r="AN107" s="7" t="str">
        <f t="shared" si="30"/>
        <v/>
      </c>
      <c r="AO107" s="7" t="str">
        <f t="shared" si="31"/>
        <v/>
      </c>
      <c r="AP107" s="7" t="str">
        <f t="shared" si="32"/>
        <v/>
      </c>
      <c r="AQ107" s="7" t="str">
        <f t="shared" si="33"/>
        <v/>
      </c>
      <c r="AR107" s="59" t="str">
        <f t="shared" si="34"/>
        <v/>
      </c>
      <c r="AS107" s="60" t="str">
        <f t="shared" si="35"/>
        <v/>
      </c>
      <c r="AT107" s="59" t="str">
        <f t="shared" si="36"/>
        <v/>
      </c>
      <c r="AU107" s="59" t="str">
        <f t="shared" si="37"/>
        <v/>
      </c>
      <c r="AV107" s="76">
        <f t="shared" si="38"/>
        <v>0</v>
      </c>
      <c r="AW107" s="76" t="str">
        <f t="shared" si="39"/>
        <v>manque date</v>
      </c>
      <c r="AX107" s="61">
        <f t="shared" si="40"/>
        <v>0</v>
      </c>
      <c r="AY107" s="61" t="str">
        <f t="shared" si="41"/>
        <v>manque date</v>
      </c>
      <c r="AZ107" s="61">
        <f t="shared" si="42"/>
        <v>0</v>
      </c>
      <c r="BA107" s="61" t="str">
        <f t="shared" si="43"/>
        <v>manque date</v>
      </c>
      <c r="BB107" s="61">
        <f t="shared" si="44"/>
        <v>0</v>
      </c>
      <c r="BC107" s="61" t="str">
        <f t="shared" si="45"/>
        <v>manque date</v>
      </c>
      <c r="BD107" s="61">
        <f t="shared" si="46"/>
        <v>0</v>
      </c>
      <c r="BE107" s="61" t="str">
        <f t="shared" si="47"/>
        <v>manque date</v>
      </c>
      <c r="BF107" s="61">
        <f t="shared" si="48"/>
        <v>0</v>
      </c>
      <c r="BG107" s="61" t="str">
        <f t="shared" si="49"/>
        <v>manque date</v>
      </c>
      <c r="BH107" s="61">
        <f t="shared" si="50"/>
        <v>0</v>
      </c>
      <c r="BI107" s="61" t="str">
        <f t="shared" si="51"/>
        <v>manque date</v>
      </c>
      <c r="BJ107" s="61">
        <f t="shared" si="52"/>
        <v>0</v>
      </c>
      <c r="BK107" s="61" t="str">
        <f t="shared" si="53"/>
        <v>manque date</v>
      </c>
    </row>
    <row r="108" spans="1:63">
      <c r="A108" s="71"/>
      <c r="B108" s="74" t="str">
        <f t="shared" si="54"/>
        <v/>
      </c>
      <c r="C108" s="74" t="str">
        <f t="shared" si="55"/>
        <v/>
      </c>
      <c r="D108" s="7" t="s">
        <v>243</v>
      </c>
      <c r="E108" s="7" t="s">
        <v>243</v>
      </c>
      <c r="F108" s="7" t="s">
        <v>243</v>
      </c>
      <c r="G108" s="7" t="s">
        <v>243</v>
      </c>
      <c r="H108" s="59" t="s">
        <v>243</v>
      </c>
      <c r="I108" s="60" t="s">
        <v>243</v>
      </c>
      <c r="J108" s="59" t="s">
        <v>243</v>
      </c>
      <c r="K108" s="59" t="s">
        <v>243</v>
      </c>
      <c r="L108" s="57" t="str">
        <f>IF($A108="","",INDEX([1]Portfolio!$A$3:$AU$63,MATCH($A108,[1]Portfolio!$B$3:$B$63,0),3))</f>
        <v/>
      </c>
      <c r="M108" s="57" t="str">
        <f>IF($A108="","",INDEX([1]Portfolio!$A$3:$AU$63,MATCH($A108,[1]Portfolio!$B$3:$B$63,0),5))</f>
        <v/>
      </c>
      <c r="N108" s="6" t="str">
        <f>IF($A108="","",INDEX([1]Portfolio!$A$3:$AU$63,MATCH($A108,[1]Portfolio!$B$3:$B$63,0),29))</f>
        <v/>
      </c>
      <c r="O108" s="6" t="str">
        <f>IF($A108="","",INDEX([1]Portfolio!$A$3:$AU$63,MATCH($A108,[1]Portfolio!$B$3:$B$63,0),32))</f>
        <v/>
      </c>
      <c r="P108" s="7" t="str">
        <f>IF($A108="","",INDEX([1]Portfolio!$A$3:$AU$63,MATCH($A108,[1]Portfolio!$B$3:$B$63,0),35))</f>
        <v/>
      </c>
      <c r="Q108" s="7" t="str">
        <f>IF($A108="","",INDEX([1]Portfolio!$A$3:$AU$63,MATCH($A108,[1]Portfolio!$B$3:$B$63,0),38))</f>
        <v/>
      </c>
      <c r="R108" s="7" t="str">
        <f>IF($A108="","",INDEX([1]Portfolio!$A$3:$AU$63,MATCH($A108,[1]Portfolio!$B$3:$B$63,0),42))</f>
        <v/>
      </c>
      <c r="S108" s="7" t="str">
        <f>IF($A108="","",INDEX([1]Portfolio!$A$3:$AU$63,MATCH($A108,[1]Portfolio!$B$3:$B$63,0),43))</f>
        <v/>
      </c>
      <c r="T108" s="7" t="str">
        <f>IF($A108="","",INDEX([1]Portfolio!$A$3:$AU$63,MATCH($A108,[1]Portfolio!$B$3:$B$63,0),37))</f>
        <v/>
      </c>
      <c r="U108" s="7" t="str">
        <f>IF($A108="","",INDEX([1]Portfolio!$A$3:$AU$63,MATCH($A108,[1]Portfolio!$B$3:$B$63,0),36))</f>
        <v/>
      </c>
      <c r="V108" s="7" t="str">
        <f>IF($A108="","",(INDEX([2]Programmesjalons!$A$4:$AH$140,MATCH($A108,[2]Programmesjalons!$A$4:$A$140,0),8)))</f>
        <v/>
      </c>
      <c r="W108" s="7" t="str">
        <f>IF($A108="","",(INDEX([2]Programmesjalons!$A$4:$AH$140,MATCH($A108,[2]Programmesjalons!$A$4:$A$140,0),12)))</f>
        <v/>
      </c>
      <c r="X108" s="7" t="str">
        <f>IF($A108="","",(INDEX([2]Programmesjalons!$A$4:$AH$140,MATCH($A108,[2]Programmesjalons!$A$4:$A$140,0),16)))</f>
        <v/>
      </c>
      <c r="Y108" s="7" t="str">
        <f>IF($A108="","",(INDEX([2]Programmesjalons!$A$4:$AH$140,MATCH($A108,[2]Programmesjalons!$A$4:$A$140,0),30)))</f>
        <v/>
      </c>
      <c r="Z108" s="59" t="str">
        <f>IF($A108="","",(INDEX([2]Programmesjalons!$A$4:$AH$140,MATCH($A108,[2]Programmesjalons!$A$4:$A$140,0),32)))</f>
        <v/>
      </c>
      <c r="AA108" s="60" t="str">
        <f>IF($A108="","",(INDEX([2]Programmesjalons!$A$4:$AH$140,MATCH($A108,[2]Programmesjalons!$A$4:$A$140,0),34)))</f>
        <v/>
      </c>
      <c r="AB108" s="59" t="str">
        <f>IF($A108="","",(INDEX([2]Programmesjalons!$A$4:$AH$140,MATCH($A108,[2]Programmesjalons!$A$4:$A$140,0),26)))</f>
        <v/>
      </c>
      <c r="AC108" s="59" t="str">
        <f>IF($A108="","",(INDEX([2]Programmesjalons!$A$4:$AH$140,MATCH($A108,[2]Programmesjalons!$A$4:$A$140,0),18)))</f>
        <v/>
      </c>
      <c r="AD108" s="68"/>
      <c r="AE108" s="68"/>
      <c r="AF108" s="68"/>
      <c r="AG108" s="68"/>
      <c r="AH108" s="68"/>
      <c r="AI108" s="68"/>
      <c r="AJ108" s="69"/>
      <c r="AK108" s="70"/>
      <c r="AL108" s="69"/>
      <c r="AM108" s="69"/>
      <c r="AN108" s="7" t="str">
        <f t="shared" si="30"/>
        <v/>
      </c>
      <c r="AO108" s="7" t="str">
        <f t="shared" si="31"/>
        <v/>
      </c>
      <c r="AP108" s="7" t="str">
        <f t="shared" si="32"/>
        <v/>
      </c>
      <c r="AQ108" s="7" t="str">
        <f t="shared" si="33"/>
        <v/>
      </c>
      <c r="AR108" s="59" t="str">
        <f t="shared" si="34"/>
        <v/>
      </c>
      <c r="AS108" s="60" t="str">
        <f t="shared" si="35"/>
        <v/>
      </c>
      <c r="AT108" s="59" t="str">
        <f t="shared" si="36"/>
        <v/>
      </c>
      <c r="AU108" s="59" t="str">
        <f t="shared" si="37"/>
        <v/>
      </c>
      <c r="AV108" s="76">
        <f t="shared" si="38"/>
        <v>0</v>
      </c>
      <c r="AW108" s="76" t="str">
        <f t="shared" si="39"/>
        <v>manque date</v>
      </c>
      <c r="AX108" s="61">
        <f t="shared" si="40"/>
        <v>0</v>
      </c>
      <c r="AY108" s="61" t="str">
        <f t="shared" si="41"/>
        <v>manque date</v>
      </c>
      <c r="AZ108" s="61">
        <f t="shared" si="42"/>
        <v>0</v>
      </c>
      <c r="BA108" s="61" t="str">
        <f t="shared" si="43"/>
        <v>manque date</v>
      </c>
      <c r="BB108" s="61">
        <f t="shared" si="44"/>
        <v>0</v>
      </c>
      <c r="BC108" s="61" t="str">
        <f t="shared" si="45"/>
        <v>manque date</v>
      </c>
      <c r="BD108" s="61">
        <f t="shared" si="46"/>
        <v>0</v>
      </c>
      <c r="BE108" s="61" t="str">
        <f t="shared" si="47"/>
        <v>manque date</v>
      </c>
      <c r="BF108" s="61">
        <f t="shared" si="48"/>
        <v>0</v>
      </c>
      <c r="BG108" s="61" t="str">
        <f t="shared" si="49"/>
        <v>manque date</v>
      </c>
      <c r="BH108" s="61">
        <f t="shared" si="50"/>
        <v>0</v>
      </c>
      <c r="BI108" s="61" t="str">
        <f t="shared" si="51"/>
        <v>manque date</v>
      </c>
      <c r="BJ108" s="61">
        <f t="shared" si="52"/>
        <v>0</v>
      </c>
      <c r="BK108" s="61" t="str">
        <f t="shared" si="53"/>
        <v>manque date</v>
      </c>
    </row>
    <row r="109" spans="1:63">
      <c r="A109" s="71"/>
      <c r="B109" s="74" t="str">
        <f t="shared" si="54"/>
        <v/>
      </c>
      <c r="C109" s="74" t="str">
        <f t="shared" si="55"/>
        <v/>
      </c>
      <c r="D109" s="7" t="str">
        <f t="shared" ref="D109:D125" si="56">IF($A109=0,"",IF(AN109=0,IF(ISNA(BD109),"manque date",BD109),IF(ISNA(BE109),"manque date",BE109)))</f>
        <v/>
      </c>
      <c r="E109" s="7" t="str">
        <f t="shared" ref="E109:E125" si="57">IF($A109=0,"",IF(AO109=0,IF(ISNA(BF109),"manque date",BF109),IF(ISNA(BG109),"manque date",BG109)))</f>
        <v/>
      </c>
      <c r="F109" s="7" t="str">
        <f t="shared" ref="F109:F125" si="58">IF($A109=0,"",IF(AP109=0,IF(ISNA(BH109),"manque date",BH109),IF(ISNA(BI109),"manque date",BI109)))</f>
        <v/>
      </c>
      <c r="G109" s="7" t="str">
        <f t="shared" ref="G109:G125" si="59">IF($A109=0,"",IF(AQ109=0,IF(ISNA(BJ109),"manque date",BJ109),IF(ISNA(BK109),"manque date",BK109)))</f>
        <v/>
      </c>
      <c r="H109" s="59" t="str">
        <f t="shared" ref="H109:H125" si="60">IF($A109=0,"",IF(AR109=0,IF(ISNA(BL109),"manque date",BL109),IF(ISNA(BM109),"manque date",BM109)))</f>
        <v/>
      </c>
      <c r="I109" s="60" t="str">
        <f t="shared" ref="I109:I125" si="61">IF($A109=0,"",IF(AS109=0,IF(ISNA(BN109),"manque date",BN109),IF(ISNA(BO109),"manque date",BO109)))</f>
        <v/>
      </c>
      <c r="J109" s="59" t="str">
        <f t="shared" ref="J109:J125" si="62">IF($A109=0,"",IF(AT109=0,IF(ISNA(BP109),"manque date",BP109),IF(ISNA(BQ109),"manque date",BQ109)))</f>
        <v/>
      </c>
      <c r="K109" s="59" t="str">
        <f t="shared" ref="K109:K125" si="63">IF($A109=0,"",IF(AU109=0,IF(ISNA(BR109),"manque date",BR109),IF(ISNA(BS109),"manque date",BS109)))</f>
        <v/>
      </c>
      <c r="L109" s="57" t="str">
        <f>IF($A109="","",INDEX([1]Portfolio!$A$3:$AU$63,MATCH($A109,[1]Portfolio!$B$3:$B$63,0),3))</f>
        <v/>
      </c>
      <c r="M109" s="57" t="str">
        <f>IF($A109="","",INDEX([1]Portfolio!$A$3:$AU$63,MATCH($A109,[1]Portfolio!$B$3:$B$63,0),5))</f>
        <v/>
      </c>
      <c r="N109" s="6" t="str">
        <f>IF($A109="","",INDEX([1]Portfolio!$A$3:$AU$63,MATCH($A109,[1]Portfolio!$B$3:$B$63,0),29))</f>
        <v/>
      </c>
      <c r="O109" s="6" t="str">
        <f>IF($A109="","",INDEX([1]Portfolio!$A$3:$AU$63,MATCH($A109,[1]Portfolio!$B$3:$B$63,0),32))</f>
        <v/>
      </c>
      <c r="P109" s="7" t="str">
        <f>IF($A109="","",INDEX([1]Portfolio!$A$3:$AU$63,MATCH($A109,[1]Portfolio!$B$3:$B$63,0),35))</f>
        <v/>
      </c>
      <c r="Q109" s="7" t="str">
        <f>IF($A109="","",INDEX([1]Portfolio!$A$3:$AU$63,MATCH($A109,[1]Portfolio!$B$3:$B$63,0),38))</f>
        <v/>
      </c>
      <c r="R109" s="7" t="str">
        <f>IF($A109="","",INDEX([1]Portfolio!$A$3:$AU$63,MATCH($A109,[1]Portfolio!$B$3:$B$63,0),42))</f>
        <v/>
      </c>
      <c r="S109" s="7" t="str">
        <f>IF($A109="","",INDEX([1]Portfolio!$A$3:$AU$63,MATCH($A109,[1]Portfolio!$B$3:$B$63,0),43))</f>
        <v/>
      </c>
      <c r="T109" s="7" t="str">
        <f>IF($A109="","",INDEX([1]Portfolio!$A$3:$AU$63,MATCH($A109,[1]Portfolio!$B$3:$B$63,0),37))</f>
        <v/>
      </c>
      <c r="U109" s="7" t="str">
        <f>IF($A109="","",INDEX([1]Portfolio!$A$3:$AU$63,MATCH($A109,[1]Portfolio!$B$3:$B$63,0),36))</f>
        <v/>
      </c>
      <c r="V109" s="7" t="str">
        <f>IF($A109="","",(INDEX([2]Programmesjalons!$A$4:$AH$140,MATCH($A109,[2]Programmesjalons!$A$4:$A$140,0),8)))</f>
        <v/>
      </c>
      <c r="W109" s="7" t="str">
        <f>IF($A109="","",(INDEX([2]Programmesjalons!$A$4:$AH$140,MATCH($A109,[2]Programmesjalons!$A$4:$A$140,0),12)))</f>
        <v/>
      </c>
      <c r="X109" s="7" t="str">
        <f>IF($A109="","",(INDEX([2]Programmesjalons!$A$4:$AH$140,MATCH($A109,[2]Programmesjalons!$A$4:$A$140,0),16)))</f>
        <v/>
      </c>
      <c r="Y109" s="7" t="str">
        <f>IF($A109="","",(INDEX([2]Programmesjalons!$A$4:$AH$140,MATCH($A109,[2]Programmesjalons!$A$4:$A$140,0),30)))</f>
        <v/>
      </c>
      <c r="Z109" s="59" t="str">
        <f>IF($A109="","",(INDEX([2]Programmesjalons!$A$4:$AH$140,MATCH($A109,[2]Programmesjalons!$A$4:$A$140,0),32)))</f>
        <v/>
      </c>
      <c r="AA109" s="60" t="str">
        <f>IF($A109="","",(INDEX([2]Programmesjalons!$A$4:$AH$140,MATCH($A109,[2]Programmesjalons!$A$4:$A$140,0),34)))</f>
        <v/>
      </c>
      <c r="AB109" s="59" t="str">
        <f>IF($A109="","",(INDEX([2]Programmesjalons!$A$4:$AH$140,MATCH($A109,[2]Programmesjalons!$A$4:$A$140,0),26)))</f>
        <v/>
      </c>
      <c r="AC109" s="59" t="str">
        <f>IF($A109="","",(INDEX([2]Programmesjalons!$A$4:$AH$140,MATCH($A109,[2]Programmesjalons!$A$4:$A$140,0),18)))</f>
        <v/>
      </c>
      <c r="AD109" s="68"/>
      <c r="AE109" s="68"/>
      <c r="AF109" s="68"/>
      <c r="AG109" s="68"/>
      <c r="AH109" s="68"/>
      <c r="AI109" s="68"/>
      <c r="AJ109" s="69"/>
      <c r="AK109" s="70"/>
      <c r="AL109" s="69"/>
      <c r="AM109" s="69"/>
      <c r="AN109" s="7" t="str">
        <f t="shared" si="30"/>
        <v/>
      </c>
      <c r="AO109" s="7" t="str">
        <f t="shared" si="31"/>
        <v/>
      </c>
      <c r="AP109" s="7" t="str">
        <f t="shared" si="32"/>
        <v/>
      </c>
      <c r="AQ109" s="7" t="str">
        <f t="shared" si="33"/>
        <v/>
      </c>
      <c r="AR109" s="59" t="str">
        <f t="shared" si="34"/>
        <v/>
      </c>
      <c r="AS109" s="60" t="str">
        <f t="shared" si="35"/>
        <v/>
      </c>
      <c r="AT109" s="59" t="str">
        <f t="shared" si="36"/>
        <v/>
      </c>
      <c r="AU109" s="59" t="str">
        <f t="shared" si="37"/>
        <v/>
      </c>
      <c r="AV109" s="76">
        <f t="shared" si="38"/>
        <v>0</v>
      </c>
      <c r="AW109" s="76" t="str">
        <f t="shared" si="39"/>
        <v>manque date</v>
      </c>
      <c r="AX109" s="61">
        <f t="shared" si="40"/>
        <v>0</v>
      </c>
      <c r="AY109" s="61" t="str">
        <f t="shared" si="41"/>
        <v>manque date</v>
      </c>
      <c r="AZ109" s="61">
        <f t="shared" si="42"/>
        <v>0</v>
      </c>
      <c r="BA109" s="61" t="str">
        <f t="shared" si="43"/>
        <v>manque date</v>
      </c>
      <c r="BB109" s="61">
        <f t="shared" si="44"/>
        <v>0</v>
      </c>
      <c r="BC109" s="61" t="str">
        <f t="shared" si="45"/>
        <v>manque date</v>
      </c>
      <c r="BD109" s="61">
        <f t="shared" si="46"/>
        <v>0</v>
      </c>
      <c r="BE109" s="61" t="str">
        <f t="shared" si="47"/>
        <v>manque date</v>
      </c>
      <c r="BF109" s="61">
        <f t="shared" si="48"/>
        <v>0</v>
      </c>
      <c r="BG109" s="61" t="str">
        <f t="shared" si="49"/>
        <v>manque date</v>
      </c>
      <c r="BH109" s="61">
        <f t="shared" si="50"/>
        <v>0</v>
      </c>
      <c r="BI109" s="61" t="str">
        <f t="shared" si="51"/>
        <v>manque date</v>
      </c>
      <c r="BJ109" s="61">
        <f t="shared" si="52"/>
        <v>0</v>
      </c>
      <c r="BK109" s="61" t="str">
        <f t="shared" si="53"/>
        <v>manque date</v>
      </c>
    </row>
    <row r="110" spans="1:63">
      <c r="A110" s="71"/>
      <c r="B110" s="74" t="str">
        <f t="shared" si="54"/>
        <v/>
      </c>
      <c r="C110" s="74" t="str">
        <f t="shared" si="55"/>
        <v/>
      </c>
      <c r="D110" s="7" t="str">
        <f t="shared" si="56"/>
        <v/>
      </c>
      <c r="E110" s="7" t="str">
        <f t="shared" si="57"/>
        <v/>
      </c>
      <c r="F110" s="7" t="str">
        <f t="shared" si="58"/>
        <v/>
      </c>
      <c r="G110" s="7" t="str">
        <f t="shared" si="59"/>
        <v/>
      </c>
      <c r="H110" s="59" t="str">
        <f t="shared" si="60"/>
        <v/>
      </c>
      <c r="I110" s="60" t="str">
        <f t="shared" si="61"/>
        <v/>
      </c>
      <c r="J110" s="59" t="str">
        <f t="shared" si="62"/>
        <v/>
      </c>
      <c r="K110" s="59" t="str">
        <f t="shared" si="63"/>
        <v/>
      </c>
      <c r="L110" s="57" t="str">
        <f>IF($A110="","",INDEX([1]Portfolio!$A$3:$AU$63,MATCH($A110,[1]Portfolio!$B$3:$B$63,0),3))</f>
        <v/>
      </c>
      <c r="M110" s="57" t="str">
        <f>IF($A110="","",INDEX([1]Portfolio!$A$3:$AU$63,MATCH($A110,[1]Portfolio!$B$3:$B$63,0),5))</f>
        <v/>
      </c>
      <c r="N110" s="6" t="str">
        <f>IF($A110="","",INDEX([1]Portfolio!$A$3:$AU$63,MATCH($A110,[1]Portfolio!$B$3:$B$63,0),29))</f>
        <v/>
      </c>
      <c r="O110" s="6" t="str">
        <f>IF($A110="","",INDEX([1]Portfolio!$A$3:$AU$63,MATCH($A110,[1]Portfolio!$B$3:$B$63,0),32))</f>
        <v/>
      </c>
      <c r="P110" s="7" t="str">
        <f>IF($A110="","",INDEX([1]Portfolio!$A$3:$AU$63,MATCH($A110,[1]Portfolio!$B$3:$B$63,0),35))</f>
        <v/>
      </c>
      <c r="Q110" s="7" t="str">
        <f>IF($A110="","",INDEX([1]Portfolio!$A$3:$AU$63,MATCH($A110,[1]Portfolio!$B$3:$B$63,0),38))</f>
        <v/>
      </c>
      <c r="R110" s="7" t="str">
        <f>IF($A110="","",INDEX([1]Portfolio!$A$3:$AU$63,MATCH($A110,[1]Portfolio!$B$3:$B$63,0),42))</f>
        <v/>
      </c>
      <c r="S110" s="7" t="str">
        <f>IF($A110="","",INDEX([1]Portfolio!$A$3:$AU$63,MATCH($A110,[1]Portfolio!$B$3:$B$63,0),43))</f>
        <v/>
      </c>
      <c r="T110" s="7" t="str">
        <f>IF($A110="","",INDEX([1]Portfolio!$A$3:$AU$63,MATCH($A110,[1]Portfolio!$B$3:$B$63,0),37))</f>
        <v/>
      </c>
      <c r="U110" s="7" t="str">
        <f>IF($A110="","",INDEX([1]Portfolio!$A$3:$AU$63,MATCH($A110,[1]Portfolio!$B$3:$B$63,0),36))</f>
        <v/>
      </c>
      <c r="V110" s="7" t="str">
        <f>IF($A110="","",(INDEX([2]Programmesjalons!$A$4:$AH$140,MATCH($A110,[2]Programmesjalons!$A$4:$A$140,0),8)))</f>
        <v/>
      </c>
      <c r="W110" s="7" t="str">
        <f>IF($A110="","",(INDEX([2]Programmesjalons!$A$4:$AH$140,MATCH($A110,[2]Programmesjalons!$A$4:$A$140,0),12)))</f>
        <v/>
      </c>
      <c r="X110" s="7" t="str">
        <f>IF($A110="","",(INDEX([2]Programmesjalons!$A$4:$AH$140,MATCH($A110,[2]Programmesjalons!$A$4:$A$140,0),16)))</f>
        <v/>
      </c>
      <c r="Y110" s="7" t="str">
        <f>IF($A110="","",(INDEX([2]Programmesjalons!$A$4:$AH$140,MATCH($A110,[2]Programmesjalons!$A$4:$A$140,0),30)))</f>
        <v/>
      </c>
      <c r="Z110" s="59" t="str">
        <f>IF($A110="","",(INDEX([2]Programmesjalons!$A$4:$AH$140,MATCH($A110,[2]Programmesjalons!$A$4:$A$140,0),32)))</f>
        <v/>
      </c>
      <c r="AA110" s="60" t="str">
        <f>IF($A110="","",(INDEX([2]Programmesjalons!$A$4:$AH$140,MATCH($A110,[2]Programmesjalons!$A$4:$A$140,0),34)))</f>
        <v/>
      </c>
      <c r="AB110" s="59" t="str">
        <f>IF($A110="","",(INDEX([2]Programmesjalons!$A$4:$AH$140,MATCH($A110,[2]Programmesjalons!$A$4:$A$140,0),26)))</f>
        <v/>
      </c>
      <c r="AC110" s="59" t="str">
        <f>IF($A110="","",(INDEX([2]Programmesjalons!$A$4:$AH$140,MATCH($A110,[2]Programmesjalons!$A$4:$A$140,0),18)))</f>
        <v/>
      </c>
      <c r="AD110" s="68"/>
      <c r="AE110" s="68"/>
      <c r="AF110" s="68"/>
      <c r="AG110" s="68"/>
      <c r="AH110" s="68"/>
      <c r="AI110" s="68"/>
      <c r="AJ110" s="69"/>
      <c r="AK110" s="70"/>
      <c r="AL110" s="69"/>
      <c r="AM110" s="69"/>
      <c r="AN110" s="7" t="str">
        <f t="shared" si="30"/>
        <v/>
      </c>
      <c r="AO110" s="7" t="str">
        <f t="shared" si="31"/>
        <v/>
      </c>
      <c r="AP110" s="7" t="str">
        <f t="shared" si="32"/>
        <v/>
      </c>
      <c r="AQ110" s="7" t="str">
        <f t="shared" si="33"/>
        <v/>
      </c>
      <c r="AR110" s="59" t="str">
        <f t="shared" si="34"/>
        <v/>
      </c>
      <c r="AS110" s="60" t="str">
        <f t="shared" si="35"/>
        <v/>
      </c>
      <c r="AT110" s="59" t="str">
        <f t="shared" si="36"/>
        <v/>
      </c>
      <c r="AU110" s="59" t="str">
        <f t="shared" si="37"/>
        <v/>
      </c>
      <c r="AV110" s="76">
        <f t="shared" si="38"/>
        <v>0</v>
      </c>
      <c r="AW110" s="76" t="str">
        <f t="shared" si="39"/>
        <v>manque date</v>
      </c>
      <c r="AX110" s="61">
        <f t="shared" si="40"/>
        <v>0</v>
      </c>
      <c r="AY110" s="61" t="str">
        <f t="shared" si="41"/>
        <v>manque date</v>
      </c>
      <c r="AZ110" s="61">
        <f t="shared" si="42"/>
        <v>0</v>
      </c>
      <c r="BA110" s="61" t="str">
        <f t="shared" si="43"/>
        <v>manque date</v>
      </c>
      <c r="BB110" s="61">
        <f t="shared" si="44"/>
        <v>0</v>
      </c>
      <c r="BC110" s="61" t="str">
        <f t="shared" si="45"/>
        <v>manque date</v>
      </c>
      <c r="BD110" s="61">
        <f t="shared" si="46"/>
        <v>0</v>
      </c>
      <c r="BE110" s="61" t="str">
        <f t="shared" si="47"/>
        <v>manque date</v>
      </c>
      <c r="BF110" s="61">
        <f t="shared" si="48"/>
        <v>0</v>
      </c>
      <c r="BG110" s="61" t="str">
        <f t="shared" si="49"/>
        <v>manque date</v>
      </c>
      <c r="BH110" s="61">
        <f t="shared" si="50"/>
        <v>0</v>
      </c>
      <c r="BI110" s="61" t="str">
        <f t="shared" si="51"/>
        <v>manque date</v>
      </c>
      <c r="BJ110" s="61">
        <f t="shared" si="52"/>
        <v>0</v>
      </c>
      <c r="BK110" s="61" t="str">
        <f t="shared" si="53"/>
        <v>manque date</v>
      </c>
    </row>
    <row r="111" spans="1:63">
      <c r="A111" s="71"/>
      <c r="B111" s="74" t="str">
        <f t="shared" si="54"/>
        <v/>
      </c>
      <c r="C111" s="74" t="str">
        <f t="shared" si="55"/>
        <v/>
      </c>
      <c r="D111" s="7" t="str">
        <f t="shared" si="56"/>
        <v/>
      </c>
      <c r="E111" s="7" t="str">
        <f t="shared" si="57"/>
        <v/>
      </c>
      <c r="F111" s="7" t="str">
        <f t="shared" si="58"/>
        <v/>
      </c>
      <c r="G111" s="7" t="str">
        <f t="shared" si="59"/>
        <v/>
      </c>
      <c r="H111" s="59" t="str">
        <f t="shared" si="60"/>
        <v/>
      </c>
      <c r="I111" s="60" t="str">
        <f t="shared" si="61"/>
        <v/>
      </c>
      <c r="J111" s="59" t="str">
        <f t="shared" si="62"/>
        <v/>
      </c>
      <c r="K111" s="59" t="str">
        <f t="shared" si="63"/>
        <v/>
      </c>
      <c r="L111" s="57" t="str">
        <f>IF($A111="","",INDEX([1]Portfolio!$A$3:$AU$63,MATCH($A111,[1]Portfolio!$B$3:$B$63,0),3))</f>
        <v/>
      </c>
      <c r="M111" s="57" t="str">
        <f>IF($A111="","",INDEX([1]Portfolio!$A$3:$AU$63,MATCH($A111,[1]Portfolio!$B$3:$B$63,0),5))</f>
        <v/>
      </c>
      <c r="N111" s="6" t="str">
        <f>IF($A111="","",INDEX([1]Portfolio!$A$3:$AU$63,MATCH($A111,[1]Portfolio!$B$3:$B$63,0),29))</f>
        <v/>
      </c>
      <c r="O111" s="6" t="str">
        <f>IF($A111="","",INDEX([1]Portfolio!$A$3:$AU$63,MATCH($A111,[1]Portfolio!$B$3:$B$63,0),32))</f>
        <v/>
      </c>
      <c r="P111" s="7" t="str">
        <f>IF($A111="","",INDEX([1]Portfolio!$A$3:$AU$63,MATCH($A111,[1]Portfolio!$B$3:$B$63,0),35))</f>
        <v/>
      </c>
      <c r="Q111" s="7" t="str">
        <f>IF($A111="","",INDEX([1]Portfolio!$A$3:$AU$63,MATCH($A111,[1]Portfolio!$B$3:$B$63,0),38))</f>
        <v/>
      </c>
      <c r="R111" s="7" t="str">
        <f>IF($A111="","",INDEX([1]Portfolio!$A$3:$AU$63,MATCH($A111,[1]Portfolio!$B$3:$B$63,0),42))</f>
        <v/>
      </c>
      <c r="S111" s="7" t="str">
        <f>IF($A111="","",INDEX([1]Portfolio!$A$3:$AU$63,MATCH($A111,[1]Portfolio!$B$3:$B$63,0),43))</f>
        <v/>
      </c>
      <c r="T111" s="7" t="str">
        <f>IF($A111="","",INDEX([1]Portfolio!$A$3:$AU$63,MATCH($A111,[1]Portfolio!$B$3:$B$63,0),37))</f>
        <v/>
      </c>
      <c r="U111" s="7" t="str">
        <f>IF($A111="","",INDEX([1]Portfolio!$A$3:$AU$63,MATCH($A111,[1]Portfolio!$B$3:$B$63,0),36))</f>
        <v/>
      </c>
      <c r="V111" s="7" t="str">
        <f>IF($A111="","",(INDEX([2]Programmesjalons!$A$4:$AH$140,MATCH($A111,[2]Programmesjalons!$A$4:$A$140,0),8)))</f>
        <v/>
      </c>
      <c r="W111" s="7" t="str">
        <f>IF($A111="","",(INDEX([2]Programmesjalons!$A$4:$AH$140,MATCH($A111,[2]Programmesjalons!$A$4:$A$140,0),12)))</f>
        <v/>
      </c>
      <c r="X111" s="7" t="str">
        <f>IF($A111="","",(INDEX([2]Programmesjalons!$A$4:$AH$140,MATCH($A111,[2]Programmesjalons!$A$4:$A$140,0),16)))</f>
        <v/>
      </c>
      <c r="Y111" s="7" t="str">
        <f>IF($A111="","",(INDEX([2]Programmesjalons!$A$4:$AH$140,MATCH($A111,[2]Programmesjalons!$A$4:$A$140,0),30)))</f>
        <v/>
      </c>
      <c r="Z111" s="59" t="str">
        <f>IF($A111="","",(INDEX([2]Programmesjalons!$A$4:$AH$140,MATCH($A111,[2]Programmesjalons!$A$4:$A$140,0),32)))</f>
        <v/>
      </c>
      <c r="AA111" s="60" t="str">
        <f>IF($A111="","",(INDEX([2]Programmesjalons!$A$4:$AH$140,MATCH($A111,[2]Programmesjalons!$A$4:$A$140,0),34)))</f>
        <v/>
      </c>
      <c r="AB111" s="59" t="str">
        <f>IF($A111="","",(INDEX([2]Programmesjalons!$A$4:$AH$140,MATCH($A111,[2]Programmesjalons!$A$4:$A$140,0),26)))</f>
        <v/>
      </c>
      <c r="AC111" s="59" t="str">
        <f>IF($A111="","",(INDEX([2]Programmesjalons!$A$4:$AH$140,MATCH($A111,[2]Programmesjalons!$A$4:$A$140,0),18)))</f>
        <v/>
      </c>
      <c r="AD111" s="68"/>
      <c r="AE111" s="68"/>
      <c r="AF111" s="68"/>
      <c r="AG111" s="68"/>
      <c r="AH111" s="68"/>
      <c r="AI111" s="68"/>
      <c r="AJ111" s="69"/>
      <c r="AK111" s="70"/>
      <c r="AL111" s="69"/>
      <c r="AM111" s="69"/>
      <c r="AN111" s="7" t="str">
        <f t="shared" si="30"/>
        <v/>
      </c>
      <c r="AO111" s="7" t="str">
        <f t="shared" si="31"/>
        <v/>
      </c>
      <c r="AP111" s="7" t="str">
        <f t="shared" si="32"/>
        <v/>
      </c>
      <c r="AQ111" s="7" t="str">
        <f t="shared" si="33"/>
        <v/>
      </c>
      <c r="AR111" s="59" t="str">
        <f t="shared" si="34"/>
        <v/>
      </c>
      <c r="AS111" s="60" t="str">
        <f t="shared" si="35"/>
        <v/>
      </c>
      <c r="AT111" s="59" t="str">
        <f t="shared" si="36"/>
        <v/>
      </c>
      <c r="AU111" s="59" t="str">
        <f t="shared" si="37"/>
        <v/>
      </c>
      <c r="AV111" s="76">
        <f t="shared" si="38"/>
        <v>0</v>
      </c>
      <c r="AW111" s="76" t="str">
        <f t="shared" si="39"/>
        <v>manque date</v>
      </c>
      <c r="AX111" s="61">
        <f t="shared" si="40"/>
        <v>0</v>
      </c>
      <c r="AY111" s="61" t="str">
        <f t="shared" si="41"/>
        <v>manque date</v>
      </c>
      <c r="AZ111" s="61">
        <f t="shared" si="42"/>
        <v>0</v>
      </c>
      <c r="BA111" s="61" t="str">
        <f t="shared" si="43"/>
        <v>manque date</v>
      </c>
      <c r="BB111" s="61">
        <f t="shared" si="44"/>
        <v>0</v>
      </c>
      <c r="BC111" s="61" t="str">
        <f t="shared" si="45"/>
        <v>manque date</v>
      </c>
      <c r="BD111" s="61">
        <f t="shared" si="46"/>
        <v>0</v>
      </c>
      <c r="BE111" s="61" t="str">
        <f t="shared" si="47"/>
        <v>manque date</v>
      </c>
      <c r="BF111" s="61">
        <f t="shared" si="48"/>
        <v>0</v>
      </c>
      <c r="BG111" s="61" t="str">
        <f t="shared" si="49"/>
        <v>manque date</v>
      </c>
      <c r="BH111" s="61">
        <f t="shared" si="50"/>
        <v>0</v>
      </c>
      <c r="BI111" s="61" t="str">
        <f t="shared" si="51"/>
        <v>manque date</v>
      </c>
      <c r="BJ111" s="61">
        <f t="shared" si="52"/>
        <v>0</v>
      </c>
      <c r="BK111" s="61" t="str">
        <f t="shared" si="53"/>
        <v>manque date</v>
      </c>
    </row>
    <row r="112" spans="1:63">
      <c r="A112" s="71"/>
      <c r="B112" s="74" t="str">
        <f t="shared" si="54"/>
        <v/>
      </c>
      <c r="C112" s="74" t="str">
        <f t="shared" si="55"/>
        <v/>
      </c>
      <c r="D112" s="7" t="str">
        <f t="shared" si="56"/>
        <v/>
      </c>
      <c r="E112" s="7" t="str">
        <f t="shared" si="57"/>
        <v/>
      </c>
      <c r="F112" s="7" t="str">
        <f t="shared" si="58"/>
        <v/>
      </c>
      <c r="G112" s="7" t="str">
        <f t="shared" si="59"/>
        <v/>
      </c>
      <c r="H112" s="59" t="str">
        <f t="shared" si="60"/>
        <v/>
      </c>
      <c r="I112" s="60" t="str">
        <f t="shared" si="61"/>
        <v/>
      </c>
      <c r="J112" s="59" t="str">
        <f t="shared" si="62"/>
        <v/>
      </c>
      <c r="K112" s="59" t="str">
        <f t="shared" si="63"/>
        <v/>
      </c>
      <c r="L112" s="57" t="str">
        <f>IF($A112="","",INDEX([1]Portfolio!$A$3:$AU$63,MATCH($A112,[1]Portfolio!$B$3:$B$63,0),3))</f>
        <v/>
      </c>
      <c r="M112" s="57" t="str">
        <f>IF($A112="","",INDEX([1]Portfolio!$A$3:$AU$63,MATCH($A112,[1]Portfolio!$B$3:$B$63,0),5))</f>
        <v/>
      </c>
      <c r="N112" s="6" t="str">
        <f>IF($A112="","",INDEX([1]Portfolio!$A$3:$AU$63,MATCH($A112,[1]Portfolio!$B$3:$B$63,0),29))</f>
        <v/>
      </c>
      <c r="O112" s="6" t="str">
        <f>IF($A112="","",INDEX([1]Portfolio!$A$3:$AU$63,MATCH($A112,[1]Portfolio!$B$3:$B$63,0),32))</f>
        <v/>
      </c>
      <c r="P112" s="7" t="str">
        <f>IF($A112="","",INDEX([1]Portfolio!$A$3:$AU$63,MATCH($A112,[1]Portfolio!$B$3:$B$63,0),35))</f>
        <v/>
      </c>
      <c r="Q112" s="7" t="str">
        <f>IF($A112="","",INDEX([1]Portfolio!$A$3:$AU$63,MATCH($A112,[1]Portfolio!$B$3:$B$63,0),38))</f>
        <v/>
      </c>
      <c r="R112" s="7" t="str">
        <f>IF($A112="","",INDEX([1]Portfolio!$A$3:$AU$63,MATCH($A112,[1]Portfolio!$B$3:$B$63,0),42))</f>
        <v/>
      </c>
      <c r="S112" s="7" t="str">
        <f>IF($A112="","",INDEX([1]Portfolio!$A$3:$AU$63,MATCH($A112,[1]Portfolio!$B$3:$B$63,0),43))</f>
        <v/>
      </c>
      <c r="T112" s="7" t="str">
        <f>IF($A112="","",INDEX([1]Portfolio!$A$3:$AU$63,MATCH($A112,[1]Portfolio!$B$3:$B$63,0),37))</f>
        <v/>
      </c>
      <c r="U112" s="7" t="str">
        <f>IF($A112="","",INDEX([1]Portfolio!$A$3:$AU$63,MATCH($A112,[1]Portfolio!$B$3:$B$63,0),36))</f>
        <v/>
      </c>
      <c r="V112" s="7" t="str">
        <f>IF($A112="","",(INDEX([2]Programmesjalons!$A$4:$AH$140,MATCH($A112,[2]Programmesjalons!$A$4:$A$140,0),8)))</f>
        <v/>
      </c>
      <c r="W112" s="7" t="str">
        <f>IF($A112="","",(INDEX([2]Programmesjalons!$A$4:$AH$140,MATCH($A112,[2]Programmesjalons!$A$4:$A$140,0),12)))</f>
        <v/>
      </c>
      <c r="X112" s="7" t="str">
        <f>IF($A112="","",(INDEX([2]Programmesjalons!$A$4:$AH$140,MATCH($A112,[2]Programmesjalons!$A$4:$A$140,0),16)))</f>
        <v/>
      </c>
      <c r="Y112" s="7" t="str">
        <f>IF($A112="","",(INDEX([2]Programmesjalons!$A$4:$AH$140,MATCH($A112,[2]Programmesjalons!$A$4:$A$140,0),30)))</f>
        <v/>
      </c>
      <c r="Z112" s="59" t="str">
        <f>IF($A112="","",(INDEX([2]Programmesjalons!$A$4:$AH$140,MATCH($A112,[2]Programmesjalons!$A$4:$A$140,0),32)))</f>
        <v/>
      </c>
      <c r="AA112" s="60" t="str">
        <f>IF($A112="","",(INDEX([2]Programmesjalons!$A$4:$AH$140,MATCH($A112,[2]Programmesjalons!$A$4:$A$140,0),34)))</f>
        <v/>
      </c>
      <c r="AB112" s="59" t="str">
        <f>IF($A112="","",(INDEX([2]Programmesjalons!$A$4:$AH$140,MATCH($A112,[2]Programmesjalons!$A$4:$A$140,0),26)))</f>
        <v/>
      </c>
      <c r="AC112" s="59" t="str">
        <f>IF($A112="","",(INDEX([2]Programmesjalons!$A$4:$AH$140,MATCH($A112,[2]Programmesjalons!$A$4:$A$140,0),18)))</f>
        <v/>
      </c>
      <c r="AD112" s="68"/>
      <c r="AE112" s="68"/>
      <c r="AF112" s="68"/>
      <c r="AG112" s="68"/>
      <c r="AH112" s="68"/>
      <c r="AI112" s="68"/>
      <c r="AJ112" s="69"/>
      <c r="AK112" s="70"/>
      <c r="AL112" s="69"/>
      <c r="AM112" s="69"/>
      <c r="AN112" s="7" t="str">
        <f t="shared" si="30"/>
        <v/>
      </c>
      <c r="AO112" s="7" t="str">
        <f t="shared" si="31"/>
        <v/>
      </c>
      <c r="AP112" s="7" t="str">
        <f t="shared" si="32"/>
        <v/>
      </c>
      <c r="AQ112" s="7" t="str">
        <f t="shared" si="33"/>
        <v/>
      </c>
      <c r="AR112" s="59" t="str">
        <f t="shared" si="34"/>
        <v/>
      </c>
      <c r="AS112" s="60" t="str">
        <f t="shared" si="35"/>
        <v/>
      </c>
      <c r="AT112" s="59" t="str">
        <f t="shared" si="36"/>
        <v/>
      </c>
      <c r="AU112" s="59" t="str">
        <f t="shared" si="37"/>
        <v/>
      </c>
      <c r="AV112" s="76">
        <f t="shared" si="38"/>
        <v>0</v>
      </c>
      <c r="AW112" s="76" t="str">
        <f t="shared" si="39"/>
        <v>manque date</v>
      </c>
      <c r="AX112" s="61">
        <f t="shared" si="40"/>
        <v>0</v>
      </c>
      <c r="AY112" s="61" t="str">
        <f t="shared" si="41"/>
        <v>manque date</v>
      </c>
      <c r="AZ112" s="61">
        <f t="shared" si="42"/>
        <v>0</v>
      </c>
      <c r="BA112" s="61" t="str">
        <f t="shared" si="43"/>
        <v>manque date</v>
      </c>
      <c r="BB112" s="61">
        <f t="shared" si="44"/>
        <v>0</v>
      </c>
      <c r="BC112" s="61" t="str">
        <f t="shared" si="45"/>
        <v>manque date</v>
      </c>
      <c r="BD112" s="61">
        <f t="shared" si="46"/>
        <v>0</v>
      </c>
      <c r="BE112" s="61" t="str">
        <f t="shared" si="47"/>
        <v>manque date</v>
      </c>
      <c r="BF112" s="61">
        <f t="shared" si="48"/>
        <v>0</v>
      </c>
      <c r="BG112" s="61" t="str">
        <f t="shared" si="49"/>
        <v>manque date</v>
      </c>
      <c r="BH112" s="61">
        <f t="shared" si="50"/>
        <v>0</v>
      </c>
      <c r="BI112" s="61" t="str">
        <f t="shared" si="51"/>
        <v>manque date</v>
      </c>
      <c r="BJ112" s="61">
        <f t="shared" si="52"/>
        <v>0</v>
      </c>
      <c r="BK112" s="61" t="str">
        <f t="shared" si="53"/>
        <v>manque date</v>
      </c>
    </row>
    <row r="113" spans="1:63">
      <c r="A113" s="71"/>
      <c r="B113" s="74" t="str">
        <f t="shared" si="54"/>
        <v/>
      </c>
      <c r="C113" s="74" t="str">
        <f t="shared" si="55"/>
        <v/>
      </c>
      <c r="D113" s="7" t="str">
        <f t="shared" si="56"/>
        <v/>
      </c>
      <c r="E113" s="7" t="str">
        <f t="shared" si="57"/>
        <v/>
      </c>
      <c r="F113" s="7" t="str">
        <f t="shared" si="58"/>
        <v/>
      </c>
      <c r="G113" s="7" t="str">
        <f t="shared" si="59"/>
        <v/>
      </c>
      <c r="H113" s="59" t="str">
        <f t="shared" si="60"/>
        <v/>
      </c>
      <c r="I113" s="60" t="str">
        <f t="shared" si="61"/>
        <v/>
      </c>
      <c r="J113" s="59" t="str">
        <f t="shared" si="62"/>
        <v/>
      </c>
      <c r="K113" s="59" t="str">
        <f t="shared" si="63"/>
        <v/>
      </c>
      <c r="L113" s="57" t="str">
        <f>IF($A113="","",INDEX([1]Portfolio!$A$3:$AU$63,MATCH($A113,[1]Portfolio!$B$3:$B$63,0),3))</f>
        <v/>
      </c>
      <c r="M113" s="57" t="str">
        <f>IF($A113="","",INDEX([1]Portfolio!$A$3:$AU$63,MATCH($A113,[1]Portfolio!$B$3:$B$63,0),5))</f>
        <v/>
      </c>
      <c r="N113" s="6" t="str">
        <f>IF($A113="","",INDEX([1]Portfolio!$A$3:$AU$63,MATCH($A113,[1]Portfolio!$B$3:$B$63,0),29))</f>
        <v/>
      </c>
      <c r="O113" s="6" t="str">
        <f>IF($A113="","",INDEX([1]Portfolio!$A$3:$AU$63,MATCH($A113,[1]Portfolio!$B$3:$B$63,0),32))</f>
        <v/>
      </c>
      <c r="P113" s="7" t="str">
        <f>IF($A113="","",INDEX([1]Portfolio!$A$3:$AU$63,MATCH($A113,[1]Portfolio!$B$3:$B$63,0),35))</f>
        <v/>
      </c>
      <c r="Q113" s="7" t="str">
        <f>IF($A113="","",INDEX([1]Portfolio!$A$3:$AU$63,MATCH($A113,[1]Portfolio!$B$3:$B$63,0),38))</f>
        <v/>
      </c>
      <c r="R113" s="7" t="str">
        <f>IF($A113="","",INDEX([1]Portfolio!$A$3:$AU$63,MATCH($A113,[1]Portfolio!$B$3:$B$63,0),42))</f>
        <v/>
      </c>
      <c r="S113" s="7" t="str">
        <f>IF($A113="","",INDEX([1]Portfolio!$A$3:$AU$63,MATCH($A113,[1]Portfolio!$B$3:$B$63,0),43))</f>
        <v/>
      </c>
      <c r="T113" s="7" t="str">
        <f>IF($A113="","",INDEX([1]Portfolio!$A$3:$AU$63,MATCH($A113,[1]Portfolio!$B$3:$B$63,0),37))</f>
        <v/>
      </c>
      <c r="U113" s="7" t="str">
        <f>IF($A113="","",INDEX([1]Portfolio!$A$3:$AU$63,MATCH($A113,[1]Portfolio!$B$3:$B$63,0),36))</f>
        <v/>
      </c>
      <c r="V113" s="7" t="str">
        <f>IF($A113="","",(INDEX([2]Programmesjalons!$A$4:$AH$140,MATCH($A113,[2]Programmesjalons!$A$4:$A$140,0),8)))</f>
        <v/>
      </c>
      <c r="W113" s="7" t="str">
        <f>IF($A113="","",(INDEX([2]Programmesjalons!$A$4:$AH$140,MATCH($A113,[2]Programmesjalons!$A$4:$A$140,0),12)))</f>
        <v/>
      </c>
      <c r="X113" s="7" t="str">
        <f>IF($A113="","",(INDEX([2]Programmesjalons!$A$4:$AH$140,MATCH($A113,[2]Programmesjalons!$A$4:$A$140,0),16)))</f>
        <v/>
      </c>
      <c r="Y113" s="7" t="str">
        <f>IF($A113="","",(INDEX([2]Programmesjalons!$A$4:$AH$140,MATCH($A113,[2]Programmesjalons!$A$4:$A$140,0),30)))</f>
        <v/>
      </c>
      <c r="Z113" s="59" t="str">
        <f>IF($A113="","",(INDEX([2]Programmesjalons!$A$4:$AH$140,MATCH($A113,[2]Programmesjalons!$A$4:$A$140,0),32)))</f>
        <v/>
      </c>
      <c r="AA113" s="60" t="str">
        <f>IF($A113="","",(INDEX([2]Programmesjalons!$A$4:$AH$140,MATCH($A113,[2]Programmesjalons!$A$4:$A$140,0),34)))</f>
        <v/>
      </c>
      <c r="AB113" s="59" t="str">
        <f>IF($A113="","",(INDEX([2]Programmesjalons!$A$4:$AH$140,MATCH($A113,[2]Programmesjalons!$A$4:$A$140,0),26)))</f>
        <v/>
      </c>
      <c r="AC113" s="59" t="str">
        <f>IF($A113="","",(INDEX([2]Programmesjalons!$A$4:$AH$140,MATCH($A113,[2]Programmesjalons!$A$4:$A$140,0),18)))</f>
        <v/>
      </c>
      <c r="AD113" s="68"/>
      <c r="AE113" s="68"/>
      <c r="AF113" s="68"/>
      <c r="AG113" s="68"/>
      <c r="AH113" s="68"/>
      <c r="AI113" s="68"/>
      <c r="AJ113" s="69"/>
      <c r="AK113" s="70"/>
      <c r="AL113" s="69"/>
      <c r="AM113" s="69"/>
      <c r="AN113" s="7" t="str">
        <f t="shared" si="30"/>
        <v/>
      </c>
      <c r="AO113" s="7" t="str">
        <f t="shared" si="31"/>
        <v/>
      </c>
      <c r="AP113" s="7" t="str">
        <f t="shared" si="32"/>
        <v/>
      </c>
      <c r="AQ113" s="7" t="str">
        <f t="shared" si="33"/>
        <v/>
      </c>
      <c r="AR113" s="59" t="str">
        <f t="shared" si="34"/>
        <v/>
      </c>
      <c r="AS113" s="60" t="str">
        <f t="shared" si="35"/>
        <v/>
      </c>
      <c r="AT113" s="59" t="str">
        <f t="shared" si="36"/>
        <v/>
      </c>
      <c r="AU113" s="59" t="str">
        <f t="shared" si="37"/>
        <v/>
      </c>
      <c r="AV113" s="76">
        <f t="shared" si="38"/>
        <v>0</v>
      </c>
      <c r="AW113" s="76" t="str">
        <f t="shared" si="39"/>
        <v>manque date</v>
      </c>
      <c r="AX113" s="61">
        <f t="shared" si="40"/>
        <v>0</v>
      </c>
      <c r="AY113" s="61" t="str">
        <f t="shared" si="41"/>
        <v>manque date</v>
      </c>
      <c r="AZ113" s="61">
        <f t="shared" si="42"/>
        <v>0</v>
      </c>
      <c r="BA113" s="61" t="str">
        <f t="shared" si="43"/>
        <v>manque date</v>
      </c>
      <c r="BB113" s="61">
        <f t="shared" si="44"/>
        <v>0</v>
      </c>
      <c r="BC113" s="61" t="str">
        <f t="shared" si="45"/>
        <v>manque date</v>
      </c>
      <c r="BD113" s="61">
        <f t="shared" si="46"/>
        <v>0</v>
      </c>
      <c r="BE113" s="61" t="str">
        <f t="shared" si="47"/>
        <v>manque date</v>
      </c>
      <c r="BF113" s="61">
        <f t="shared" si="48"/>
        <v>0</v>
      </c>
      <c r="BG113" s="61" t="str">
        <f t="shared" si="49"/>
        <v>manque date</v>
      </c>
      <c r="BH113" s="61">
        <f t="shared" si="50"/>
        <v>0</v>
      </c>
      <c r="BI113" s="61" t="str">
        <f t="shared" si="51"/>
        <v>manque date</v>
      </c>
      <c r="BJ113" s="61">
        <f t="shared" si="52"/>
        <v>0</v>
      </c>
      <c r="BK113" s="61" t="str">
        <f t="shared" si="53"/>
        <v>manque date</v>
      </c>
    </row>
    <row r="114" spans="1:63">
      <c r="A114" s="71"/>
      <c r="B114" s="74" t="str">
        <f t="shared" si="54"/>
        <v/>
      </c>
      <c r="C114" s="74" t="str">
        <f t="shared" si="55"/>
        <v/>
      </c>
      <c r="D114" s="7" t="str">
        <f t="shared" si="56"/>
        <v/>
      </c>
      <c r="E114" s="7" t="str">
        <f t="shared" si="57"/>
        <v/>
      </c>
      <c r="F114" s="7" t="str">
        <f t="shared" si="58"/>
        <v/>
      </c>
      <c r="G114" s="7" t="str">
        <f t="shared" si="59"/>
        <v/>
      </c>
      <c r="H114" s="59" t="str">
        <f t="shared" si="60"/>
        <v/>
      </c>
      <c r="I114" s="60" t="str">
        <f t="shared" si="61"/>
        <v/>
      </c>
      <c r="J114" s="59" t="str">
        <f t="shared" si="62"/>
        <v/>
      </c>
      <c r="K114" s="59" t="str">
        <f t="shared" si="63"/>
        <v/>
      </c>
      <c r="L114" s="57" t="str">
        <f>IF($A114="","",INDEX([1]Portfolio!$A$3:$AU$63,MATCH($A114,[1]Portfolio!$B$3:$B$63,0),3))</f>
        <v/>
      </c>
      <c r="M114" s="57" t="str">
        <f>IF($A114="","",INDEX([1]Portfolio!$A$3:$AU$63,MATCH($A114,[1]Portfolio!$B$3:$B$63,0),5))</f>
        <v/>
      </c>
      <c r="N114" s="6" t="str">
        <f>IF($A114="","",INDEX([1]Portfolio!$A$3:$AU$63,MATCH($A114,[1]Portfolio!$B$3:$B$63,0),29))</f>
        <v/>
      </c>
      <c r="O114" s="6" t="str">
        <f>IF($A114="","",INDEX([1]Portfolio!$A$3:$AU$63,MATCH($A114,[1]Portfolio!$B$3:$B$63,0),32))</f>
        <v/>
      </c>
      <c r="P114" s="7" t="str">
        <f>IF($A114="","",INDEX([1]Portfolio!$A$3:$AU$63,MATCH($A114,[1]Portfolio!$B$3:$B$63,0),35))</f>
        <v/>
      </c>
      <c r="Q114" s="7" t="str">
        <f>IF($A114="","",INDEX([1]Portfolio!$A$3:$AU$63,MATCH($A114,[1]Portfolio!$B$3:$B$63,0),38))</f>
        <v/>
      </c>
      <c r="R114" s="7" t="str">
        <f>IF($A114="","",INDEX([1]Portfolio!$A$3:$AU$63,MATCH($A114,[1]Portfolio!$B$3:$B$63,0),42))</f>
        <v/>
      </c>
      <c r="S114" s="7" t="str">
        <f>IF($A114="","",INDEX([1]Portfolio!$A$3:$AU$63,MATCH($A114,[1]Portfolio!$B$3:$B$63,0),43))</f>
        <v/>
      </c>
      <c r="T114" s="7" t="str">
        <f>IF($A114="","",INDEX([1]Portfolio!$A$3:$AU$63,MATCH($A114,[1]Portfolio!$B$3:$B$63,0),37))</f>
        <v/>
      </c>
      <c r="U114" s="7" t="str">
        <f>IF($A114="","",INDEX([1]Portfolio!$A$3:$AU$63,MATCH($A114,[1]Portfolio!$B$3:$B$63,0),36))</f>
        <v/>
      </c>
      <c r="V114" s="7" t="str">
        <f>IF($A114="","",(INDEX([2]Programmesjalons!$A$4:$AH$140,MATCH($A114,[2]Programmesjalons!$A$4:$A$140,0),8)))</f>
        <v/>
      </c>
      <c r="W114" s="7" t="str">
        <f>IF($A114="","",(INDEX([2]Programmesjalons!$A$4:$AH$140,MATCH($A114,[2]Programmesjalons!$A$4:$A$140,0),12)))</f>
        <v/>
      </c>
      <c r="X114" s="7" t="str">
        <f>IF($A114="","",(INDEX([2]Programmesjalons!$A$4:$AH$140,MATCH($A114,[2]Programmesjalons!$A$4:$A$140,0),16)))</f>
        <v/>
      </c>
      <c r="Y114" s="7" t="str">
        <f>IF($A114="","",(INDEX([2]Programmesjalons!$A$4:$AH$140,MATCH($A114,[2]Programmesjalons!$A$4:$A$140,0),30)))</f>
        <v/>
      </c>
      <c r="Z114" s="59" t="str">
        <f>IF($A114="","",(INDEX([2]Programmesjalons!$A$4:$AH$140,MATCH($A114,[2]Programmesjalons!$A$4:$A$140,0),32)))</f>
        <v/>
      </c>
      <c r="AA114" s="60" t="str">
        <f>IF($A114="","",(INDEX([2]Programmesjalons!$A$4:$AH$140,MATCH($A114,[2]Programmesjalons!$A$4:$A$140,0),34)))</f>
        <v/>
      </c>
      <c r="AB114" s="59" t="str">
        <f>IF($A114="","",(INDEX([2]Programmesjalons!$A$4:$AH$140,MATCH($A114,[2]Programmesjalons!$A$4:$A$140,0),26)))</f>
        <v/>
      </c>
      <c r="AC114" s="59" t="str">
        <f>IF($A114="","",(INDEX([2]Programmesjalons!$A$4:$AH$140,MATCH($A114,[2]Programmesjalons!$A$4:$A$140,0),18)))</f>
        <v/>
      </c>
      <c r="AD114" s="68"/>
      <c r="AE114" s="68"/>
      <c r="AF114" s="68"/>
      <c r="AG114" s="68"/>
      <c r="AH114" s="68"/>
      <c r="AI114" s="68"/>
      <c r="AJ114" s="69"/>
      <c r="AK114" s="70"/>
      <c r="AL114" s="69"/>
      <c r="AM114" s="69"/>
      <c r="AN114" s="7" t="str">
        <f t="shared" si="30"/>
        <v/>
      </c>
      <c r="AO114" s="7" t="str">
        <f t="shared" si="31"/>
        <v/>
      </c>
      <c r="AP114" s="7" t="str">
        <f t="shared" si="32"/>
        <v/>
      </c>
      <c r="AQ114" s="7" t="str">
        <f t="shared" si="33"/>
        <v/>
      </c>
      <c r="AR114" s="59" t="str">
        <f t="shared" si="34"/>
        <v/>
      </c>
      <c r="AS114" s="60" t="str">
        <f t="shared" si="35"/>
        <v/>
      </c>
      <c r="AT114" s="59" t="str">
        <f t="shared" si="36"/>
        <v/>
      </c>
      <c r="AU114" s="59" t="str">
        <f t="shared" si="37"/>
        <v/>
      </c>
      <c r="AV114" s="76">
        <f t="shared" si="38"/>
        <v>0</v>
      </c>
      <c r="AW114" s="76" t="str">
        <f t="shared" si="39"/>
        <v>manque date</v>
      </c>
      <c r="AX114" s="61">
        <f t="shared" si="40"/>
        <v>0</v>
      </c>
      <c r="AY114" s="61" t="str">
        <f t="shared" si="41"/>
        <v>manque date</v>
      </c>
      <c r="AZ114" s="61">
        <f t="shared" si="42"/>
        <v>0</v>
      </c>
      <c r="BA114" s="61" t="str">
        <f t="shared" si="43"/>
        <v>manque date</v>
      </c>
      <c r="BB114" s="61">
        <f t="shared" si="44"/>
        <v>0</v>
      </c>
      <c r="BC114" s="61" t="str">
        <f t="shared" si="45"/>
        <v>manque date</v>
      </c>
      <c r="BD114" s="61">
        <f t="shared" si="46"/>
        <v>0</v>
      </c>
      <c r="BE114" s="61" t="str">
        <f t="shared" si="47"/>
        <v>manque date</v>
      </c>
      <c r="BF114" s="61">
        <f t="shared" si="48"/>
        <v>0</v>
      </c>
      <c r="BG114" s="61" t="str">
        <f t="shared" si="49"/>
        <v>manque date</v>
      </c>
      <c r="BH114" s="61">
        <f t="shared" si="50"/>
        <v>0</v>
      </c>
      <c r="BI114" s="61" t="str">
        <f t="shared" si="51"/>
        <v>manque date</v>
      </c>
      <c r="BJ114" s="61">
        <f t="shared" si="52"/>
        <v>0</v>
      </c>
      <c r="BK114" s="61" t="str">
        <f t="shared" si="53"/>
        <v>manque date</v>
      </c>
    </row>
    <row r="115" spans="1:63">
      <c r="A115" s="71"/>
      <c r="B115" s="74" t="str">
        <f t="shared" si="54"/>
        <v/>
      </c>
      <c r="C115" s="74" t="str">
        <f t="shared" si="55"/>
        <v/>
      </c>
      <c r="D115" s="7" t="str">
        <f t="shared" si="56"/>
        <v/>
      </c>
      <c r="E115" s="7" t="str">
        <f t="shared" si="57"/>
        <v/>
      </c>
      <c r="F115" s="7" t="str">
        <f t="shared" si="58"/>
        <v/>
      </c>
      <c r="G115" s="7" t="str">
        <f t="shared" si="59"/>
        <v/>
      </c>
      <c r="H115" s="59" t="str">
        <f t="shared" si="60"/>
        <v/>
      </c>
      <c r="I115" s="60" t="str">
        <f t="shared" si="61"/>
        <v/>
      </c>
      <c r="J115" s="59" t="str">
        <f t="shared" si="62"/>
        <v/>
      </c>
      <c r="K115" s="59" t="str">
        <f t="shared" si="63"/>
        <v/>
      </c>
      <c r="L115" s="57" t="str">
        <f>IF($A115="","",INDEX([1]Portfolio!$A$3:$AU$63,MATCH($A115,[1]Portfolio!$B$3:$B$63,0),3))</f>
        <v/>
      </c>
      <c r="M115" s="57" t="str">
        <f>IF($A115="","",INDEX([1]Portfolio!$A$3:$AU$63,MATCH($A115,[1]Portfolio!$B$3:$B$63,0),5))</f>
        <v/>
      </c>
      <c r="N115" s="6" t="str">
        <f>IF($A115="","",INDEX([1]Portfolio!$A$3:$AU$63,MATCH($A115,[1]Portfolio!$B$3:$B$63,0),29))</f>
        <v/>
      </c>
      <c r="O115" s="6" t="str">
        <f>IF($A115="","",INDEX([1]Portfolio!$A$3:$AU$63,MATCH($A115,[1]Portfolio!$B$3:$B$63,0),32))</f>
        <v/>
      </c>
      <c r="P115" s="7" t="str">
        <f>IF($A115="","",INDEX([1]Portfolio!$A$3:$AU$63,MATCH($A115,[1]Portfolio!$B$3:$B$63,0),35))</f>
        <v/>
      </c>
      <c r="Q115" s="7" t="str">
        <f>IF($A115="","",INDEX([1]Portfolio!$A$3:$AU$63,MATCH($A115,[1]Portfolio!$B$3:$B$63,0),38))</f>
        <v/>
      </c>
      <c r="R115" s="7" t="str">
        <f>IF($A115="","",INDEX([1]Portfolio!$A$3:$AU$63,MATCH($A115,[1]Portfolio!$B$3:$B$63,0),42))</f>
        <v/>
      </c>
      <c r="S115" s="7" t="str">
        <f>IF($A115="","",INDEX([1]Portfolio!$A$3:$AU$63,MATCH($A115,[1]Portfolio!$B$3:$B$63,0),43))</f>
        <v/>
      </c>
      <c r="T115" s="7" t="str">
        <f>IF($A115="","",INDEX([1]Portfolio!$A$3:$AU$63,MATCH($A115,[1]Portfolio!$B$3:$B$63,0),37))</f>
        <v/>
      </c>
      <c r="U115" s="7" t="str">
        <f>IF($A115="","",INDEX([1]Portfolio!$A$3:$AU$63,MATCH($A115,[1]Portfolio!$B$3:$B$63,0),36))</f>
        <v/>
      </c>
      <c r="V115" s="7" t="str">
        <f>IF($A115="","",(INDEX([2]Programmesjalons!$A$4:$AH$140,MATCH($A115,[2]Programmesjalons!$A$4:$A$140,0),8)))</f>
        <v/>
      </c>
      <c r="W115" s="7" t="str">
        <f>IF($A115="","",(INDEX([2]Programmesjalons!$A$4:$AH$140,MATCH($A115,[2]Programmesjalons!$A$4:$A$140,0),12)))</f>
        <v/>
      </c>
      <c r="X115" s="7" t="str">
        <f>IF($A115="","",(INDEX([2]Programmesjalons!$A$4:$AH$140,MATCH($A115,[2]Programmesjalons!$A$4:$A$140,0),16)))</f>
        <v/>
      </c>
      <c r="Y115" s="7" t="str">
        <f>IF($A115="","",(INDEX([2]Programmesjalons!$A$4:$AH$140,MATCH($A115,[2]Programmesjalons!$A$4:$A$140,0),30)))</f>
        <v/>
      </c>
      <c r="Z115" s="59" t="str">
        <f>IF($A115="","",(INDEX([2]Programmesjalons!$A$4:$AH$140,MATCH($A115,[2]Programmesjalons!$A$4:$A$140,0),32)))</f>
        <v/>
      </c>
      <c r="AA115" s="60" t="str">
        <f>IF($A115="","",(INDEX([2]Programmesjalons!$A$4:$AH$140,MATCH($A115,[2]Programmesjalons!$A$4:$A$140,0),34)))</f>
        <v/>
      </c>
      <c r="AB115" s="59" t="str">
        <f>IF($A115="","",(INDEX([2]Programmesjalons!$A$4:$AH$140,MATCH($A115,[2]Programmesjalons!$A$4:$A$140,0),26)))</f>
        <v/>
      </c>
      <c r="AC115" s="59" t="str">
        <f>IF($A115="","",(INDEX([2]Programmesjalons!$A$4:$AH$140,MATCH($A115,[2]Programmesjalons!$A$4:$A$140,0),18)))</f>
        <v/>
      </c>
      <c r="AD115" s="68"/>
      <c r="AE115" s="68"/>
      <c r="AF115" s="68"/>
      <c r="AG115" s="68"/>
      <c r="AH115" s="68"/>
      <c r="AI115" s="68"/>
      <c r="AJ115" s="69"/>
      <c r="AK115" s="70"/>
      <c r="AL115" s="69"/>
      <c r="AM115" s="69"/>
      <c r="AN115" s="7" t="str">
        <f t="shared" si="30"/>
        <v/>
      </c>
      <c r="AO115" s="7" t="str">
        <f t="shared" si="31"/>
        <v/>
      </c>
      <c r="AP115" s="7" t="str">
        <f t="shared" si="32"/>
        <v/>
      </c>
      <c r="AQ115" s="7" t="str">
        <f t="shared" si="33"/>
        <v/>
      </c>
      <c r="AR115" s="59" t="str">
        <f t="shared" si="34"/>
        <v/>
      </c>
      <c r="AS115" s="60" t="str">
        <f t="shared" si="35"/>
        <v/>
      </c>
      <c r="AT115" s="59" t="str">
        <f t="shared" si="36"/>
        <v/>
      </c>
      <c r="AU115" s="59" t="str">
        <f t="shared" si="37"/>
        <v/>
      </c>
      <c r="AV115" s="76">
        <f t="shared" si="38"/>
        <v>0</v>
      </c>
      <c r="AW115" s="76" t="str">
        <f t="shared" si="39"/>
        <v>manque date</v>
      </c>
      <c r="AX115" s="61">
        <f t="shared" si="40"/>
        <v>0</v>
      </c>
      <c r="AY115" s="61" t="str">
        <f t="shared" si="41"/>
        <v>manque date</v>
      </c>
      <c r="AZ115" s="61">
        <f t="shared" si="42"/>
        <v>0</v>
      </c>
      <c r="BA115" s="61" t="str">
        <f t="shared" si="43"/>
        <v>manque date</v>
      </c>
      <c r="BB115" s="61">
        <f t="shared" si="44"/>
        <v>0</v>
      </c>
      <c r="BC115" s="61" t="str">
        <f t="shared" si="45"/>
        <v>manque date</v>
      </c>
      <c r="BD115" s="61">
        <f t="shared" si="46"/>
        <v>0</v>
      </c>
      <c r="BE115" s="61" t="str">
        <f t="shared" si="47"/>
        <v>manque date</v>
      </c>
      <c r="BF115" s="61">
        <f t="shared" si="48"/>
        <v>0</v>
      </c>
      <c r="BG115" s="61" t="str">
        <f t="shared" si="49"/>
        <v>manque date</v>
      </c>
      <c r="BH115" s="61">
        <f t="shared" si="50"/>
        <v>0</v>
      </c>
      <c r="BI115" s="61" t="str">
        <f t="shared" si="51"/>
        <v>manque date</v>
      </c>
      <c r="BJ115" s="61">
        <f t="shared" si="52"/>
        <v>0</v>
      </c>
      <c r="BK115" s="61" t="str">
        <f t="shared" si="53"/>
        <v>manque date</v>
      </c>
    </row>
    <row r="116" spans="1:63">
      <c r="A116" s="71"/>
      <c r="B116" s="74" t="str">
        <f t="shared" si="54"/>
        <v/>
      </c>
      <c r="C116" s="74" t="str">
        <f t="shared" si="55"/>
        <v/>
      </c>
      <c r="D116" s="7" t="str">
        <f t="shared" si="56"/>
        <v/>
      </c>
      <c r="E116" s="7" t="str">
        <f t="shared" si="57"/>
        <v/>
      </c>
      <c r="F116" s="7" t="str">
        <f t="shared" si="58"/>
        <v/>
      </c>
      <c r="G116" s="7" t="str">
        <f t="shared" si="59"/>
        <v/>
      </c>
      <c r="H116" s="59" t="str">
        <f t="shared" si="60"/>
        <v/>
      </c>
      <c r="I116" s="60" t="str">
        <f t="shared" si="61"/>
        <v/>
      </c>
      <c r="J116" s="59" t="str">
        <f t="shared" si="62"/>
        <v/>
      </c>
      <c r="K116" s="59" t="str">
        <f t="shared" si="63"/>
        <v/>
      </c>
      <c r="L116" s="57" t="str">
        <f>IF($A116="","",INDEX([1]Portfolio!$A$3:$AU$63,MATCH($A116,[1]Portfolio!$B$3:$B$63,0),3))</f>
        <v/>
      </c>
      <c r="M116" s="57" t="str">
        <f>IF($A116="","",INDEX([1]Portfolio!$A$3:$AU$63,MATCH($A116,[1]Portfolio!$B$3:$B$63,0),5))</f>
        <v/>
      </c>
      <c r="N116" s="6" t="str">
        <f>IF($A116="","",INDEX([1]Portfolio!$A$3:$AU$63,MATCH($A116,[1]Portfolio!$B$3:$B$63,0),29))</f>
        <v/>
      </c>
      <c r="O116" s="6" t="str">
        <f>IF($A116="","",INDEX([1]Portfolio!$A$3:$AU$63,MATCH($A116,[1]Portfolio!$B$3:$B$63,0),32))</f>
        <v/>
      </c>
      <c r="P116" s="7" t="str">
        <f>IF($A116="","",INDEX([1]Portfolio!$A$3:$AU$63,MATCH($A116,[1]Portfolio!$B$3:$B$63,0),35))</f>
        <v/>
      </c>
      <c r="Q116" s="7" t="str">
        <f>IF($A116="","",INDEX([1]Portfolio!$A$3:$AU$63,MATCH($A116,[1]Portfolio!$B$3:$B$63,0),38))</f>
        <v/>
      </c>
      <c r="R116" s="7" t="str">
        <f>IF($A116="","",INDEX([1]Portfolio!$A$3:$AU$63,MATCH($A116,[1]Portfolio!$B$3:$B$63,0),42))</f>
        <v/>
      </c>
      <c r="S116" s="7" t="str">
        <f>IF($A116="","",INDEX([1]Portfolio!$A$3:$AU$63,MATCH($A116,[1]Portfolio!$B$3:$B$63,0),43))</f>
        <v/>
      </c>
      <c r="T116" s="7" t="str">
        <f>IF($A116="","",INDEX([1]Portfolio!$A$3:$AU$63,MATCH($A116,[1]Portfolio!$B$3:$B$63,0),37))</f>
        <v/>
      </c>
      <c r="U116" s="7" t="str">
        <f>IF($A116="","",INDEX([1]Portfolio!$A$3:$AU$63,MATCH($A116,[1]Portfolio!$B$3:$B$63,0),36))</f>
        <v/>
      </c>
      <c r="V116" s="7" t="str">
        <f>IF($A116="","",(INDEX([2]Programmesjalons!$A$4:$AH$140,MATCH($A116,[2]Programmesjalons!$A$4:$A$140,0),8)))</f>
        <v/>
      </c>
      <c r="W116" s="7" t="str">
        <f>IF($A116="","",(INDEX([2]Programmesjalons!$A$4:$AH$140,MATCH($A116,[2]Programmesjalons!$A$4:$A$140,0),12)))</f>
        <v/>
      </c>
      <c r="X116" s="7" t="str">
        <f>IF($A116="","",(INDEX([2]Programmesjalons!$A$4:$AH$140,MATCH($A116,[2]Programmesjalons!$A$4:$A$140,0),16)))</f>
        <v/>
      </c>
      <c r="Y116" s="7" t="str">
        <f>IF($A116="","",(INDEX([2]Programmesjalons!$A$4:$AH$140,MATCH($A116,[2]Programmesjalons!$A$4:$A$140,0),30)))</f>
        <v/>
      </c>
      <c r="Z116" s="59" t="str">
        <f>IF($A116="","",(INDEX([2]Programmesjalons!$A$4:$AH$140,MATCH($A116,[2]Programmesjalons!$A$4:$A$140,0),32)))</f>
        <v/>
      </c>
      <c r="AA116" s="60" t="str">
        <f>IF($A116="","",(INDEX([2]Programmesjalons!$A$4:$AH$140,MATCH($A116,[2]Programmesjalons!$A$4:$A$140,0),34)))</f>
        <v/>
      </c>
      <c r="AB116" s="59" t="str">
        <f>IF($A116="","",(INDEX([2]Programmesjalons!$A$4:$AH$140,MATCH($A116,[2]Programmesjalons!$A$4:$A$140,0),26)))</f>
        <v/>
      </c>
      <c r="AC116" s="59" t="str">
        <f>IF($A116="","",(INDEX([2]Programmesjalons!$A$4:$AH$140,MATCH($A116,[2]Programmesjalons!$A$4:$A$140,0),18)))</f>
        <v/>
      </c>
      <c r="AD116" s="68"/>
      <c r="AE116" s="68"/>
      <c r="AF116" s="68"/>
      <c r="AG116" s="68"/>
      <c r="AH116" s="68"/>
      <c r="AI116" s="68"/>
      <c r="AJ116" s="69"/>
      <c r="AK116" s="70"/>
      <c r="AL116" s="69"/>
      <c r="AM116" s="69"/>
      <c r="AN116" s="7" t="str">
        <f t="shared" si="30"/>
        <v/>
      </c>
      <c r="AO116" s="7" t="str">
        <f t="shared" si="31"/>
        <v/>
      </c>
      <c r="AP116" s="7" t="str">
        <f t="shared" si="32"/>
        <v/>
      </c>
      <c r="AQ116" s="7" t="str">
        <f t="shared" si="33"/>
        <v/>
      </c>
      <c r="AR116" s="59" t="str">
        <f t="shared" si="34"/>
        <v/>
      </c>
      <c r="AS116" s="60" t="str">
        <f t="shared" si="35"/>
        <v/>
      </c>
      <c r="AT116" s="59" t="str">
        <f t="shared" si="36"/>
        <v/>
      </c>
      <c r="AU116" s="59" t="str">
        <f t="shared" si="37"/>
        <v/>
      </c>
      <c r="AV116" s="76">
        <f t="shared" si="38"/>
        <v>0</v>
      </c>
      <c r="AW116" s="76" t="str">
        <f t="shared" si="39"/>
        <v>manque date</v>
      </c>
      <c r="AX116" s="61">
        <f t="shared" si="40"/>
        <v>0</v>
      </c>
      <c r="AY116" s="61" t="str">
        <f t="shared" si="41"/>
        <v>manque date</v>
      </c>
      <c r="AZ116" s="61">
        <f t="shared" si="42"/>
        <v>0</v>
      </c>
      <c r="BA116" s="61" t="str">
        <f t="shared" si="43"/>
        <v>manque date</v>
      </c>
      <c r="BB116" s="61">
        <f t="shared" si="44"/>
        <v>0</v>
      </c>
      <c r="BC116" s="61" t="str">
        <f t="shared" si="45"/>
        <v>manque date</v>
      </c>
      <c r="BD116" s="61">
        <f t="shared" si="46"/>
        <v>0</v>
      </c>
      <c r="BE116" s="61" t="str">
        <f t="shared" si="47"/>
        <v>manque date</v>
      </c>
      <c r="BF116" s="61">
        <f t="shared" si="48"/>
        <v>0</v>
      </c>
      <c r="BG116" s="61" t="str">
        <f t="shared" si="49"/>
        <v>manque date</v>
      </c>
      <c r="BH116" s="61">
        <f t="shared" si="50"/>
        <v>0</v>
      </c>
      <c r="BI116" s="61" t="str">
        <f t="shared" si="51"/>
        <v>manque date</v>
      </c>
      <c r="BJ116" s="61">
        <f t="shared" si="52"/>
        <v>0</v>
      </c>
      <c r="BK116" s="61" t="str">
        <f t="shared" si="53"/>
        <v>manque date</v>
      </c>
    </row>
    <row r="117" spans="1:63">
      <c r="A117" s="71"/>
      <c r="B117" s="74" t="str">
        <f t="shared" si="54"/>
        <v/>
      </c>
      <c r="C117" s="74" t="str">
        <f t="shared" si="55"/>
        <v/>
      </c>
      <c r="D117" s="7" t="str">
        <f t="shared" si="56"/>
        <v/>
      </c>
      <c r="E117" s="7" t="str">
        <f t="shared" si="57"/>
        <v/>
      </c>
      <c r="F117" s="7" t="str">
        <f t="shared" si="58"/>
        <v/>
      </c>
      <c r="G117" s="7" t="str">
        <f t="shared" si="59"/>
        <v/>
      </c>
      <c r="H117" s="59" t="str">
        <f t="shared" si="60"/>
        <v/>
      </c>
      <c r="I117" s="60" t="str">
        <f t="shared" si="61"/>
        <v/>
      </c>
      <c r="J117" s="59" t="str">
        <f t="shared" si="62"/>
        <v/>
      </c>
      <c r="K117" s="59" t="str">
        <f t="shared" si="63"/>
        <v/>
      </c>
      <c r="L117" s="57" t="str">
        <f>IF($A117="","",INDEX([1]Portfolio!$A$3:$AU$63,MATCH($A117,[1]Portfolio!$B$3:$B$63,0),3))</f>
        <v/>
      </c>
      <c r="M117" s="57" t="str">
        <f>IF($A117="","",INDEX([1]Portfolio!$A$3:$AU$63,MATCH($A117,[1]Portfolio!$B$3:$B$63,0),5))</f>
        <v/>
      </c>
      <c r="N117" s="6" t="str">
        <f>IF($A117="","",INDEX([1]Portfolio!$A$3:$AU$63,MATCH($A117,[1]Portfolio!$B$3:$B$63,0),29))</f>
        <v/>
      </c>
      <c r="O117" s="6" t="str">
        <f>IF($A117="","",INDEX([1]Portfolio!$A$3:$AU$63,MATCH($A117,[1]Portfolio!$B$3:$B$63,0),32))</f>
        <v/>
      </c>
      <c r="P117" s="7" t="str">
        <f>IF($A117="","",INDEX([1]Portfolio!$A$3:$AU$63,MATCH($A117,[1]Portfolio!$B$3:$B$63,0),35))</f>
        <v/>
      </c>
      <c r="Q117" s="7" t="str">
        <f>IF($A117="","",INDEX([1]Portfolio!$A$3:$AU$63,MATCH($A117,[1]Portfolio!$B$3:$B$63,0),38))</f>
        <v/>
      </c>
      <c r="R117" s="7" t="str">
        <f>IF($A117="","",INDEX([1]Portfolio!$A$3:$AU$63,MATCH($A117,[1]Portfolio!$B$3:$B$63,0),42))</f>
        <v/>
      </c>
      <c r="S117" s="7" t="str">
        <f>IF($A117="","",INDEX([1]Portfolio!$A$3:$AU$63,MATCH($A117,[1]Portfolio!$B$3:$B$63,0),43))</f>
        <v/>
      </c>
      <c r="T117" s="7" t="str">
        <f>IF($A117="","",INDEX([1]Portfolio!$A$3:$AU$63,MATCH($A117,[1]Portfolio!$B$3:$B$63,0),37))</f>
        <v/>
      </c>
      <c r="U117" s="7" t="str">
        <f>IF($A117="","",INDEX([1]Portfolio!$A$3:$AU$63,MATCH($A117,[1]Portfolio!$B$3:$B$63,0),36))</f>
        <v/>
      </c>
      <c r="V117" s="7" t="str">
        <f>IF($A117="","",(INDEX([2]Programmesjalons!$A$4:$AH$140,MATCH($A117,[2]Programmesjalons!$A$4:$A$140,0),8)))</f>
        <v/>
      </c>
      <c r="W117" s="7" t="str">
        <f>IF($A117="","",(INDEX([2]Programmesjalons!$A$4:$AH$140,MATCH($A117,[2]Programmesjalons!$A$4:$A$140,0),12)))</f>
        <v/>
      </c>
      <c r="X117" s="7" t="str">
        <f>IF($A117="","",(INDEX([2]Programmesjalons!$A$4:$AH$140,MATCH($A117,[2]Programmesjalons!$A$4:$A$140,0),16)))</f>
        <v/>
      </c>
      <c r="Y117" s="7" t="str">
        <f>IF($A117="","",(INDEX([2]Programmesjalons!$A$4:$AH$140,MATCH($A117,[2]Programmesjalons!$A$4:$A$140,0),30)))</f>
        <v/>
      </c>
      <c r="Z117" s="59" t="str">
        <f>IF($A117="","",(INDEX([2]Programmesjalons!$A$4:$AH$140,MATCH($A117,[2]Programmesjalons!$A$4:$A$140,0),32)))</f>
        <v/>
      </c>
      <c r="AA117" s="60" t="str">
        <f>IF($A117="","",(INDEX([2]Programmesjalons!$A$4:$AH$140,MATCH($A117,[2]Programmesjalons!$A$4:$A$140,0),34)))</f>
        <v/>
      </c>
      <c r="AB117" s="59" t="str">
        <f>IF($A117="","",(INDEX([2]Programmesjalons!$A$4:$AH$140,MATCH($A117,[2]Programmesjalons!$A$4:$A$140,0),26)))</f>
        <v/>
      </c>
      <c r="AC117" s="59" t="str">
        <f>IF($A117="","",(INDEX([2]Programmesjalons!$A$4:$AH$140,MATCH($A117,[2]Programmesjalons!$A$4:$A$140,0),18)))</f>
        <v/>
      </c>
      <c r="AD117" s="68"/>
      <c r="AE117" s="68"/>
      <c r="AF117" s="68"/>
      <c r="AG117" s="68"/>
      <c r="AH117" s="68"/>
      <c r="AI117" s="68"/>
      <c r="AJ117" s="69"/>
      <c r="AK117" s="70"/>
      <c r="AL117" s="69"/>
      <c r="AM117" s="69"/>
      <c r="AN117" s="7" t="str">
        <f t="shared" si="30"/>
        <v/>
      </c>
      <c r="AO117" s="7" t="str">
        <f t="shared" si="31"/>
        <v/>
      </c>
      <c r="AP117" s="7" t="str">
        <f t="shared" si="32"/>
        <v/>
      </c>
      <c r="AQ117" s="7" t="str">
        <f t="shared" si="33"/>
        <v/>
      </c>
      <c r="AR117" s="59" t="str">
        <f t="shared" si="34"/>
        <v/>
      </c>
      <c r="AS117" s="60" t="str">
        <f t="shared" si="35"/>
        <v/>
      </c>
      <c r="AT117" s="59" t="str">
        <f t="shared" si="36"/>
        <v/>
      </c>
      <c r="AU117" s="59" t="str">
        <f t="shared" si="37"/>
        <v/>
      </c>
      <c r="AV117" s="76">
        <f t="shared" si="38"/>
        <v>0</v>
      </c>
      <c r="AW117" s="76" t="str">
        <f t="shared" si="39"/>
        <v>manque date</v>
      </c>
      <c r="AX117" s="61">
        <f t="shared" si="40"/>
        <v>0</v>
      </c>
      <c r="AY117" s="61" t="str">
        <f t="shared" si="41"/>
        <v>manque date</v>
      </c>
      <c r="AZ117" s="61">
        <f t="shared" si="42"/>
        <v>0</v>
      </c>
      <c r="BA117" s="61" t="str">
        <f t="shared" si="43"/>
        <v>manque date</v>
      </c>
      <c r="BB117" s="61">
        <f t="shared" si="44"/>
        <v>0</v>
      </c>
      <c r="BC117" s="61" t="str">
        <f t="shared" si="45"/>
        <v>manque date</v>
      </c>
      <c r="BD117" s="61">
        <f t="shared" si="46"/>
        <v>0</v>
      </c>
      <c r="BE117" s="61" t="str">
        <f t="shared" si="47"/>
        <v>manque date</v>
      </c>
      <c r="BF117" s="61">
        <f t="shared" si="48"/>
        <v>0</v>
      </c>
      <c r="BG117" s="61" t="str">
        <f t="shared" si="49"/>
        <v>manque date</v>
      </c>
      <c r="BH117" s="61">
        <f t="shared" si="50"/>
        <v>0</v>
      </c>
      <c r="BI117" s="61" t="str">
        <f t="shared" si="51"/>
        <v>manque date</v>
      </c>
      <c r="BJ117" s="61">
        <f t="shared" si="52"/>
        <v>0</v>
      </c>
      <c r="BK117" s="61" t="str">
        <f t="shared" si="53"/>
        <v>manque date</v>
      </c>
    </row>
    <row r="118" spans="1:63">
      <c r="A118" s="71"/>
      <c r="B118" s="74" t="str">
        <f t="shared" si="54"/>
        <v/>
      </c>
      <c r="C118" s="74" t="str">
        <f t="shared" si="55"/>
        <v/>
      </c>
      <c r="D118" s="7" t="str">
        <f t="shared" si="56"/>
        <v/>
      </c>
      <c r="E118" s="7" t="str">
        <f t="shared" si="57"/>
        <v/>
      </c>
      <c r="F118" s="7" t="str">
        <f t="shared" si="58"/>
        <v/>
      </c>
      <c r="G118" s="7" t="str">
        <f t="shared" si="59"/>
        <v/>
      </c>
      <c r="H118" s="59" t="str">
        <f t="shared" si="60"/>
        <v/>
      </c>
      <c r="I118" s="60" t="str">
        <f t="shared" si="61"/>
        <v/>
      </c>
      <c r="J118" s="59" t="str">
        <f t="shared" si="62"/>
        <v/>
      </c>
      <c r="K118" s="59" t="str">
        <f t="shared" si="63"/>
        <v/>
      </c>
      <c r="L118" s="57" t="str">
        <f>IF($A118="","",INDEX([1]Portfolio!$A$3:$AU$63,MATCH($A118,[1]Portfolio!$B$3:$B$63,0),3))</f>
        <v/>
      </c>
      <c r="M118" s="57" t="str">
        <f>IF($A118="","",INDEX([1]Portfolio!$A$3:$AU$63,MATCH($A118,[1]Portfolio!$B$3:$B$63,0),5))</f>
        <v/>
      </c>
      <c r="N118" s="6" t="str">
        <f>IF($A118="","",INDEX([1]Portfolio!$A$3:$AU$63,MATCH($A118,[1]Portfolio!$B$3:$B$63,0),29))</f>
        <v/>
      </c>
      <c r="O118" s="6" t="str">
        <f>IF($A118="","",INDEX([1]Portfolio!$A$3:$AU$63,MATCH($A118,[1]Portfolio!$B$3:$B$63,0),32))</f>
        <v/>
      </c>
      <c r="P118" s="7" t="str">
        <f>IF($A118="","",INDEX([1]Portfolio!$A$3:$AU$63,MATCH($A118,[1]Portfolio!$B$3:$B$63,0),35))</f>
        <v/>
      </c>
      <c r="Q118" s="7" t="str">
        <f>IF($A118="","",INDEX([1]Portfolio!$A$3:$AU$63,MATCH($A118,[1]Portfolio!$B$3:$B$63,0),38))</f>
        <v/>
      </c>
      <c r="R118" s="7" t="str">
        <f>IF($A118="","",INDEX([1]Portfolio!$A$3:$AU$63,MATCH($A118,[1]Portfolio!$B$3:$B$63,0),42))</f>
        <v/>
      </c>
      <c r="S118" s="7" t="str">
        <f>IF($A118="","",INDEX([1]Portfolio!$A$3:$AU$63,MATCH($A118,[1]Portfolio!$B$3:$B$63,0),43))</f>
        <v/>
      </c>
      <c r="T118" s="7" t="str">
        <f>IF($A118="","",INDEX([1]Portfolio!$A$3:$AU$63,MATCH($A118,[1]Portfolio!$B$3:$B$63,0),37))</f>
        <v/>
      </c>
      <c r="U118" s="7" t="str">
        <f>IF($A118="","",INDEX([1]Portfolio!$A$3:$AU$63,MATCH($A118,[1]Portfolio!$B$3:$B$63,0),36))</f>
        <v/>
      </c>
      <c r="V118" s="7" t="str">
        <f>IF($A118="","",(INDEX([2]Programmesjalons!$A$4:$AH$140,MATCH($A118,[2]Programmesjalons!$A$4:$A$140,0),8)))</f>
        <v/>
      </c>
      <c r="W118" s="7" t="str">
        <f>IF($A118="","",(INDEX([2]Programmesjalons!$A$4:$AH$140,MATCH($A118,[2]Programmesjalons!$A$4:$A$140,0),12)))</f>
        <v/>
      </c>
      <c r="X118" s="7" t="str">
        <f>IF($A118="","",(INDEX([2]Programmesjalons!$A$4:$AH$140,MATCH($A118,[2]Programmesjalons!$A$4:$A$140,0),16)))</f>
        <v/>
      </c>
      <c r="Y118" s="7" t="str">
        <f>IF($A118="","",(INDEX([2]Programmesjalons!$A$4:$AH$140,MATCH($A118,[2]Programmesjalons!$A$4:$A$140,0),30)))</f>
        <v/>
      </c>
      <c r="Z118" s="59" t="str">
        <f>IF($A118="","",(INDEX([2]Programmesjalons!$A$4:$AH$140,MATCH($A118,[2]Programmesjalons!$A$4:$A$140,0),32)))</f>
        <v/>
      </c>
      <c r="AA118" s="60" t="str">
        <f>IF($A118="","",(INDEX([2]Programmesjalons!$A$4:$AH$140,MATCH($A118,[2]Programmesjalons!$A$4:$A$140,0),34)))</f>
        <v/>
      </c>
      <c r="AB118" s="59" t="str">
        <f>IF($A118="","",(INDEX([2]Programmesjalons!$A$4:$AH$140,MATCH($A118,[2]Programmesjalons!$A$4:$A$140,0),26)))</f>
        <v/>
      </c>
      <c r="AC118" s="59" t="str">
        <f>IF($A118="","",(INDEX([2]Programmesjalons!$A$4:$AH$140,MATCH($A118,[2]Programmesjalons!$A$4:$A$140,0),18)))</f>
        <v/>
      </c>
      <c r="AD118" s="68"/>
      <c r="AE118" s="68"/>
      <c r="AF118" s="68"/>
      <c r="AG118" s="68"/>
      <c r="AH118" s="68"/>
      <c r="AI118" s="68"/>
      <c r="AJ118" s="69"/>
      <c r="AK118" s="70"/>
      <c r="AL118" s="69"/>
      <c r="AM118" s="69"/>
      <c r="AN118" s="7" t="str">
        <f t="shared" si="30"/>
        <v/>
      </c>
      <c r="AO118" s="7" t="str">
        <f t="shared" si="31"/>
        <v/>
      </c>
      <c r="AP118" s="7" t="str">
        <f t="shared" si="32"/>
        <v/>
      </c>
      <c r="AQ118" s="7" t="str">
        <f t="shared" si="33"/>
        <v/>
      </c>
      <c r="AR118" s="59" t="str">
        <f t="shared" si="34"/>
        <v/>
      </c>
      <c r="AS118" s="60" t="str">
        <f t="shared" si="35"/>
        <v/>
      </c>
      <c r="AT118" s="59" t="str">
        <f t="shared" si="36"/>
        <v/>
      </c>
      <c r="AU118" s="59" t="str">
        <f t="shared" si="37"/>
        <v/>
      </c>
      <c r="AV118" s="76">
        <f t="shared" si="38"/>
        <v>0</v>
      </c>
      <c r="AW118" s="76" t="str">
        <f t="shared" si="39"/>
        <v>manque date</v>
      </c>
      <c r="AX118" s="61">
        <f t="shared" si="40"/>
        <v>0</v>
      </c>
      <c r="AY118" s="61" t="str">
        <f t="shared" si="41"/>
        <v>manque date</v>
      </c>
      <c r="AZ118" s="61">
        <f t="shared" si="42"/>
        <v>0</v>
      </c>
      <c r="BA118" s="61" t="str">
        <f t="shared" si="43"/>
        <v>manque date</v>
      </c>
      <c r="BB118" s="61">
        <f t="shared" si="44"/>
        <v>0</v>
      </c>
      <c r="BC118" s="61" t="str">
        <f t="shared" si="45"/>
        <v>manque date</v>
      </c>
      <c r="BD118" s="61">
        <f t="shared" si="46"/>
        <v>0</v>
      </c>
      <c r="BE118" s="61" t="str">
        <f t="shared" si="47"/>
        <v>manque date</v>
      </c>
      <c r="BF118" s="61">
        <f t="shared" si="48"/>
        <v>0</v>
      </c>
      <c r="BG118" s="61" t="str">
        <f t="shared" si="49"/>
        <v>manque date</v>
      </c>
      <c r="BH118" s="61">
        <f t="shared" si="50"/>
        <v>0</v>
      </c>
      <c r="BI118" s="61" t="str">
        <f t="shared" si="51"/>
        <v>manque date</v>
      </c>
      <c r="BJ118" s="61">
        <f t="shared" si="52"/>
        <v>0</v>
      </c>
      <c r="BK118" s="61" t="str">
        <f t="shared" si="53"/>
        <v>manque date</v>
      </c>
    </row>
    <row r="119" spans="1:63">
      <c r="A119" s="71"/>
      <c r="B119" s="74" t="str">
        <f t="shared" si="54"/>
        <v/>
      </c>
      <c r="C119" s="74" t="str">
        <f t="shared" si="55"/>
        <v/>
      </c>
      <c r="D119" s="7" t="str">
        <f t="shared" si="56"/>
        <v/>
      </c>
      <c r="E119" s="7" t="str">
        <f t="shared" si="57"/>
        <v/>
      </c>
      <c r="F119" s="7" t="str">
        <f t="shared" si="58"/>
        <v/>
      </c>
      <c r="G119" s="7" t="str">
        <f t="shared" si="59"/>
        <v/>
      </c>
      <c r="H119" s="59" t="str">
        <f t="shared" si="60"/>
        <v/>
      </c>
      <c r="I119" s="60" t="str">
        <f t="shared" si="61"/>
        <v/>
      </c>
      <c r="J119" s="59" t="str">
        <f t="shared" si="62"/>
        <v/>
      </c>
      <c r="K119" s="59" t="str">
        <f t="shared" si="63"/>
        <v/>
      </c>
      <c r="L119" s="57" t="str">
        <f>IF($A119="","",INDEX([1]Portfolio!$A$3:$AU$63,MATCH($A119,[1]Portfolio!$B$3:$B$63,0),3))</f>
        <v/>
      </c>
      <c r="M119" s="57" t="str">
        <f>IF($A119="","",INDEX([1]Portfolio!$A$3:$AU$63,MATCH($A119,[1]Portfolio!$B$3:$B$63,0),5))</f>
        <v/>
      </c>
      <c r="N119" s="6" t="str">
        <f>IF($A119="","",INDEX([1]Portfolio!$A$3:$AU$63,MATCH($A119,[1]Portfolio!$B$3:$B$63,0),29))</f>
        <v/>
      </c>
      <c r="O119" s="6" t="str">
        <f>IF($A119="","",INDEX([1]Portfolio!$A$3:$AU$63,MATCH($A119,[1]Portfolio!$B$3:$B$63,0),32))</f>
        <v/>
      </c>
      <c r="P119" s="7" t="str">
        <f>IF($A119="","",INDEX([1]Portfolio!$A$3:$AU$63,MATCH($A119,[1]Portfolio!$B$3:$B$63,0),35))</f>
        <v/>
      </c>
      <c r="Q119" s="7" t="str">
        <f>IF($A119="","",INDEX([1]Portfolio!$A$3:$AU$63,MATCH($A119,[1]Portfolio!$B$3:$B$63,0),38))</f>
        <v/>
      </c>
      <c r="R119" s="7" t="str">
        <f>IF($A119="","",INDEX([1]Portfolio!$A$3:$AU$63,MATCH($A119,[1]Portfolio!$B$3:$B$63,0),42))</f>
        <v/>
      </c>
      <c r="S119" s="7" t="str">
        <f>IF($A119="","",INDEX([1]Portfolio!$A$3:$AU$63,MATCH($A119,[1]Portfolio!$B$3:$B$63,0),43))</f>
        <v/>
      </c>
      <c r="T119" s="7" t="str">
        <f>IF($A119="","",INDEX([1]Portfolio!$A$3:$AU$63,MATCH($A119,[1]Portfolio!$B$3:$B$63,0),37))</f>
        <v/>
      </c>
      <c r="U119" s="7" t="str">
        <f>IF($A119="","",INDEX([1]Portfolio!$A$3:$AU$63,MATCH($A119,[1]Portfolio!$B$3:$B$63,0),36))</f>
        <v/>
      </c>
      <c r="V119" s="7" t="str">
        <f>IF($A119="","",(INDEX([2]Programmesjalons!$A$4:$AH$140,MATCH($A119,[2]Programmesjalons!$A$4:$A$140,0),8)))</f>
        <v/>
      </c>
      <c r="W119" s="7" t="str">
        <f>IF($A119="","",(INDEX([2]Programmesjalons!$A$4:$AH$140,MATCH($A119,[2]Programmesjalons!$A$4:$A$140,0),12)))</f>
        <v/>
      </c>
      <c r="X119" s="7" t="str">
        <f>IF($A119="","",(INDEX([2]Programmesjalons!$A$4:$AH$140,MATCH($A119,[2]Programmesjalons!$A$4:$A$140,0),16)))</f>
        <v/>
      </c>
      <c r="Y119" s="7" t="str">
        <f>IF($A119="","",(INDEX([2]Programmesjalons!$A$4:$AH$140,MATCH($A119,[2]Programmesjalons!$A$4:$A$140,0),30)))</f>
        <v/>
      </c>
      <c r="Z119" s="59" t="str">
        <f>IF($A119="","",(INDEX([2]Programmesjalons!$A$4:$AH$140,MATCH($A119,[2]Programmesjalons!$A$4:$A$140,0),32)))</f>
        <v/>
      </c>
      <c r="AA119" s="60" t="str">
        <f>IF($A119="","",(INDEX([2]Programmesjalons!$A$4:$AH$140,MATCH($A119,[2]Programmesjalons!$A$4:$A$140,0),34)))</f>
        <v/>
      </c>
      <c r="AB119" s="59" t="str">
        <f>IF($A119="","",(INDEX([2]Programmesjalons!$A$4:$AH$140,MATCH($A119,[2]Programmesjalons!$A$4:$A$140,0),26)))</f>
        <v/>
      </c>
      <c r="AC119" s="59" t="str">
        <f>IF($A119="","",(INDEX([2]Programmesjalons!$A$4:$AH$140,MATCH($A119,[2]Programmesjalons!$A$4:$A$140,0),18)))</f>
        <v/>
      </c>
      <c r="AD119" s="68"/>
      <c r="AE119" s="68"/>
      <c r="AF119" s="68"/>
      <c r="AG119" s="68"/>
      <c r="AH119" s="68"/>
      <c r="AI119" s="68"/>
      <c r="AJ119" s="69"/>
      <c r="AK119" s="70"/>
      <c r="AL119" s="69"/>
      <c r="AM119" s="69"/>
      <c r="AN119" s="7" t="str">
        <f t="shared" si="30"/>
        <v/>
      </c>
      <c r="AO119" s="7" t="str">
        <f t="shared" si="31"/>
        <v/>
      </c>
      <c r="AP119" s="7" t="str">
        <f t="shared" si="32"/>
        <v/>
      </c>
      <c r="AQ119" s="7" t="str">
        <f t="shared" si="33"/>
        <v/>
      </c>
      <c r="AR119" s="59" t="str">
        <f t="shared" si="34"/>
        <v/>
      </c>
      <c r="AS119" s="60" t="str">
        <f t="shared" si="35"/>
        <v/>
      </c>
      <c r="AT119" s="59" t="str">
        <f t="shared" si="36"/>
        <v/>
      </c>
      <c r="AU119" s="59" t="str">
        <f t="shared" si="37"/>
        <v/>
      </c>
      <c r="AV119" s="76">
        <f t="shared" si="38"/>
        <v>0</v>
      </c>
      <c r="AW119" s="76" t="str">
        <f t="shared" si="39"/>
        <v>manque date</v>
      </c>
      <c r="AX119" s="61">
        <f t="shared" si="40"/>
        <v>0</v>
      </c>
      <c r="AY119" s="61" t="str">
        <f t="shared" si="41"/>
        <v>manque date</v>
      </c>
      <c r="AZ119" s="61">
        <f t="shared" si="42"/>
        <v>0</v>
      </c>
      <c r="BA119" s="61" t="str">
        <f t="shared" si="43"/>
        <v>manque date</v>
      </c>
      <c r="BB119" s="61">
        <f t="shared" si="44"/>
        <v>0</v>
      </c>
      <c r="BC119" s="61" t="str">
        <f t="shared" si="45"/>
        <v>manque date</v>
      </c>
      <c r="BD119" s="61">
        <f t="shared" si="46"/>
        <v>0</v>
      </c>
      <c r="BE119" s="61" t="str">
        <f t="shared" si="47"/>
        <v>manque date</v>
      </c>
      <c r="BF119" s="61">
        <f t="shared" si="48"/>
        <v>0</v>
      </c>
      <c r="BG119" s="61" t="str">
        <f t="shared" si="49"/>
        <v>manque date</v>
      </c>
      <c r="BH119" s="61">
        <f t="shared" si="50"/>
        <v>0</v>
      </c>
      <c r="BI119" s="61" t="str">
        <f t="shared" si="51"/>
        <v>manque date</v>
      </c>
      <c r="BJ119" s="61">
        <f t="shared" si="52"/>
        <v>0</v>
      </c>
      <c r="BK119" s="61" t="str">
        <f t="shared" si="53"/>
        <v>manque date</v>
      </c>
    </row>
    <row r="120" spans="1:63">
      <c r="A120" s="71"/>
      <c r="B120" s="74" t="str">
        <f t="shared" si="54"/>
        <v/>
      </c>
      <c r="C120" s="74" t="str">
        <f t="shared" si="55"/>
        <v/>
      </c>
      <c r="D120" s="7" t="str">
        <f t="shared" si="56"/>
        <v/>
      </c>
      <c r="E120" s="7" t="str">
        <f t="shared" si="57"/>
        <v/>
      </c>
      <c r="F120" s="7" t="str">
        <f t="shared" si="58"/>
        <v/>
      </c>
      <c r="G120" s="7" t="str">
        <f t="shared" si="59"/>
        <v/>
      </c>
      <c r="H120" s="59" t="str">
        <f t="shared" si="60"/>
        <v/>
      </c>
      <c r="I120" s="60" t="str">
        <f t="shared" si="61"/>
        <v/>
      </c>
      <c r="J120" s="59" t="str">
        <f t="shared" si="62"/>
        <v/>
      </c>
      <c r="K120" s="59" t="str">
        <f t="shared" si="63"/>
        <v/>
      </c>
      <c r="L120" s="57" t="str">
        <f>IF($A120="","",INDEX([1]Portfolio!$A$3:$AU$63,MATCH($A120,[1]Portfolio!$B$3:$B$63,0),3))</f>
        <v/>
      </c>
      <c r="M120" s="57" t="str">
        <f>IF($A120="","",INDEX([1]Portfolio!$A$3:$AU$63,MATCH($A120,[1]Portfolio!$B$3:$B$63,0),5))</f>
        <v/>
      </c>
      <c r="N120" s="6" t="str">
        <f>IF($A120="","",INDEX([1]Portfolio!$A$3:$AU$63,MATCH($A120,[1]Portfolio!$B$3:$B$63,0),29))</f>
        <v/>
      </c>
      <c r="O120" s="6" t="str">
        <f>IF($A120="","",INDEX([1]Portfolio!$A$3:$AU$63,MATCH($A120,[1]Portfolio!$B$3:$B$63,0),32))</f>
        <v/>
      </c>
      <c r="P120" s="7" t="str">
        <f>IF($A120="","",INDEX([1]Portfolio!$A$3:$AU$63,MATCH($A120,[1]Portfolio!$B$3:$B$63,0),35))</f>
        <v/>
      </c>
      <c r="Q120" s="7" t="str">
        <f>IF($A120="","",INDEX([1]Portfolio!$A$3:$AU$63,MATCH($A120,[1]Portfolio!$B$3:$B$63,0),38))</f>
        <v/>
      </c>
      <c r="R120" s="7" t="str">
        <f>IF($A120="","",INDEX([1]Portfolio!$A$3:$AU$63,MATCH($A120,[1]Portfolio!$B$3:$B$63,0),42))</f>
        <v/>
      </c>
      <c r="S120" s="7" t="str">
        <f>IF($A120="","",INDEX([1]Portfolio!$A$3:$AU$63,MATCH($A120,[1]Portfolio!$B$3:$B$63,0),43))</f>
        <v/>
      </c>
      <c r="T120" s="7" t="str">
        <f>IF($A120="","",INDEX([1]Portfolio!$A$3:$AU$63,MATCH($A120,[1]Portfolio!$B$3:$B$63,0),37))</f>
        <v/>
      </c>
      <c r="U120" s="7" t="str">
        <f>IF($A120="","",INDEX([1]Portfolio!$A$3:$AU$63,MATCH($A120,[1]Portfolio!$B$3:$B$63,0),36))</f>
        <v/>
      </c>
      <c r="V120" s="7" t="str">
        <f>IF($A120="","",(INDEX([2]Programmesjalons!$A$4:$AH$140,MATCH($A120,[2]Programmesjalons!$A$4:$A$140,0),8)))</f>
        <v/>
      </c>
      <c r="W120" s="7" t="str">
        <f>IF($A120="","",(INDEX([2]Programmesjalons!$A$4:$AH$140,MATCH($A120,[2]Programmesjalons!$A$4:$A$140,0),12)))</f>
        <v/>
      </c>
      <c r="X120" s="7" t="str">
        <f>IF($A120="","",(INDEX([2]Programmesjalons!$A$4:$AH$140,MATCH($A120,[2]Programmesjalons!$A$4:$A$140,0),16)))</f>
        <v/>
      </c>
      <c r="Y120" s="7" t="str">
        <f>IF($A120="","",(INDEX([2]Programmesjalons!$A$4:$AH$140,MATCH($A120,[2]Programmesjalons!$A$4:$A$140,0),30)))</f>
        <v/>
      </c>
      <c r="Z120" s="59" t="str">
        <f>IF($A120="","",(INDEX([2]Programmesjalons!$A$4:$AH$140,MATCH($A120,[2]Programmesjalons!$A$4:$A$140,0),32)))</f>
        <v/>
      </c>
      <c r="AA120" s="60" t="str">
        <f>IF($A120="","",(INDEX([2]Programmesjalons!$A$4:$AH$140,MATCH($A120,[2]Programmesjalons!$A$4:$A$140,0),34)))</f>
        <v/>
      </c>
      <c r="AB120" s="59" t="str">
        <f>IF($A120="","",(INDEX([2]Programmesjalons!$A$4:$AH$140,MATCH($A120,[2]Programmesjalons!$A$4:$A$140,0),26)))</f>
        <v/>
      </c>
      <c r="AC120" s="59" t="str">
        <f>IF($A120="","",(INDEX([2]Programmesjalons!$A$4:$AH$140,MATCH($A120,[2]Programmesjalons!$A$4:$A$140,0),18)))</f>
        <v/>
      </c>
      <c r="AD120" s="68"/>
      <c r="AE120" s="68"/>
      <c r="AF120" s="68"/>
      <c r="AG120" s="68"/>
      <c r="AH120" s="68"/>
      <c r="AI120" s="68"/>
      <c r="AJ120" s="69"/>
      <c r="AK120" s="70"/>
      <c r="AL120" s="69"/>
      <c r="AM120" s="69"/>
      <c r="AN120" s="7" t="str">
        <f t="shared" si="30"/>
        <v/>
      </c>
      <c r="AO120" s="7" t="str">
        <f t="shared" si="31"/>
        <v/>
      </c>
      <c r="AP120" s="7" t="str">
        <f t="shared" si="32"/>
        <v/>
      </c>
      <c r="AQ120" s="7" t="str">
        <f t="shared" si="33"/>
        <v/>
      </c>
      <c r="AR120" s="59" t="str">
        <f t="shared" si="34"/>
        <v/>
      </c>
      <c r="AS120" s="60" t="str">
        <f t="shared" si="35"/>
        <v/>
      </c>
      <c r="AT120" s="59" t="str">
        <f t="shared" si="36"/>
        <v/>
      </c>
      <c r="AU120" s="59" t="str">
        <f t="shared" si="37"/>
        <v/>
      </c>
      <c r="AV120" s="76">
        <f t="shared" si="38"/>
        <v>0</v>
      </c>
      <c r="AW120" s="76" t="str">
        <f t="shared" si="39"/>
        <v>manque date</v>
      </c>
      <c r="AX120" s="61">
        <f t="shared" si="40"/>
        <v>0</v>
      </c>
      <c r="AY120" s="61" t="str">
        <f t="shared" si="41"/>
        <v>manque date</v>
      </c>
      <c r="AZ120" s="61">
        <f t="shared" si="42"/>
        <v>0</v>
      </c>
      <c r="BA120" s="61" t="str">
        <f t="shared" si="43"/>
        <v>manque date</v>
      </c>
      <c r="BB120" s="61">
        <f t="shared" si="44"/>
        <v>0</v>
      </c>
      <c r="BC120" s="61" t="str">
        <f t="shared" si="45"/>
        <v>manque date</v>
      </c>
      <c r="BD120" s="61">
        <f t="shared" si="46"/>
        <v>0</v>
      </c>
      <c r="BE120" s="61" t="str">
        <f t="shared" si="47"/>
        <v>manque date</v>
      </c>
      <c r="BF120" s="61">
        <f t="shared" si="48"/>
        <v>0</v>
      </c>
      <c r="BG120" s="61" t="str">
        <f t="shared" si="49"/>
        <v>manque date</v>
      </c>
      <c r="BH120" s="61">
        <f t="shared" si="50"/>
        <v>0</v>
      </c>
      <c r="BI120" s="61" t="str">
        <f t="shared" si="51"/>
        <v>manque date</v>
      </c>
      <c r="BJ120" s="61">
        <f t="shared" si="52"/>
        <v>0</v>
      </c>
      <c r="BK120" s="61" t="str">
        <f t="shared" si="53"/>
        <v>manque date</v>
      </c>
    </row>
    <row r="121" spans="1:63">
      <c r="A121" s="71"/>
      <c r="B121" s="74" t="str">
        <f t="shared" si="54"/>
        <v/>
      </c>
      <c r="C121" s="74" t="str">
        <f t="shared" si="55"/>
        <v/>
      </c>
      <c r="D121" s="7" t="str">
        <f t="shared" si="56"/>
        <v/>
      </c>
      <c r="E121" s="7" t="str">
        <f t="shared" si="57"/>
        <v/>
      </c>
      <c r="F121" s="7" t="str">
        <f t="shared" si="58"/>
        <v/>
      </c>
      <c r="G121" s="7" t="str">
        <f t="shared" si="59"/>
        <v/>
      </c>
      <c r="H121" s="59" t="str">
        <f t="shared" si="60"/>
        <v/>
      </c>
      <c r="I121" s="60" t="str">
        <f t="shared" si="61"/>
        <v/>
      </c>
      <c r="J121" s="59" t="str">
        <f t="shared" si="62"/>
        <v/>
      </c>
      <c r="K121" s="59" t="str">
        <f t="shared" si="63"/>
        <v/>
      </c>
      <c r="L121" s="57" t="str">
        <f>IF($A121="","",INDEX([1]Portfolio!$A$3:$AU$63,MATCH($A121,[1]Portfolio!$B$3:$B$63,0),3))</f>
        <v/>
      </c>
      <c r="M121" s="57" t="str">
        <f>IF($A121="","",INDEX([1]Portfolio!$A$3:$AU$63,MATCH($A121,[1]Portfolio!$B$3:$B$63,0),5))</f>
        <v/>
      </c>
      <c r="N121" s="6" t="str">
        <f>IF($A121="","",INDEX([1]Portfolio!$A$3:$AU$63,MATCH($A121,[1]Portfolio!$B$3:$B$63,0),29))</f>
        <v/>
      </c>
      <c r="O121" s="6" t="str">
        <f>IF($A121="","",INDEX([1]Portfolio!$A$3:$AU$63,MATCH($A121,[1]Portfolio!$B$3:$B$63,0),32))</f>
        <v/>
      </c>
      <c r="P121" s="7" t="str">
        <f>IF($A121="","",INDEX([1]Portfolio!$A$3:$AU$63,MATCH($A121,[1]Portfolio!$B$3:$B$63,0),35))</f>
        <v/>
      </c>
      <c r="Q121" s="7" t="str">
        <f>IF($A121="","",INDEX([1]Portfolio!$A$3:$AU$63,MATCH($A121,[1]Portfolio!$B$3:$B$63,0),38))</f>
        <v/>
      </c>
      <c r="R121" s="7" t="str">
        <f>IF($A121="","",INDEX([1]Portfolio!$A$3:$AU$63,MATCH($A121,[1]Portfolio!$B$3:$B$63,0),42))</f>
        <v/>
      </c>
      <c r="S121" s="7" t="str">
        <f>IF($A121="","",INDEX([1]Portfolio!$A$3:$AU$63,MATCH($A121,[1]Portfolio!$B$3:$B$63,0),43))</f>
        <v/>
      </c>
      <c r="T121" s="7" t="str">
        <f>IF($A121="","",INDEX([1]Portfolio!$A$3:$AU$63,MATCH($A121,[1]Portfolio!$B$3:$B$63,0),37))</f>
        <v/>
      </c>
      <c r="U121" s="7" t="str">
        <f>IF($A121="","",INDEX([1]Portfolio!$A$3:$AU$63,MATCH($A121,[1]Portfolio!$B$3:$B$63,0),36))</f>
        <v/>
      </c>
      <c r="V121" s="7" t="str">
        <f>IF($A121="","",(INDEX([2]Programmesjalons!$A$4:$AH$140,MATCH($A121,[2]Programmesjalons!$A$4:$A$140,0),8)))</f>
        <v/>
      </c>
      <c r="W121" s="7" t="str">
        <f>IF($A121="","",(INDEX([2]Programmesjalons!$A$4:$AH$140,MATCH($A121,[2]Programmesjalons!$A$4:$A$140,0),12)))</f>
        <v/>
      </c>
      <c r="X121" s="7" t="str">
        <f>IF($A121="","",(INDEX([2]Programmesjalons!$A$4:$AH$140,MATCH($A121,[2]Programmesjalons!$A$4:$A$140,0),16)))</f>
        <v/>
      </c>
      <c r="Y121" s="7" t="str">
        <f>IF($A121="","",(INDEX([2]Programmesjalons!$A$4:$AH$140,MATCH($A121,[2]Programmesjalons!$A$4:$A$140,0),30)))</f>
        <v/>
      </c>
      <c r="Z121" s="59" t="str">
        <f>IF($A121="","",(INDEX([2]Programmesjalons!$A$4:$AH$140,MATCH($A121,[2]Programmesjalons!$A$4:$A$140,0),32)))</f>
        <v/>
      </c>
      <c r="AA121" s="60" t="str">
        <f>IF($A121="","",(INDEX([2]Programmesjalons!$A$4:$AH$140,MATCH($A121,[2]Programmesjalons!$A$4:$A$140,0),34)))</f>
        <v/>
      </c>
      <c r="AB121" s="59" t="str">
        <f>IF($A121="","",(INDEX([2]Programmesjalons!$A$4:$AH$140,MATCH($A121,[2]Programmesjalons!$A$4:$A$140,0),26)))</f>
        <v/>
      </c>
      <c r="AC121" s="59" t="str">
        <f>IF($A121="","",(INDEX([2]Programmesjalons!$A$4:$AH$140,MATCH($A121,[2]Programmesjalons!$A$4:$A$140,0),18)))</f>
        <v/>
      </c>
      <c r="AD121" s="68"/>
      <c r="AE121" s="68"/>
      <c r="AF121" s="68"/>
      <c r="AG121" s="68"/>
      <c r="AH121" s="68"/>
      <c r="AI121" s="68"/>
      <c r="AJ121" s="69"/>
      <c r="AK121" s="70"/>
      <c r="AL121" s="69"/>
      <c r="AM121" s="69"/>
      <c r="AN121" s="7" t="str">
        <f t="shared" si="30"/>
        <v/>
      </c>
      <c r="AO121" s="7" t="str">
        <f t="shared" si="31"/>
        <v/>
      </c>
      <c r="AP121" s="7" t="str">
        <f t="shared" si="32"/>
        <v/>
      </c>
      <c r="AQ121" s="7" t="str">
        <f t="shared" si="33"/>
        <v/>
      </c>
      <c r="AR121" s="59" t="str">
        <f t="shared" si="34"/>
        <v/>
      </c>
      <c r="AS121" s="60" t="str">
        <f t="shared" si="35"/>
        <v/>
      </c>
      <c r="AT121" s="59" t="str">
        <f t="shared" si="36"/>
        <v/>
      </c>
      <c r="AU121" s="59" t="str">
        <f t="shared" si="37"/>
        <v/>
      </c>
      <c r="AV121" s="76">
        <f t="shared" si="38"/>
        <v>0</v>
      </c>
      <c r="AW121" s="76" t="str">
        <f t="shared" si="39"/>
        <v>manque date</v>
      </c>
      <c r="AX121" s="61">
        <f t="shared" si="40"/>
        <v>0</v>
      </c>
      <c r="AY121" s="61" t="str">
        <f t="shared" si="41"/>
        <v>manque date</v>
      </c>
      <c r="AZ121" s="61">
        <f t="shared" si="42"/>
        <v>0</v>
      </c>
      <c r="BA121" s="61" t="str">
        <f t="shared" si="43"/>
        <v>manque date</v>
      </c>
      <c r="BB121" s="61">
        <f t="shared" si="44"/>
        <v>0</v>
      </c>
      <c r="BC121" s="61" t="str">
        <f t="shared" si="45"/>
        <v>manque date</v>
      </c>
      <c r="BD121" s="61">
        <f t="shared" si="46"/>
        <v>0</v>
      </c>
      <c r="BE121" s="61" t="str">
        <f t="shared" si="47"/>
        <v>manque date</v>
      </c>
      <c r="BF121" s="61">
        <f t="shared" si="48"/>
        <v>0</v>
      </c>
      <c r="BG121" s="61" t="str">
        <f t="shared" si="49"/>
        <v>manque date</v>
      </c>
      <c r="BH121" s="61">
        <f t="shared" si="50"/>
        <v>0</v>
      </c>
      <c r="BI121" s="61" t="str">
        <f t="shared" si="51"/>
        <v>manque date</v>
      </c>
      <c r="BJ121" s="61">
        <f t="shared" si="52"/>
        <v>0</v>
      </c>
      <c r="BK121" s="61" t="str">
        <f t="shared" si="53"/>
        <v>manque date</v>
      </c>
    </row>
    <row r="122" spans="1:63">
      <c r="A122" s="71"/>
      <c r="B122" s="74" t="str">
        <f t="shared" si="54"/>
        <v/>
      </c>
      <c r="C122" s="74" t="str">
        <f t="shared" si="55"/>
        <v/>
      </c>
      <c r="D122" s="7" t="str">
        <f t="shared" si="56"/>
        <v/>
      </c>
      <c r="E122" s="7" t="str">
        <f t="shared" si="57"/>
        <v/>
      </c>
      <c r="F122" s="7" t="str">
        <f t="shared" si="58"/>
        <v/>
      </c>
      <c r="G122" s="7" t="str">
        <f t="shared" si="59"/>
        <v/>
      </c>
      <c r="H122" s="59" t="str">
        <f t="shared" si="60"/>
        <v/>
      </c>
      <c r="I122" s="60" t="str">
        <f t="shared" si="61"/>
        <v/>
      </c>
      <c r="J122" s="59" t="str">
        <f t="shared" si="62"/>
        <v/>
      </c>
      <c r="K122" s="59" t="str">
        <f t="shared" si="63"/>
        <v/>
      </c>
      <c r="L122" s="57" t="str">
        <f>IF($A122="","",INDEX([1]Portfolio!$A$3:$AU$63,MATCH($A122,[1]Portfolio!$B$3:$B$63,0),3))</f>
        <v/>
      </c>
      <c r="M122" s="57" t="str">
        <f>IF($A122="","",INDEX([1]Portfolio!$A$3:$AU$63,MATCH($A122,[1]Portfolio!$B$3:$B$63,0),5))</f>
        <v/>
      </c>
      <c r="N122" s="6" t="str">
        <f>IF($A122="","",INDEX([1]Portfolio!$A$3:$AU$63,MATCH($A122,[1]Portfolio!$B$3:$B$63,0),29))</f>
        <v/>
      </c>
      <c r="O122" s="6" t="str">
        <f>IF($A122="","",INDEX([1]Portfolio!$A$3:$AU$63,MATCH($A122,[1]Portfolio!$B$3:$B$63,0),32))</f>
        <v/>
      </c>
      <c r="P122" s="7" t="str">
        <f>IF($A122="","",INDEX([1]Portfolio!$A$3:$AU$63,MATCH($A122,[1]Portfolio!$B$3:$B$63,0),35))</f>
        <v/>
      </c>
      <c r="Q122" s="7" t="str">
        <f>IF($A122="","",INDEX([1]Portfolio!$A$3:$AU$63,MATCH($A122,[1]Portfolio!$B$3:$B$63,0),38))</f>
        <v/>
      </c>
      <c r="R122" s="7" t="str">
        <f>IF($A122="","",INDEX([1]Portfolio!$A$3:$AU$63,MATCH($A122,[1]Portfolio!$B$3:$B$63,0),42))</f>
        <v/>
      </c>
      <c r="S122" s="7" t="str">
        <f>IF($A122="","",INDEX([1]Portfolio!$A$3:$AU$63,MATCH($A122,[1]Portfolio!$B$3:$B$63,0),43))</f>
        <v/>
      </c>
      <c r="T122" s="7" t="str">
        <f>IF($A122="","",INDEX([1]Portfolio!$A$3:$AU$63,MATCH($A122,[1]Portfolio!$B$3:$B$63,0),37))</f>
        <v/>
      </c>
      <c r="U122" s="7" t="str">
        <f>IF($A122="","",INDEX([1]Portfolio!$A$3:$AU$63,MATCH($A122,[1]Portfolio!$B$3:$B$63,0),36))</f>
        <v/>
      </c>
      <c r="V122" s="7" t="str">
        <f>IF($A122="","",(INDEX([2]Programmesjalons!$A$4:$AH$140,MATCH($A122,[2]Programmesjalons!$A$4:$A$140,0),8)))</f>
        <v/>
      </c>
      <c r="W122" s="7" t="str">
        <f>IF($A122="","",(INDEX([2]Programmesjalons!$A$4:$AH$140,MATCH($A122,[2]Programmesjalons!$A$4:$A$140,0),12)))</f>
        <v/>
      </c>
      <c r="X122" s="7" t="str">
        <f>IF($A122="","",(INDEX([2]Programmesjalons!$A$4:$AH$140,MATCH($A122,[2]Programmesjalons!$A$4:$A$140,0),16)))</f>
        <v/>
      </c>
      <c r="Y122" s="7" t="str">
        <f>IF($A122="","",(INDEX([2]Programmesjalons!$A$4:$AH$140,MATCH($A122,[2]Programmesjalons!$A$4:$A$140,0),30)))</f>
        <v/>
      </c>
      <c r="Z122" s="59" t="str">
        <f>IF($A122="","",(INDEX([2]Programmesjalons!$A$4:$AH$140,MATCH($A122,[2]Programmesjalons!$A$4:$A$140,0),32)))</f>
        <v/>
      </c>
      <c r="AA122" s="60" t="str">
        <f>IF($A122="","",(INDEX([2]Programmesjalons!$A$4:$AH$140,MATCH($A122,[2]Programmesjalons!$A$4:$A$140,0),34)))</f>
        <v/>
      </c>
      <c r="AB122" s="59" t="str">
        <f>IF($A122="","",(INDEX([2]Programmesjalons!$A$4:$AH$140,MATCH($A122,[2]Programmesjalons!$A$4:$A$140,0),26)))</f>
        <v/>
      </c>
      <c r="AC122" s="59" t="str">
        <f>IF($A122="","",(INDEX([2]Programmesjalons!$A$4:$AH$140,MATCH($A122,[2]Programmesjalons!$A$4:$A$140,0),18)))</f>
        <v/>
      </c>
      <c r="AD122" s="68"/>
      <c r="AE122" s="68"/>
      <c r="AF122" s="68"/>
      <c r="AG122" s="68"/>
      <c r="AH122" s="68"/>
      <c r="AI122" s="68"/>
      <c r="AJ122" s="69"/>
      <c r="AK122" s="70"/>
      <c r="AL122" s="69"/>
      <c r="AM122" s="69"/>
      <c r="AN122" s="7" t="str">
        <f t="shared" si="30"/>
        <v/>
      </c>
      <c r="AO122" s="7" t="str">
        <f t="shared" si="31"/>
        <v/>
      </c>
      <c r="AP122" s="7" t="str">
        <f t="shared" si="32"/>
        <v/>
      </c>
      <c r="AQ122" s="7" t="str">
        <f t="shared" si="33"/>
        <v/>
      </c>
      <c r="AR122" s="59" t="str">
        <f t="shared" si="34"/>
        <v/>
      </c>
      <c r="AS122" s="60" t="str">
        <f t="shared" si="35"/>
        <v/>
      </c>
      <c r="AT122" s="59" t="str">
        <f t="shared" si="36"/>
        <v/>
      </c>
      <c r="AU122" s="59" t="str">
        <f t="shared" si="37"/>
        <v/>
      </c>
      <c r="AV122" s="76">
        <f t="shared" si="38"/>
        <v>0</v>
      </c>
      <c r="AW122" s="76" t="str">
        <f t="shared" si="39"/>
        <v>manque date</v>
      </c>
      <c r="AX122" s="61">
        <f t="shared" si="40"/>
        <v>0</v>
      </c>
      <c r="AY122" s="61" t="str">
        <f t="shared" si="41"/>
        <v>manque date</v>
      </c>
      <c r="AZ122" s="61">
        <f t="shared" si="42"/>
        <v>0</v>
      </c>
      <c r="BA122" s="61" t="str">
        <f t="shared" si="43"/>
        <v>manque date</v>
      </c>
      <c r="BB122" s="61">
        <f t="shared" si="44"/>
        <v>0</v>
      </c>
      <c r="BC122" s="61" t="str">
        <f t="shared" si="45"/>
        <v>manque date</v>
      </c>
      <c r="BD122" s="61">
        <f t="shared" si="46"/>
        <v>0</v>
      </c>
      <c r="BE122" s="61" t="str">
        <f t="shared" si="47"/>
        <v>manque date</v>
      </c>
      <c r="BF122" s="61">
        <f t="shared" si="48"/>
        <v>0</v>
      </c>
      <c r="BG122" s="61" t="str">
        <f t="shared" si="49"/>
        <v>manque date</v>
      </c>
      <c r="BH122" s="61">
        <f t="shared" si="50"/>
        <v>0</v>
      </c>
      <c r="BI122" s="61" t="str">
        <f t="shared" si="51"/>
        <v>manque date</v>
      </c>
      <c r="BJ122" s="61">
        <f t="shared" si="52"/>
        <v>0</v>
      </c>
      <c r="BK122" s="61" t="str">
        <f t="shared" si="53"/>
        <v>manque date</v>
      </c>
    </row>
    <row r="123" spans="1:63">
      <c r="A123" s="71"/>
      <c r="B123" s="74" t="str">
        <f t="shared" si="54"/>
        <v/>
      </c>
      <c r="C123" s="74" t="str">
        <f t="shared" si="55"/>
        <v/>
      </c>
      <c r="D123" s="7" t="str">
        <f t="shared" si="56"/>
        <v/>
      </c>
      <c r="E123" s="7" t="str">
        <f t="shared" si="57"/>
        <v/>
      </c>
      <c r="F123" s="7" t="str">
        <f t="shared" si="58"/>
        <v/>
      </c>
      <c r="G123" s="7" t="str">
        <f t="shared" si="59"/>
        <v/>
      </c>
      <c r="H123" s="59" t="str">
        <f t="shared" si="60"/>
        <v/>
      </c>
      <c r="I123" s="60" t="str">
        <f t="shared" si="61"/>
        <v/>
      </c>
      <c r="J123" s="59" t="str">
        <f t="shared" si="62"/>
        <v/>
      </c>
      <c r="K123" s="59" t="str">
        <f t="shared" si="63"/>
        <v/>
      </c>
      <c r="L123" s="57" t="str">
        <f>IF($A123="","",INDEX([1]Portfolio!$A$3:$AU$63,MATCH($A123,[1]Portfolio!$B$3:$B$63,0),3))</f>
        <v/>
      </c>
      <c r="M123" s="57" t="str">
        <f>IF($A123="","",INDEX([1]Portfolio!$A$3:$AU$63,MATCH($A123,[1]Portfolio!$B$3:$B$63,0),5))</f>
        <v/>
      </c>
      <c r="N123" s="6" t="str">
        <f>IF($A123="","",INDEX([1]Portfolio!$A$3:$AU$63,MATCH($A123,[1]Portfolio!$B$3:$B$63,0),29))</f>
        <v/>
      </c>
      <c r="O123" s="6" t="str">
        <f>IF($A123="","",INDEX([1]Portfolio!$A$3:$AU$63,MATCH($A123,[1]Portfolio!$B$3:$B$63,0),32))</f>
        <v/>
      </c>
      <c r="P123" s="7" t="str">
        <f>IF($A123="","",INDEX([1]Portfolio!$A$3:$AU$63,MATCH($A123,[1]Portfolio!$B$3:$B$63,0),35))</f>
        <v/>
      </c>
      <c r="Q123" s="7" t="str">
        <f>IF($A123="","",INDEX([1]Portfolio!$A$3:$AU$63,MATCH($A123,[1]Portfolio!$B$3:$B$63,0),38))</f>
        <v/>
      </c>
      <c r="R123" s="7" t="str">
        <f>IF($A123="","",INDEX([1]Portfolio!$A$3:$AU$63,MATCH($A123,[1]Portfolio!$B$3:$B$63,0),42))</f>
        <v/>
      </c>
      <c r="S123" s="7" t="str">
        <f>IF($A123="","",INDEX([1]Portfolio!$A$3:$AU$63,MATCH($A123,[1]Portfolio!$B$3:$B$63,0),43))</f>
        <v/>
      </c>
      <c r="T123" s="7" t="str">
        <f>IF($A123="","",INDEX([1]Portfolio!$A$3:$AU$63,MATCH($A123,[1]Portfolio!$B$3:$B$63,0),37))</f>
        <v/>
      </c>
      <c r="U123" s="7" t="str">
        <f>IF($A123="","",INDEX([1]Portfolio!$A$3:$AU$63,MATCH($A123,[1]Portfolio!$B$3:$B$63,0),36))</f>
        <v/>
      </c>
      <c r="V123" s="7" t="str">
        <f>IF($A123="","",(INDEX([2]Programmesjalons!$A$4:$AH$140,MATCH($A123,[2]Programmesjalons!$A$4:$A$140,0),8)))</f>
        <v/>
      </c>
      <c r="W123" s="7" t="str">
        <f>IF($A123="","",(INDEX([2]Programmesjalons!$A$4:$AH$140,MATCH($A123,[2]Programmesjalons!$A$4:$A$140,0),12)))</f>
        <v/>
      </c>
      <c r="X123" s="7" t="str">
        <f>IF($A123="","",(INDEX([2]Programmesjalons!$A$4:$AH$140,MATCH($A123,[2]Programmesjalons!$A$4:$A$140,0),16)))</f>
        <v/>
      </c>
      <c r="Y123" s="7" t="str">
        <f>IF($A123="","",(INDEX([2]Programmesjalons!$A$4:$AH$140,MATCH($A123,[2]Programmesjalons!$A$4:$A$140,0),30)))</f>
        <v/>
      </c>
      <c r="Z123" s="59" t="str">
        <f>IF($A123="","",(INDEX([2]Programmesjalons!$A$4:$AH$140,MATCH($A123,[2]Programmesjalons!$A$4:$A$140,0),32)))</f>
        <v/>
      </c>
      <c r="AA123" s="60" t="str">
        <f>IF($A123="","",(INDEX([2]Programmesjalons!$A$4:$AH$140,MATCH($A123,[2]Programmesjalons!$A$4:$A$140,0),34)))</f>
        <v/>
      </c>
      <c r="AB123" s="59" t="str">
        <f>IF($A123="","",(INDEX([2]Programmesjalons!$A$4:$AH$140,MATCH($A123,[2]Programmesjalons!$A$4:$A$140,0),26)))</f>
        <v/>
      </c>
      <c r="AC123" s="59" t="str">
        <f>IF($A123="","",(INDEX([2]Programmesjalons!$A$4:$AH$140,MATCH($A123,[2]Programmesjalons!$A$4:$A$140,0),18)))</f>
        <v/>
      </c>
      <c r="AD123" s="68"/>
      <c r="AE123" s="68"/>
      <c r="AF123" s="68"/>
      <c r="AG123" s="68"/>
      <c r="AH123" s="68"/>
      <c r="AI123" s="68"/>
      <c r="AJ123" s="69"/>
      <c r="AK123" s="70"/>
      <c r="AL123" s="69"/>
      <c r="AM123" s="69"/>
      <c r="AN123" s="7" t="str">
        <f t="shared" si="30"/>
        <v/>
      </c>
      <c r="AO123" s="7" t="str">
        <f t="shared" si="31"/>
        <v/>
      </c>
      <c r="AP123" s="7" t="str">
        <f t="shared" si="32"/>
        <v/>
      </c>
      <c r="AQ123" s="7" t="str">
        <f t="shared" si="33"/>
        <v/>
      </c>
      <c r="AR123" s="59" t="str">
        <f t="shared" si="34"/>
        <v/>
      </c>
      <c r="AS123" s="60" t="str">
        <f t="shared" si="35"/>
        <v/>
      </c>
      <c r="AT123" s="59" t="str">
        <f t="shared" si="36"/>
        <v/>
      </c>
      <c r="AU123" s="59" t="str">
        <f t="shared" si="37"/>
        <v/>
      </c>
      <c r="AV123" s="76">
        <f t="shared" si="38"/>
        <v>0</v>
      </c>
      <c r="AW123" s="76" t="str">
        <f t="shared" si="39"/>
        <v>manque date</v>
      </c>
      <c r="AX123" s="61">
        <f t="shared" si="40"/>
        <v>0</v>
      </c>
      <c r="AY123" s="61" t="str">
        <f t="shared" si="41"/>
        <v>manque date</v>
      </c>
      <c r="AZ123" s="61">
        <f t="shared" si="42"/>
        <v>0</v>
      </c>
      <c r="BA123" s="61" t="str">
        <f t="shared" si="43"/>
        <v>manque date</v>
      </c>
      <c r="BB123" s="61">
        <f t="shared" si="44"/>
        <v>0</v>
      </c>
      <c r="BC123" s="61" t="str">
        <f t="shared" si="45"/>
        <v>manque date</v>
      </c>
      <c r="BD123" s="61">
        <f t="shared" si="46"/>
        <v>0</v>
      </c>
      <c r="BE123" s="61" t="str">
        <f t="shared" si="47"/>
        <v>manque date</v>
      </c>
      <c r="BF123" s="61">
        <f t="shared" si="48"/>
        <v>0</v>
      </c>
      <c r="BG123" s="61" t="str">
        <f t="shared" si="49"/>
        <v>manque date</v>
      </c>
      <c r="BH123" s="61">
        <f t="shared" si="50"/>
        <v>0</v>
      </c>
      <c r="BI123" s="61" t="str">
        <f t="shared" si="51"/>
        <v>manque date</v>
      </c>
      <c r="BJ123" s="61">
        <f t="shared" si="52"/>
        <v>0</v>
      </c>
      <c r="BK123" s="61" t="str">
        <f t="shared" si="53"/>
        <v>manque date</v>
      </c>
    </row>
    <row r="124" spans="1:63">
      <c r="A124" s="71"/>
      <c r="B124" s="74" t="str">
        <f t="shared" si="54"/>
        <v/>
      </c>
      <c r="C124" s="74" t="str">
        <f t="shared" si="55"/>
        <v/>
      </c>
      <c r="D124" s="7" t="str">
        <f t="shared" si="56"/>
        <v/>
      </c>
      <c r="E124" s="7" t="str">
        <f t="shared" si="57"/>
        <v/>
      </c>
      <c r="F124" s="7" t="str">
        <f t="shared" si="58"/>
        <v/>
      </c>
      <c r="G124" s="7" t="str">
        <f t="shared" si="59"/>
        <v/>
      </c>
      <c r="H124" s="59" t="str">
        <f t="shared" si="60"/>
        <v/>
      </c>
      <c r="I124" s="60" t="str">
        <f t="shared" si="61"/>
        <v/>
      </c>
      <c r="J124" s="59" t="str">
        <f t="shared" si="62"/>
        <v/>
      </c>
      <c r="K124" s="59" t="str">
        <f t="shared" si="63"/>
        <v/>
      </c>
      <c r="L124" s="57" t="str">
        <f>IF($A124="","",INDEX([1]Portfolio!$A$3:$AU$63,MATCH($A124,[1]Portfolio!$B$3:$B$63,0),3))</f>
        <v/>
      </c>
      <c r="M124" s="57" t="str">
        <f>IF($A124="","",INDEX([1]Portfolio!$A$3:$AU$63,MATCH($A124,[1]Portfolio!$B$3:$B$63,0),5))</f>
        <v/>
      </c>
      <c r="N124" s="6" t="str">
        <f>IF($A124="","",INDEX([1]Portfolio!$A$3:$AU$63,MATCH($A124,[1]Portfolio!$B$3:$B$63,0),29))</f>
        <v/>
      </c>
      <c r="O124" s="6" t="str">
        <f>IF($A124="","",INDEX([1]Portfolio!$A$3:$AU$63,MATCH($A124,[1]Portfolio!$B$3:$B$63,0),32))</f>
        <v/>
      </c>
      <c r="P124" s="7" t="str">
        <f>IF($A124="","",INDEX([1]Portfolio!$A$3:$AU$63,MATCH($A124,[1]Portfolio!$B$3:$B$63,0),35))</f>
        <v/>
      </c>
      <c r="Q124" s="7" t="str">
        <f>IF($A124="","",INDEX([1]Portfolio!$A$3:$AU$63,MATCH($A124,[1]Portfolio!$B$3:$B$63,0),38))</f>
        <v/>
      </c>
      <c r="R124" s="7" t="str">
        <f>IF($A124="","",INDEX([1]Portfolio!$A$3:$AU$63,MATCH($A124,[1]Portfolio!$B$3:$B$63,0),42))</f>
        <v/>
      </c>
      <c r="S124" s="7" t="str">
        <f>IF($A124="","",INDEX([1]Portfolio!$A$3:$AU$63,MATCH($A124,[1]Portfolio!$B$3:$B$63,0),43))</f>
        <v/>
      </c>
      <c r="T124" s="7" t="str">
        <f>IF($A124="","",INDEX([1]Portfolio!$A$3:$AU$63,MATCH($A124,[1]Portfolio!$B$3:$B$63,0),37))</f>
        <v/>
      </c>
      <c r="U124" s="7" t="str">
        <f>IF($A124="","",INDEX([1]Portfolio!$A$3:$AU$63,MATCH($A124,[1]Portfolio!$B$3:$B$63,0),36))</f>
        <v/>
      </c>
      <c r="V124" s="7" t="str">
        <f>IF($A124="","",(INDEX([2]Programmesjalons!$A$4:$AH$140,MATCH($A124,[2]Programmesjalons!$A$4:$A$140,0),8)))</f>
        <v/>
      </c>
      <c r="W124" s="7" t="str">
        <f>IF($A124="","",(INDEX([2]Programmesjalons!$A$4:$AH$140,MATCH($A124,[2]Programmesjalons!$A$4:$A$140,0),12)))</f>
        <v/>
      </c>
      <c r="X124" s="7" t="str">
        <f>IF($A124="","",(INDEX([2]Programmesjalons!$A$4:$AH$140,MATCH($A124,[2]Programmesjalons!$A$4:$A$140,0),16)))</f>
        <v/>
      </c>
      <c r="Y124" s="7" t="str">
        <f>IF($A124="","",(INDEX([2]Programmesjalons!$A$4:$AH$140,MATCH($A124,[2]Programmesjalons!$A$4:$A$140,0),30)))</f>
        <v/>
      </c>
      <c r="Z124" s="59" t="str">
        <f>IF($A124="","",(INDEX([2]Programmesjalons!$A$4:$AH$140,MATCH($A124,[2]Programmesjalons!$A$4:$A$140,0),32)))</f>
        <v/>
      </c>
      <c r="AA124" s="60" t="str">
        <f>IF($A124="","",(INDEX([2]Programmesjalons!$A$4:$AH$140,MATCH($A124,[2]Programmesjalons!$A$4:$A$140,0),34)))</f>
        <v/>
      </c>
      <c r="AB124" s="59" t="str">
        <f>IF($A124="","",(INDEX([2]Programmesjalons!$A$4:$AH$140,MATCH($A124,[2]Programmesjalons!$A$4:$A$140,0),26)))</f>
        <v/>
      </c>
      <c r="AC124" s="59" t="str">
        <f>IF($A124="","",(INDEX([2]Programmesjalons!$A$4:$AH$140,MATCH($A124,[2]Programmesjalons!$A$4:$A$140,0),18)))</f>
        <v/>
      </c>
      <c r="AD124" s="68"/>
      <c r="AE124" s="68"/>
      <c r="AF124" s="68"/>
      <c r="AG124" s="68"/>
      <c r="AH124" s="68"/>
      <c r="AI124" s="68"/>
      <c r="AJ124" s="69"/>
      <c r="AK124" s="70"/>
      <c r="AL124" s="69"/>
      <c r="AM124" s="69"/>
      <c r="AN124" s="7" t="str">
        <f t="shared" si="30"/>
        <v/>
      </c>
      <c r="AO124" s="7" t="str">
        <f t="shared" si="31"/>
        <v/>
      </c>
      <c r="AP124" s="7" t="str">
        <f t="shared" si="32"/>
        <v/>
      </c>
      <c r="AQ124" s="7" t="str">
        <f t="shared" si="33"/>
        <v/>
      </c>
      <c r="AR124" s="59" t="str">
        <f t="shared" si="34"/>
        <v/>
      </c>
      <c r="AS124" s="60" t="str">
        <f t="shared" si="35"/>
        <v/>
      </c>
      <c r="AT124" s="59" t="str">
        <f t="shared" si="36"/>
        <v/>
      </c>
      <c r="AU124" s="59" t="str">
        <f t="shared" si="37"/>
        <v/>
      </c>
      <c r="AV124" s="76">
        <f t="shared" si="38"/>
        <v>0</v>
      </c>
      <c r="AW124" s="76" t="str">
        <f t="shared" si="39"/>
        <v>manque date</v>
      </c>
      <c r="AX124" s="61">
        <f t="shared" si="40"/>
        <v>0</v>
      </c>
      <c r="AY124" s="61" t="str">
        <f t="shared" si="41"/>
        <v>manque date</v>
      </c>
      <c r="AZ124" s="61">
        <f t="shared" si="42"/>
        <v>0</v>
      </c>
      <c r="BA124" s="61" t="str">
        <f t="shared" si="43"/>
        <v>manque date</v>
      </c>
      <c r="BB124" s="61">
        <f t="shared" si="44"/>
        <v>0</v>
      </c>
      <c r="BC124" s="61" t="str">
        <f t="shared" si="45"/>
        <v>manque date</v>
      </c>
      <c r="BD124" s="61">
        <f t="shared" si="46"/>
        <v>0</v>
      </c>
      <c r="BE124" s="61" t="str">
        <f t="shared" si="47"/>
        <v>manque date</v>
      </c>
      <c r="BF124" s="61">
        <f t="shared" si="48"/>
        <v>0</v>
      </c>
      <c r="BG124" s="61" t="str">
        <f t="shared" si="49"/>
        <v>manque date</v>
      </c>
      <c r="BH124" s="61">
        <f t="shared" si="50"/>
        <v>0</v>
      </c>
      <c r="BI124" s="61" t="str">
        <f t="shared" si="51"/>
        <v>manque date</v>
      </c>
      <c r="BJ124" s="61">
        <f t="shared" si="52"/>
        <v>0</v>
      </c>
      <c r="BK124" s="61" t="str">
        <f t="shared" si="53"/>
        <v>manque date</v>
      </c>
    </row>
    <row r="125" spans="1:63">
      <c r="A125" s="71"/>
      <c r="B125" s="74" t="str">
        <f t="shared" si="54"/>
        <v/>
      </c>
      <c r="C125" s="74" t="str">
        <f t="shared" si="55"/>
        <v/>
      </c>
      <c r="D125" s="7" t="str">
        <f t="shared" si="56"/>
        <v/>
      </c>
      <c r="E125" s="7" t="str">
        <f t="shared" si="57"/>
        <v/>
      </c>
      <c r="F125" s="7" t="str">
        <f t="shared" si="58"/>
        <v/>
      </c>
      <c r="G125" s="7" t="str">
        <f t="shared" si="59"/>
        <v/>
      </c>
      <c r="H125" s="59" t="str">
        <f t="shared" si="60"/>
        <v/>
      </c>
      <c r="I125" s="60" t="str">
        <f t="shared" si="61"/>
        <v/>
      </c>
      <c r="J125" s="59" t="str">
        <f t="shared" si="62"/>
        <v/>
      </c>
      <c r="K125" s="59" t="str">
        <f t="shared" si="63"/>
        <v/>
      </c>
      <c r="L125" s="57" t="str">
        <f>IF($A125="","",INDEX([1]Portfolio!$A$3:$AU$63,MATCH($A125,[1]Portfolio!$B$3:$B$63,0),3))</f>
        <v/>
      </c>
      <c r="M125" s="57" t="str">
        <f>IF($A125="","",INDEX([1]Portfolio!$A$3:$AU$63,MATCH($A125,[1]Portfolio!$B$3:$B$63,0),5))</f>
        <v/>
      </c>
      <c r="N125" s="6" t="str">
        <f>IF($A125="","",INDEX([1]Portfolio!$A$3:$AU$63,MATCH($A125,[1]Portfolio!$B$3:$B$63,0),29))</f>
        <v/>
      </c>
      <c r="O125" s="6" t="str">
        <f>IF($A125="","",INDEX([1]Portfolio!$A$3:$AU$63,MATCH($A125,[1]Portfolio!$B$3:$B$63,0),32))</f>
        <v/>
      </c>
      <c r="P125" s="7" t="str">
        <f>IF($A125="","",INDEX([1]Portfolio!$A$3:$AU$63,MATCH($A125,[1]Portfolio!$B$3:$B$63,0),35))</f>
        <v/>
      </c>
      <c r="Q125" s="7" t="str">
        <f>IF($A125="","",INDEX([1]Portfolio!$A$3:$AU$63,MATCH($A125,[1]Portfolio!$B$3:$B$63,0),38))</f>
        <v/>
      </c>
      <c r="R125" s="7" t="str">
        <f>IF($A125="","",INDEX([1]Portfolio!$A$3:$AU$63,MATCH($A125,[1]Portfolio!$B$3:$B$63,0),42))</f>
        <v/>
      </c>
      <c r="S125" s="7" t="str">
        <f>IF($A125="","",INDEX([1]Portfolio!$A$3:$AU$63,MATCH($A125,[1]Portfolio!$B$3:$B$63,0),43))</f>
        <v/>
      </c>
      <c r="T125" s="7" t="str">
        <f>IF($A125="","",INDEX([1]Portfolio!$A$3:$AU$63,MATCH($A125,[1]Portfolio!$B$3:$B$63,0),37))</f>
        <v/>
      </c>
      <c r="U125" s="7" t="str">
        <f>IF($A125="","",INDEX([1]Portfolio!$A$3:$AU$63,MATCH($A125,[1]Portfolio!$B$3:$B$63,0),36))</f>
        <v/>
      </c>
      <c r="V125" s="7" t="str">
        <f>IF($A125="","",(INDEX([2]Programmesjalons!$A$4:$AH$140,MATCH($A125,[2]Programmesjalons!$A$4:$A$140,0),8)))</f>
        <v/>
      </c>
      <c r="W125" s="7" t="str">
        <f>IF($A125="","",(INDEX([2]Programmesjalons!$A$4:$AH$140,MATCH($A125,[2]Programmesjalons!$A$4:$A$140,0),12)))</f>
        <v/>
      </c>
      <c r="X125" s="7" t="str">
        <f>IF($A125="","",(INDEX([2]Programmesjalons!$A$4:$AH$140,MATCH($A125,[2]Programmesjalons!$A$4:$A$140,0),16)))</f>
        <v/>
      </c>
      <c r="Y125" s="7" t="str">
        <f>IF($A125="","",(INDEX([2]Programmesjalons!$A$4:$AH$140,MATCH($A125,[2]Programmesjalons!$A$4:$A$140,0),30)))</f>
        <v/>
      </c>
      <c r="Z125" s="59" t="str">
        <f>IF($A125="","",(INDEX([2]Programmesjalons!$A$4:$AH$140,MATCH($A125,[2]Programmesjalons!$A$4:$A$140,0),32)))</f>
        <v/>
      </c>
      <c r="AA125" s="60" t="str">
        <f>IF($A125="","",(INDEX([2]Programmesjalons!$A$4:$AH$140,MATCH($A125,[2]Programmesjalons!$A$4:$A$140,0),34)))</f>
        <v/>
      </c>
      <c r="AB125" s="59" t="str">
        <f>IF($A125="","",(INDEX([2]Programmesjalons!$A$4:$AH$140,MATCH($A125,[2]Programmesjalons!$A$4:$A$140,0),26)))</f>
        <v/>
      </c>
      <c r="AC125" s="59" t="str">
        <f>IF($A125="","",(INDEX([2]Programmesjalons!$A$4:$AH$140,MATCH($A125,[2]Programmesjalons!$A$4:$A$140,0),18)))</f>
        <v/>
      </c>
      <c r="AD125" s="68"/>
      <c r="AE125" s="68"/>
      <c r="AF125" s="68"/>
      <c r="AG125" s="68"/>
      <c r="AH125" s="68"/>
      <c r="AI125" s="68"/>
      <c r="AJ125" s="69"/>
      <c r="AK125" s="70"/>
      <c r="AL125" s="69"/>
      <c r="AM125" s="69"/>
      <c r="AN125" s="7" t="str">
        <f t="shared" si="30"/>
        <v/>
      </c>
      <c r="AO125" s="7" t="str">
        <f t="shared" si="31"/>
        <v/>
      </c>
      <c r="AP125" s="7" t="str">
        <f t="shared" si="32"/>
        <v/>
      </c>
      <c r="AQ125" s="7" t="str">
        <f t="shared" si="33"/>
        <v/>
      </c>
      <c r="AR125" s="59" t="str">
        <f t="shared" si="34"/>
        <v/>
      </c>
      <c r="AS125" s="60" t="str">
        <f t="shared" si="35"/>
        <v/>
      </c>
      <c r="AT125" s="59" t="str">
        <f t="shared" si="36"/>
        <v/>
      </c>
      <c r="AU125" s="59" t="str">
        <f t="shared" si="37"/>
        <v/>
      </c>
      <c r="AV125" s="76">
        <f t="shared" si="38"/>
        <v>0</v>
      </c>
      <c r="AW125" s="76" t="str">
        <f t="shared" si="39"/>
        <v>manque date</v>
      </c>
      <c r="AX125" s="61">
        <f t="shared" si="40"/>
        <v>0</v>
      </c>
      <c r="AY125" s="61" t="str">
        <f t="shared" si="41"/>
        <v>manque date</v>
      </c>
      <c r="AZ125" s="61">
        <f t="shared" si="42"/>
        <v>0</v>
      </c>
      <c r="BA125" s="61" t="str">
        <f t="shared" si="43"/>
        <v>manque date</v>
      </c>
      <c r="BB125" s="61">
        <f t="shared" si="44"/>
        <v>0</v>
      </c>
      <c r="BC125" s="61" t="str">
        <f t="shared" si="45"/>
        <v>manque date</v>
      </c>
      <c r="BD125" s="61">
        <f t="shared" si="46"/>
        <v>0</v>
      </c>
      <c r="BE125" s="61" t="str">
        <f t="shared" si="47"/>
        <v>manque date</v>
      </c>
      <c r="BF125" s="61">
        <f t="shared" si="48"/>
        <v>0</v>
      </c>
      <c r="BG125" s="61" t="str">
        <f t="shared" si="49"/>
        <v>manque date</v>
      </c>
      <c r="BH125" s="61">
        <f t="shared" si="50"/>
        <v>0</v>
      </c>
      <c r="BI125" s="61" t="str">
        <f t="shared" si="51"/>
        <v>manque date</v>
      </c>
      <c r="BJ125" s="61">
        <f t="shared" si="52"/>
        <v>0</v>
      </c>
      <c r="BK125" s="61" t="str">
        <f t="shared" si="53"/>
        <v>manque date</v>
      </c>
    </row>
  </sheetData>
  <mergeCells count="61">
    <mergeCell ref="BH6:BI6"/>
    <mergeCell ref="BJ6:BK6"/>
    <mergeCell ref="AV6:AW6"/>
    <mergeCell ref="AX6:AY6"/>
    <mergeCell ref="AZ6:BA6"/>
    <mergeCell ref="BB6:BC6"/>
    <mergeCell ref="BD6:BE6"/>
    <mergeCell ref="AI4:AI6"/>
    <mergeCell ref="AJ4:AJ6"/>
    <mergeCell ref="AK4:AK6"/>
    <mergeCell ref="AL4:AL6"/>
    <mergeCell ref="BF6:BG6"/>
    <mergeCell ref="AC4:AC6"/>
    <mergeCell ref="V3:AC3"/>
    <mergeCell ref="AF4:AF6"/>
    <mergeCell ref="AG4:AG6"/>
    <mergeCell ref="AH4:AH6"/>
    <mergeCell ref="A4:A6"/>
    <mergeCell ref="N4:N6"/>
    <mergeCell ref="O4:O6"/>
    <mergeCell ref="P4:P6"/>
    <mergeCell ref="Q4:Q6"/>
    <mergeCell ref="L4:L6"/>
    <mergeCell ref="M4:M6"/>
    <mergeCell ref="H4:H6"/>
    <mergeCell ref="B3:K3"/>
    <mergeCell ref="B4:B6"/>
    <mergeCell ref="C4:C6"/>
    <mergeCell ref="AN3:AU3"/>
    <mergeCell ref="AN4:AN6"/>
    <mergeCell ref="AO4:AO6"/>
    <mergeCell ref="AP4:AP6"/>
    <mergeCell ref="AQ4:AQ6"/>
    <mergeCell ref="AR4:AR6"/>
    <mergeCell ref="AS4:AS6"/>
    <mergeCell ref="AT4:AT6"/>
    <mergeCell ref="AU4:AU6"/>
    <mergeCell ref="R4:R6"/>
    <mergeCell ref="L3:S3"/>
    <mergeCell ref="V4:V6"/>
    <mergeCell ref="D1:E1"/>
    <mergeCell ref="D4:D6"/>
    <mergeCell ref="E4:E6"/>
    <mergeCell ref="F4:F6"/>
    <mergeCell ref="G4:G6"/>
    <mergeCell ref="AD4:AD6"/>
    <mergeCell ref="AE4:AE6"/>
    <mergeCell ref="AD3:AM3"/>
    <mergeCell ref="I4:I6"/>
    <mergeCell ref="J4:J6"/>
    <mergeCell ref="K4:K6"/>
    <mergeCell ref="Z4:Z6"/>
    <mergeCell ref="AA4:AA6"/>
    <mergeCell ref="AB4:AB6"/>
    <mergeCell ref="S4:S6"/>
    <mergeCell ref="Y4:Y6"/>
    <mergeCell ref="U4:U6"/>
    <mergeCell ref="T4:T6"/>
    <mergeCell ref="W4:W6"/>
    <mergeCell ref="X4:X6"/>
    <mergeCell ref="AM4:AM6"/>
  </mergeCells>
  <conditionalFormatting sqref="D7:K125">
    <cfRule type="expression" dxfId="0" priority="1" stopIfTrue="1">
      <formula>D7&lt;&gt;AN7</formula>
    </cfRule>
  </conditionalFormatting>
  <pageMargins left="0" right="0" top="0.74803149606299213" bottom="0.74803149606299213" header="0.31496062992125984" footer="0.31496062992125984"/>
  <pageSetup paperSize="8" scale="99" fitToHeight="0" orientation="portrait" copies="2" r:id="rId1"/>
  <headerFooter>
    <oddHeader>&amp;C&amp;"-,Gras italique"&amp;24JALONS PROGRAMMES</oddHead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I6:M10"/>
  <sheetViews>
    <sheetView workbookViewId="0">
      <selection activeCell="T26" sqref="T26"/>
    </sheetView>
  </sheetViews>
  <sheetFormatPr baseColWidth="10" defaultRowHeight="15"/>
  <cols>
    <col min="1" max="16384" width="11.42578125" style="109"/>
  </cols>
  <sheetData>
    <row r="6" spans="9:13" ht="28.5">
      <c r="I6" s="106"/>
      <c r="J6" s="106"/>
      <c r="K6" s="107"/>
      <c r="L6" s="108"/>
    </row>
    <row r="10" spans="9:13">
      <c r="M10" s="110"/>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8915" r:id="rId4" name="Button 3">
              <controlPr defaultSize="0" print="0" autoFill="0" autoPict="0" macro="[0]!bouton_program">
                <anchor moveWithCells="1" sizeWithCells="1">
                  <from>
                    <xdr:col>9</xdr:col>
                    <xdr:colOff>161925</xdr:colOff>
                    <xdr:row>17</xdr:row>
                    <xdr:rowOff>85725</xdr:rowOff>
                  </from>
                  <to>
                    <xdr:col>13</xdr:col>
                    <xdr:colOff>133350</xdr:colOff>
                    <xdr:row>22</xdr:row>
                    <xdr:rowOff>28575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dimension ref="A1:AU131"/>
  <sheetViews>
    <sheetView tabSelected="1" zoomScale="70" zoomScaleNormal="70" workbookViewId="0">
      <selection activeCell="H7" sqref="H7"/>
    </sheetView>
  </sheetViews>
  <sheetFormatPr baseColWidth="10" defaultRowHeight="15"/>
  <cols>
    <col min="1" max="1" width="16.85546875" customWidth="1"/>
    <col min="2" max="2" width="11.42578125" customWidth="1"/>
    <col min="3" max="3" width="12.28515625" customWidth="1"/>
    <col min="4" max="7" width="11.5703125" customWidth="1"/>
    <col min="8" max="8" width="15.7109375" customWidth="1"/>
    <col min="10" max="10" width="13.28515625" customWidth="1"/>
    <col min="11" max="11" width="18.42578125" customWidth="1"/>
    <col min="12" max="12" width="23.85546875" customWidth="1"/>
    <col min="13" max="14" width="17.42578125" customWidth="1"/>
    <col min="15" max="15" width="12.28515625" customWidth="1"/>
    <col min="16" max="16" width="14.85546875" customWidth="1"/>
    <col min="17" max="17" width="11.5703125" customWidth="1"/>
    <col min="33" max="33" width="19.85546875" customWidth="1"/>
    <col min="36" max="36" width="22.7109375" customWidth="1"/>
  </cols>
  <sheetData>
    <row r="1" spans="1:47" ht="15.75" thickBot="1">
      <c r="Q1" s="172" t="s">
        <v>305</v>
      </c>
    </row>
    <row r="2" spans="1:47">
      <c r="C2" s="335" t="s">
        <v>300</v>
      </c>
      <c r="D2" s="336"/>
      <c r="E2" s="336"/>
      <c r="F2" s="336"/>
      <c r="G2" s="337"/>
      <c r="H2" s="169" t="s">
        <v>187</v>
      </c>
    </row>
    <row r="3" spans="1:47" ht="15.75" thickBot="1">
      <c r="C3" s="338"/>
      <c r="D3" s="339"/>
      <c r="E3" s="339"/>
      <c r="F3" s="339"/>
      <c r="G3" s="340"/>
      <c r="H3" s="157"/>
    </row>
    <row r="5" spans="1:47" ht="15.75" thickBot="1"/>
    <row r="6" spans="1:47" ht="27.75" thickBot="1">
      <c r="I6" s="308" t="s">
        <v>301</v>
      </c>
      <c r="J6" s="309"/>
      <c r="K6" s="309"/>
      <c r="L6" s="309"/>
      <c r="M6" s="309"/>
      <c r="N6" s="309"/>
      <c r="O6" s="310"/>
      <c r="P6" s="152"/>
    </row>
    <row r="7" spans="1:47" ht="20.25" customHeight="1"/>
    <row r="8" spans="1:47" ht="16.5" customHeight="1" thickBot="1"/>
    <row r="9" spans="1:47" ht="15" customHeight="1">
      <c r="A9" s="327" t="s">
        <v>27</v>
      </c>
      <c r="B9" s="328"/>
      <c r="C9" s="329"/>
      <c r="D9" s="329"/>
      <c r="E9" s="329"/>
      <c r="F9" s="329"/>
      <c r="G9" s="329"/>
      <c r="H9" s="329"/>
      <c r="I9" s="329"/>
      <c r="J9" s="330" t="s">
        <v>196</v>
      </c>
      <c r="K9" s="328"/>
      <c r="L9" s="196" t="s">
        <v>29</v>
      </c>
      <c r="M9" s="197"/>
      <c r="N9" s="197"/>
      <c r="O9" s="197"/>
      <c r="P9" s="197"/>
      <c r="Q9" s="197"/>
      <c r="R9" s="197"/>
      <c r="S9" s="197"/>
      <c r="T9" s="197"/>
      <c r="U9" s="197"/>
      <c r="V9" s="197"/>
      <c r="W9" s="197"/>
      <c r="X9" s="197"/>
      <c r="Y9" s="197"/>
      <c r="Z9" s="198"/>
    </row>
    <row r="10" spans="1:47" ht="15" customHeight="1">
      <c r="A10" s="331" t="s">
        <v>0</v>
      </c>
      <c r="B10" s="333" t="s">
        <v>39</v>
      </c>
      <c r="C10" s="333" t="s">
        <v>2</v>
      </c>
      <c r="D10" s="333" t="s">
        <v>1</v>
      </c>
      <c r="E10" s="333" t="s">
        <v>4</v>
      </c>
      <c r="F10" s="333" t="s">
        <v>3</v>
      </c>
      <c r="G10" s="341" t="s">
        <v>40</v>
      </c>
      <c r="H10" s="341" t="s">
        <v>217</v>
      </c>
      <c r="I10" s="341" t="s">
        <v>237</v>
      </c>
      <c r="J10" s="341" t="s">
        <v>197</v>
      </c>
      <c r="K10" s="324" t="s">
        <v>198</v>
      </c>
      <c r="L10" s="199" t="s">
        <v>5</v>
      </c>
      <c r="M10" s="200"/>
      <c r="N10" s="200"/>
      <c r="O10" s="201"/>
      <c r="P10" s="276" t="s">
        <v>6</v>
      </c>
      <c r="Q10" s="277"/>
      <c r="R10" s="277"/>
      <c r="S10" s="277"/>
      <c r="T10" s="277"/>
      <c r="U10" s="214" t="s">
        <v>90</v>
      </c>
      <c r="V10" s="200"/>
      <c r="W10" s="201"/>
      <c r="X10" s="214" t="s">
        <v>7</v>
      </c>
      <c r="Y10" s="200"/>
      <c r="Z10" s="216"/>
    </row>
    <row r="11" spans="1:47" ht="21.75" thickBot="1">
      <c r="A11" s="331"/>
      <c r="B11" s="333"/>
      <c r="C11" s="333"/>
      <c r="D11" s="333"/>
      <c r="E11" s="333"/>
      <c r="F11" s="333"/>
      <c r="G11" s="342"/>
      <c r="H11" s="342"/>
      <c r="I11" s="342"/>
      <c r="J11" s="342"/>
      <c r="K11" s="325"/>
      <c r="L11" s="212"/>
      <c r="M11" s="255"/>
      <c r="N11" s="255"/>
      <c r="O11" s="213"/>
      <c r="P11" s="279" t="s">
        <v>9</v>
      </c>
      <c r="Q11" s="321"/>
      <c r="R11" s="322"/>
      <c r="S11" s="323" t="s">
        <v>10</v>
      </c>
      <c r="T11" s="322"/>
      <c r="U11" s="215"/>
      <c r="V11" s="255"/>
      <c r="W11" s="213"/>
      <c r="X11" s="215"/>
      <c r="Y11" s="255"/>
      <c r="Z11" s="217"/>
    </row>
    <row r="12" spans="1:47" ht="25.5" customHeight="1" thickBot="1">
      <c r="A12" s="332"/>
      <c r="B12" s="334"/>
      <c r="C12" s="334"/>
      <c r="D12" s="334"/>
      <c r="E12" s="334"/>
      <c r="F12" s="334"/>
      <c r="G12" s="343"/>
      <c r="H12" s="343"/>
      <c r="I12" s="343"/>
      <c r="J12" s="343"/>
      <c r="K12" s="326"/>
      <c r="L12" s="26" t="s">
        <v>170</v>
      </c>
      <c r="M12" s="16" t="s">
        <v>8</v>
      </c>
      <c r="N12" s="28" t="s">
        <v>127</v>
      </c>
      <c r="O12" s="18" t="s">
        <v>8</v>
      </c>
      <c r="P12" s="156" t="s">
        <v>105</v>
      </c>
      <c r="Q12" s="155" t="s">
        <v>104</v>
      </c>
      <c r="R12" s="16" t="s">
        <v>8</v>
      </c>
      <c r="S12" s="29" t="s">
        <v>128</v>
      </c>
      <c r="T12" s="16" t="s">
        <v>8</v>
      </c>
      <c r="U12" s="29" t="s">
        <v>172</v>
      </c>
      <c r="V12" s="29" t="s">
        <v>171</v>
      </c>
      <c r="W12" s="16" t="s">
        <v>8</v>
      </c>
      <c r="X12" s="29" t="s">
        <v>172</v>
      </c>
      <c r="Y12" s="29" t="s">
        <v>171</v>
      </c>
      <c r="Z12" s="99" t="s">
        <v>8</v>
      </c>
    </row>
    <row r="13" spans="1:47" s="173" customFormat="1" ht="12.75">
      <c r="A13" s="315" t="str">
        <f>H2</f>
        <v>E2700</v>
      </c>
      <c r="B13" s="317">
        <f ca="1">IFERROR(INDEX(OFFSET('Suivi livrables'!$A$1:$DO$1,MATCH($A13,'Suivi livrables'!$A:$A,0)-1,),1,5),"")</f>
        <v>41989</v>
      </c>
      <c r="C13" s="317">
        <f ca="1">IFERROR(INDEX(OFFSET('Suivi livrables'!$A$1:$DO$1,MATCH($A13,'Suivi livrables'!$A:$A,0)-1,),1,6),"")</f>
        <v>42160</v>
      </c>
      <c r="D13" s="317">
        <f ca="1">IFERROR(INDEX(OFFSET('Suivi livrables'!$A$1:$DO$1,MATCH($A13,'Suivi livrables'!$A:$A,0)-1,),1,7),"")</f>
        <v>42290</v>
      </c>
      <c r="E13" s="317">
        <f ca="1">IFERROR(INDEX(OFFSET('Suivi livrables'!$A$1:$DO$1,MATCH($A13,'Suivi livrables'!$A:$A,0)-1,),1,8),"")</f>
        <v>42414</v>
      </c>
      <c r="F13" s="317">
        <f ca="1">IFERROR(INDEX(OFFSET('Suivi livrables'!$A$1:$DO$1,MATCH($A13,'Suivi livrables'!$A:$A,0)-1,),1,9),"")</f>
        <v>42444</v>
      </c>
      <c r="G13" s="317" t="str">
        <f ca="1">IFERROR(INDEX(OFFSET('Suivi livrables'!$A$1:$DO$1,MATCH($A13,'Suivi livrables'!$A:$A,0)-1,),1,10),"")</f>
        <v>manque date</v>
      </c>
      <c r="H13" s="317">
        <f ca="1">IFERROR(INDEX(OFFSET('Suivi livrables'!$A$1:$DO$1,MATCH($A13,'Suivi livrables'!$A:$A,0)-1,),1,11),"")</f>
        <v>42399</v>
      </c>
      <c r="I13" s="317">
        <f ca="1">IFERROR(INDEX(OFFSET('Suivi livrables'!$A$1:$DO$1,MATCH($A13,'Suivi livrables'!$A:$A,0)-1,),1,12),"")</f>
        <v>42324</v>
      </c>
      <c r="J13" s="319"/>
      <c r="K13" s="319"/>
      <c r="L13" s="317">
        <f ca="1">IFERROR(INDEX(OFFSET('Suivi livrables'!$A$1:$DO$1,MATCH($A13,'Suivi livrables'!$A:$A,0)-1,),1,60),"")</f>
        <v>42213</v>
      </c>
      <c r="M13" s="315">
        <f ca="1">IFERROR(INDEX(OFFSET('Suivi livrables'!$A$1:$DO$1,MATCH($A13,'Suivi livrables'!$A:$A,0)-1,),1,61),"")</f>
        <v>0</v>
      </c>
      <c r="N13" s="317">
        <f ca="1">IFERROR(INDEX(OFFSET('Suivi livrables'!$A$1:$DO$1,MATCH($A13,'Suivi livrables'!$A:$A,0)-1,),1,62),"")</f>
        <v>42269</v>
      </c>
      <c r="O13" s="315">
        <f ca="1">IFERROR(INDEX(OFFSET('Suivi livrables'!$A$1:$DO$1,MATCH($A13,'Suivi livrables'!$A:$A,0)-1,),1,63),"")</f>
        <v>0</v>
      </c>
      <c r="P13" s="317" t="str">
        <f ca="1">IFERROR(INDEX(OFFSET('Suivi livrables'!$A$1:$DO$1,MATCH($A13,'Suivi livrables'!$A:$A,0)-1,),1,64),"")</f>
        <v>N/A</v>
      </c>
      <c r="Q13" s="317" t="str">
        <f ca="1">IFERROR(INDEX(OFFSET('Suivi livrables'!$A$1:$DO$1,MATCH($A13,'Suivi livrables'!$A:$A,0)-1,),1,65),"")</f>
        <v>N/A</v>
      </c>
      <c r="R13" s="315">
        <f ca="1">IFERROR(INDEX(OFFSET('Suivi livrables'!$A$1:$DO$1,MATCH($A13,'Suivi livrables'!$A:$A,0)-1,),1,66),"")</f>
        <v>0</v>
      </c>
      <c r="S13" s="317" t="str">
        <f ca="1">IFERROR(INDEX(OFFSET('Suivi livrables'!$A$1:$DO$1,MATCH($A13,'Suivi livrables'!$A:$A,0)-1,),1,67),"")</f>
        <v>N/A</v>
      </c>
      <c r="T13" s="315">
        <f ca="1">IFERROR(INDEX(OFFSET('Suivi livrables'!$A$1:$DO$1,MATCH($A13,'Suivi livrables'!$A:$A,0)-1,),1,68),"")</f>
        <v>0</v>
      </c>
      <c r="U13" s="317">
        <f ca="1">IFERROR(INDEX(OFFSET('Suivi livrables'!$A$1:$DO$1,MATCH($A13,'Suivi livrables'!$A:$A,0)-1,),1,69),"")</f>
        <v>42213</v>
      </c>
      <c r="V13" s="317">
        <f ca="1">IFERROR(INDEX(OFFSET('Suivi livrables'!$A$1:$DO$1,MATCH($A13,'Suivi livrables'!$A:$A,0)-1,),1,70),"")</f>
        <v>42283</v>
      </c>
      <c r="W13" s="315">
        <f ca="1">IFERROR(INDEX(OFFSET('Suivi livrables'!$A$1:$DO$1,MATCH($A13,'Suivi livrables'!$A:$A,0)-1,),1,71),"")</f>
        <v>0</v>
      </c>
      <c r="X13" s="315" t="str">
        <f ca="1">IFERROR(INDEX(OFFSET('Suivi livrables'!$A$1:$DO$1,MATCH($A13,'Suivi livrables'!$A:$A,0)-1,),1,72),"")</f>
        <v>N/A</v>
      </c>
      <c r="Y13" s="315" t="str">
        <f ca="1">IFERROR(INDEX(OFFSET('Suivi livrables'!$A$1:$DO$1,MATCH($A13,'Suivi livrables'!$A:$A,0)-1,),1,73),"")</f>
        <v>N/A</v>
      </c>
      <c r="Z13" s="315">
        <f ca="1">IFERROR(INDEX(OFFSET('Suivi livrables'!$A$1:$DO$1,MATCH($A13,'Suivi livrables'!$A:$A,0)-1,),1,74),"")</f>
        <v>0</v>
      </c>
    </row>
    <row r="14" spans="1:47" s="173" customFormat="1" ht="13.5" thickBot="1">
      <c r="A14" s="316"/>
      <c r="B14" s="318"/>
      <c r="C14" s="318"/>
      <c r="D14" s="318"/>
      <c r="E14" s="318"/>
      <c r="F14" s="318"/>
      <c r="G14" s="318"/>
      <c r="H14" s="318"/>
      <c r="I14" s="318"/>
      <c r="J14" s="320"/>
      <c r="K14" s="320"/>
      <c r="L14" s="318"/>
      <c r="M14" s="316"/>
      <c r="N14" s="318"/>
      <c r="O14" s="316"/>
      <c r="P14" s="318"/>
      <c r="Q14" s="318"/>
      <c r="R14" s="316"/>
      <c r="S14" s="318"/>
      <c r="T14" s="316"/>
      <c r="U14" s="318"/>
      <c r="V14" s="318"/>
      <c r="W14" s="316"/>
      <c r="X14" s="316"/>
      <c r="Y14" s="316"/>
      <c r="Z14" s="316"/>
      <c r="AU14" s="174" t="s">
        <v>187</v>
      </c>
    </row>
    <row r="15" spans="1:47">
      <c r="A15" s="154"/>
      <c r="B15" s="153"/>
      <c r="C15" s="153"/>
      <c r="D15" s="153"/>
      <c r="E15" s="153"/>
      <c r="F15" s="153"/>
      <c r="G15" s="153"/>
      <c r="H15" s="153"/>
      <c r="I15" s="153"/>
      <c r="J15" s="153"/>
      <c r="K15" s="153"/>
      <c r="L15" s="153"/>
      <c r="M15" s="153"/>
      <c r="N15" s="153"/>
      <c r="O15" s="153"/>
      <c r="P15" s="153"/>
      <c r="Q15" s="153"/>
      <c r="R15" s="153"/>
      <c r="S15" s="153"/>
      <c r="T15" s="153"/>
      <c r="U15" s="153"/>
      <c r="V15" s="153"/>
      <c r="W15" s="153"/>
      <c r="X15" s="153"/>
      <c r="Y15" s="153"/>
      <c r="Z15" s="153"/>
      <c r="AA15" s="153"/>
      <c r="AU15" s="25" t="s">
        <v>78</v>
      </c>
    </row>
    <row r="16" spans="1:47">
      <c r="A16" s="154"/>
      <c r="B16" s="153"/>
      <c r="C16" s="153"/>
      <c r="D16" s="153"/>
      <c r="E16" s="153"/>
      <c r="F16" s="153"/>
      <c r="G16" s="153"/>
      <c r="H16" s="153"/>
      <c r="I16" s="153"/>
      <c r="J16" s="153"/>
      <c r="K16" s="153"/>
      <c r="L16" s="153"/>
      <c r="M16" s="153"/>
      <c r="N16" s="153"/>
      <c r="O16" s="153"/>
      <c r="P16" s="153"/>
      <c r="Q16" s="153"/>
      <c r="R16" s="153"/>
      <c r="S16" s="153"/>
      <c r="T16" s="153"/>
      <c r="U16" s="153"/>
      <c r="V16" s="153"/>
      <c r="W16" s="153"/>
      <c r="X16" s="153"/>
      <c r="Y16" s="153"/>
      <c r="Z16" s="153"/>
      <c r="AA16" s="153"/>
      <c r="AU16" s="25" t="s">
        <v>35</v>
      </c>
    </row>
    <row r="17" spans="1:47">
      <c r="A17" s="154"/>
      <c r="B17" s="153"/>
      <c r="C17" s="153"/>
      <c r="D17" s="153"/>
      <c r="E17" s="153"/>
      <c r="F17" s="153"/>
      <c r="G17" s="153"/>
      <c r="H17" s="153"/>
      <c r="I17" s="153"/>
      <c r="J17" s="153"/>
      <c r="K17" s="153"/>
      <c r="L17" s="153"/>
      <c r="M17" s="153"/>
      <c r="N17" s="153"/>
      <c r="O17" s="153"/>
      <c r="P17" s="153"/>
      <c r="Q17" s="153"/>
      <c r="R17" s="153"/>
      <c r="S17" s="153"/>
      <c r="T17" s="153"/>
      <c r="U17" s="153"/>
      <c r="V17" s="153"/>
      <c r="W17" s="153"/>
      <c r="X17" s="153"/>
      <c r="Y17" s="153"/>
      <c r="AU17" s="25" t="s">
        <v>31</v>
      </c>
    </row>
    <row r="18" spans="1:47">
      <c r="A18" s="154"/>
      <c r="B18" s="153"/>
      <c r="C18" s="153"/>
      <c r="D18" s="153"/>
      <c r="E18" s="153"/>
      <c r="F18" s="153"/>
      <c r="G18" s="153"/>
      <c r="H18" s="153"/>
      <c r="I18" s="153"/>
      <c r="J18" s="153"/>
      <c r="K18" s="153"/>
      <c r="L18" s="153"/>
      <c r="M18" s="153"/>
      <c r="N18" s="153"/>
      <c r="O18" s="153"/>
      <c r="P18" s="153"/>
      <c r="Q18" s="153"/>
      <c r="R18" s="153"/>
      <c r="S18" s="153"/>
      <c r="T18" s="153"/>
      <c r="U18" s="153"/>
      <c r="V18" s="153"/>
      <c r="W18" s="153"/>
      <c r="X18" s="153"/>
      <c r="Y18" s="153"/>
      <c r="AU18" s="25" t="s">
        <v>80</v>
      </c>
    </row>
    <row r="19" spans="1:47">
      <c r="A19" s="154"/>
      <c r="B19" s="153"/>
      <c r="C19" s="153"/>
      <c r="D19" s="153"/>
      <c r="E19" s="153"/>
      <c r="F19" s="153"/>
      <c r="G19" s="153"/>
      <c r="H19" s="153"/>
      <c r="I19" s="153"/>
      <c r="J19" s="153"/>
      <c r="K19" s="153"/>
      <c r="L19" s="153"/>
      <c r="M19" s="153"/>
      <c r="N19" s="153"/>
      <c r="O19" s="153"/>
      <c r="P19" s="153"/>
      <c r="Q19" s="153"/>
      <c r="R19" s="153"/>
      <c r="S19" s="153"/>
      <c r="T19" s="153"/>
      <c r="U19" s="153"/>
      <c r="V19" s="153"/>
      <c r="W19" s="153"/>
      <c r="X19" s="153"/>
      <c r="Y19" s="153"/>
      <c r="AU19" s="25" t="s">
        <v>32</v>
      </c>
    </row>
    <row r="20" spans="1:47">
      <c r="A20" s="154"/>
      <c r="B20" s="153"/>
      <c r="C20" s="153"/>
      <c r="D20" s="153"/>
      <c r="E20" s="153"/>
      <c r="F20" s="153"/>
      <c r="G20" s="153"/>
      <c r="H20" s="153"/>
      <c r="I20" s="153"/>
      <c r="J20" s="153"/>
      <c r="K20" s="153"/>
      <c r="L20" s="153"/>
      <c r="M20" s="153"/>
      <c r="N20" s="153"/>
      <c r="O20" s="153"/>
      <c r="P20" s="153"/>
      <c r="Q20" s="153"/>
      <c r="R20" s="153"/>
      <c r="S20" s="153"/>
      <c r="T20" s="153"/>
      <c r="U20" s="153"/>
      <c r="V20" s="153"/>
      <c r="W20" s="153"/>
      <c r="X20" s="153"/>
      <c r="Y20" s="153"/>
      <c r="AU20" s="13" t="s">
        <v>220</v>
      </c>
    </row>
    <row r="21" spans="1:47" ht="15.75" thickBot="1">
      <c r="A21" s="154"/>
      <c r="B21" s="153"/>
      <c r="C21" s="153"/>
      <c r="D21" s="153"/>
      <c r="E21" s="153"/>
      <c r="F21" s="153"/>
      <c r="G21" s="153"/>
      <c r="H21" s="153"/>
      <c r="I21" s="153"/>
      <c r="J21" s="153"/>
      <c r="K21" s="153"/>
      <c r="L21" s="153"/>
      <c r="M21" s="153"/>
      <c r="N21" s="153"/>
      <c r="O21" s="153"/>
      <c r="P21" s="153"/>
      <c r="Q21" s="153"/>
      <c r="R21" s="153"/>
      <c r="S21" s="153"/>
      <c r="T21" s="153"/>
      <c r="U21" s="153"/>
      <c r="V21" s="153"/>
      <c r="W21" s="153"/>
      <c r="X21" s="153"/>
      <c r="Y21" s="153"/>
      <c r="AU21" s="25" t="s">
        <v>33</v>
      </c>
    </row>
    <row r="22" spans="1:47" ht="27.75" thickBot="1">
      <c r="A22" s="154"/>
      <c r="B22" s="153"/>
      <c r="C22" s="153"/>
      <c r="D22" s="153"/>
      <c r="E22" s="153"/>
      <c r="F22" s="153"/>
      <c r="G22" s="153"/>
      <c r="H22" s="153"/>
      <c r="I22" s="308" t="s">
        <v>302</v>
      </c>
      <c r="J22" s="309"/>
      <c r="K22" s="309"/>
      <c r="L22" s="309"/>
      <c r="M22" s="309"/>
      <c r="N22" s="309"/>
      <c r="O22" s="310"/>
      <c r="P22" s="153"/>
      <c r="Q22" s="153"/>
      <c r="R22" s="153"/>
      <c r="S22" s="153"/>
      <c r="T22" s="153"/>
      <c r="U22" s="153"/>
      <c r="V22" s="153"/>
      <c r="W22" s="153"/>
      <c r="X22" s="153"/>
      <c r="Y22" s="153"/>
      <c r="Z22" s="153"/>
      <c r="AA22" s="153"/>
      <c r="AU22" s="25" t="s">
        <v>44</v>
      </c>
    </row>
    <row r="23" spans="1:47">
      <c r="A23" s="154"/>
      <c r="B23" s="153"/>
      <c r="C23" s="153"/>
      <c r="D23" s="153"/>
      <c r="E23" s="153"/>
      <c r="F23" s="153"/>
      <c r="G23" s="153"/>
      <c r="H23" s="153"/>
      <c r="I23" s="153"/>
      <c r="J23" s="153"/>
      <c r="K23" s="153"/>
      <c r="L23" s="153"/>
      <c r="M23" s="153"/>
      <c r="N23" s="153"/>
      <c r="O23" s="153"/>
      <c r="P23" s="153"/>
      <c r="Q23" s="153"/>
      <c r="R23" s="153"/>
      <c r="S23" s="153"/>
      <c r="T23" s="153"/>
      <c r="U23" s="153"/>
      <c r="V23" s="153"/>
      <c r="W23" s="153"/>
      <c r="X23" s="153"/>
      <c r="Y23" s="153"/>
      <c r="Z23" s="153"/>
      <c r="AA23" s="153"/>
      <c r="AU23" s="13" t="s">
        <v>221</v>
      </c>
    </row>
    <row r="24" spans="1:47" ht="15.75" thickBot="1">
      <c r="AU24" s="25" t="s">
        <v>45</v>
      </c>
    </row>
    <row r="25" spans="1:47" ht="21">
      <c r="A25" s="193" t="s">
        <v>183</v>
      </c>
      <c r="B25" s="194"/>
      <c r="C25" s="194"/>
      <c r="D25" s="194"/>
      <c r="E25" s="194"/>
      <c r="F25" s="194"/>
      <c r="G25" s="194"/>
      <c r="H25" s="194"/>
      <c r="I25" s="194"/>
      <c r="J25" s="194"/>
      <c r="K25" s="194"/>
      <c r="L25" s="194"/>
      <c r="M25" s="194"/>
      <c r="N25" s="194"/>
      <c r="O25" s="194"/>
      <c r="P25" s="195"/>
      <c r="Q25" s="230" t="s">
        <v>107</v>
      </c>
      <c r="R25" s="197"/>
      <c r="S25" s="197"/>
      <c r="T25" s="197"/>
      <c r="U25" s="197"/>
      <c r="V25" s="197"/>
      <c r="W25" s="245" t="s">
        <v>174</v>
      </c>
      <c r="X25" s="246"/>
      <c r="Y25" s="246"/>
      <c r="Z25" s="246"/>
      <c r="AA25" s="246"/>
      <c r="AB25" s="247"/>
      <c r="AC25" s="248" t="s">
        <v>178</v>
      </c>
      <c r="AD25" s="249"/>
      <c r="AE25" s="250"/>
      <c r="AU25" s="25" t="s">
        <v>81</v>
      </c>
    </row>
    <row r="26" spans="1:47" ht="21" customHeight="1">
      <c r="A26" s="251" t="s">
        <v>142</v>
      </c>
      <c r="B26" s="189"/>
      <c r="C26" s="187" t="s">
        <v>143</v>
      </c>
      <c r="D26" s="189"/>
      <c r="E26" s="187" t="s">
        <v>146</v>
      </c>
      <c r="F26" s="189"/>
      <c r="G26" s="187" t="s">
        <v>144</v>
      </c>
      <c r="H26" s="189"/>
      <c r="I26" s="187" t="s">
        <v>145</v>
      </c>
      <c r="J26" s="189"/>
      <c r="K26" s="187" t="s">
        <v>285</v>
      </c>
      <c r="L26" s="188"/>
      <c r="M26" s="189"/>
      <c r="N26" s="187" t="s">
        <v>285</v>
      </c>
      <c r="O26" s="188"/>
      <c r="P26" s="253"/>
      <c r="Q26" s="200" t="s">
        <v>110</v>
      </c>
      <c r="R26" s="200"/>
      <c r="S26" s="214" t="s">
        <v>111</v>
      </c>
      <c r="T26" s="201"/>
      <c r="U26" s="232" t="s">
        <v>175</v>
      </c>
      <c r="V26" s="233"/>
      <c r="W26" s="234" t="s">
        <v>173</v>
      </c>
      <c r="X26" s="219"/>
      <c r="Y26" s="218" t="s">
        <v>109</v>
      </c>
      <c r="Z26" s="219"/>
      <c r="AA26" s="218" t="s">
        <v>113</v>
      </c>
      <c r="AB26" s="222"/>
      <c r="AC26" s="224" t="s">
        <v>179</v>
      </c>
      <c r="AD26" s="226" t="s">
        <v>180</v>
      </c>
      <c r="AE26" s="228" t="s">
        <v>181</v>
      </c>
      <c r="AU26" s="25" t="s">
        <v>213</v>
      </c>
    </row>
    <row r="27" spans="1:47" ht="21">
      <c r="A27" s="252"/>
      <c r="B27" s="192"/>
      <c r="C27" s="190"/>
      <c r="D27" s="192"/>
      <c r="E27" s="190"/>
      <c r="F27" s="192"/>
      <c r="G27" s="190"/>
      <c r="H27" s="192"/>
      <c r="I27" s="190"/>
      <c r="J27" s="192"/>
      <c r="K27" s="190"/>
      <c r="L27" s="191"/>
      <c r="M27" s="192"/>
      <c r="N27" s="190"/>
      <c r="O27" s="191"/>
      <c r="P27" s="254"/>
      <c r="Q27" s="255"/>
      <c r="R27" s="255"/>
      <c r="S27" s="215"/>
      <c r="T27" s="213"/>
      <c r="U27" s="111" t="s">
        <v>176</v>
      </c>
      <c r="V27" s="112" t="s">
        <v>177</v>
      </c>
      <c r="W27" s="235"/>
      <c r="X27" s="221"/>
      <c r="Y27" s="220"/>
      <c r="Z27" s="221"/>
      <c r="AA27" s="220"/>
      <c r="AB27" s="223"/>
      <c r="AC27" s="225"/>
      <c r="AD27" s="227"/>
      <c r="AE27" s="229"/>
      <c r="AU27" s="25" t="s">
        <v>47</v>
      </c>
    </row>
    <row r="28" spans="1:47" ht="42">
      <c r="A28" s="113" t="s">
        <v>184</v>
      </c>
      <c r="B28" s="158" t="s">
        <v>185</v>
      </c>
      <c r="C28" s="116" t="s">
        <v>184</v>
      </c>
      <c r="D28" s="158" t="s">
        <v>185</v>
      </c>
      <c r="E28" s="116" t="s">
        <v>184</v>
      </c>
      <c r="F28" s="158" t="s">
        <v>185</v>
      </c>
      <c r="G28" s="116" t="s">
        <v>184</v>
      </c>
      <c r="H28" s="158" t="s">
        <v>185</v>
      </c>
      <c r="I28" s="116" t="s">
        <v>184</v>
      </c>
      <c r="J28" s="158" t="s">
        <v>185</v>
      </c>
      <c r="K28" s="116" t="s">
        <v>141</v>
      </c>
      <c r="L28" s="116" t="s">
        <v>184</v>
      </c>
      <c r="M28" s="116" t="s">
        <v>185</v>
      </c>
      <c r="N28" s="116" t="s">
        <v>141</v>
      </c>
      <c r="O28" s="116" t="s">
        <v>184</v>
      </c>
      <c r="P28" s="159" t="s">
        <v>185</v>
      </c>
      <c r="Q28" s="160" t="s">
        <v>108</v>
      </c>
      <c r="R28" s="161" t="s">
        <v>8</v>
      </c>
      <c r="S28" s="91" t="s">
        <v>108</v>
      </c>
      <c r="T28" s="91" t="s">
        <v>8</v>
      </c>
      <c r="U28" s="91" t="s">
        <v>108</v>
      </c>
      <c r="V28" s="162" t="s">
        <v>108</v>
      </c>
      <c r="W28" s="163" t="s">
        <v>108</v>
      </c>
      <c r="X28" s="164" t="s">
        <v>8</v>
      </c>
      <c r="Y28" s="164" t="s">
        <v>108</v>
      </c>
      <c r="Z28" s="164" t="s">
        <v>8</v>
      </c>
      <c r="AA28" s="164" t="s">
        <v>108</v>
      </c>
      <c r="AB28" s="165" t="s">
        <v>8</v>
      </c>
      <c r="AC28" s="166" t="s">
        <v>108</v>
      </c>
      <c r="AD28" s="167" t="s">
        <v>108</v>
      </c>
      <c r="AE28" s="168" t="s">
        <v>108</v>
      </c>
      <c r="AU28" s="25" t="s">
        <v>43</v>
      </c>
    </row>
    <row r="29" spans="1:47">
      <c r="A29" s="311" t="str">
        <f ca="1">IFERROR(INDEX(OFFSET('Suivi livrables'!$A$1:$DO$1,MATCH($A13,'Suivi livrables'!$A:$A,0)-1,),1,77),"")</f>
        <v/>
      </c>
      <c r="B29" s="311" t="str">
        <f ca="1">IFERROR(INDEX(OFFSET('Suivi livrables'!$A$1:$DO$1,MATCH($A13,'Suivi livrables'!$A:$A,0)-1,),1,78),"")</f>
        <v/>
      </c>
      <c r="C29" s="311" t="str">
        <f ca="1">IFERROR(INDEX(OFFSET('Suivi livrables'!$A$1:$DO$1,MATCH($A13,'Suivi livrables'!$A:$A,0)-1,),1,79),"")</f>
        <v/>
      </c>
      <c r="D29" s="311" t="str">
        <f ca="1">IFERROR(INDEX(OFFSET('Suivi livrables'!$A$1:$DO$1,MATCH($A13,'Suivi livrables'!$A:$A,0)-1,),1,80),"")</f>
        <v/>
      </c>
      <c r="E29" s="311" t="str">
        <f ca="1">IFERROR(INDEX(OFFSET('Suivi livrables'!$A$1:$DO$1,MATCH($A13,'Suivi livrables'!$A:$A,0)-1,),1,81),"")</f>
        <v/>
      </c>
      <c r="F29" s="311" t="str">
        <f ca="1">IFERROR(INDEX(OFFSET('Suivi livrables'!$A$1:$DO$1,MATCH($A13,'Suivi livrables'!$A:$A,0)-1,),1,82),"")</f>
        <v/>
      </c>
      <c r="G29" s="311" t="str">
        <f ca="1">IFERROR(INDEX(OFFSET('Suivi livrables'!$A$1:$DO$1,MATCH($A13,'Suivi livrables'!$A:$A,0)-1,),1,83),"")</f>
        <v/>
      </c>
      <c r="H29" s="311" t="str">
        <f ca="1">IFERROR(INDEX(OFFSET('Suivi livrables'!$A$1:$DO$1,MATCH($A13,'Suivi livrables'!$A:$A,0)-1,),1,84),"")</f>
        <v/>
      </c>
      <c r="I29" s="311" t="str">
        <f ca="1">IFERROR(INDEX(OFFSET('Suivi livrables'!$A$1:$DO$1,MATCH($A13,'Suivi livrables'!$A:$A,0)-1,),1,85),"")</f>
        <v/>
      </c>
      <c r="J29" s="311" t="str">
        <f ca="1">IFERROR(INDEX(OFFSET('Suivi livrables'!$A$1:$DO$1,MATCH($A13,'Suivi livrables'!$A:$A,0)-1,),1,86),"")</f>
        <v/>
      </c>
      <c r="K29" s="311" t="str">
        <f ca="1">IFERROR(INDEX(OFFSET('Suivi livrables'!$A$1:$DO$1,MATCH($A13,'Suivi livrables'!$A:$A,0)-1,),1,87),"")</f>
        <v/>
      </c>
      <c r="L29" s="311" t="str">
        <f ca="1">IFERROR(INDEX(OFFSET('Suivi livrables'!$A$1:$DO$1,MATCH($A13,'Suivi livrables'!$A:$A,0)-1,),1,88),"")</f>
        <v/>
      </c>
      <c r="M29" s="311" t="str">
        <f ca="1">IFERROR(INDEX(OFFSET('Suivi livrables'!$A$1:$DO$1,MATCH($A13,'Suivi livrables'!$A:$A,0)-1,),1,89),"")</f>
        <v/>
      </c>
      <c r="N29" s="311" t="str">
        <f ca="1">IFERROR(INDEX(OFFSET('Suivi livrables'!$A$1:$DO$1,MATCH($A13,'Suivi livrables'!$A:$A,0)-1,),1,90),"")</f>
        <v/>
      </c>
      <c r="O29" s="311" t="str">
        <f ca="1">IFERROR(INDEX(OFFSET('Suivi livrables'!$A$1:$DO$1,MATCH($A13,'Suivi livrables'!$A:$A,0)-1,),1,91),"")</f>
        <v/>
      </c>
      <c r="P29" s="311" t="str">
        <f ca="1">IFERROR(INDEX(OFFSET('Suivi livrables'!$A$1:$DO$1,MATCH($A13,'Suivi livrables'!$A:$A,0)-1,),1,92),"")</f>
        <v/>
      </c>
      <c r="Q29" s="313">
        <f ca="1">IFERROR(INDEX(OFFSET('Suivi livrables'!$A$1:$DO$1,MATCH($A13,'Suivi livrables'!$A:$A,0)-1,),1,93),"")</f>
        <v>42213</v>
      </c>
      <c r="R29" s="311">
        <f ca="1">IFERROR(INDEX(OFFSET('Suivi livrables'!$A$1:$DO$1,MATCH($A13,'Suivi livrables'!$A:$A,0)-1,),1,94),"")</f>
        <v>0</v>
      </c>
      <c r="S29" s="313">
        <f ca="1">IFERROR(INDEX(OFFSET('Suivi livrables'!$A$1:$DO$1,MATCH($A13,'Suivi livrables'!$A:$A,0)-1,),1,95),"")</f>
        <v>42213</v>
      </c>
      <c r="T29" s="311">
        <f ca="1">IFERROR(INDEX(OFFSET('Suivi livrables'!$A$1:$DO$1,MATCH($A13,'Suivi livrables'!$A:$A,0)-1,),1,96),"")</f>
        <v>0</v>
      </c>
      <c r="U29" s="313">
        <f ca="1">IFERROR(INDEX(OFFSET('Suivi livrables'!$A$1:$DO$1,MATCH($A13,'Suivi livrables'!$A:$A,0)-1,),1,97),"")</f>
        <v>42255</v>
      </c>
      <c r="V29" s="313">
        <f ca="1">IFERROR(INDEX(OFFSET('Suivi livrables'!$A$1:$DO$1,MATCH($A13,'Suivi livrables'!$A:$A,0)-1,),1,98),"")</f>
        <v>42269</v>
      </c>
      <c r="W29" s="313">
        <f ca="1">IFERROR(INDEX(OFFSET('Suivi livrables'!$A$1:$DO$1,MATCH($A13,'Suivi livrables'!$A:$A,0)-1,),1,99),"")</f>
        <v>42241</v>
      </c>
      <c r="X29" s="311">
        <f ca="1">IFERROR(INDEX(OFFSET('Suivi livrables'!$A$1:$DO$1,MATCH($A13,'Suivi livrables'!$A:$A,0)-1,),1,100),"")</f>
        <v>0</v>
      </c>
      <c r="Y29" s="313">
        <f ca="1">IFERROR(INDEX(OFFSET('Suivi livrables'!$A$1:$DO$1,MATCH($A13,'Suivi livrables'!$A:$A,0)-1,),1,101),"")</f>
        <v>42255</v>
      </c>
      <c r="Z29" s="311">
        <f ca="1">IFERROR(INDEX(OFFSET('Suivi livrables'!$A$1:$DO$1,MATCH($A13,'Suivi livrables'!$A:$A,0)-1,),1,102),"")</f>
        <v>0</v>
      </c>
      <c r="AA29" s="313">
        <f ca="1">IFERROR(INDEX(OFFSET('Suivi livrables'!$A$1:$DO$1,MATCH($A13,'Suivi livrables'!$A:$A,0)-1,),1,103),"")</f>
        <v>42262</v>
      </c>
      <c r="AB29" s="311">
        <f ca="1">IFERROR(INDEX(OFFSET('Suivi livrables'!$A$1:$DO$1,MATCH($A13,'Suivi livrables'!$A:$A,0)-1,),1,104),"")</f>
        <v>0</v>
      </c>
      <c r="AC29" s="313">
        <f ca="1">IFERROR(INDEX(OFFSET('Suivi livrables'!$A$1:$DO$1,MATCH($A13,'Suivi livrables'!$A:$A,0)-1,),1,105),"")</f>
        <v>42269</v>
      </c>
      <c r="AD29" s="313" t="str">
        <f ca="1">IFERROR(INDEX(OFFSET('Suivi livrables'!$A$1:$DO$1,MATCH($A13,'Suivi livrables'!$A:$A,0)-1,),1,92),106)</f>
        <v/>
      </c>
      <c r="AE29" s="313">
        <f ca="1">IFERROR(INDEX(OFFSET('Suivi livrables'!$A$1:$DO$1,MATCH($A13,'Suivi livrables'!$A:$A,0)-1,),1,107),"")</f>
        <v>42318</v>
      </c>
      <c r="AU29" s="25" t="s">
        <v>58</v>
      </c>
    </row>
    <row r="30" spans="1:47">
      <c r="A30" s="312"/>
      <c r="B30" s="312"/>
      <c r="C30" s="312"/>
      <c r="D30" s="312"/>
      <c r="E30" s="312"/>
      <c r="F30" s="312"/>
      <c r="G30" s="312"/>
      <c r="H30" s="312"/>
      <c r="I30" s="312"/>
      <c r="J30" s="312"/>
      <c r="K30" s="312"/>
      <c r="L30" s="312"/>
      <c r="M30" s="312"/>
      <c r="N30" s="312"/>
      <c r="O30" s="312"/>
      <c r="P30" s="312"/>
      <c r="Q30" s="314"/>
      <c r="R30" s="312"/>
      <c r="S30" s="314"/>
      <c r="T30" s="312"/>
      <c r="U30" s="314"/>
      <c r="V30" s="314"/>
      <c r="W30" s="314"/>
      <c r="X30" s="312"/>
      <c r="Y30" s="314"/>
      <c r="Z30" s="312"/>
      <c r="AA30" s="314"/>
      <c r="AB30" s="312"/>
      <c r="AC30" s="314"/>
      <c r="AD30" s="314"/>
      <c r="AE30" s="314"/>
      <c r="AU30" s="25" t="s">
        <v>57</v>
      </c>
    </row>
    <row r="31" spans="1:47">
      <c r="AU31" s="25" t="s">
        <v>238</v>
      </c>
    </row>
    <row r="32" spans="1:47">
      <c r="AU32" s="25" t="s">
        <v>222</v>
      </c>
    </row>
    <row r="33" spans="1:47">
      <c r="AU33" s="25" t="s">
        <v>116</v>
      </c>
    </row>
    <row r="34" spans="1:47">
      <c r="AU34" s="25" t="s">
        <v>117</v>
      </c>
    </row>
    <row r="35" spans="1:47">
      <c r="AU35" s="25" t="s">
        <v>118</v>
      </c>
    </row>
    <row r="36" spans="1:47">
      <c r="AU36" s="13" t="s">
        <v>223</v>
      </c>
    </row>
    <row r="37" spans="1:47">
      <c r="AU37" s="25" t="s">
        <v>119</v>
      </c>
    </row>
    <row r="38" spans="1:47">
      <c r="AU38" s="25" t="s">
        <v>120</v>
      </c>
    </row>
    <row r="39" spans="1:47">
      <c r="AU39" s="25" t="s">
        <v>151</v>
      </c>
    </row>
    <row r="40" spans="1:47">
      <c r="AU40" s="25" t="s">
        <v>153</v>
      </c>
    </row>
    <row r="41" spans="1:47">
      <c r="AU41" s="25" t="s">
        <v>154</v>
      </c>
    </row>
    <row r="42" spans="1:47">
      <c r="AU42" s="25" t="s">
        <v>155</v>
      </c>
    </row>
    <row r="43" spans="1:47" ht="15.75" thickBot="1">
      <c r="AU43" s="25" t="s">
        <v>156</v>
      </c>
    </row>
    <row r="44" spans="1:47" ht="27.75" thickBot="1">
      <c r="I44" s="308" t="s">
        <v>303</v>
      </c>
      <c r="J44" s="309"/>
      <c r="K44" s="309"/>
      <c r="L44" s="309"/>
      <c r="M44" s="309"/>
      <c r="N44" s="309"/>
      <c r="O44" s="310"/>
      <c r="AU44" s="25" t="s">
        <v>157</v>
      </c>
    </row>
    <row r="45" spans="1:47">
      <c r="AU45" s="13" t="s">
        <v>193</v>
      </c>
    </row>
    <row r="46" spans="1:47">
      <c r="AU46" s="13" t="s">
        <v>233</v>
      </c>
    </row>
    <row r="47" spans="1:47" ht="15.75" thickBot="1">
      <c r="AU47" s="13" t="s">
        <v>121</v>
      </c>
    </row>
    <row r="48" spans="1:47" ht="21">
      <c r="A48" s="185" t="s">
        <v>133</v>
      </c>
      <c r="B48" s="178"/>
      <c r="C48" s="177" t="s">
        <v>288</v>
      </c>
      <c r="D48" s="178"/>
      <c r="E48" s="177" t="s">
        <v>289</v>
      </c>
      <c r="F48" s="178"/>
      <c r="G48" s="177" t="s">
        <v>290</v>
      </c>
      <c r="H48" s="178"/>
      <c r="I48" s="177" t="s">
        <v>135</v>
      </c>
      <c r="J48" s="181"/>
      <c r="K48" s="177" t="s">
        <v>291</v>
      </c>
      <c r="L48" s="178"/>
      <c r="M48" s="177" t="s">
        <v>292</v>
      </c>
      <c r="N48" s="181"/>
      <c r="O48" s="182"/>
      <c r="P48" s="185" t="s">
        <v>292</v>
      </c>
      <c r="Q48" s="181"/>
      <c r="R48" s="182"/>
      <c r="S48" s="185" t="s">
        <v>292</v>
      </c>
      <c r="T48" s="181"/>
      <c r="U48" s="182"/>
      <c r="V48" s="185" t="s">
        <v>292</v>
      </c>
      <c r="W48" s="181"/>
      <c r="X48" s="181"/>
      <c r="Y48" s="181"/>
      <c r="Z48" s="182"/>
      <c r="AA48" s="230" t="s">
        <v>107</v>
      </c>
      <c r="AB48" s="197"/>
      <c r="AC48" s="197"/>
      <c r="AD48" s="231"/>
      <c r="AE48" s="17"/>
      <c r="AF48" s="17"/>
      <c r="AG48" s="17"/>
      <c r="AH48" s="17"/>
      <c r="AI48" s="17"/>
      <c r="AJ48" s="17"/>
      <c r="AU48" s="25" t="s">
        <v>96</v>
      </c>
    </row>
    <row r="49" spans="1:47" ht="15" customHeight="1">
      <c r="A49" s="207"/>
      <c r="B49" s="208"/>
      <c r="C49" s="179"/>
      <c r="D49" s="180"/>
      <c r="E49" s="179"/>
      <c r="F49" s="180"/>
      <c r="G49" s="179"/>
      <c r="H49" s="180"/>
      <c r="I49" s="179"/>
      <c r="J49" s="183"/>
      <c r="K49" s="179"/>
      <c r="L49" s="180"/>
      <c r="M49" s="179"/>
      <c r="N49" s="183"/>
      <c r="O49" s="184"/>
      <c r="P49" s="186"/>
      <c r="Q49" s="183"/>
      <c r="R49" s="184"/>
      <c r="S49" s="186"/>
      <c r="T49" s="183"/>
      <c r="U49" s="184"/>
      <c r="V49" s="186"/>
      <c r="W49" s="183"/>
      <c r="X49" s="183"/>
      <c r="Y49" s="183"/>
      <c r="Z49" s="184"/>
      <c r="AA49" s="199" t="s">
        <v>110</v>
      </c>
      <c r="AB49" s="201"/>
      <c r="AC49" s="214" t="s">
        <v>111</v>
      </c>
      <c r="AD49" s="201"/>
      <c r="AE49" s="214" t="s">
        <v>109</v>
      </c>
      <c r="AF49" s="201"/>
      <c r="AG49" s="214" t="s">
        <v>112</v>
      </c>
      <c r="AH49" s="201"/>
      <c r="AI49" s="214" t="s">
        <v>113</v>
      </c>
      <c r="AJ49" s="216"/>
      <c r="AU49" s="25" t="s">
        <v>97</v>
      </c>
    </row>
    <row r="50" spans="1:47" ht="15.75" customHeight="1" thickBot="1">
      <c r="A50" s="114" t="s">
        <v>137</v>
      </c>
      <c r="B50" s="136" t="s">
        <v>286</v>
      </c>
      <c r="C50" s="136" t="s">
        <v>137</v>
      </c>
      <c r="D50" s="136" t="s">
        <v>286</v>
      </c>
      <c r="E50" s="136" t="s">
        <v>137</v>
      </c>
      <c r="F50" s="136" t="s">
        <v>286</v>
      </c>
      <c r="G50" s="136" t="s">
        <v>137</v>
      </c>
      <c r="H50" s="136" t="s">
        <v>286</v>
      </c>
      <c r="I50" s="27" t="s">
        <v>137</v>
      </c>
      <c r="J50" s="136" t="s">
        <v>286</v>
      </c>
      <c r="K50" s="136" t="s">
        <v>137</v>
      </c>
      <c r="L50" s="27" t="s">
        <v>286</v>
      </c>
      <c r="M50" s="27" t="s">
        <v>141</v>
      </c>
      <c r="N50" s="27" t="s">
        <v>137</v>
      </c>
      <c r="O50" s="148" t="s">
        <v>286</v>
      </c>
      <c r="P50" s="27" t="s">
        <v>141</v>
      </c>
      <c r="Q50" s="27" t="s">
        <v>137</v>
      </c>
      <c r="R50" s="148" t="s">
        <v>286</v>
      </c>
      <c r="S50" s="27" t="s">
        <v>141</v>
      </c>
      <c r="T50" s="27" t="s">
        <v>137</v>
      </c>
      <c r="U50" s="148" t="s">
        <v>286</v>
      </c>
      <c r="V50" s="27" t="s">
        <v>141</v>
      </c>
      <c r="W50" s="27" t="s">
        <v>137</v>
      </c>
      <c r="X50" s="148"/>
      <c r="Y50" s="148"/>
      <c r="Z50" s="148" t="s">
        <v>286</v>
      </c>
      <c r="AA50" s="212"/>
      <c r="AB50" s="213"/>
      <c r="AC50" s="215"/>
      <c r="AD50" s="213"/>
      <c r="AE50" s="215"/>
      <c r="AF50" s="213"/>
      <c r="AG50" s="215"/>
      <c r="AH50" s="213"/>
      <c r="AI50" s="215"/>
      <c r="AJ50" s="217"/>
      <c r="AU50" s="25" t="s">
        <v>98</v>
      </c>
    </row>
    <row r="51" spans="1:47" ht="21.75" thickBot="1">
      <c r="A51" s="173">
        <f ca="1">IFERROR(INDEX(OFFSET('Suivi livrables'!$A$1:$DO$1,MATCH($A13,'Suivi livrables'!$A:$A,0)-1,),1,31),"")</f>
        <v>0</v>
      </c>
      <c r="B51" s="173">
        <f ca="1">IFERROR(INDEX(OFFSET('Suivi livrables'!$A$1:$DO$1,MATCH($A13,'Suivi livrables'!$A:$A,0)-1,),1,32),"")</f>
        <v>0</v>
      </c>
      <c r="C51" s="173">
        <f ca="1">IFERROR(INDEX(OFFSET('Suivi livrables'!$A$1:$DO$1,MATCH($A13,'Suivi livrables'!$A:$A,0)-1,),1,33),"")</f>
        <v>0</v>
      </c>
      <c r="D51" s="173">
        <f ca="1">IFERROR(INDEX(OFFSET('Suivi livrables'!$A$1:$DO$1,MATCH($A13,'Suivi livrables'!$A:$A,0)-1,),1,34),"")</f>
        <v>0</v>
      </c>
      <c r="E51" s="173">
        <f ca="1">IFERROR(INDEX(OFFSET('Suivi livrables'!$A$1:$DO$1,MATCH($A13,'Suivi livrables'!$A:$A,0)-1,),1,35),"")</f>
        <v>0</v>
      </c>
      <c r="F51" s="173">
        <f ca="1">IFERROR(INDEX(OFFSET('Suivi livrables'!$A$1:$DO$1,MATCH($A13,'Suivi livrables'!$A:$A,0)-1,),1,36),"")</f>
        <v>0</v>
      </c>
      <c r="G51" s="173">
        <f ca="1">IFERROR(INDEX(OFFSET('Suivi livrables'!$A$1:$DO$1,MATCH($A13,'Suivi livrables'!$A:$A,0)-1,),1,37),"")</f>
        <v>0</v>
      </c>
      <c r="H51" s="173">
        <f ca="1">IFERROR(INDEX(OFFSET('Suivi livrables'!$A$1:$DO$1,MATCH($A13,'Suivi livrables'!$A:$A,0)-1,),1,38),"")</f>
        <v>0</v>
      </c>
      <c r="I51" s="173">
        <f ca="1">IFERROR(INDEX(OFFSET('Suivi livrables'!$A$1:$DO$1,MATCH($A13,'Suivi livrables'!$A:$A,0)-1,),1,39),"")</f>
        <v>0</v>
      </c>
      <c r="J51" s="173">
        <f ca="1">IFERROR(INDEX(OFFSET('Suivi livrables'!$A$1:$DO$1,MATCH($A13,'Suivi livrables'!$A:$A,0)-1,),1,40),"")</f>
        <v>0</v>
      </c>
      <c r="K51" s="173">
        <f ca="1">IFERROR(INDEX(OFFSET('Suivi livrables'!$A$1:$DO$1,MATCH($A13,'Suivi livrables'!$A:$A,0)-1,),1,41),"")</f>
        <v>0</v>
      </c>
      <c r="L51" s="173">
        <f ca="1">IFERROR(INDEX(OFFSET('Suivi livrables'!$A$1:$DO$1,MATCH($A13,'Suivi livrables'!$A:$A,0)-1,),1,42),"")</f>
        <v>0</v>
      </c>
      <c r="M51" s="173">
        <f ca="1">IFERROR(INDEX(OFFSET('Suivi livrables'!$A$1:$DO$1,MATCH($A13,'Suivi livrables'!$A:$A,0)-1,),1,43),"")</f>
        <v>0</v>
      </c>
      <c r="N51" s="173">
        <f ca="1">IFERROR(INDEX(OFFSET('Suivi livrables'!$A$1:$DO$1,MATCH($A13,'Suivi livrables'!$A:$A,0)-1,),1,44),"")</f>
        <v>0</v>
      </c>
      <c r="O51" s="173">
        <f ca="1">IFERROR(INDEX(OFFSET('Suivi livrables'!$A$1:$DO$1,MATCH($A13,'Suivi livrables'!$A:$A,0)-1,),1,45),"")</f>
        <v>0</v>
      </c>
      <c r="P51" s="173">
        <f ca="1">IFERROR(INDEX(OFFSET('Suivi livrables'!$A$1:$DO$1,MATCH($A13,'Suivi livrables'!$A:$A,0)-1,),1,46),"")</f>
        <v>0</v>
      </c>
      <c r="Q51" s="173">
        <f ca="1">IFERROR(INDEX(OFFSET('Suivi livrables'!$A$1:$DO$1,MATCH($A13,'Suivi livrables'!$A:$A,0)-1,),1,47),"")</f>
        <v>0</v>
      </c>
      <c r="R51" s="173">
        <f ca="1">IFERROR(INDEX(OFFSET('Suivi livrables'!$A$1:$DO$1,MATCH($A13,'Suivi livrables'!$A:$A,0)-1,),1,48),"")</f>
        <v>0</v>
      </c>
      <c r="S51" s="173">
        <f ca="1">IFERROR(INDEX(OFFSET('Suivi livrables'!$A$1:$DO$1,MATCH($A13,'Suivi livrables'!$A:$A,0)-1,),1,49),"")</f>
        <v>0</v>
      </c>
      <c r="T51" s="173">
        <f ca="1">IFERROR(INDEX(OFFSET('Suivi livrables'!$A$1:$DO$1,MATCH($A13,'Suivi livrables'!$A:$A,0)-1,),1,50),"")</f>
        <v>0</v>
      </c>
      <c r="U51" s="173">
        <f ca="1">IFERROR(INDEX(OFFSET('Suivi livrables'!$A$1:$DO$1,MATCH($A13,'Suivi livrables'!$A:$A,0)-1,),1,51),"")</f>
        <v>0</v>
      </c>
      <c r="V51" s="173">
        <f ca="1">IFERROR(INDEX(OFFSET('Suivi livrables'!$A$1:$DO$1,MATCH($A13,'Suivi livrables'!$A:$A,0)-1,),1,52),"")</f>
        <v>0</v>
      </c>
      <c r="W51" s="173">
        <f ca="1">IFERROR(INDEX(OFFSET('Suivi livrables'!$A$1:$DO$1,MATCH($A13,'Suivi livrables'!$A:$A,0)-1,),1,53),"")</f>
        <v>0</v>
      </c>
      <c r="X51" s="175"/>
      <c r="Y51" s="175"/>
      <c r="Z51" s="173">
        <f ca="1">IFERROR(INDEX(OFFSET('Suivi livrables'!$A$1:$DO$1,MATCH($A13,'Suivi livrables'!$A:$A,0)-1,),1,54),"")</f>
        <v>0</v>
      </c>
      <c r="AA51" s="15" t="s">
        <v>108</v>
      </c>
      <c r="AB51" s="18" t="s">
        <v>8</v>
      </c>
      <c r="AC51" s="16" t="s">
        <v>108</v>
      </c>
      <c r="AD51" s="16" t="s">
        <v>8</v>
      </c>
      <c r="AE51" s="16" t="s">
        <v>108</v>
      </c>
      <c r="AF51" s="16" t="s">
        <v>8</v>
      </c>
      <c r="AG51" s="16" t="s">
        <v>108</v>
      </c>
      <c r="AH51" s="16" t="s">
        <v>8</v>
      </c>
      <c r="AI51" s="20" t="s">
        <v>108</v>
      </c>
      <c r="AJ51" s="99" t="s">
        <v>8</v>
      </c>
      <c r="AU51" s="13" t="s">
        <v>188</v>
      </c>
    </row>
    <row r="52" spans="1:47">
      <c r="AA52" s="176">
        <f ca="1">IFERROR(INDEX(OFFSET('Suivi livrables'!$A$1:$DO$1,MATCH($A13,'Suivi livrables'!$A:$A,0)-1,),1,93),"")</f>
        <v>42213</v>
      </c>
      <c r="AB52" s="173">
        <f ca="1">IFERROR(INDEX(OFFSET('Suivi livrables'!$A$1:$DO$1,MATCH($A13,'Suivi livrables'!$A:$A,0)-1,),1,94),"")</f>
        <v>0</v>
      </c>
      <c r="AC52" s="176">
        <f ca="1">IFERROR(INDEX(OFFSET('Suivi livrables'!$A$1:$DO$1,MATCH($A13,'Suivi livrables'!$A:$A,0)-1,),1,95),"")</f>
        <v>42213</v>
      </c>
      <c r="AD52" s="173">
        <f ca="1">IFERROR(INDEX(OFFSET('Suivi livrables'!$A$1:$DO$1,MATCH($A13,'Suivi livrables'!$A:$A,0)-1,),1,96),"")</f>
        <v>0</v>
      </c>
      <c r="AE52" s="171"/>
      <c r="AF52" s="170"/>
      <c r="AG52" s="171"/>
      <c r="AH52" s="170"/>
      <c r="AI52" s="171"/>
      <c r="AJ52" s="170"/>
      <c r="AU52" s="25" t="s">
        <v>34</v>
      </c>
    </row>
    <row r="53" spans="1:47">
      <c r="AU53" s="25" t="s">
        <v>82</v>
      </c>
    </row>
    <row r="54" spans="1:47">
      <c r="AU54" s="25" t="s">
        <v>83</v>
      </c>
    </row>
    <row r="55" spans="1:47">
      <c r="AU55" s="25" t="s">
        <v>42</v>
      </c>
    </row>
    <row r="56" spans="1:47">
      <c r="AU56" s="25" t="s">
        <v>152</v>
      </c>
    </row>
    <row r="57" spans="1:47">
      <c r="AU57" s="25" t="s">
        <v>158</v>
      </c>
    </row>
    <row r="58" spans="1:47">
      <c r="AU58" s="13" t="s">
        <v>189</v>
      </c>
    </row>
    <row r="59" spans="1:47">
      <c r="AU59" s="25" t="s">
        <v>38</v>
      </c>
    </row>
    <row r="60" spans="1:47">
      <c r="AU60" s="13" t="s">
        <v>225</v>
      </c>
    </row>
    <row r="61" spans="1:47">
      <c r="AU61" s="25" t="s">
        <v>56</v>
      </c>
    </row>
    <row r="62" spans="1:47">
      <c r="AU62" s="25" t="s">
        <v>59</v>
      </c>
    </row>
    <row r="63" spans="1:47">
      <c r="AU63" s="25" t="s">
        <v>60</v>
      </c>
    </row>
    <row r="64" spans="1:47">
      <c r="AU64" s="25" t="s">
        <v>61</v>
      </c>
    </row>
    <row r="65" spans="47:47">
      <c r="AU65" s="25" t="s">
        <v>95</v>
      </c>
    </row>
    <row r="66" spans="47:47">
      <c r="AU66" s="13" t="s">
        <v>232</v>
      </c>
    </row>
    <row r="67" spans="47:47">
      <c r="AU67" s="25" t="s">
        <v>66</v>
      </c>
    </row>
    <row r="68" spans="47:47">
      <c r="AU68" s="13" t="s">
        <v>190</v>
      </c>
    </row>
    <row r="69" spans="47:47">
      <c r="AU69" s="25" t="s">
        <v>84</v>
      </c>
    </row>
    <row r="70" spans="47:47">
      <c r="AU70" s="25" t="s">
        <v>85</v>
      </c>
    </row>
    <row r="71" spans="47:47">
      <c r="AU71" s="25" t="s">
        <v>122</v>
      </c>
    </row>
    <row r="72" spans="47:47">
      <c r="AU72" s="25" t="s">
        <v>123</v>
      </c>
    </row>
    <row r="73" spans="47:47">
      <c r="AU73" s="13" t="s">
        <v>191</v>
      </c>
    </row>
    <row r="74" spans="47:47">
      <c r="AU74" s="25" t="s">
        <v>162</v>
      </c>
    </row>
    <row r="75" spans="47:47">
      <c r="AU75" s="25" t="s">
        <v>46</v>
      </c>
    </row>
    <row r="76" spans="47:47">
      <c r="AU76" s="13" t="s">
        <v>192</v>
      </c>
    </row>
    <row r="77" spans="47:47">
      <c r="AU77" s="25" t="s">
        <v>51</v>
      </c>
    </row>
    <row r="78" spans="47:47">
      <c r="AU78" s="25" t="s">
        <v>53</v>
      </c>
    </row>
    <row r="79" spans="47:47">
      <c r="AU79" s="25" t="s">
        <v>49</v>
      </c>
    </row>
    <row r="80" spans="47:47">
      <c r="AU80" s="25" t="s">
        <v>50</v>
      </c>
    </row>
    <row r="81" spans="47:47">
      <c r="AU81" s="25" t="s">
        <v>54</v>
      </c>
    </row>
    <row r="82" spans="47:47">
      <c r="AU82" s="25" t="s">
        <v>62</v>
      </c>
    </row>
    <row r="83" spans="47:47">
      <c r="AU83" s="25" t="s">
        <v>63</v>
      </c>
    </row>
    <row r="84" spans="47:47">
      <c r="AU84" s="25" t="s">
        <v>64</v>
      </c>
    </row>
    <row r="85" spans="47:47">
      <c r="AU85" s="13" t="s">
        <v>159</v>
      </c>
    </row>
    <row r="86" spans="47:47">
      <c r="AU86" s="13" t="s">
        <v>161</v>
      </c>
    </row>
    <row r="87" spans="47:47">
      <c r="AU87" s="25" t="s">
        <v>65</v>
      </c>
    </row>
    <row r="88" spans="47:47">
      <c r="AU88" s="13" t="s">
        <v>160</v>
      </c>
    </row>
    <row r="89" spans="47:47">
      <c r="AU89" s="13" t="s">
        <v>186</v>
      </c>
    </row>
    <row r="90" spans="47:47">
      <c r="AU90" s="25" t="s">
        <v>52</v>
      </c>
    </row>
    <row r="91" spans="47:47">
      <c r="AU91" s="13" t="s">
        <v>226</v>
      </c>
    </row>
    <row r="92" spans="47:47">
      <c r="AU92" s="13" t="s">
        <v>227</v>
      </c>
    </row>
    <row r="93" spans="47:47">
      <c r="AU93" s="13" t="s">
        <v>228</v>
      </c>
    </row>
    <row r="94" spans="47:47">
      <c r="AU94" s="13" t="s">
        <v>229</v>
      </c>
    </row>
    <row r="95" spans="47:47">
      <c r="AU95" s="13" t="s">
        <v>230</v>
      </c>
    </row>
    <row r="96" spans="47:47">
      <c r="AU96" s="13" t="s">
        <v>194</v>
      </c>
    </row>
    <row r="97" spans="47:47">
      <c r="AU97" s="13" t="s">
        <v>194</v>
      </c>
    </row>
    <row r="98" spans="47:47">
      <c r="AU98" s="13" t="s">
        <v>231</v>
      </c>
    </row>
    <row r="99" spans="47:47">
      <c r="AU99" s="25" t="s">
        <v>269</v>
      </c>
    </row>
    <row r="100" spans="47:47">
      <c r="AU100" s="13" t="s">
        <v>270</v>
      </c>
    </row>
    <row r="101" spans="47:47">
      <c r="AU101" s="13"/>
    </row>
    <row r="102" spans="47:47">
      <c r="AU102" s="13"/>
    </row>
    <row r="103" spans="47:47">
      <c r="AU103" s="13"/>
    </row>
    <row r="104" spans="47:47">
      <c r="AU104" s="13"/>
    </row>
    <row r="105" spans="47:47">
      <c r="AU105" s="13"/>
    </row>
    <row r="106" spans="47:47">
      <c r="AU106" s="13"/>
    </row>
    <row r="107" spans="47:47">
      <c r="AU107" s="13"/>
    </row>
    <row r="108" spans="47:47">
      <c r="AU108" s="13"/>
    </row>
    <row r="109" spans="47:47">
      <c r="AU109" s="13"/>
    </row>
    <row r="110" spans="47:47">
      <c r="AU110" s="13"/>
    </row>
    <row r="111" spans="47:47">
      <c r="AU111" s="13"/>
    </row>
    <row r="112" spans="47:47">
      <c r="AU112" s="13"/>
    </row>
    <row r="113" spans="47:47">
      <c r="AU113" s="13"/>
    </row>
    <row r="114" spans="47:47">
      <c r="AU114" s="13"/>
    </row>
    <row r="115" spans="47:47">
      <c r="AU115" s="13"/>
    </row>
    <row r="116" spans="47:47">
      <c r="AU116" s="13"/>
    </row>
    <row r="117" spans="47:47">
      <c r="AU117" s="13"/>
    </row>
    <row r="118" spans="47:47">
      <c r="AU118" s="13"/>
    </row>
    <row r="119" spans="47:47">
      <c r="AU119" s="13"/>
    </row>
    <row r="120" spans="47:47">
      <c r="AU120" s="13"/>
    </row>
    <row r="121" spans="47:47">
      <c r="AU121" s="13"/>
    </row>
    <row r="122" spans="47:47">
      <c r="AU122" s="13"/>
    </row>
    <row r="123" spans="47:47">
      <c r="AU123" s="13"/>
    </row>
    <row r="124" spans="47:47">
      <c r="AU124" s="13"/>
    </row>
    <row r="125" spans="47:47">
      <c r="AU125" s="13"/>
    </row>
    <row r="126" spans="47:47">
      <c r="AU126" s="13"/>
    </row>
    <row r="127" spans="47:47">
      <c r="AU127" s="13"/>
    </row>
    <row r="128" spans="47:47">
      <c r="AU128" s="13"/>
    </row>
    <row r="129" spans="47:47">
      <c r="AU129" s="13"/>
    </row>
    <row r="130" spans="47:47">
      <c r="AU130" s="13"/>
    </row>
    <row r="131" spans="47:47">
      <c r="AU131" s="13"/>
    </row>
  </sheetData>
  <mergeCells count="117">
    <mergeCell ref="C2:G3"/>
    <mergeCell ref="I6:O6"/>
    <mergeCell ref="L10:O11"/>
    <mergeCell ref="I22:O22"/>
    <mergeCell ref="E10:E12"/>
    <mergeCell ref="F10:F12"/>
    <mergeCell ref="G10:G12"/>
    <mergeCell ref="H10:H12"/>
    <mergeCell ref="I10:I12"/>
    <mergeCell ref="J10:J12"/>
    <mergeCell ref="P10:T10"/>
    <mergeCell ref="U10:W11"/>
    <mergeCell ref="P11:R11"/>
    <mergeCell ref="S11:T11"/>
    <mergeCell ref="S13:S14"/>
    <mergeCell ref="K10:K12"/>
    <mergeCell ref="A9:I9"/>
    <mergeCell ref="J9:K9"/>
    <mergeCell ref="L9:Z9"/>
    <mergeCell ref="A10:A12"/>
    <mergeCell ref="B10:B12"/>
    <mergeCell ref="C10:C12"/>
    <mergeCell ref="D10:D12"/>
    <mergeCell ref="X10:Z11"/>
    <mergeCell ref="A13:A14"/>
    <mergeCell ref="B13:B14"/>
    <mergeCell ref="C13:C14"/>
    <mergeCell ref="D13:D14"/>
    <mergeCell ref="E13:E14"/>
    <mergeCell ref="F13:F14"/>
    <mergeCell ref="AA29:AA30"/>
    <mergeCell ref="AB29:AB30"/>
    <mergeCell ref="AC29:AC30"/>
    <mergeCell ref="M13:M14"/>
    <mergeCell ref="N13:N14"/>
    <mergeCell ref="O13:O14"/>
    <mergeCell ref="P13:P14"/>
    <mergeCell ref="Q13:Q14"/>
    <mergeCell ref="R13:R14"/>
    <mergeCell ref="G13:G14"/>
    <mergeCell ref="H13:H14"/>
    <mergeCell ref="I13:I14"/>
    <mergeCell ref="J13:J14"/>
    <mergeCell ref="K13:K14"/>
    <mergeCell ref="L13:L14"/>
    <mergeCell ref="Z13:Z14"/>
    <mergeCell ref="V29:V30"/>
    <mergeCell ref="W29:W30"/>
    <mergeCell ref="X29:X30"/>
    <mergeCell ref="Y29:Y30"/>
    <mergeCell ref="Z29:Z30"/>
    <mergeCell ref="T13:T14"/>
    <mergeCell ref="U13:U14"/>
    <mergeCell ref="V13:V14"/>
    <mergeCell ref="W13:W14"/>
    <mergeCell ref="X13:X14"/>
    <mergeCell ref="Y13:Y14"/>
    <mergeCell ref="AG49:AH50"/>
    <mergeCell ref="AI49:AJ50"/>
    <mergeCell ref="B29:B30"/>
    <mergeCell ref="C29:C30"/>
    <mergeCell ref="D29:D30"/>
    <mergeCell ref="E29:E30"/>
    <mergeCell ref="A26:B27"/>
    <mergeCell ref="C26:D27"/>
    <mergeCell ref="E26:F27"/>
    <mergeCell ref="G26:H27"/>
    <mergeCell ref="I26:J27"/>
    <mergeCell ref="K26:M27"/>
    <mergeCell ref="J29:J30"/>
    <mergeCell ref="K29:K30"/>
    <mergeCell ref="L29:L30"/>
    <mergeCell ref="M29:M30"/>
    <mergeCell ref="N29:N30"/>
    <mergeCell ref="O29:O30"/>
    <mergeCell ref="P29:P30"/>
    <mergeCell ref="Q29:Q30"/>
    <mergeCell ref="R29:R30"/>
    <mergeCell ref="S29:S30"/>
    <mergeCell ref="T29:T30"/>
    <mergeCell ref="U29:U30"/>
    <mergeCell ref="AC25:AE25"/>
    <mergeCell ref="N26:P27"/>
    <mergeCell ref="Q26:R27"/>
    <mergeCell ref="S26:T27"/>
    <mergeCell ref="U26:V26"/>
    <mergeCell ref="W26:X27"/>
    <mergeCell ref="Y26:Z27"/>
    <mergeCell ref="AA26:AB27"/>
    <mergeCell ref="AC26:AC27"/>
    <mergeCell ref="AD26:AD27"/>
    <mergeCell ref="A25:P25"/>
    <mergeCell ref="Q25:V25"/>
    <mergeCell ref="W25:AB25"/>
    <mergeCell ref="S48:U49"/>
    <mergeCell ref="V48:Z49"/>
    <mergeCell ref="AE26:AE27"/>
    <mergeCell ref="I44:O44"/>
    <mergeCell ref="A48:B49"/>
    <mergeCell ref="C48:D49"/>
    <mergeCell ref="E48:F49"/>
    <mergeCell ref="G48:H49"/>
    <mergeCell ref="I48:J49"/>
    <mergeCell ref="K48:L49"/>
    <mergeCell ref="M48:O49"/>
    <mergeCell ref="P48:R49"/>
    <mergeCell ref="AA48:AD48"/>
    <mergeCell ref="F29:F30"/>
    <mergeCell ref="G29:G30"/>
    <mergeCell ref="H29:H30"/>
    <mergeCell ref="I29:I30"/>
    <mergeCell ref="AA49:AB50"/>
    <mergeCell ref="AC49:AD50"/>
    <mergeCell ref="AE49:AF50"/>
    <mergeCell ref="A29:A30"/>
    <mergeCell ref="AD29:AD30"/>
    <mergeCell ref="AE29:AE30"/>
  </mergeCells>
  <dataValidations count="1">
    <dataValidation type="list" allowBlank="1" showInputMessage="1" showErrorMessage="1" sqref="H2">
      <formula1>$AU$14:$AU$85</formula1>
    </dataValidation>
  </dataValidations>
  <hyperlinks>
    <hyperlink ref="Q1" r:id="rId1"/>
  </hyperlinks>
  <pageMargins left="0.7" right="0.7" top="0.75" bottom="0.75" header="0.3" footer="0.3"/>
  <pageSetup paperSize="9" orientation="portrait" r:id="rId2"/>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Suivi livrables</vt:lpstr>
      <vt:lpstr>jalons</vt:lpstr>
      <vt:lpstr>Feuil1</vt:lpstr>
      <vt:lpstr>Feuil2</vt:lpstr>
      <vt:lpstr>jalons!Zone_d_impression</vt:lpstr>
      <vt:lpstr>'Suivi livrables'!Zone_d_impression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fcml</dc:creator>
  <cp:lastModifiedBy>Michel Zombaï</cp:lastModifiedBy>
  <cp:lastPrinted>2016-01-15T14:42:52Z</cp:lastPrinted>
  <dcterms:created xsi:type="dcterms:W3CDTF">2014-08-20T07:09:02Z</dcterms:created>
  <dcterms:modified xsi:type="dcterms:W3CDTF">2016-01-19T01:37:23Z</dcterms:modified>
</cp:coreProperties>
</file>