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690" yWindow="15" windowWidth="12765" windowHeight="14025" tabRatio="914"/>
  </bookViews>
  <sheets>
    <sheet name="Démarrage caisse" sheetId="1" r:id="rId1"/>
    <sheet name="Prix" sheetId="2" r:id="rId2"/>
    <sheet name="Plats favoris" sheetId="3" r:id="rId3"/>
    <sheet name="Paiement" sheetId="4" r:id="rId4"/>
    <sheet name="TVA" sheetId="5" r:id="rId5"/>
    <sheet name="Imprimer" sheetId="17" r:id="rId6"/>
    <sheet name="calcul logiciel" sheetId="11" r:id="rId7"/>
  </sheets>
  <definedNames>
    <definedName name="_xlnm._FilterDatabase" localSheetId="3" hidden="1">Paiement!#REF!</definedName>
    <definedName name="_xlnm._FilterDatabase" localSheetId="1" hidden="1">Prix!$D:$D</definedName>
    <definedName name="_xlnm.Criteria" localSheetId="1">Prix!$B$171:$B$172</definedName>
    <definedName name="_xlnm.Print_Titles" localSheetId="3">Paiement!$1:$1</definedName>
    <definedName name="_xlnm.Print_Titles" localSheetId="4">TVA!$1:$2</definedName>
    <definedName name="_xlnm.Print_Area" localSheetId="5">Imprimer!$A$1:$F$43</definedName>
  </definedNames>
  <calcPr calcId="145621"/>
</workbook>
</file>

<file path=xl/calcChain.xml><?xml version="1.0" encoding="utf-8"?>
<calcChain xmlns="http://schemas.openxmlformats.org/spreadsheetml/2006/main">
  <c r="A1212" i="11" l="1"/>
  <c r="A1218" i="11"/>
  <c r="A1211" i="11"/>
  <c r="A1217" i="11"/>
  <c r="A1210" i="11"/>
  <c r="A1216" i="11"/>
  <c r="A212" i="11"/>
  <c r="A218" i="11"/>
  <c r="A211" i="11"/>
  <c r="A217" i="11"/>
  <c r="A210" i="11"/>
  <c r="A216" i="11"/>
  <c r="A3212" i="11"/>
  <c r="A3218" i="11"/>
  <c r="A3211" i="11"/>
  <c r="A3217" i="11"/>
  <c r="A3210" i="11"/>
  <c r="A3216" i="11"/>
  <c r="A2212" i="11"/>
  <c r="A2218" i="11"/>
  <c r="A2211" i="11"/>
  <c r="A2217" i="11"/>
  <c r="A2210" i="11"/>
  <c r="A2216" i="11"/>
  <c r="E98" i="2" l="1"/>
  <c r="F98" i="2" s="1"/>
  <c r="E99" i="2"/>
  <c r="F99" i="2" s="1"/>
  <c r="E10" i="2"/>
  <c r="F10" i="2"/>
  <c r="E115" i="2"/>
  <c r="F115" i="2" s="1"/>
  <c r="E162" i="2"/>
  <c r="F162" i="2"/>
  <c r="E161" i="2"/>
  <c r="F161" i="2" s="1"/>
  <c r="E160" i="2"/>
  <c r="F160" i="2"/>
  <c r="E159" i="2"/>
  <c r="F159" i="2" s="1"/>
  <c r="E158" i="2"/>
  <c r="F158" i="2"/>
  <c r="E157" i="2"/>
  <c r="F157" i="2" s="1"/>
  <c r="E156" i="2"/>
  <c r="F156" i="2"/>
  <c r="E155" i="2"/>
  <c r="F155" i="2" s="1"/>
  <c r="E152" i="2"/>
  <c r="F152" i="2"/>
  <c r="E151" i="2"/>
  <c r="F151" i="2" s="1"/>
  <c r="E150" i="2"/>
  <c r="F150" i="2"/>
  <c r="E149" i="2"/>
  <c r="F149" i="2" s="1"/>
  <c r="E148" i="2"/>
  <c r="F148" i="2"/>
  <c r="E145" i="2"/>
  <c r="F145" i="2" s="1"/>
  <c r="E144" i="2"/>
  <c r="F144" i="2"/>
  <c r="E143" i="2"/>
  <c r="F143" i="2" s="1"/>
  <c r="E142" i="2"/>
  <c r="F142" i="2"/>
  <c r="E141" i="2"/>
  <c r="F141" i="2" s="1"/>
  <c r="E140" i="2"/>
  <c r="F140" i="2"/>
  <c r="E139" i="2"/>
  <c r="F139" i="2" s="1"/>
  <c r="E138" i="2"/>
  <c r="F138" i="2"/>
  <c r="E137" i="2"/>
  <c r="F137" i="2" s="1"/>
  <c r="E136" i="2"/>
  <c r="F136" i="2"/>
  <c r="E135" i="2"/>
  <c r="F135" i="2" s="1"/>
  <c r="E134" i="2"/>
  <c r="F134" i="2" s="1"/>
  <c r="E133" i="2"/>
  <c r="F133" i="2" s="1"/>
  <c r="E132" i="2"/>
  <c r="F132" i="2" s="1"/>
  <c r="E131" i="2"/>
  <c r="F131" i="2" s="1"/>
  <c r="E130" i="2"/>
  <c r="F130" i="2" s="1"/>
  <c r="E129" i="2"/>
  <c r="F129" i="2" s="1"/>
  <c r="E128" i="2"/>
  <c r="F128" i="2" s="1"/>
  <c r="E127" i="2"/>
  <c r="F127" i="2" s="1"/>
  <c r="E126" i="2"/>
  <c r="F126" i="2" s="1"/>
  <c r="E125" i="2"/>
  <c r="F125" i="2" s="1"/>
  <c r="E124" i="2"/>
  <c r="F124" i="2" s="1"/>
  <c r="E123" i="2"/>
  <c r="F123" i="2" s="1"/>
  <c r="E122" i="2"/>
  <c r="F122" i="2" s="1"/>
  <c r="E121" i="2"/>
  <c r="F121" i="2" s="1"/>
  <c r="E120" i="2"/>
  <c r="F120" i="2" s="1"/>
  <c r="E119" i="2"/>
  <c r="F119" i="2" s="1"/>
  <c r="E118" i="2"/>
  <c r="F118" i="2" s="1"/>
  <c r="E114" i="2"/>
  <c r="F114" i="2" s="1"/>
  <c r="E113" i="2"/>
  <c r="F113" i="2" s="1"/>
  <c r="E112" i="2"/>
  <c r="F112" i="2" s="1"/>
  <c r="E111" i="2"/>
  <c r="F111" i="2" s="1"/>
  <c r="E110" i="2"/>
  <c r="F110" i="2" s="1"/>
  <c r="E109" i="2"/>
  <c r="F109" i="2" s="1"/>
  <c r="E108" i="2"/>
  <c r="F108" i="2" s="1"/>
  <c r="E107" i="2"/>
  <c r="F107" i="2" s="1"/>
  <c r="E104" i="2"/>
  <c r="F104" i="2" s="1"/>
  <c r="E103" i="2"/>
  <c r="F103" i="2" s="1"/>
  <c r="E100" i="2"/>
  <c r="F100" i="2" s="1"/>
  <c r="E97" i="2"/>
  <c r="F97" i="2" s="1"/>
  <c r="E96" i="2"/>
  <c r="F96" i="2" s="1"/>
  <c r="E95" i="2"/>
  <c r="F95" i="2" s="1"/>
  <c r="E94" i="2"/>
  <c r="F94" i="2" s="1"/>
  <c r="E93" i="2"/>
  <c r="F93" i="2" s="1"/>
  <c r="E90" i="2"/>
  <c r="F90" i="2" s="1"/>
  <c r="E89" i="2"/>
  <c r="F89" i="2" s="1"/>
  <c r="E88" i="2"/>
  <c r="F88" i="2" s="1"/>
  <c r="E87" i="2"/>
  <c r="F87" i="2" s="1"/>
  <c r="E86" i="2"/>
  <c r="F86" i="2" s="1"/>
  <c r="E85" i="2"/>
  <c r="F85" i="2" s="1"/>
  <c r="E84" i="2"/>
  <c r="F84" i="2" s="1"/>
  <c r="E83" i="2"/>
  <c r="F83" i="2" s="1"/>
  <c r="E80" i="2"/>
  <c r="F80" i="2" s="1"/>
  <c r="E79" i="2"/>
  <c r="F79" i="2" s="1"/>
  <c r="E78" i="2"/>
  <c r="F78" i="2" s="1"/>
  <c r="E77" i="2"/>
  <c r="F77" i="2" s="1"/>
  <c r="E76" i="2"/>
  <c r="F76" i="2" s="1"/>
  <c r="E75" i="2"/>
  <c r="F75" i="2" s="1"/>
  <c r="E72" i="2"/>
  <c r="F72" i="2" s="1"/>
  <c r="E71" i="2"/>
  <c r="F71" i="2" s="1"/>
  <c r="E70" i="2"/>
  <c r="F70" i="2" s="1"/>
  <c r="E69" i="2"/>
  <c r="F69" i="2" s="1"/>
  <c r="E68" i="2"/>
  <c r="F68" i="2" s="1"/>
  <c r="E67" i="2"/>
  <c r="F67" i="2" s="1"/>
  <c r="E66" i="2"/>
  <c r="F66" i="2" s="1"/>
  <c r="E65" i="2"/>
  <c r="F65" i="2" s="1"/>
  <c r="E64" i="2"/>
  <c r="F64" i="2" s="1"/>
  <c r="E63" i="2"/>
  <c r="F63" i="2" s="1"/>
  <c r="E62" i="2"/>
  <c r="F62" i="2" s="1"/>
  <c r="E61" i="2"/>
  <c r="F61" i="2" s="1"/>
  <c r="E60" i="2"/>
  <c r="F60" i="2" s="1"/>
  <c r="E59" i="2"/>
  <c r="F59" i="2" s="1"/>
  <c r="E58" i="2"/>
  <c r="F58" i="2" s="1"/>
  <c r="E57" i="2"/>
  <c r="F57" i="2" s="1"/>
  <c r="E56" i="2"/>
  <c r="F56" i="2" s="1"/>
  <c r="E55" i="2"/>
  <c r="F55" i="2" s="1"/>
  <c r="E54" i="2"/>
  <c r="F54" i="2" s="1"/>
  <c r="E53" i="2"/>
  <c r="F53" i="2" s="1"/>
  <c r="E52" i="2"/>
  <c r="F52" i="2" s="1"/>
  <c r="E49" i="2"/>
  <c r="F49" i="2" s="1"/>
  <c r="E48" i="2"/>
  <c r="F48" i="2" s="1"/>
  <c r="E47" i="2"/>
  <c r="F47" i="2" s="1"/>
  <c r="E46" i="2"/>
  <c r="F46" i="2" s="1"/>
  <c r="E45" i="2"/>
  <c r="F45" i="2" s="1"/>
  <c r="E44" i="2"/>
  <c r="F44" i="2" s="1"/>
  <c r="E43" i="2"/>
  <c r="F43" i="2" s="1"/>
  <c r="E42" i="2"/>
  <c r="F42" i="2" s="1"/>
  <c r="E41" i="2"/>
  <c r="F41" i="2" s="1"/>
  <c r="E38" i="2"/>
  <c r="F38" i="2" s="1"/>
  <c r="E37" i="2"/>
  <c r="F37" i="2" s="1"/>
  <c r="E36" i="2"/>
  <c r="F36" i="2" s="1"/>
  <c r="E35" i="2"/>
  <c r="F35" i="2" s="1"/>
  <c r="E34" i="2"/>
  <c r="F34" i="2" s="1"/>
  <c r="E33" i="2"/>
  <c r="F33" i="2" s="1"/>
  <c r="E32" i="2"/>
  <c r="F32" i="2" s="1"/>
  <c r="E31" i="2"/>
  <c r="F31" i="2" s="1"/>
  <c r="E30" i="2"/>
  <c r="F30" i="2" s="1"/>
  <c r="E29" i="2"/>
  <c r="F29" i="2" s="1"/>
  <c r="E28" i="2"/>
  <c r="F28" i="2" s="1"/>
  <c r="E27" i="2"/>
  <c r="F27" i="2" s="1"/>
  <c r="E26" i="2"/>
  <c r="F26" i="2" s="1"/>
  <c r="E25" i="2"/>
  <c r="F25" i="2" s="1"/>
  <c r="E24" i="2"/>
  <c r="F24" i="2" s="1"/>
  <c r="E21" i="2"/>
  <c r="F21" i="2" s="1"/>
  <c r="E20" i="2"/>
  <c r="F20" i="2" s="1"/>
  <c r="E19" i="2"/>
  <c r="F19" i="2" s="1"/>
  <c r="E16" i="2"/>
  <c r="F16" i="2" s="1"/>
  <c r="E15" i="2"/>
  <c r="F15" i="2" s="1"/>
  <c r="E13" i="2"/>
  <c r="F13" i="2" s="1"/>
  <c r="E12" i="2"/>
  <c r="F12" i="2" s="1"/>
  <c r="E11" i="2"/>
  <c r="F11" i="2" s="1"/>
  <c r="E14" i="2"/>
  <c r="F14" i="2" s="1"/>
  <c r="E9" i="2"/>
  <c r="F9" i="2" s="1"/>
  <c r="E8" i="2"/>
  <c r="F8" i="2" s="1"/>
  <c r="E7" i="2"/>
  <c r="F7" i="2" s="1"/>
  <c r="E6" i="2"/>
  <c r="F6" i="2" s="1"/>
  <c r="E5" i="2"/>
  <c r="F5" i="2" s="1"/>
  <c r="E4" i="2"/>
  <c r="F4" i="2" s="1"/>
  <c r="E3" i="2"/>
  <c r="F3" i="2" s="1"/>
  <c r="E2" i="2"/>
  <c r="F2" i="2" s="1"/>
  <c r="G41" i="3"/>
  <c r="E41" i="3"/>
  <c r="C41" i="3"/>
  <c r="A41" i="3"/>
  <c r="G38" i="3"/>
  <c r="E38" i="3"/>
  <c r="C38" i="3"/>
  <c r="A38" i="3"/>
  <c r="G35" i="3"/>
  <c r="E35" i="3"/>
  <c r="C35" i="3"/>
  <c r="A35" i="3"/>
  <c r="G32" i="3"/>
  <c r="E32" i="3"/>
  <c r="C32" i="3"/>
  <c r="A32" i="3"/>
  <c r="E29" i="3"/>
  <c r="E23" i="3"/>
  <c r="G23" i="3"/>
  <c r="E2" i="3"/>
  <c r="G8" i="3"/>
  <c r="E5" i="3"/>
  <c r="G5" i="3"/>
  <c r="C20" i="3"/>
  <c r="G26" i="3"/>
  <c r="G20" i="3"/>
  <c r="G17" i="3"/>
  <c r="G14" i="3"/>
  <c r="G11" i="3"/>
  <c r="G2" i="3"/>
  <c r="E26" i="3"/>
  <c r="E20" i="3"/>
  <c r="E17" i="3"/>
  <c r="E14" i="3"/>
  <c r="E11" i="3"/>
  <c r="E8" i="3"/>
  <c r="C29" i="3"/>
  <c r="C26" i="3"/>
  <c r="C23" i="3"/>
  <c r="C17" i="3"/>
  <c r="C14" i="3"/>
  <c r="C11" i="3"/>
  <c r="C8" i="3"/>
  <c r="C5" i="3"/>
  <c r="C2" i="3"/>
  <c r="A29" i="3"/>
  <c r="A26" i="3"/>
  <c r="A23" i="3"/>
  <c r="A20" i="3"/>
  <c r="A17" i="3"/>
  <c r="A14" i="3"/>
  <c r="A11" i="3"/>
  <c r="A8" i="3"/>
  <c r="A5" i="3"/>
  <c r="G29" i="3"/>
  <c r="A2" i="3"/>
</calcChain>
</file>

<file path=xl/sharedStrings.xml><?xml version="1.0" encoding="utf-8"?>
<sst xmlns="http://schemas.openxmlformats.org/spreadsheetml/2006/main" count="473" uniqueCount="401">
  <si>
    <t>prix TTC</t>
  </si>
  <si>
    <t>TVA</t>
  </si>
  <si>
    <t>% TVA</t>
  </si>
  <si>
    <t>Favoris 1</t>
  </si>
  <si>
    <t>Favoris 2</t>
  </si>
  <si>
    <t>Favoris 3</t>
  </si>
  <si>
    <t>Favoris 4</t>
  </si>
  <si>
    <t>Favoris 5</t>
  </si>
  <si>
    <t>Favoris 6</t>
  </si>
  <si>
    <t>Favoris 7</t>
  </si>
  <si>
    <t>Favoris 8</t>
  </si>
  <si>
    <t>Favoris 9</t>
  </si>
  <si>
    <t>Favoris 10</t>
  </si>
  <si>
    <t>Favoris 11</t>
  </si>
  <si>
    <t>Favoris 12</t>
  </si>
  <si>
    <t>Favoris 13</t>
  </si>
  <si>
    <t>Favoris 14</t>
  </si>
  <si>
    <t>Favoris 15</t>
  </si>
  <si>
    <t>Favoris 16</t>
  </si>
  <si>
    <t>Favoris 17</t>
  </si>
  <si>
    <t>Favoris 18</t>
  </si>
  <si>
    <t>Favoris 19</t>
  </si>
  <si>
    <t>Favoris 20</t>
  </si>
  <si>
    <t>Favoris 21</t>
  </si>
  <si>
    <t>Favoris 22</t>
  </si>
  <si>
    <t>Favoris 23</t>
  </si>
  <si>
    <t>Favoris 24</t>
  </si>
  <si>
    <t>Favoris N°</t>
  </si>
  <si>
    <t>Favoris 25</t>
  </si>
  <si>
    <t>Favoris 26</t>
  </si>
  <si>
    <t>Favoris 27</t>
  </si>
  <si>
    <t>Favoris 28</t>
  </si>
  <si>
    <t>Favoris 29</t>
  </si>
  <si>
    <t>Favoris 30</t>
  </si>
  <si>
    <t>Favoris 31</t>
  </si>
  <si>
    <t>Favoris 32</t>
  </si>
  <si>
    <t>Favoris 33</t>
  </si>
  <si>
    <t>Favoris 34</t>
  </si>
  <si>
    <t>Favoris 35</t>
  </si>
  <si>
    <t>Favoris 36</t>
  </si>
  <si>
    <t>Favoris 37</t>
  </si>
  <si>
    <t>Favoris 38</t>
  </si>
  <si>
    <t>Favoris 39</t>
  </si>
  <si>
    <t>Favoris 40</t>
  </si>
  <si>
    <t>ERR!</t>
  </si>
  <si>
    <t>MESSAGE D'ERREUR</t>
  </si>
  <si>
    <t>Plusieurs favoris sélectionnés</t>
  </si>
  <si>
    <t>Aucun favori sélectionné</t>
  </si>
  <si>
    <t>-</t>
  </si>
  <si>
    <t>A1</t>
  </si>
  <si>
    <t>A2</t>
  </si>
  <si>
    <t>A3</t>
  </si>
  <si>
    <t>A4</t>
  </si>
  <si>
    <t>A5</t>
  </si>
  <si>
    <t>A6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</si>
  <si>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</si>
  <si>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</si>
  <si>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</si>
  <si>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</si>
  <si>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</si>
  <si>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</si>
  <si>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</si>
  <si>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</si>
  <si>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</si>
  <si>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</si>
  <si>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E1</t>
  </si>
  <si>
    <t>E2</t>
  </si>
  <si>
    <t>E3</t>
  </si>
  <si>
    <t>E4</t>
  </si>
  <si>
    <t>E5</t>
  </si>
  <si>
    <t>E6</t>
  </si>
  <si>
    <t>F1</t>
  </si>
  <si>
    <t>F3</t>
  </si>
  <si>
    <t>F4</t>
  </si>
  <si>
    <t>G1</t>
  </si>
  <si>
    <t>G2</t>
  </si>
  <si>
    <t>G3</t>
  </si>
  <si>
    <t>G4</t>
  </si>
  <si>
    <t>G5</t>
  </si>
  <si>
    <t>G6</t>
  </si>
  <si>
    <t>H1</t>
  </si>
  <si>
    <t>H2</t>
  </si>
  <si>
    <t>H3</t>
  </si>
  <si>
    <t>H4</t>
  </si>
  <si>
    <t>I1</t>
  </si>
  <si>
    <t>I2</t>
  </si>
  <si>
    <t>I3</t>
  </si>
  <si>
    <t>I4</t>
  </si>
  <si>
    <t>J1</t>
  </si>
  <si>
    <t>J2</t>
  </si>
  <si>
    <t>A0</t>
  </si>
  <si>
    <t>B0</t>
  </si>
  <si>
    <t>C0</t>
  </si>
  <si>
    <t>D0</t>
  </si>
  <si>
    <t>E0</t>
  </si>
  <si>
    <t>F0</t>
  </si>
  <si>
    <t>G0</t>
  </si>
  <si>
    <t>H0</t>
  </si>
  <si>
    <t>I0</t>
  </si>
  <si>
    <t>J0</t>
  </si>
  <si>
    <t>K0</t>
  </si>
  <si>
    <t>K1</t>
  </si>
  <si>
    <t>K2</t>
  </si>
  <si>
    <t>K3</t>
  </si>
  <si>
    <t>K4</t>
  </si>
  <si>
    <t>L0</t>
  </si>
  <si>
    <t>L1</t>
  </si>
  <si>
    <t>L2</t>
  </si>
  <si>
    <t>pichet rosé 1/4</t>
  </si>
  <si>
    <t>pichet rosé 1/2</t>
  </si>
  <si>
    <t>pichet blanc 1/4</t>
  </si>
  <si>
    <t>pichet blanc 1/2</t>
  </si>
  <si>
    <t>TAUX TVA</t>
  </si>
  <si>
    <t>H5</t>
  </si>
  <si>
    <t>H6</t>
  </si>
  <si>
    <t>I5</t>
  </si>
  <si>
    <t>I6</t>
  </si>
  <si>
    <t>J3</t>
  </si>
  <si>
    <t>J4</t>
  </si>
  <si>
    <t>TVA1</t>
  </si>
  <si>
    <t>TVA2</t>
  </si>
  <si>
    <t>TVA3</t>
  </si>
  <si>
    <t>PLATS</t>
  </si>
  <si>
    <t>MENUS</t>
  </si>
  <si>
    <t>ENTREES</t>
  </si>
  <si>
    <t>FROMAGES</t>
  </si>
  <si>
    <t>DESSERTS</t>
  </si>
  <si>
    <t>APERITIFS</t>
  </si>
  <si>
    <t>VINS BLANCS</t>
  </si>
  <si>
    <t>VINS ROSES</t>
  </si>
  <si>
    <t>VINS ROUGES</t>
  </si>
  <si>
    <t>EAUX</t>
  </si>
  <si>
    <t>DIGESTIFS</t>
  </si>
  <si>
    <t>CAFESTHES</t>
  </si>
  <si>
    <t>M0</t>
  </si>
  <si>
    <t>N0</t>
  </si>
  <si>
    <t>Date</t>
  </si>
  <si>
    <t>Moyen de paiement</t>
  </si>
  <si>
    <t>Montant TTC</t>
  </si>
  <si>
    <t>Montant HT</t>
  </si>
  <si>
    <t>Montant TVA</t>
  </si>
  <si>
    <t>TVA1 = TVA pour le bar</t>
  </si>
  <si>
    <t>Poire</t>
  </si>
  <si>
    <t>F5</t>
  </si>
  <si>
    <t>F6</t>
  </si>
  <si>
    <t>F7</t>
  </si>
  <si>
    <t>F8</t>
  </si>
  <si>
    <t>F9</t>
  </si>
  <si>
    <t>Chivas</t>
  </si>
  <si>
    <t>F10</t>
  </si>
  <si>
    <t>F11</t>
  </si>
  <si>
    <t>Champagne coupe</t>
  </si>
  <si>
    <t>Champagne bout.</t>
  </si>
  <si>
    <t>Clairette bout.</t>
  </si>
  <si>
    <t>G7</t>
  </si>
  <si>
    <t>G8</t>
  </si>
  <si>
    <t>I7</t>
  </si>
  <si>
    <t>I8</t>
  </si>
  <si>
    <t>I9</t>
  </si>
  <si>
    <t>I10</t>
  </si>
  <si>
    <t>I11</t>
  </si>
  <si>
    <t>I12</t>
  </si>
  <si>
    <t>Evian demie</t>
  </si>
  <si>
    <t>Evian bout</t>
  </si>
  <si>
    <t>I13</t>
  </si>
  <si>
    <t>I14</t>
  </si>
  <si>
    <t>I15</t>
  </si>
  <si>
    <t>prix HT</t>
  </si>
  <si>
    <t>Plat du jour</t>
  </si>
  <si>
    <t>Menu du jour</t>
  </si>
  <si>
    <t>A7</t>
  </si>
  <si>
    <t>Menu enfants</t>
  </si>
  <si>
    <t>Sous total</t>
  </si>
  <si>
    <t>Service</t>
  </si>
  <si>
    <t>Jour</t>
  </si>
  <si>
    <t>Semaine</t>
  </si>
  <si>
    <t>Mois</t>
  </si>
  <si>
    <t>Nb couverts</t>
  </si>
  <si>
    <t>Tick moy</t>
  </si>
  <si>
    <t>Observations</t>
  </si>
  <si>
    <t>A8</t>
  </si>
  <si>
    <t>A9</t>
  </si>
  <si>
    <t>Plat week end</t>
  </si>
  <si>
    <t>Formule week end</t>
  </si>
  <si>
    <t>F12</t>
  </si>
  <si>
    <t>F13</t>
  </si>
  <si>
    <t>F14</t>
  </si>
  <si>
    <t>G9</t>
  </si>
  <si>
    <t>H7</t>
  </si>
  <si>
    <t>I16</t>
  </si>
  <si>
    <t>G10</t>
  </si>
  <si>
    <t>B5</t>
  </si>
  <si>
    <t>C5</t>
  </si>
  <si>
    <t>A10</t>
  </si>
  <si>
    <t>G11</t>
  </si>
  <si>
    <t>G12</t>
  </si>
  <si>
    <t>G13</t>
  </si>
  <si>
    <t>H8</t>
  </si>
  <si>
    <t>I17</t>
  </si>
  <si>
    <t>F15</t>
  </si>
  <si>
    <t>Chartreuse</t>
  </si>
  <si>
    <t>Get 27 - 31</t>
  </si>
  <si>
    <t>Sirop - Diabolo</t>
  </si>
  <si>
    <t>F16</t>
  </si>
  <si>
    <t>F17</t>
  </si>
  <si>
    <t>F18</t>
  </si>
  <si>
    <t>F19</t>
  </si>
  <si>
    <t>F20</t>
  </si>
  <si>
    <t>F21</t>
  </si>
  <si>
    <t>Galopin Fleuron</t>
  </si>
  <si>
    <t>Demi Fleuron</t>
  </si>
  <si>
    <t>Galopin Grim</t>
  </si>
  <si>
    <t>Demi Grim</t>
  </si>
  <si>
    <t>E7</t>
  </si>
  <si>
    <t>E8</t>
  </si>
  <si>
    <t>calcul logiciel</t>
  </si>
  <si>
    <t>G14</t>
  </si>
  <si>
    <t>I18</t>
  </si>
  <si>
    <t>I19</t>
  </si>
  <si>
    <t>Verre Vals - Evian - Limo</t>
  </si>
  <si>
    <t>Evian verre</t>
  </si>
  <si>
    <t>Pastis - Ricard 2cl</t>
  </si>
  <si>
    <t>J5</t>
  </si>
  <si>
    <t>J6</t>
  </si>
  <si>
    <t>G15</t>
  </si>
  <si>
    <t>Café - Déca</t>
  </si>
  <si>
    <t>B6</t>
  </si>
  <si>
    <t>B7</t>
  </si>
  <si>
    <t>B8</t>
  </si>
  <si>
    <t>C6</t>
  </si>
  <si>
    <t>Supp. Frites</t>
  </si>
  <si>
    <t>Coupe glacée</t>
  </si>
  <si>
    <t>Favoris 41</t>
  </si>
  <si>
    <t>Favoris 42</t>
  </si>
  <si>
    <t>Favoris 43</t>
  </si>
  <si>
    <t>Favoris 44</t>
  </si>
  <si>
    <t>Favoris 45</t>
  </si>
  <si>
    <t>Favoris 46</t>
  </si>
  <si>
    <t>Favoris 47</t>
  </si>
  <si>
    <t>Favoris 48</t>
  </si>
  <si>
    <t>Favoris 49</t>
  </si>
  <si>
    <t>Favoris 50</t>
  </si>
  <si>
    <t>Favoris 51</t>
  </si>
  <si>
    <t>Favoris 52</t>
  </si>
  <si>
    <t>Favoris 53</t>
  </si>
  <si>
    <t>Favoris 54</t>
  </si>
  <si>
    <t>Favoris 55</t>
  </si>
  <si>
    <t>Favoris 56</t>
  </si>
  <si>
    <t>Verre blanc Viognier Mujolan</t>
  </si>
  <si>
    <t>Bout blanc Marsanne</t>
  </si>
  <si>
    <t>Bout blanc Crozes Petite ruche</t>
  </si>
  <si>
    <t xml:space="preserve">Demie blanc Crozes Petite ruche </t>
  </si>
  <si>
    <t>Verre rosé Zèbre</t>
  </si>
  <si>
    <t xml:space="preserve">Bout rosé Belleruche </t>
  </si>
  <si>
    <t>Bout rosé Le zèbre</t>
  </si>
  <si>
    <t>Demie rouge Crozes Fayolle</t>
  </si>
  <si>
    <t>Bout rouge Crozes Fayolle</t>
  </si>
  <si>
    <t>Bout rouge Rasteau</t>
  </si>
  <si>
    <t>Bout rouge Belleruche Chapout.</t>
  </si>
  <si>
    <t>Bout rouge Crozes Chenets</t>
  </si>
  <si>
    <t>Cocktail</t>
  </si>
  <si>
    <t>F2</t>
  </si>
  <si>
    <t>Skoll</t>
  </si>
  <si>
    <t>Cognac - Armagnac - Calvados</t>
  </si>
  <si>
    <t>Marie Brizard</t>
  </si>
  <si>
    <t>I20</t>
  </si>
  <si>
    <t>I21</t>
  </si>
  <si>
    <t>Verre pichet Sirah</t>
  </si>
  <si>
    <t>Coca - Orangina - Jus de fruits</t>
  </si>
  <si>
    <t>Coupe ardechoise</t>
  </si>
  <si>
    <t>Café gourmand</t>
  </si>
  <si>
    <t>A EMPORTER</t>
  </si>
  <si>
    <t>M1</t>
  </si>
  <si>
    <t>M2</t>
  </si>
  <si>
    <t>M3</t>
  </si>
  <si>
    <t>M4</t>
  </si>
  <si>
    <t>M5</t>
  </si>
  <si>
    <t>M6</t>
  </si>
  <si>
    <t>M7</t>
  </si>
  <si>
    <t>Cocktail sans alcool</t>
  </si>
  <si>
    <t>Whisky 2cl</t>
  </si>
  <si>
    <t>Suze 4cl</t>
  </si>
  <si>
    <t>Perrier</t>
  </si>
  <si>
    <t>Schwepps</t>
  </si>
  <si>
    <t>F22</t>
  </si>
  <si>
    <t>F23</t>
  </si>
  <si>
    <t>F24</t>
  </si>
  <si>
    <t>F25</t>
  </si>
  <si>
    <t>F26</t>
  </si>
  <si>
    <t>F27</t>
  </si>
  <si>
    <t>Menu 19 €</t>
  </si>
  <si>
    <t>Menu 25 € + grenouilles</t>
  </si>
  <si>
    <t>Fromage sec</t>
  </si>
  <si>
    <t>Fromage blanc</t>
  </si>
  <si>
    <t>Plat Grenouilles</t>
  </si>
  <si>
    <t>Bout blanc Viognier Clairmont</t>
  </si>
  <si>
    <t>Bout blanc Viognier Mujolan</t>
  </si>
  <si>
    <t>Bout blanc Sancerre</t>
  </si>
  <si>
    <t>Demie blanc Sancerre</t>
  </si>
  <si>
    <t>Demie rouge Morgon</t>
  </si>
  <si>
    <t>Demie rouge Val de loire</t>
  </si>
  <si>
    <t>Bout rouge Morgon</t>
  </si>
  <si>
    <t>Bout rouge Val de loire</t>
  </si>
  <si>
    <t>Ice-tea</t>
  </si>
  <si>
    <t>Moelleux chocolat</t>
  </si>
  <si>
    <t>Supp cafe gourmand</t>
  </si>
  <si>
    <t>M8</t>
  </si>
  <si>
    <t>L3</t>
  </si>
  <si>
    <t>A11</t>
  </si>
  <si>
    <t>Menu week end 15.5</t>
  </si>
  <si>
    <t>Menu week end 18.5</t>
  </si>
  <si>
    <t>Kir</t>
  </si>
  <si>
    <t>F28</t>
  </si>
  <si>
    <t>Crémant coupe</t>
  </si>
  <si>
    <t>Crémant bout.</t>
  </si>
  <si>
    <t>Badoit verre</t>
  </si>
  <si>
    <t>Badoit demie</t>
  </si>
  <si>
    <t>Badoit bout</t>
  </si>
  <si>
    <t>Verre blanc Viognier Vendanges oct</t>
  </si>
  <si>
    <t>Bout blanc Ferraton</t>
  </si>
  <si>
    <t>Bout blanc St Peray</t>
  </si>
  <si>
    <t>Bout blanc St Joseph</t>
  </si>
  <si>
    <t>Demie rosé St Tropez</t>
  </si>
  <si>
    <t>H9</t>
  </si>
  <si>
    <t>Bout rosé Montrose</t>
  </si>
  <si>
    <t>Bout rosé ST Tropez</t>
  </si>
  <si>
    <t>Verre pichet Crozes Breyton</t>
  </si>
  <si>
    <t>pichet Crozes Breyton 1/4</t>
  </si>
  <si>
    <t>pichet Crozes Breyton 1/2</t>
  </si>
  <si>
    <t>Verre rouge Chèze</t>
  </si>
  <si>
    <t>Demie rouge Belleruche</t>
  </si>
  <si>
    <t>Bout rouge Chèze</t>
  </si>
  <si>
    <t>Bout rouge St Jo Boissonnet</t>
  </si>
  <si>
    <t>Demie rouge St Jo Boissonnet</t>
  </si>
  <si>
    <t>Bout rouge St Jo Cuilleron</t>
  </si>
  <si>
    <t xml:space="preserve">Le </t>
  </si>
  <si>
    <t>Prix TTC</t>
  </si>
  <si>
    <t>Dont TVA</t>
  </si>
  <si>
    <t>Siret 750 123 622 00011 APE 5610 A</t>
  </si>
  <si>
    <t>Menu viande du jour</t>
  </si>
  <si>
    <t>Entrée + viande du jour</t>
  </si>
  <si>
    <t>Viande du jour + dessert</t>
  </si>
  <si>
    <t>A12</t>
  </si>
  <si>
    <t>A13</t>
  </si>
  <si>
    <t>A14</t>
  </si>
  <si>
    <t>Direct Viande du jour</t>
  </si>
  <si>
    <t>Verre pichet Chardonnay</t>
  </si>
  <si>
    <t>Verre pichet rosé</t>
  </si>
  <si>
    <t>pichet rouge Sirah 1/4</t>
  </si>
  <si>
    <t>pichet rouge Sirah 1/2</t>
  </si>
  <si>
    <t>Cabillaud</t>
  </si>
  <si>
    <t>Momie pastis ricard 1cl</t>
  </si>
  <si>
    <t>Whisky 1cl</t>
  </si>
  <si>
    <t>Vodka - Gin - Rhum 2cl</t>
  </si>
  <si>
    <t>Martini - Porto 4cl</t>
  </si>
  <si>
    <t>Cabillaud A emporter</t>
  </si>
  <si>
    <t>Restaurant 
Bar des Ailes</t>
  </si>
  <si>
    <t>20,00%</t>
  </si>
  <si>
    <t>10,00%</t>
  </si>
  <si>
    <t>5,50%</t>
  </si>
  <si>
    <t>Tarte pomme</t>
  </si>
  <si>
    <t>Vacherin</t>
  </si>
  <si>
    <t>Terrine chocolat</t>
  </si>
  <si>
    <t>Millefeuille</t>
  </si>
  <si>
    <t>E9</t>
  </si>
  <si>
    <t>1 boule de glace</t>
  </si>
  <si>
    <t>Le Creux de la Thine 26140 Albon
04 75 23 72 42 
girard.benja@gmail.com</t>
  </si>
  <si>
    <t>Thé - tisane - chocolat</t>
  </si>
  <si>
    <t>K5</t>
  </si>
  <si>
    <t>A15</t>
  </si>
  <si>
    <t>Formule Plat + dessert du jour</t>
  </si>
  <si>
    <t>Formule Entrée et plat jour</t>
  </si>
  <si>
    <t>0,00 €</t>
  </si>
  <si>
    <t>Tomate chèvre</t>
  </si>
  <si>
    <t>Haricots</t>
  </si>
  <si>
    <t>Carpaccio bœuf</t>
  </si>
  <si>
    <t>Tomate chèvre Grande</t>
  </si>
  <si>
    <t>Pissaladière Grande</t>
  </si>
  <si>
    <t>Pissaladière</t>
  </si>
  <si>
    <t>Haricots Grande</t>
  </si>
  <si>
    <t xml:space="preserve"> Carpaccio bœuf Grande</t>
  </si>
  <si>
    <t>Canard</t>
  </si>
  <si>
    <t>Moules</t>
  </si>
  <si>
    <t>Tomate chèvre A emporter</t>
  </si>
  <si>
    <t>Pissaladière A emporter</t>
  </si>
  <si>
    <t>Haricots A emporter</t>
  </si>
  <si>
    <t>Carpaccio bœuf A emporter</t>
  </si>
  <si>
    <t>Canard A emporter</t>
  </si>
  <si>
    <t>Moules A emporter</t>
  </si>
  <si>
    <t>C7</t>
  </si>
  <si>
    <t>C8</t>
  </si>
  <si>
    <t>Côte de bœuf</t>
  </si>
  <si>
    <t>Tartare de bœuf</t>
  </si>
  <si>
    <t>Brochette de bœuf</t>
  </si>
  <si>
    <t>Brochette de boeuf A emporter</t>
  </si>
  <si>
    <t>Menus complets</t>
  </si>
  <si>
    <t>194,90</t>
  </si>
  <si>
    <t>194,90 €</t>
  </si>
  <si>
    <t>6,83 €</t>
  </si>
  <si>
    <t>13,99 €</t>
  </si>
  <si>
    <t>http://forum.excel-pratique.com/excel/creer-une-macro-pour-supprimer-une-ligne-t71174.html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</si>
</sst>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40C]d\-mmm\-yy;@"/>
  </numFmts>
  <fonts count="17" x14ac:knownFonts="1">
    <font>
      <sz val="10"/>
      <name val="Arial"/>
    </font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10"/>
      <name val="Lucida Calligraphy"/>
      <family val="4"/>
    </font>
    <font>
      <sz val="8"/>
      <name val="Lucida Calligraphy"/>
      <family val="4"/>
    </font>
    <font>
      <b/>
      <sz val="12"/>
      <name val="Lucida Calligraphy"/>
      <family val="4"/>
    </font>
    <font>
      <sz val="9"/>
      <name val="Lucida Calligraphy"/>
      <family val="4"/>
    </font>
    <font>
      <b/>
      <sz val="8"/>
      <name val="Lucida Calligraphy"/>
      <family val="4"/>
    </font>
    <font>
      <sz val="10"/>
      <name val="Arial"/>
      <family val="2"/>
    </font>
    <font>
      <sz val="10"/>
      <color indexed="46"/>
      <name val="Arial"/>
      <family val="2"/>
    </font>
    <font>
      <b/>
      <sz val="14"/>
      <color indexed="60"/>
      <name val="Lucida Calligraphy"/>
      <family val="4"/>
    </font>
  </fonts>
  <fills count="1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11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44" fontId="4" fillId="4" borderId="0" xfId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44" fontId="0" fillId="0" borderId="0" xfId="1" applyFont="1" applyAlignment="1">
      <alignment vertical="center"/>
    </xf>
    <xf numFmtId="10" fontId="0" fillId="0" borderId="0" xfId="0" applyNumberFormat="1" applyAlignment="1">
      <alignment vertical="center"/>
    </xf>
    <xf numFmtId="0" fontId="5" fillId="6" borderId="0" xfId="0" applyFont="1" applyFill="1" applyAlignment="1">
      <alignment horizontal="center" vertical="center"/>
    </xf>
    <xf numFmtId="0" fontId="0" fillId="6" borderId="0" xfId="0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5" fillId="7" borderId="0" xfId="0" applyFont="1" applyFill="1" applyAlignment="1">
      <alignment horizontal="center" vertical="center"/>
    </xf>
    <xf numFmtId="0" fontId="0" fillId="7" borderId="0" xfId="0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4" borderId="0" xfId="0" applyFont="1" applyFill="1" applyAlignment="1">
      <alignment vertical="center"/>
    </xf>
    <xf numFmtId="44" fontId="4" fillId="4" borderId="0" xfId="1" applyFont="1" applyFill="1" applyAlignment="1">
      <alignment vertical="center"/>
    </xf>
    <xf numFmtId="10" fontId="0" fillId="2" borderId="0" xfId="0" applyNumberFormat="1" applyFill="1" applyAlignment="1">
      <alignment horizontal="center" vertical="center"/>
    </xf>
    <xf numFmtId="0" fontId="0" fillId="0" borderId="0" xfId="0" applyAlignment="1">
      <alignment wrapText="1"/>
    </xf>
    <xf numFmtId="0" fontId="0" fillId="5" borderId="0" xfId="0" applyFill="1" applyAlignment="1">
      <alignment horizontal="left" vertical="center"/>
    </xf>
    <xf numFmtId="0" fontId="5" fillId="8" borderId="0" xfId="0" applyFont="1" applyFill="1" applyAlignment="1">
      <alignment horizontal="center" vertical="center"/>
    </xf>
    <xf numFmtId="0" fontId="0" fillId="8" borderId="0" xfId="0" applyFill="1" applyAlignment="1">
      <alignment horizontal="left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5" fillId="9" borderId="0" xfId="0" applyFont="1" applyFill="1" applyAlignment="1">
      <alignment horizontal="center" vertical="center"/>
    </xf>
    <xf numFmtId="0" fontId="0" fillId="9" borderId="0" xfId="0" applyFill="1" applyAlignment="1">
      <alignment horizontal="left" vertical="center"/>
    </xf>
    <xf numFmtId="10" fontId="3" fillId="2" borderId="0" xfId="6" applyNumberFormat="1" applyFont="1" applyFill="1" applyAlignment="1">
      <alignment horizontal="center" vertical="center"/>
    </xf>
    <xf numFmtId="44" fontId="3" fillId="0" borderId="0" xfId="1" applyFont="1" applyAlignment="1">
      <alignment vertical="center"/>
    </xf>
    <xf numFmtId="4" fontId="3" fillId="0" borderId="3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44" fontId="0" fillId="0" borderId="0" xfId="1" applyNumberFormat="1" applyFont="1" applyAlignment="1">
      <alignment vertical="center"/>
    </xf>
    <xf numFmtId="0" fontId="0" fillId="0" borderId="0" xfId="0" applyFill="1"/>
    <xf numFmtId="1" fontId="3" fillId="0" borderId="3" xfId="0" applyNumberFormat="1" applyFont="1" applyFill="1" applyBorder="1" applyAlignment="1">
      <alignment horizontal="center"/>
    </xf>
    <xf numFmtId="7" fontId="0" fillId="0" borderId="3" xfId="3" applyNumberFormat="1" applyFont="1" applyFill="1" applyBorder="1" applyAlignment="1">
      <alignment horizontal="center"/>
    </xf>
    <xf numFmtId="164" fontId="0" fillId="0" borderId="5" xfId="3" applyNumberFormat="1" applyFont="1" applyFill="1" applyBorder="1" applyAlignment="1" applyProtection="1">
      <alignment horizontal="center" vertical="center"/>
      <protection hidden="1"/>
    </xf>
    <xf numFmtId="0" fontId="5" fillId="10" borderId="0" xfId="0" applyFont="1" applyFill="1" applyAlignment="1">
      <alignment horizontal="center" vertical="center"/>
    </xf>
    <xf numFmtId="0" fontId="0" fillId="10" borderId="0" xfId="0" applyFill="1" applyAlignment="1">
      <alignment vertical="center"/>
    </xf>
    <xf numFmtId="0" fontId="5" fillId="11" borderId="0" xfId="0" applyFont="1" applyFill="1" applyAlignment="1">
      <alignment horizontal="center" vertical="center"/>
    </xf>
    <xf numFmtId="0" fontId="3" fillId="11" borderId="0" xfId="0" applyFont="1" applyFill="1" applyAlignment="1">
      <alignment vertical="center"/>
    </xf>
    <xf numFmtId="0" fontId="5" fillId="12" borderId="0" xfId="0" applyFont="1" applyFill="1" applyAlignment="1">
      <alignment horizontal="center" vertical="center"/>
    </xf>
    <xf numFmtId="0" fontId="0" fillId="12" borderId="0" xfId="0" applyFill="1" applyAlignment="1">
      <alignment vertical="center"/>
    </xf>
    <xf numFmtId="0" fontId="5" fillId="13" borderId="0" xfId="0" applyFont="1" applyFill="1" applyAlignment="1">
      <alignment horizontal="center" vertical="center"/>
    </xf>
    <xf numFmtId="0" fontId="0" fillId="13" borderId="0" xfId="0" applyFill="1" applyAlignment="1">
      <alignment vertical="center"/>
    </xf>
    <xf numFmtId="0" fontId="5" fillId="14" borderId="0" xfId="0" applyFont="1" applyFill="1" applyAlignment="1">
      <alignment horizontal="center" vertical="center"/>
    </xf>
    <xf numFmtId="0" fontId="0" fillId="14" borderId="0" xfId="0" applyFill="1" applyAlignment="1">
      <alignment horizontal="left" vertical="center"/>
    </xf>
    <xf numFmtId="0" fontId="5" fillId="15" borderId="0" xfId="0" applyFont="1" applyFill="1" applyAlignment="1">
      <alignment horizontal="center" vertical="center"/>
    </xf>
    <xf numFmtId="0" fontId="0" fillId="15" borderId="0" xfId="0" applyFill="1" applyAlignment="1">
      <alignment horizontal="left" vertical="center"/>
    </xf>
    <xf numFmtId="44" fontId="0" fillId="0" borderId="0" xfId="1" applyFont="1" applyFill="1" applyAlignment="1">
      <alignment vertical="center"/>
    </xf>
    <xf numFmtId="0" fontId="3" fillId="10" borderId="0" xfId="0" applyFont="1" applyFill="1" applyAlignment="1">
      <alignment vertical="center"/>
    </xf>
    <xf numFmtId="0" fontId="9" fillId="0" borderId="0" xfId="0" applyFont="1"/>
    <xf numFmtId="0" fontId="10" fillId="0" borderId="0" xfId="0" applyFont="1"/>
    <xf numFmtId="14" fontId="9" fillId="0" borderId="0" xfId="0" applyNumberFormat="1" applyFont="1" applyAlignment="1">
      <alignment horizontal="left"/>
    </xf>
    <xf numFmtId="2" fontId="9" fillId="0" borderId="6" xfId="0" applyNumberFormat="1" applyFont="1" applyBorder="1" applyAlignment="1">
      <alignment horizontal="right"/>
    </xf>
    <xf numFmtId="2" fontId="9" fillId="0" borderId="5" xfId="0" applyNumberFormat="1" applyFont="1" applyBorder="1" applyAlignment="1">
      <alignment horizontal="right"/>
    </xf>
    <xf numFmtId="0" fontId="3" fillId="8" borderId="0" xfId="0" applyFont="1" applyFill="1" applyAlignment="1">
      <alignment horizontal="left" vertical="center"/>
    </xf>
    <xf numFmtId="0" fontId="12" fillId="0" borderId="0" xfId="0" applyFont="1" applyBorder="1" applyAlignment="1">
      <alignment horizontal="right"/>
    </xf>
    <xf numFmtId="164" fontId="12" fillId="0" borderId="5" xfId="0" applyNumberFormat="1" applyFont="1" applyBorder="1" applyAlignment="1">
      <alignment horizontal="right"/>
    </xf>
    <xf numFmtId="0" fontId="12" fillId="0" borderId="7" xfId="0" applyFont="1" applyBorder="1" applyAlignment="1">
      <alignment horizontal="right"/>
    </xf>
    <xf numFmtId="164" fontId="12" fillId="0" borderId="8" xfId="0" applyNumberFormat="1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10" fillId="0" borderId="7" xfId="0" applyFont="1" applyBorder="1" applyAlignment="1">
      <alignment horizontal="right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9" fillId="0" borderId="9" xfId="0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11" fillId="16" borderId="11" xfId="0" applyFont="1" applyFill="1" applyBorder="1" applyAlignment="1">
      <alignment horizontal="center"/>
    </xf>
    <xf numFmtId="0" fontId="13" fillId="16" borderId="11" xfId="0" applyFont="1" applyFill="1" applyBorder="1" applyAlignment="1"/>
    <xf numFmtId="2" fontId="11" fillId="16" borderId="6" xfId="0" applyNumberFormat="1" applyFont="1" applyFill="1" applyBorder="1" applyAlignment="1">
      <alignment horizontal="right"/>
    </xf>
    <xf numFmtId="165" fontId="0" fillId="0" borderId="3" xfId="0" applyNumberForma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4" fontId="6" fillId="0" borderId="3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9" fontId="14" fillId="0" borderId="0" xfId="0" applyNumberFormat="1" applyFont="1" applyFill="1" applyAlignment="1">
      <alignment horizontal="center"/>
    </xf>
    <xf numFmtId="0" fontId="15" fillId="0" borderId="0" xfId="0" applyFont="1" applyFill="1"/>
    <xf numFmtId="165" fontId="0" fillId="0" borderId="5" xfId="0" applyNumberForma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7" fontId="0" fillId="0" borderId="5" xfId="3" applyNumberFormat="1" applyFont="1" applyFill="1" applyBorder="1" applyAlignment="1">
      <alignment horizontal="center"/>
    </xf>
    <xf numFmtId="4" fontId="6" fillId="0" borderId="5" xfId="0" applyNumberFormat="1" applyFont="1" applyFill="1" applyBorder="1"/>
    <xf numFmtId="4" fontId="6" fillId="0" borderId="0" xfId="0" applyNumberFormat="1" applyFont="1" applyFill="1" applyBorder="1"/>
    <xf numFmtId="1" fontId="3" fillId="0" borderId="5" xfId="0" applyNumberFormat="1" applyFont="1" applyFill="1" applyBorder="1"/>
    <xf numFmtId="4" fontId="3" fillId="0" borderId="5" xfId="0" applyNumberFormat="1" applyFont="1" applyFill="1" applyBorder="1"/>
    <xf numFmtId="0" fontId="0" fillId="0" borderId="5" xfId="0" applyFill="1" applyBorder="1"/>
    <xf numFmtId="0" fontId="14" fillId="0" borderId="0" xfId="0" applyFont="1" applyFill="1"/>
    <xf numFmtId="0" fontId="0" fillId="0" borderId="0" xfId="0" applyFill="1" applyAlignment="1" applyProtection="1">
      <alignment vertical="center"/>
      <protection hidden="1"/>
    </xf>
    <xf numFmtId="2" fontId="0" fillId="0" borderId="0" xfId="0" applyNumberFormat="1" applyFill="1" applyAlignment="1" applyProtection="1">
      <alignment vertical="center"/>
      <protection hidden="1"/>
    </xf>
    <xf numFmtId="10" fontId="0" fillId="0" borderId="8" xfId="6" applyNumberFormat="1" applyFont="1" applyFill="1" applyBorder="1" applyAlignment="1" applyProtection="1">
      <alignment horizontal="center" vertical="center"/>
      <protection hidden="1"/>
    </xf>
    <xf numFmtId="165" fontId="0" fillId="0" borderId="5" xfId="0" applyNumberFormat="1" applyFill="1" applyBorder="1" applyAlignment="1" applyProtection="1">
      <alignment vertical="center"/>
      <protection hidden="1"/>
    </xf>
    <xf numFmtId="0" fontId="16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/>
    </xf>
    <xf numFmtId="2" fontId="9" fillId="0" borderId="12" xfId="0" applyNumberFormat="1" applyFont="1" applyBorder="1" applyAlignment="1">
      <alignment horizontal="left"/>
    </xf>
    <xf numFmtId="0" fontId="9" fillId="0" borderId="11" xfId="0" applyFont="1" applyBorder="1"/>
    <xf numFmtId="0" fontId="9" fillId="0" borderId="11" xfId="0" applyFont="1" applyBorder="1" applyAlignment="1">
      <alignment horizontal="center"/>
    </xf>
    <xf numFmtId="1" fontId="9" fillId="0" borderId="9" xfId="0" applyNumberFormat="1" applyFont="1" applyBorder="1" applyAlignment="1">
      <alignment horizontal="left"/>
    </xf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0" fontId="9" fillId="0" borderId="0" xfId="0" applyFont="1" applyFill="1"/>
    <xf numFmtId="0" fontId="9" fillId="16" borderId="12" xfId="0" applyFont="1" applyFill="1" applyBorder="1" applyAlignment="1">
      <alignment horizontal="left"/>
    </xf>
    <xf numFmtId="0" fontId="2" fillId="0" borderId="0" xfId="2" applyAlignment="1" applyProtection="1"/>
    <xf numFmtId="165" fontId="0" fillId="0" borderId="6" xfId="0" applyNumberFormat="1" applyFill="1" applyBorder="1" applyAlignment="1" applyProtection="1">
      <alignment horizontal="center" vertical="center"/>
      <protection hidden="1"/>
    </xf>
    <xf numFmtId="165" fontId="0" fillId="0" borderId="8" xfId="0" applyNumberFormat="1" applyFill="1" applyBorder="1" applyAlignment="1" applyProtection="1">
      <alignment horizontal="center" vertical="center"/>
      <protection hidden="1"/>
    </xf>
    <xf numFmtId="10" fontId="0" fillId="0" borderId="12" xfId="6" applyNumberFormat="1" applyFont="1" applyFill="1" applyBorder="1" applyAlignment="1" applyProtection="1">
      <alignment horizontal="center" vertical="center"/>
      <protection hidden="1"/>
    </xf>
    <xf numFmtId="10" fontId="0" fillId="0" borderId="13" xfId="6" applyNumberFormat="1" applyFont="1" applyFill="1" applyBorder="1" applyAlignment="1" applyProtection="1">
      <alignment horizontal="center" vertical="center"/>
      <protection hidden="1"/>
    </xf>
    <xf numFmtId="164" fontId="0" fillId="0" borderId="6" xfId="3" applyNumberFormat="1" applyFont="1" applyFill="1" applyBorder="1" applyAlignment="1" applyProtection="1">
      <alignment horizontal="center" vertical="center"/>
      <protection hidden="1"/>
    </xf>
    <xf numFmtId="164" fontId="0" fillId="0" borderId="8" xfId="3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center" vertical="center" wrapText="1"/>
    </xf>
    <xf numFmtId="10" fontId="0" fillId="0" borderId="0" xfId="0" applyNumberFormat="1"/>
    <xf numFmtId="0" fontId="3" fillId="0" borderId="0" xfId="0" quotePrefix="1" applyFont="1"/>
  </cellXfs>
  <cellStyles count="7">
    <cellStyle name="Euro" xfId="1"/>
    <cellStyle name="Lien hypertexte" xfId="2" builtinId="8"/>
    <cellStyle name="Monétaire" xfId="3" builtinId="4"/>
    <cellStyle name="Monétaire 2" xfId="4"/>
    <cellStyle name="Normal" xfId="0" builtinId="0"/>
    <cellStyle name="Normal 2" xfId="5"/>
    <cellStyle name="Pourcentage" xfId="6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104775</xdr:rowOff>
    </xdr:from>
    <xdr:to>
      <xdr:col>3</xdr:col>
      <xdr:colOff>514350</xdr:colOff>
      <xdr:row>10</xdr:row>
      <xdr:rowOff>0</xdr:rowOff>
    </xdr:to>
    <xdr:sp macro="[0]!Formeautomatique1_QuandClic" textlink="">
      <xdr:nvSpPr>
        <xdr:cNvPr id="1117" name="AutoShape 93"/>
        <xdr:cNvSpPr>
          <a:spLocks noChangeArrowheads="1"/>
        </xdr:cNvSpPr>
      </xdr:nvSpPr>
      <xdr:spPr bwMode="auto">
        <a:xfrm>
          <a:off x="619125" y="600075"/>
          <a:ext cx="2028825" cy="1028700"/>
        </a:xfrm>
        <a:prstGeom prst="bevel">
          <a:avLst>
            <a:gd name="adj" fmla="val 12500"/>
          </a:avLst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1">
            <a:defRPr sz="1000"/>
          </a:pPr>
          <a:r>
            <a:rPr lang="fr-FR" sz="1800" b="0" i="0" strike="noStrike">
              <a:solidFill>
                <a:srgbClr val="000000"/>
              </a:solidFill>
              <a:latin typeface="Arial"/>
              <a:cs typeface="Arial"/>
            </a:rPr>
            <a:t>Démarrage de la caisse</a:t>
          </a:r>
        </a:p>
      </xdr:txBody>
    </xdr:sp>
    <xdr:clientData/>
  </xdr:twoCellAnchor>
  <xdr:twoCellAnchor>
    <xdr:from>
      <xdr:col>8</xdr:col>
      <xdr:colOff>2274794</xdr:colOff>
      <xdr:row>10</xdr:row>
      <xdr:rowOff>145676</xdr:rowOff>
    </xdr:from>
    <xdr:to>
      <xdr:col>18</xdr:col>
      <xdr:colOff>33618</xdr:colOff>
      <xdr:row>24</xdr:row>
      <xdr:rowOff>11206</xdr:rowOff>
    </xdr:to>
    <xdr:sp macro="" textlink="">
      <xdr:nvSpPr>
        <xdr:cNvPr id="2" name="ZoneTexte 1"/>
        <xdr:cNvSpPr txBox="1"/>
      </xdr:nvSpPr>
      <xdr:spPr>
        <a:xfrm>
          <a:off x="8370794" y="1714500"/>
          <a:ext cx="8796618" cy="206188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J'ai un fichier avec macros que j'utilise comme logiciel de caisse.</a:t>
          </a:r>
          <a:br>
            <a:rPr lang="fr-FR"/>
          </a:br>
          <a:r>
            <a:rPr lang="fr-FR"/>
            <a:t>Actuellement, j'ai la possibilité d'effacer tous les articles saisis et de remettre à zéro.</a:t>
          </a:r>
          <a:br>
            <a:rPr lang="fr-FR"/>
          </a:br>
          <a:r>
            <a:rPr lang="fr-FR"/>
            <a:t>Je voudrais pouvoir effacer seulement 1 article en créant un bouton pour chaque ligne d'article et refaire le calcul sur ceux qui restent. J'ai créé le 1er : commandbutton163 mais je n'arrive pas à faire le code.</a:t>
          </a:r>
          <a:br>
            <a:rPr lang="fr-FR"/>
          </a:br>
          <a:r>
            <a:rPr lang="fr-FR"/>
            <a:t>Dans l'idéal, il faudrait que ces boutons n'apparaissent que pour les lignes contenant des articles.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Pouvez vous m'aider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1</xdr:col>
      <xdr:colOff>361950</xdr:colOff>
      <xdr:row>0</xdr:row>
      <xdr:rowOff>400050</xdr:rowOff>
    </xdr:to>
    <xdr:pic>
      <xdr:nvPicPr>
        <xdr:cNvPr id="57994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096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9525</xdr:rowOff>
    </xdr:from>
    <xdr:to>
      <xdr:col>1</xdr:col>
      <xdr:colOff>428625</xdr:colOff>
      <xdr:row>0</xdr:row>
      <xdr:rowOff>409575</xdr:rowOff>
    </xdr:to>
    <xdr:pic>
      <xdr:nvPicPr>
        <xdr:cNvPr id="57995" name="Image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9525"/>
          <a:ext cx="6286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e-macro-pour-supprimer-une-ligne-t71174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I1:I13"/>
  <sheetViews>
    <sheetView tabSelected="1" zoomScale="85" zoomScaleNormal="85" workbookViewId="0">
      <selection activeCell="H13" sqref="H13"/>
    </sheetView>
  </sheetViews>
  <sheetFormatPr baseColWidth="10" defaultRowHeight="12.75" x14ac:dyDescent="0.2"/>
  <cols>
    <col min="9" max="9" width="62.7109375" customWidth="1"/>
  </cols>
  <sheetData>
    <row r="1" spans="9:9" x14ac:dyDescent="0.2">
      <c r="I1" s="102" t="s">
        <v>400</v>
      </c>
    </row>
    <row r="13" spans="9:9" x14ac:dyDescent="0.2">
      <c r="I13" s="23"/>
    </row>
  </sheetData>
  <phoneticPr fontId="0" type="noConversion"/>
  <hyperlinks>
    <hyperlink ref="I1" r:id="rId1"/>
  </hyperlinks>
  <pageMargins left="0.78740157480314965" right="0.78740157480314965" top="0.98425196850393704" bottom="0.98425196850393704" header="0.51181102362204722" footer="0.51181102362204722"/>
  <pageSetup paperSize="11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76"/>
  <sheetViews>
    <sheetView zoomScale="115" workbookViewId="0">
      <selection activeCell="B2" sqref="B2"/>
    </sheetView>
  </sheetViews>
  <sheetFormatPr baseColWidth="10" defaultRowHeight="12.75" x14ac:dyDescent="0.2"/>
  <cols>
    <col min="1" max="1" width="8.85546875" style="9" customWidth="1"/>
    <col min="2" max="2" width="31.140625" style="8" bestFit="1" customWidth="1"/>
    <col min="3" max="3" width="11.85546875" style="10" bestFit="1" customWidth="1"/>
    <col min="4" max="4" width="7.28515625" style="8" bestFit="1" customWidth="1"/>
    <col min="5" max="5" width="11.28515625" style="8" bestFit="1" customWidth="1"/>
    <col min="6" max="6" width="12.28515625" style="8" bestFit="1" customWidth="1"/>
    <col min="7" max="7" width="9.42578125" style="2" bestFit="1" customWidth="1"/>
    <col min="8" max="16384" width="11.42578125" style="8"/>
  </cols>
  <sheetData>
    <row r="1" spans="1:7" x14ac:dyDescent="0.2">
      <c r="A1" s="5" t="s">
        <v>90</v>
      </c>
      <c r="B1" s="18" t="s">
        <v>123</v>
      </c>
      <c r="C1" s="7" t="s">
        <v>0</v>
      </c>
      <c r="D1" s="5" t="s">
        <v>2</v>
      </c>
      <c r="E1" s="5" t="s">
        <v>1</v>
      </c>
      <c r="F1" s="5" t="s">
        <v>167</v>
      </c>
      <c r="G1" s="5" t="s">
        <v>27</v>
      </c>
    </row>
    <row r="2" spans="1:7" x14ac:dyDescent="0.2">
      <c r="A2" s="9" t="s">
        <v>49</v>
      </c>
      <c r="B2" s="27" t="s">
        <v>169</v>
      </c>
      <c r="C2" s="10">
        <v>12.5</v>
      </c>
      <c r="D2" s="11">
        <v>0.1</v>
      </c>
      <c r="E2" s="35">
        <f t="shared" ref="E2:E16" si="0">C2/(1+D2)*D2</f>
        <v>1.1363636363636365</v>
      </c>
      <c r="F2" s="35">
        <f t="shared" ref="F2:F16" si="1">C2-E2</f>
        <v>11.363636363636363</v>
      </c>
      <c r="G2" s="2">
        <v>1</v>
      </c>
    </row>
    <row r="3" spans="1:7" x14ac:dyDescent="0.2">
      <c r="A3" s="9" t="s">
        <v>50</v>
      </c>
      <c r="B3" s="27" t="s">
        <v>339</v>
      </c>
      <c r="C3" s="10">
        <v>14.5</v>
      </c>
      <c r="D3" s="11">
        <v>0.1</v>
      </c>
      <c r="E3" s="35">
        <f t="shared" si="0"/>
        <v>1.3181818181818181</v>
      </c>
      <c r="F3" s="35">
        <f t="shared" si="1"/>
        <v>13.181818181818182</v>
      </c>
      <c r="G3" s="2">
        <v>2</v>
      </c>
    </row>
    <row r="4" spans="1:7" x14ac:dyDescent="0.2">
      <c r="A4" s="9" t="s">
        <v>51</v>
      </c>
      <c r="B4" s="27" t="s">
        <v>309</v>
      </c>
      <c r="C4" s="10">
        <v>15.5</v>
      </c>
      <c r="D4" s="11">
        <v>0.1</v>
      </c>
      <c r="E4" s="35">
        <f t="shared" si="0"/>
        <v>1.4090909090909092</v>
      </c>
      <c r="F4" s="35">
        <f t="shared" si="1"/>
        <v>14.09090909090909</v>
      </c>
      <c r="G4" s="2">
        <v>3</v>
      </c>
    </row>
    <row r="5" spans="1:7" x14ac:dyDescent="0.2">
      <c r="A5" s="9" t="s">
        <v>52</v>
      </c>
      <c r="B5" s="27" t="s">
        <v>290</v>
      </c>
      <c r="C5" s="10">
        <v>19</v>
      </c>
      <c r="D5" s="11">
        <v>0.1</v>
      </c>
      <c r="E5" s="35">
        <f t="shared" si="0"/>
        <v>1.7272727272727271</v>
      </c>
      <c r="F5" s="35">
        <f t="shared" si="1"/>
        <v>17.272727272727273</v>
      </c>
      <c r="G5" s="2">
        <v>4</v>
      </c>
    </row>
    <row r="6" spans="1:7" x14ac:dyDescent="0.2">
      <c r="A6" s="9" t="s">
        <v>53</v>
      </c>
      <c r="B6" s="28" t="s">
        <v>371</v>
      </c>
      <c r="C6" s="10">
        <v>10.5</v>
      </c>
      <c r="D6" s="11">
        <v>0.1</v>
      </c>
      <c r="E6" s="35">
        <f t="shared" si="0"/>
        <v>0.95454545454545459</v>
      </c>
      <c r="F6" s="35">
        <f t="shared" si="1"/>
        <v>9.545454545454545</v>
      </c>
      <c r="G6" s="2">
        <v>5</v>
      </c>
    </row>
    <row r="7" spans="1:7" x14ac:dyDescent="0.2">
      <c r="A7" s="9" t="s">
        <v>54</v>
      </c>
      <c r="B7" s="27" t="s">
        <v>340</v>
      </c>
      <c r="C7" s="10">
        <v>12.5</v>
      </c>
      <c r="D7" s="11">
        <v>0.1</v>
      </c>
      <c r="E7" s="35">
        <f t="shared" si="0"/>
        <v>1.1363636363636365</v>
      </c>
      <c r="F7" s="35">
        <f t="shared" si="1"/>
        <v>11.363636363636363</v>
      </c>
      <c r="G7" s="2">
        <v>6</v>
      </c>
    </row>
    <row r="8" spans="1:7" x14ac:dyDescent="0.2">
      <c r="A8" s="9" t="s">
        <v>170</v>
      </c>
      <c r="B8" s="27" t="s">
        <v>310</v>
      </c>
      <c r="C8" s="10">
        <v>18.5</v>
      </c>
      <c r="D8" s="11">
        <v>0.1</v>
      </c>
      <c r="E8" s="35">
        <f t="shared" si="0"/>
        <v>1.6818181818181817</v>
      </c>
      <c r="F8" s="35">
        <f t="shared" si="1"/>
        <v>16.81818181818182</v>
      </c>
      <c r="G8" s="2">
        <v>7</v>
      </c>
    </row>
    <row r="9" spans="1:7" x14ac:dyDescent="0.2">
      <c r="A9" s="9" t="s">
        <v>180</v>
      </c>
      <c r="B9" s="27" t="s">
        <v>291</v>
      </c>
      <c r="C9" s="10">
        <v>25</v>
      </c>
      <c r="D9" s="11">
        <v>0.1</v>
      </c>
      <c r="E9" s="35">
        <f t="shared" si="0"/>
        <v>2.2727272727272729</v>
      </c>
      <c r="F9" s="35">
        <f t="shared" si="1"/>
        <v>22.727272727272727</v>
      </c>
      <c r="G9" s="2">
        <v>8</v>
      </c>
    </row>
    <row r="10" spans="1:7" x14ac:dyDescent="0.2">
      <c r="A10" s="9" t="s">
        <v>181</v>
      </c>
      <c r="B10" s="28" t="s">
        <v>370</v>
      </c>
      <c r="C10" s="10">
        <v>10.5</v>
      </c>
      <c r="D10" s="11">
        <v>0.1</v>
      </c>
      <c r="E10" s="35">
        <f t="shared" si="0"/>
        <v>0.95454545454545459</v>
      </c>
      <c r="F10" s="35">
        <f t="shared" si="1"/>
        <v>9.545454545454545</v>
      </c>
      <c r="G10" s="2">
        <v>9</v>
      </c>
    </row>
    <row r="11" spans="1:7" x14ac:dyDescent="0.2">
      <c r="A11" s="9" t="s">
        <v>193</v>
      </c>
      <c r="B11" s="27" t="s">
        <v>341</v>
      </c>
      <c r="C11" s="10">
        <v>12.5</v>
      </c>
      <c r="D11" s="11">
        <v>0.1</v>
      </c>
      <c r="E11" s="35">
        <f t="shared" si="0"/>
        <v>1.1363636363636365</v>
      </c>
      <c r="F11" s="35">
        <f t="shared" si="1"/>
        <v>11.363636363636363</v>
      </c>
      <c r="G11" s="2">
        <v>10</v>
      </c>
    </row>
    <row r="12" spans="1:7" ht="13.5" customHeight="1" x14ac:dyDescent="0.2">
      <c r="A12" s="9" t="s">
        <v>308</v>
      </c>
      <c r="B12" s="27" t="s">
        <v>183</v>
      </c>
      <c r="C12" s="10">
        <v>13.5</v>
      </c>
      <c r="D12" s="11">
        <v>0.1</v>
      </c>
      <c r="E12" s="35">
        <f t="shared" si="0"/>
        <v>1.2272727272727273</v>
      </c>
      <c r="F12" s="35">
        <f t="shared" si="1"/>
        <v>12.272727272727273</v>
      </c>
      <c r="G12" s="2">
        <v>11</v>
      </c>
    </row>
    <row r="13" spans="1:7" x14ac:dyDescent="0.2">
      <c r="A13" s="9" t="s">
        <v>342</v>
      </c>
      <c r="B13" s="27" t="s">
        <v>171</v>
      </c>
      <c r="C13" s="10">
        <v>7</v>
      </c>
      <c r="D13" s="11">
        <v>0.1</v>
      </c>
      <c r="E13" s="35">
        <f t="shared" si="0"/>
        <v>0.63636363636363635</v>
      </c>
      <c r="F13" s="35">
        <f t="shared" si="1"/>
        <v>6.3636363636363633</v>
      </c>
      <c r="G13" s="2">
        <v>12</v>
      </c>
    </row>
    <row r="14" spans="1:7" x14ac:dyDescent="0.2">
      <c r="A14" s="9" t="s">
        <v>343</v>
      </c>
      <c r="B14" s="27" t="s">
        <v>168</v>
      </c>
      <c r="C14" s="10">
        <v>8.5</v>
      </c>
      <c r="D14" s="11">
        <v>0.1</v>
      </c>
      <c r="E14" s="35">
        <f t="shared" si="0"/>
        <v>0.77272727272727271</v>
      </c>
      <c r="F14" s="35">
        <f t="shared" si="1"/>
        <v>7.7272727272727275</v>
      </c>
      <c r="G14" s="2">
        <v>13</v>
      </c>
    </row>
    <row r="15" spans="1:7" x14ac:dyDescent="0.2">
      <c r="A15" s="9" t="s">
        <v>344</v>
      </c>
      <c r="B15" s="27" t="s">
        <v>182</v>
      </c>
      <c r="C15" s="10">
        <v>11.5</v>
      </c>
      <c r="D15" s="11">
        <v>0.1</v>
      </c>
      <c r="E15" s="35">
        <f t="shared" si="0"/>
        <v>1.0454545454545454</v>
      </c>
      <c r="F15" s="35">
        <f t="shared" si="1"/>
        <v>10.454545454545455</v>
      </c>
    </row>
    <row r="16" spans="1:7" x14ac:dyDescent="0.2">
      <c r="A16" s="9" t="s">
        <v>369</v>
      </c>
      <c r="B16" s="27" t="s">
        <v>345</v>
      </c>
      <c r="C16" s="52">
        <v>10.5</v>
      </c>
      <c r="D16" s="11">
        <v>0.1</v>
      </c>
      <c r="E16" s="35">
        <f t="shared" si="0"/>
        <v>0.95454545454545459</v>
      </c>
      <c r="F16" s="35">
        <f t="shared" si="1"/>
        <v>9.545454545454545</v>
      </c>
      <c r="G16" s="2">
        <v>14</v>
      </c>
    </row>
    <row r="18" spans="1:7" x14ac:dyDescent="0.2">
      <c r="A18" s="5" t="s">
        <v>105</v>
      </c>
      <c r="B18" s="46" t="s">
        <v>133</v>
      </c>
      <c r="C18" s="7" t="s">
        <v>0</v>
      </c>
      <c r="D18" s="5" t="s">
        <v>2</v>
      </c>
      <c r="E18" s="5" t="s">
        <v>1</v>
      </c>
      <c r="F18" s="5" t="s">
        <v>167</v>
      </c>
      <c r="G18" s="5" t="s">
        <v>27</v>
      </c>
    </row>
    <row r="19" spans="1:7" x14ac:dyDescent="0.2">
      <c r="A19" s="9" t="s">
        <v>106</v>
      </c>
      <c r="B19" s="47" t="s">
        <v>225</v>
      </c>
      <c r="C19" s="10">
        <v>1.2</v>
      </c>
      <c r="D19" s="11">
        <v>0.1</v>
      </c>
      <c r="E19" s="10">
        <f>C19/(1+D19)*D19</f>
        <v>0.10909090909090909</v>
      </c>
      <c r="F19" s="10">
        <f>C19-E19</f>
        <v>1.0909090909090908</v>
      </c>
      <c r="G19" s="2">
        <v>15</v>
      </c>
    </row>
    <row r="20" spans="1:7" x14ac:dyDescent="0.2">
      <c r="A20" s="9" t="s">
        <v>107</v>
      </c>
      <c r="B20" s="47" t="s">
        <v>367</v>
      </c>
      <c r="C20" s="10">
        <v>1.5</v>
      </c>
      <c r="D20" s="11">
        <v>0.1</v>
      </c>
      <c r="E20" s="10">
        <f>C20/(1+D20)*D20</f>
        <v>0.13636363636363635</v>
      </c>
      <c r="F20" s="10">
        <f>C20-E20</f>
        <v>1.3636363636363638</v>
      </c>
    </row>
    <row r="21" spans="1:7" x14ac:dyDescent="0.2">
      <c r="A21" s="9" t="s">
        <v>307</v>
      </c>
      <c r="B21" s="47" t="s">
        <v>305</v>
      </c>
      <c r="C21" s="10">
        <v>1.5</v>
      </c>
      <c r="D21" s="11">
        <v>0.1</v>
      </c>
      <c r="E21" s="10">
        <f>C21/(1+D21)*D21</f>
        <v>0.13636363636363635</v>
      </c>
      <c r="F21" s="10">
        <f>C21-E21</f>
        <v>1.3636363636363638</v>
      </c>
      <c r="G21" s="2">
        <v>16</v>
      </c>
    </row>
    <row r="22" spans="1:7" x14ac:dyDescent="0.2">
      <c r="D22" s="11"/>
      <c r="E22" s="10"/>
      <c r="F22" s="10"/>
    </row>
    <row r="23" spans="1:7" x14ac:dyDescent="0.2">
      <c r="A23" s="5" t="s">
        <v>96</v>
      </c>
      <c r="B23" s="12" t="s">
        <v>128</v>
      </c>
      <c r="C23" s="7" t="s">
        <v>0</v>
      </c>
      <c r="D23" s="5" t="s">
        <v>2</v>
      </c>
      <c r="E23" s="5" t="s">
        <v>1</v>
      </c>
      <c r="F23" s="5" t="s">
        <v>167</v>
      </c>
      <c r="G23" s="5" t="s">
        <v>27</v>
      </c>
    </row>
    <row r="24" spans="1:7" x14ac:dyDescent="0.2">
      <c r="A24" s="9" t="s">
        <v>74</v>
      </c>
      <c r="B24" s="13" t="s">
        <v>110</v>
      </c>
      <c r="C24" s="52">
        <v>3.5</v>
      </c>
      <c r="D24" s="11">
        <v>0.2</v>
      </c>
      <c r="E24" s="10">
        <f t="shared" ref="E24:E37" si="2">C24/(1+D24)*D24</f>
        <v>0.58333333333333337</v>
      </c>
      <c r="F24" s="10">
        <f t="shared" ref="F24:F37" si="3">C24-E24</f>
        <v>2.9166666666666665</v>
      </c>
      <c r="G24" s="2">
        <v>17</v>
      </c>
    </row>
    <row r="25" spans="1:7" x14ac:dyDescent="0.2">
      <c r="A25" s="9" t="s">
        <v>75</v>
      </c>
      <c r="B25" s="13" t="s">
        <v>111</v>
      </c>
      <c r="C25" s="52">
        <v>6</v>
      </c>
      <c r="D25" s="11">
        <v>0.2</v>
      </c>
      <c r="E25" s="10">
        <f t="shared" si="2"/>
        <v>1</v>
      </c>
      <c r="F25" s="10">
        <f t="shared" si="3"/>
        <v>5</v>
      </c>
      <c r="G25" s="2">
        <v>18</v>
      </c>
    </row>
    <row r="26" spans="1:7" x14ac:dyDescent="0.2">
      <c r="A26" s="9" t="s">
        <v>76</v>
      </c>
      <c r="B26" s="13" t="s">
        <v>346</v>
      </c>
      <c r="C26" s="52">
        <v>1.2</v>
      </c>
      <c r="D26" s="11">
        <v>0.2</v>
      </c>
      <c r="E26" s="10">
        <f>C26/(1+D26)*D26</f>
        <v>0.2</v>
      </c>
      <c r="F26" s="10">
        <f>C26-E26</f>
        <v>1</v>
      </c>
      <c r="G26" s="2">
        <v>19</v>
      </c>
    </row>
    <row r="27" spans="1:7" x14ac:dyDescent="0.2">
      <c r="A27" s="9" t="s">
        <v>77</v>
      </c>
      <c r="B27" s="13" t="s">
        <v>248</v>
      </c>
      <c r="C27" s="52">
        <v>1.5</v>
      </c>
      <c r="D27" s="11">
        <v>0.2</v>
      </c>
      <c r="E27" s="10">
        <f t="shared" si="2"/>
        <v>0.25</v>
      </c>
      <c r="F27" s="10">
        <f t="shared" si="3"/>
        <v>1.25</v>
      </c>
      <c r="G27" s="2">
        <v>20</v>
      </c>
    </row>
    <row r="28" spans="1:7" x14ac:dyDescent="0.2">
      <c r="A28" s="9" t="s">
        <v>78</v>
      </c>
      <c r="B28" s="13" t="s">
        <v>318</v>
      </c>
      <c r="C28" s="52">
        <v>3</v>
      </c>
      <c r="D28" s="11">
        <v>0.2</v>
      </c>
      <c r="E28" s="10">
        <f t="shared" si="2"/>
        <v>0.5</v>
      </c>
      <c r="F28" s="10">
        <f t="shared" si="3"/>
        <v>2.5</v>
      </c>
    </row>
    <row r="29" spans="1:7" x14ac:dyDescent="0.2">
      <c r="A29" s="9" t="s">
        <v>79</v>
      </c>
      <c r="B29" s="13" t="s">
        <v>251</v>
      </c>
      <c r="C29" s="52">
        <v>12</v>
      </c>
      <c r="D29" s="11">
        <v>0.2</v>
      </c>
      <c r="E29" s="10">
        <f t="shared" si="2"/>
        <v>2</v>
      </c>
      <c r="F29" s="10">
        <f t="shared" si="3"/>
        <v>10</v>
      </c>
    </row>
    <row r="30" spans="1:7" x14ac:dyDescent="0.2">
      <c r="A30" s="9" t="s">
        <v>154</v>
      </c>
      <c r="B30" s="13" t="s">
        <v>298</v>
      </c>
      <c r="C30" s="52">
        <v>13</v>
      </c>
      <c r="D30" s="11">
        <v>0.2</v>
      </c>
      <c r="E30" s="10">
        <f>C30/(1+D30)*D30</f>
        <v>2.166666666666667</v>
      </c>
      <c r="F30" s="10">
        <f>C30-E30</f>
        <v>10.833333333333332</v>
      </c>
    </row>
    <row r="31" spans="1:7" x14ac:dyDescent="0.2">
      <c r="A31" s="9" t="s">
        <v>155</v>
      </c>
      <c r="B31" s="13" t="s">
        <v>295</v>
      </c>
      <c r="C31" s="52">
        <v>14</v>
      </c>
      <c r="D31" s="11">
        <v>0.2</v>
      </c>
      <c r="E31" s="10">
        <f t="shared" si="2"/>
        <v>2.3333333333333335</v>
      </c>
      <c r="F31" s="10">
        <f t="shared" si="3"/>
        <v>11.666666666666666</v>
      </c>
    </row>
    <row r="32" spans="1:7" x14ac:dyDescent="0.2">
      <c r="A32" s="9" t="s">
        <v>187</v>
      </c>
      <c r="B32" s="13" t="s">
        <v>296</v>
      </c>
      <c r="C32" s="52">
        <v>11</v>
      </c>
      <c r="D32" s="11">
        <v>0.2</v>
      </c>
      <c r="E32" s="10">
        <f t="shared" si="2"/>
        <v>1.8333333333333337</v>
      </c>
      <c r="F32" s="10">
        <f t="shared" si="3"/>
        <v>9.1666666666666661</v>
      </c>
    </row>
    <row r="33" spans="1:7" x14ac:dyDescent="0.2">
      <c r="A33" s="9" t="s">
        <v>190</v>
      </c>
      <c r="B33" s="13" t="s">
        <v>250</v>
      </c>
      <c r="C33" s="52">
        <v>22</v>
      </c>
      <c r="D33" s="11">
        <v>0.2</v>
      </c>
      <c r="E33" s="10">
        <f t="shared" si="2"/>
        <v>3.6666666666666674</v>
      </c>
      <c r="F33" s="10">
        <f t="shared" si="3"/>
        <v>18.333333333333332</v>
      </c>
    </row>
    <row r="34" spans="1:7" x14ac:dyDescent="0.2">
      <c r="A34" s="9" t="s">
        <v>194</v>
      </c>
      <c r="B34" s="13" t="s">
        <v>319</v>
      </c>
      <c r="C34" s="52">
        <v>15</v>
      </c>
      <c r="D34" s="11">
        <v>0.2</v>
      </c>
      <c r="E34" s="10">
        <f t="shared" si="2"/>
        <v>2.5</v>
      </c>
      <c r="F34" s="10">
        <f t="shared" si="3"/>
        <v>12.5</v>
      </c>
    </row>
    <row r="35" spans="1:7" x14ac:dyDescent="0.2">
      <c r="A35" s="9" t="s">
        <v>195</v>
      </c>
      <c r="B35" s="13" t="s">
        <v>320</v>
      </c>
      <c r="C35" s="52">
        <v>22</v>
      </c>
      <c r="D35" s="11">
        <v>0.2</v>
      </c>
      <c r="E35" s="10">
        <f t="shared" si="2"/>
        <v>3.6666666666666674</v>
      </c>
      <c r="F35" s="10">
        <f t="shared" si="3"/>
        <v>18.333333333333332</v>
      </c>
    </row>
    <row r="36" spans="1:7" x14ac:dyDescent="0.2">
      <c r="A36" s="9" t="s">
        <v>196</v>
      </c>
      <c r="B36" s="13" t="s">
        <v>249</v>
      </c>
      <c r="C36" s="52">
        <v>18</v>
      </c>
      <c r="D36" s="11">
        <v>0.2</v>
      </c>
      <c r="E36" s="10">
        <f t="shared" si="2"/>
        <v>3</v>
      </c>
      <c r="F36" s="10">
        <f t="shared" si="3"/>
        <v>15</v>
      </c>
    </row>
    <row r="37" spans="1:7" x14ac:dyDescent="0.2">
      <c r="A37" s="9" t="s">
        <v>216</v>
      </c>
      <c r="B37" s="13" t="s">
        <v>321</v>
      </c>
      <c r="C37" s="52">
        <v>29</v>
      </c>
      <c r="D37" s="11">
        <v>0.2</v>
      </c>
      <c r="E37" s="10">
        <f t="shared" si="2"/>
        <v>4.8333333333333339</v>
      </c>
      <c r="F37" s="10">
        <f t="shared" si="3"/>
        <v>24.166666666666664</v>
      </c>
    </row>
    <row r="38" spans="1:7" x14ac:dyDescent="0.2">
      <c r="A38" s="9" t="s">
        <v>224</v>
      </c>
      <c r="B38" s="13" t="s">
        <v>297</v>
      </c>
      <c r="C38" s="52">
        <v>26</v>
      </c>
      <c r="D38" s="11">
        <v>0.2</v>
      </c>
      <c r="E38" s="10">
        <f>C38/(1+D38)*D38</f>
        <v>4.3333333333333339</v>
      </c>
      <c r="F38" s="10">
        <f>C38-E38</f>
        <v>21.666666666666664</v>
      </c>
    </row>
    <row r="40" spans="1:7" x14ac:dyDescent="0.2">
      <c r="A40" s="5" t="s">
        <v>97</v>
      </c>
      <c r="B40" s="6" t="s">
        <v>129</v>
      </c>
      <c r="C40" s="7" t="s">
        <v>0</v>
      </c>
      <c r="D40" s="5" t="s">
        <v>2</v>
      </c>
      <c r="E40" s="5" t="s">
        <v>1</v>
      </c>
      <c r="F40" s="5" t="s">
        <v>167</v>
      </c>
      <c r="G40" s="5" t="s">
        <v>27</v>
      </c>
    </row>
    <row r="41" spans="1:7" x14ac:dyDescent="0.2">
      <c r="A41" s="9" t="s">
        <v>80</v>
      </c>
      <c r="B41" s="24" t="s">
        <v>108</v>
      </c>
      <c r="C41" s="52">
        <v>3.5</v>
      </c>
      <c r="D41" s="11">
        <v>0.2</v>
      </c>
      <c r="E41" s="10">
        <f t="shared" ref="E41:E49" si="4">C41/(1+D41)*D41</f>
        <v>0.58333333333333337</v>
      </c>
      <c r="F41" s="10">
        <f t="shared" ref="F41:F49" si="5">C41-E41</f>
        <v>2.9166666666666665</v>
      </c>
      <c r="G41" s="2">
        <v>21</v>
      </c>
    </row>
    <row r="42" spans="1:7" x14ac:dyDescent="0.2">
      <c r="A42" s="9" t="s">
        <v>81</v>
      </c>
      <c r="B42" s="24" t="s">
        <v>109</v>
      </c>
      <c r="C42" s="52">
        <v>6</v>
      </c>
      <c r="D42" s="11">
        <v>0.2</v>
      </c>
      <c r="E42" s="10">
        <f t="shared" si="4"/>
        <v>1</v>
      </c>
      <c r="F42" s="10">
        <f t="shared" si="5"/>
        <v>5</v>
      </c>
      <c r="G42" s="2">
        <v>22</v>
      </c>
    </row>
    <row r="43" spans="1:7" x14ac:dyDescent="0.2">
      <c r="A43" s="9" t="s">
        <v>82</v>
      </c>
      <c r="B43" s="24" t="s">
        <v>347</v>
      </c>
      <c r="C43" s="52">
        <v>1.2</v>
      </c>
      <c r="D43" s="11">
        <v>0.2</v>
      </c>
      <c r="E43" s="10">
        <f>C43/(1+D43)*D43</f>
        <v>0.2</v>
      </c>
      <c r="F43" s="10">
        <f>C43-E43</f>
        <v>1</v>
      </c>
      <c r="G43" s="2">
        <v>23</v>
      </c>
    </row>
    <row r="44" spans="1:7" x14ac:dyDescent="0.2">
      <c r="A44" s="9" t="s">
        <v>83</v>
      </c>
      <c r="B44" s="24" t="s">
        <v>252</v>
      </c>
      <c r="C44" s="52">
        <v>2</v>
      </c>
      <c r="D44" s="11">
        <v>0.2</v>
      </c>
      <c r="E44" s="10">
        <f>C44/(1+D44)*D44</f>
        <v>0.33333333333333337</v>
      </c>
      <c r="F44" s="10">
        <f>C44-E44</f>
        <v>1.6666666666666665</v>
      </c>
      <c r="G44" s="2">
        <v>24</v>
      </c>
    </row>
    <row r="45" spans="1:7" x14ac:dyDescent="0.2">
      <c r="A45" s="9" t="s">
        <v>113</v>
      </c>
      <c r="B45" s="24" t="s">
        <v>322</v>
      </c>
      <c r="C45" s="52">
        <v>7.5</v>
      </c>
      <c r="D45" s="11">
        <v>0.2</v>
      </c>
      <c r="E45" s="10">
        <f>C45/(1+D45)*D45</f>
        <v>1.25</v>
      </c>
      <c r="F45" s="10">
        <f>C45-E45</f>
        <v>6.25</v>
      </c>
    </row>
    <row r="46" spans="1:7" x14ac:dyDescent="0.2">
      <c r="A46" s="9" t="s">
        <v>114</v>
      </c>
      <c r="B46" s="24" t="s">
        <v>253</v>
      </c>
      <c r="C46" s="52">
        <v>15</v>
      </c>
      <c r="D46" s="11">
        <v>0.2</v>
      </c>
      <c r="E46" s="10">
        <f t="shared" si="4"/>
        <v>2.5</v>
      </c>
      <c r="F46" s="10">
        <f t="shared" si="5"/>
        <v>12.5</v>
      </c>
    </row>
    <row r="47" spans="1:7" x14ac:dyDescent="0.2">
      <c r="A47" s="9" t="s">
        <v>188</v>
      </c>
      <c r="B47" s="24" t="s">
        <v>254</v>
      </c>
      <c r="C47" s="10">
        <v>16</v>
      </c>
      <c r="D47" s="11">
        <v>0.2</v>
      </c>
      <c r="E47" s="10">
        <f>C47/(1+D47)*D47</f>
        <v>2.666666666666667</v>
      </c>
      <c r="F47" s="10">
        <f>C47-E47</f>
        <v>13.333333333333332</v>
      </c>
    </row>
    <row r="48" spans="1:7" x14ac:dyDescent="0.2">
      <c r="A48" s="9" t="s">
        <v>197</v>
      </c>
      <c r="B48" s="24" t="s">
        <v>324</v>
      </c>
      <c r="C48" s="10">
        <v>17</v>
      </c>
      <c r="D48" s="11">
        <v>0.2</v>
      </c>
      <c r="E48" s="10">
        <f>C48/(1+D48)*D48</f>
        <v>2.8333333333333339</v>
      </c>
      <c r="F48" s="10">
        <f>C48-E48</f>
        <v>14.166666666666666</v>
      </c>
    </row>
    <row r="49" spans="1:7" x14ac:dyDescent="0.2">
      <c r="A49" s="9" t="s">
        <v>323</v>
      </c>
      <c r="B49" s="24" t="s">
        <v>325</v>
      </c>
      <c r="C49" s="10">
        <v>14</v>
      </c>
      <c r="D49" s="11">
        <v>0.2</v>
      </c>
      <c r="E49" s="10">
        <f t="shared" si="4"/>
        <v>2.3333333333333335</v>
      </c>
      <c r="F49" s="10">
        <f t="shared" si="5"/>
        <v>11.666666666666666</v>
      </c>
    </row>
    <row r="51" spans="1:7" x14ac:dyDescent="0.2">
      <c r="A51" s="5" t="s">
        <v>98</v>
      </c>
      <c r="B51" s="25" t="s">
        <v>130</v>
      </c>
      <c r="C51" s="7" t="s">
        <v>0</v>
      </c>
      <c r="D51" s="5" t="s">
        <v>2</v>
      </c>
      <c r="E51" s="5" t="s">
        <v>1</v>
      </c>
      <c r="F51" s="5" t="s">
        <v>167</v>
      </c>
      <c r="G51" s="5" t="s">
        <v>27</v>
      </c>
    </row>
    <row r="52" spans="1:7" x14ac:dyDescent="0.2">
      <c r="A52" s="9" t="s">
        <v>84</v>
      </c>
      <c r="B52" s="26" t="s">
        <v>348</v>
      </c>
      <c r="C52" s="52">
        <v>3.5</v>
      </c>
      <c r="D52" s="11">
        <v>0.2</v>
      </c>
      <c r="E52" s="10">
        <f t="shared" ref="E52:E70" si="6">C52/(1+D52)*D52</f>
        <v>0.58333333333333337</v>
      </c>
      <c r="F52" s="10">
        <f t="shared" ref="F52:F70" si="7">C52-E52</f>
        <v>2.9166666666666665</v>
      </c>
      <c r="G52" s="2">
        <v>25</v>
      </c>
    </row>
    <row r="53" spans="1:7" x14ac:dyDescent="0.2">
      <c r="A53" s="9" t="s">
        <v>85</v>
      </c>
      <c r="B53" s="26" t="s">
        <v>349</v>
      </c>
      <c r="C53" s="52">
        <v>6</v>
      </c>
      <c r="D53" s="11">
        <v>0.2</v>
      </c>
      <c r="E53" s="10">
        <f t="shared" si="6"/>
        <v>1</v>
      </c>
      <c r="F53" s="10">
        <f t="shared" si="7"/>
        <v>5</v>
      </c>
      <c r="G53" s="2">
        <v>26</v>
      </c>
    </row>
    <row r="54" spans="1:7" x14ac:dyDescent="0.2">
      <c r="A54" s="9" t="s">
        <v>86</v>
      </c>
      <c r="B54" s="26" t="s">
        <v>327</v>
      </c>
      <c r="C54" s="52">
        <v>4.5</v>
      </c>
      <c r="D54" s="11">
        <v>0.2</v>
      </c>
      <c r="E54" s="10">
        <f t="shared" si="6"/>
        <v>0.75</v>
      </c>
      <c r="F54" s="10">
        <f t="shared" si="7"/>
        <v>3.75</v>
      </c>
      <c r="G54" s="2">
        <v>27</v>
      </c>
    </row>
    <row r="55" spans="1:7" x14ac:dyDescent="0.2">
      <c r="A55" s="9" t="s">
        <v>87</v>
      </c>
      <c r="B55" s="26" t="s">
        <v>328</v>
      </c>
      <c r="C55" s="52">
        <v>8</v>
      </c>
      <c r="D55" s="11">
        <v>0.2</v>
      </c>
      <c r="E55" s="10">
        <f t="shared" si="6"/>
        <v>1.3333333333333335</v>
      </c>
      <c r="F55" s="10">
        <f t="shared" si="7"/>
        <v>6.6666666666666661</v>
      </c>
      <c r="G55" s="2">
        <v>28</v>
      </c>
    </row>
    <row r="56" spans="1:7" x14ac:dyDescent="0.2">
      <c r="A56" s="9" t="s">
        <v>115</v>
      </c>
      <c r="B56" s="26" t="s">
        <v>267</v>
      </c>
      <c r="C56" s="52">
        <v>1.2</v>
      </c>
      <c r="D56" s="11">
        <v>0.2</v>
      </c>
      <c r="E56" s="10">
        <f t="shared" si="6"/>
        <v>0.2</v>
      </c>
      <c r="F56" s="10">
        <f t="shared" si="7"/>
        <v>1</v>
      </c>
      <c r="G56" s="2">
        <v>29</v>
      </c>
    </row>
    <row r="57" spans="1:7" x14ac:dyDescent="0.2">
      <c r="A57" s="9" t="s">
        <v>116</v>
      </c>
      <c r="B57" s="26" t="s">
        <v>326</v>
      </c>
      <c r="C57" s="52">
        <v>2</v>
      </c>
      <c r="D57" s="11">
        <v>0.2</v>
      </c>
      <c r="E57" s="10">
        <f t="shared" si="6"/>
        <v>0.33333333333333337</v>
      </c>
      <c r="F57" s="10">
        <f t="shared" si="7"/>
        <v>1.6666666666666665</v>
      </c>
      <c r="G57" s="2">
        <v>31</v>
      </c>
    </row>
    <row r="58" spans="1:7" x14ac:dyDescent="0.2">
      <c r="A58" s="9" t="s">
        <v>156</v>
      </c>
      <c r="B58" s="26" t="s">
        <v>329</v>
      </c>
      <c r="C58" s="52">
        <v>2.5</v>
      </c>
      <c r="D58" s="11">
        <v>0.2</v>
      </c>
      <c r="E58" s="10">
        <f t="shared" si="6"/>
        <v>0.41666666666666674</v>
      </c>
      <c r="F58" s="10">
        <f t="shared" si="7"/>
        <v>2.083333333333333</v>
      </c>
    </row>
    <row r="59" spans="1:7" x14ac:dyDescent="0.2">
      <c r="A59" s="9" t="s">
        <v>157</v>
      </c>
      <c r="B59" s="26" t="s">
        <v>330</v>
      </c>
      <c r="C59" s="52">
        <v>7.5</v>
      </c>
      <c r="D59" s="11">
        <v>0.2</v>
      </c>
      <c r="E59" s="10">
        <f>C59/(1+D59)*D59</f>
        <v>1.25</v>
      </c>
      <c r="F59" s="10">
        <f>C59-E59</f>
        <v>6.25</v>
      </c>
    </row>
    <row r="60" spans="1:7" x14ac:dyDescent="0.2">
      <c r="A60" s="9" t="s">
        <v>158</v>
      </c>
      <c r="B60" s="26" t="s">
        <v>299</v>
      </c>
      <c r="C60" s="52">
        <v>11</v>
      </c>
      <c r="D60" s="11">
        <v>0.2</v>
      </c>
      <c r="E60" s="10">
        <f t="shared" si="6"/>
        <v>1.8333333333333337</v>
      </c>
      <c r="F60" s="10">
        <f t="shared" si="7"/>
        <v>9.1666666666666661</v>
      </c>
    </row>
    <row r="61" spans="1:7" x14ac:dyDescent="0.2">
      <c r="A61" s="9" t="s">
        <v>159</v>
      </c>
      <c r="B61" s="26" t="s">
        <v>333</v>
      </c>
      <c r="C61" s="52">
        <v>15</v>
      </c>
      <c r="D61" s="11">
        <v>0.2</v>
      </c>
      <c r="E61" s="10">
        <f t="shared" si="6"/>
        <v>2.5</v>
      </c>
      <c r="F61" s="10">
        <f t="shared" si="7"/>
        <v>12.5</v>
      </c>
    </row>
    <row r="62" spans="1:7" x14ac:dyDescent="0.2">
      <c r="A62" s="9" t="s">
        <v>160</v>
      </c>
      <c r="B62" s="26" t="s">
        <v>255</v>
      </c>
      <c r="C62" s="52">
        <v>11</v>
      </c>
      <c r="D62" s="11">
        <v>0.2</v>
      </c>
      <c r="E62" s="10">
        <f t="shared" si="6"/>
        <v>1.8333333333333337</v>
      </c>
      <c r="F62" s="10">
        <f t="shared" si="7"/>
        <v>9.1666666666666661</v>
      </c>
    </row>
    <row r="63" spans="1:7" x14ac:dyDescent="0.2">
      <c r="A63" s="9" t="s">
        <v>161</v>
      </c>
      <c r="B63" s="26" t="s">
        <v>300</v>
      </c>
      <c r="C63" s="52">
        <v>11</v>
      </c>
      <c r="D63" s="11">
        <v>0.2</v>
      </c>
      <c r="E63" s="10">
        <f t="shared" si="6"/>
        <v>1.8333333333333337</v>
      </c>
      <c r="F63" s="10">
        <f t="shared" si="7"/>
        <v>9.1666666666666661</v>
      </c>
    </row>
    <row r="64" spans="1:7" x14ac:dyDescent="0.2">
      <c r="A64" s="9" t="s">
        <v>164</v>
      </c>
      <c r="B64" s="59" t="s">
        <v>258</v>
      </c>
      <c r="C64" s="52">
        <v>15</v>
      </c>
      <c r="D64" s="11">
        <v>0.2</v>
      </c>
      <c r="E64" s="10">
        <f t="shared" si="6"/>
        <v>2.5</v>
      </c>
      <c r="F64" s="10">
        <f t="shared" si="7"/>
        <v>12.5</v>
      </c>
      <c r="G64" s="2">
        <v>33</v>
      </c>
    </row>
    <row r="65" spans="1:7" x14ac:dyDescent="0.2">
      <c r="A65" s="9" t="s">
        <v>165</v>
      </c>
      <c r="B65" s="26" t="s">
        <v>331</v>
      </c>
      <c r="C65" s="52">
        <v>14</v>
      </c>
      <c r="D65" s="11">
        <v>0.2</v>
      </c>
      <c r="E65" s="10">
        <f t="shared" si="6"/>
        <v>2.3333333333333335</v>
      </c>
      <c r="F65" s="10">
        <f t="shared" si="7"/>
        <v>11.666666666666666</v>
      </c>
    </row>
    <row r="66" spans="1:7" x14ac:dyDescent="0.2">
      <c r="A66" s="9" t="s">
        <v>166</v>
      </c>
      <c r="B66" s="26" t="s">
        <v>332</v>
      </c>
      <c r="C66" s="52">
        <v>28</v>
      </c>
      <c r="D66" s="11">
        <v>0.2</v>
      </c>
      <c r="E66" s="10">
        <f t="shared" si="6"/>
        <v>4.666666666666667</v>
      </c>
      <c r="F66" s="10">
        <f t="shared" si="7"/>
        <v>23.333333333333332</v>
      </c>
    </row>
    <row r="67" spans="1:7" x14ac:dyDescent="0.2">
      <c r="A67" s="9" t="s">
        <v>189</v>
      </c>
      <c r="B67" s="26" t="s">
        <v>334</v>
      </c>
      <c r="C67" s="52">
        <v>35</v>
      </c>
      <c r="D67" s="11">
        <v>0.2</v>
      </c>
      <c r="E67" s="10">
        <f t="shared" si="6"/>
        <v>5.8333333333333339</v>
      </c>
      <c r="F67" s="10">
        <f t="shared" si="7"/>
        <v>29.166666666666664</v>
      </c>
    </row>
    <row r="68" spans="1:7" x14ac:dyDescent="0.2">
      <c r="A68" s="9" t="s">
        <v>198</v>
      </c>
      <c r="B68" s="26" t="s">
        <v>256</v>
      </c>
      <c r="C68" s="52">
        <v>21</v>
      </c>
      <c r="D68" s="11">
        <v>0.2</v>
      </c>
      <c r="E68" s="10">
        <f t="shared" si="6"/>
        <v>3.5</v>
      </c>
      <c r="F68" s="10">
        <f t="shared" si="7"/>
        <v>17.5</v>
      </c>
      <c r="G68" s="2">
        <v>34</v>
      </c>
    </row>
    <row r="69" spans="1:7" x14ac:dyDescent="0.2">
      <c r="A69" s="9" t="s">
        <v>217</v>
      </c>
      <c r="B69" s="26" t="s">
        <v>259</v>
      </c>
      <c r="C69" s="52">
        <v>22</v>
      </c>
      <c r="D69" s="11">
        <v>0.2</v>
      </c>
      <c r="E69" s="10">
        <f t="shared" si="6"/>
        <v>3.6666666666666674</v>
      </c>
      <c r="F69" s="10">
        <f t="shared" si="7"/>
        <v>18.333333333333332</v>
      </c>
    </row>
    <row r="70" spans="1:7" x14ac:dyDescent="0.2">
      <c r="A70" s="9" t="s">
        <v>218</v>
      </c>
      <c r="B70" s="26" t="s">
        <v>257</v>
      </c>
      <c r="C70" s="52">
        <v>19</v>
      </c>
      <c r="D70" s="11">
        <v>0.2</v>
      </c>
      <c r="E70" s="10">
        <f t="shared" si="6"/>
        <v>3.166666666666667</v>
      </c>
      <c r="F70" s="10">
        <f t="shared" si="7"/>
        <v>15.833333333333332</v>
      </c>
      <c r="G70" s="2">
        <v>35</v>
      </c>
    </row>
    <row r="71" spans="1:7" x14ac:dyDescent="0.2">
      <c r="A71" s="9" t="s">
        <v>265</v>
      </c>
      <c r="B71" s="26" t="s">
        <v>301</v>
      </c>
      <c r="C71" s="52">
        <v>21</v>
      </c>
      <c r="D71" s="11">
        <v>0.2</v>
      </c>
      <c r="E71" s="10">
        <f>C71/(1+D71)*D71</f>
        <v>3.5</v>
      </c>
      <c r="F71" s="10">
        <f>C71-E71</f>
        <v>17.5</v>
      </c>
    </row>
    <row r="72" spans="1:7" x14ac:dyDescent="0.2">
      <c r="A72" s="9" t="s">
        <v>266</v>
      </c>
      <c r="B72" s="26" t="s">
        <v>302</v>
      </c>
      <c r="C72" s="52">
        <v>21</v>
      </c>
      <c r="D72" s="11">
        <v>0.2</v>
      </c>
      <c r="E72" s="10">
        <f>C72/(1+D72)*D72</f>
        <v>3.5</v>
      </c>
      <c r="F72" s="10">
        <f>C72-E72</f>
        <v>17.5</v>
      </c>
    </row>
    <row r="74" spans="1:7" x14ac:dyDescent="0.2">
      <c r="A74" s="5" t="s">
        <v>99</v>
      </c>
      <c r="B74" s="14" t="s">
        <v>131</v>
      </c>
      <c r="C74" s="7" t="s">
        <v>0</v>
      </c>
      <c r="D74" s="5" t="s">
        <v>2</v>
      </c>
      <c r="E74" s="5" t="s">
        <v>1</v>
      </c>
      <c r="F74" s="5" t="s">
        <v>167</v>
      </c>
      <c r="G74" s="5" t="s">
        <v>27</v>
      </c>
    </row>
    <row r="75" spans="1:7" x14ac:dyDescent="0.2">
      <c r="A75" s="9" t="s">
        <v>88</v>
      </c>
      <c r="B75" s="15" t="s">
        <v>220</v>
      </c>
      <c r="C75" s="10">
        <v>1.2</v>
      </c>
      <c r="D75" s="11">
        <v>0.1</v>
      </c>
      <c r="E75" s="10">
        <f t="shared" ref="E75:E80" si="8">C75/(1+D75)*D75</f>
        <v>0.10909090909090909</v>
      </c>
      <c r="F75" s="10">
        <f t="shared" ref="F75:F80" si="9">C75-E75</f>
        <v>1.0909090909090908</v>
      </c>
    </row>
    <row r="76" spans="1:7" x14ac:dyDescent="0.2">
      <c r="A76" s="9" t="s">
        <v>89</v>
      </c>
      <c r="B76" s="15" t="s">
        <v>162</v>
      </c>
      <c r="C76" s="10">
        <v>3</v>
      </c>
      <c r="D76" s="11">
        <v>0.1</v>
      </c>
      <c r="E76" s="10">
        <f t="shared" si="8"/>
        <v>0.27272727272727271</v>
      </c>
      <c r="F76" s="10">
        <f t="shared" si="9"/>
        <v>2.7272727272727275</v>
      </c>
    </row>
    <row r="77" spans="1:7" x14ac:dyDescent="0.2">
      <c r="A77" s="9" t="s">
        <v>117</v>
      </c>
      <c r="B77" s="15" t="s">
        <v>163</v>
      </c>
      <c r="C77" s="10">
        <v>4.2</v>
      </c>
      <c r="D77" s="11">
        <v>0.1</v>
      </c>
      <c r="E77" s="10">
        <f t="shared" si="8"/>
        <v>0.38181818181818183</v>
      </c>
      <c r="F77" s="10">
        <f t="shared" si="9"/>
        <v>3.8181818181818183</v>
      </c>
    </row>
    <row r="78" spans="1:7" x14ac:dyDescent="0.2">
      <c r="A78" s="9" t="s">
        <v>118</v>
      </c>
      <c r="B78" s="15" t="s">
        <v>315</v>
      </c>
      <c r="C78" s="10">
        <v>1.2</v>
      </c>
      <c r="D78" s="11">
        <v>0.1</v>
      </c>
      <c r="E78" s="10">
        <f t="shared" si="8"/>
        <v>0.10909090909090909</v>
      </c>
      <c r="F78" s="10">
        <f t="shared" si="9"/>
        <v>1.0909090909090908</v>
      </c>
    </row>
    <row r="79" spans="1:7" x14ac:dyDescent="0.2">
      <c r="A79" s="9" t="s">
        <v>222</v>
      </c>
      <c r="B79" s="15" t="s">
        <v>316</v>
      </c>
      <c r="C79" s="10">
        <v>3</v>
      </c>
      <c r="D79" s="11">
        <v>0.1</v>
      </c>
      <c r="E79" s="10">
        <f t="shared" si="8"/>
        <v>0.27272727272727271</v>
      </c>
      <c r="F79" s="10">
        <f t="shared" si="9"/>
        <v>2.7272727272727275</v>
      </c>
    </row>
    <row r="80" spans="1:7" x14ac:dyDescent="0.2">
      <c r="A80" s="9" t="s">
        <v>223</v>
      </c>
      <c r="B80" s="15" t="s">
        <v>317</v>
      </c>
      <c r="C80" s="10">
        <v>4.2</v>
      </c>
      <c r="D80" s="11">
        <v>0.1</v>
      </c>
      <c r="E80" s="10">
        <f t="shared" si="8"/>
        <v>0.38181818181818183</v>
      </c>
      <c r="F80" s="10">
        <f t="shared" si="9"/>
        <v>3.8181818181818183</v>
      </c>
      <c r="G80" s="2">
        <v>36</v>
      </c>
    </row>
    <row r="82" spans="1:7" x14ac:dyDescent="0.2">
      <c r="A82" s="5" t="s">
        <v>91</v>
      </c>
      <c r="B82" s="42" t="s">
        <v>124</v>
      </c>
      <c r="C82" s="7" t="s">
        <v>0</v>
      </c>
      <c r="D82" s="5" t="s">
        <v>2</v>
      </c>
      <c r="E82" s="5" t="s">
        <v>1</v>
      </c>
      <c r="F82" s="5" t="s">
        <v>167</v>
      </c>
      <c r="G82" s="5" t="s">
        <v>27</v>
      </c>
    </row>
    <row r="83" spans="1:7" x14ac:dyDescent="0.2">
      <c r="A83" s="9" t="s">
        <v>55</v>
      </c>
      <c r="B83" s="43" t="s">
        <v>373</v>
      </c>
      <c r="C83" s="10">
        <v>6.5</v>
      </c>
      <c r="D83" s="11">
        <v>0.1</v>
      </c>
      <c r="E83" s="10">
        <f t="shared" ref="E83:E89" si="10">C83/(1+D83)*D83</f>
        <v>0.59090909090909083</v>
      </c>
      <c r="F83" s="10">
        <f t="shared" ref="F83:F89" si="11">C83-E83</f>
        <v>5.9090909090909092</v>
      </c>
    </row>
    <row r="84" spans="1:7" x14ac:dyDescent="0.2">
      <c r="A84" s="9" t="s">
        <v>56</v>
      </c>
      <c r="B84" s="43" t="s">
        <v>378</v>
      </c>
      <c r="C84" s="10">
        <v>6.5</v>
      </c>
      <c r="D84" s="11">
        <v>0.1</v>
      </c>
      <c r="E84" s="10">
        <f t="shared" si="10"/>
        <v>0.59090909090909083</v>
      </c>
      <c r="F84" s="10">
        <f t="shared" si="11"/>
        <v>5.9090909090909092</v>
      </c>
    </row>
    <row r="85" spans="1:7" x14ac:dyDescent="0.2">
      <c r="A85" s="9" t="s">
        <v>57</v>
      </c>
      <c r="B85" s="43" t="s">
        <v>374</v>
      </c>
      <c r="C85" s="10">
        <v>9.5</v>
      </c>
      <c r="D85" s="11">
        <v>0.1</v>
      </c>
      <c r="E85" s="10">
        <f t="shared" si="10"/>
        <v>0.86363636363636354</v>
      </c>
      <c r="F85" s="10">
        <f t="shared" si="11"/>
        <v>8.6363636363636367</v>
      </c>
    </row>
    <row r="86" spans="1:7" x14ac:dyDescent="0.2">
      <c r="A86" s="9" t="s">
        <v>58</v>
      </c>
      <c r="B86" s="43" t="s">
        <v>375</v>
      </c>
      <c r="C86" s="10">
        <v>9.5</v>
      </c>
      <c r="D86" s="11">
        <v>0.1</v>
      </c>
      <c r="E86" s="10">
        <f t="shared" si="10"/>
        <v>0.86363636363636354</v>
      </c>
      <c r="F86" s="10">
        <f t="shared" si="11"/>
        <v>8.6363636363636367</v>
      </c>
    </row>
    <row r="87" spans="1:7" x14ac:dyDescent="0.2">
      <c r="A87" s="9" t="s">
        <v>191</v>
      </c>
      <c r="B87" s="43" t="s">
        <v>376</v>
      </c>
      <c r="C87" s="10">
        <v>9.5</v>
      </c>
      <c r="D87" s="11">
        <v>0.1</v>
      </c>
      <c r="E87" s="10">
        <f t="shared" si="10"/>
        <v>0.86363636363636354</v>
      </c>
      <c r="F87" s="10">
        <f t="shared" si="11"/>
        <v>8.6363636363636367</v>
      </c>
    </row>
    <row r="88" spans="1:7" x14ac:dyDescent="0.2">
      <c r="A88" s="9" t="s">
        <v>226</v>
      </c>
      <c r="B88" s="43" t="s">
        <v>377</v>
      </c>
      <c r="C88" s="10">
        <v>9.5</v>
      </c>
      <c r="D88" s="11">
        <v>0.1</v>
      </c>
      <c r="E88" s="10">
        <f t="shared" si="10"/>
        <v>0.86363636363636354</v>
      </c>
      <c r="F88" s="10">
        <f t="shared" si="11"/>
        <v>8.6363636363636367</v>
      </c>
    </row>
    <row r="89" spans="1:7" x14ac:dyDescent="0.2">
      <c r="A89" s="9" t="s">
        <v>227</v>
      </c>
      <c r="B89" s="43" t="s">
        <v>379</v>
      </c>
      <c r="C89" s="10">
        <v>12.5</v>
      </c>
      <c r="D89" s="11">
        <v>0.1</v>
      </c>
      <c r="E89" s="10">
        <f t="shared" si="10"/>
        <v>1.1363636363636365</v>
      </c>
      <c r="F89" s="10">
        <f t="shared" si="11"/>
        <v>11.363636363636363</v>
      </c>
    </row>
    <row r="90" spans="1:7" x14ac:dyDescent="0.2">
      <c r="A90" s="9" t="s">
        <v>228</v>
      </c>
      <c r="B90" s="43" t="s">
        <v>380</v>
      </c>
      <c r="C90" s="10">
        <v>12.5</v>
      </c>
      <c r="D90" s="11">
        <v>0.1</v>
      </c>
      <c r="E90" s="10">
        <f>C90/(1+D90)*D90</f>
        <v>1.1363636363636365</v>
      </c>
      <c r="F90" s="10">
        <f>C90-E90</f>
        <v>11.363636363636363</v>
      </c>
    </row>
    <row r="92" spans="1:7" x14ac:dyDescent="0.2">
      <c r="A92" s="5" t="s">
        <v>92</v>
      </c>
      <c r="B92" s="44" t="s">
        <v>122</v>
      </c>
      <c r="C92" s="7" t="s">
        <v>0</v>
      </c>
      <c r="D92" s="5" t="s">
        <v>2</v>
      </c>
      <c r="E92" s="5" t="s">
        <v>1</v>
      </c>
      <c r="F92" s="5" t="s">
        <v>167</v>
      </c>
      <c r="G92" s="5" t="s">
        <v>27</v>
      </c>
    </row>
    <row r="93" spans="1:7" x14ac:dyDescent="0.2">
      <c r="A93" s="9" t="s">
        <v>59</v>
      </c>
      <c r="B93" s="45" t="s">
        <v>381</v>
      </c>
      <c r="C93" s="10">
        <v>11.5</v>
      </c>
      <c r="D93" s="11">
        <v>0.1</v>
      </c>
      <c r="E93" s="10">
        <f t="shared" ref="E93:E100" si="12">C93/(1+D93)*D93</f>
        <v>1.0454545454545454</v>
      </c>
      <c r="F93" s="10">
        <f t="shared" ref="F93:F100" si="13">C93-E93</f>
        <v>10.454545454545455</v>
      </c>
    </row>
    <row r="94" spans="1:7" x14ac:dyDescent="0.2">
      <c r="A94" s="9" t="s">
        <v>60</v>
      </c>
      <c r="B94" s="45" t="s">
        <v>382</v>
      </c>
      <c r="C94" s="10">
        <v>11.5</v>
      </c>
      <c r="D94" s="11">
        <v>0.1</v>
      </c>
      <c r="E94" s="10">
        <f t="shared" si="12"/>
        <v>1.0454545454545454</v>
      </c>
      <c r="F94" s="10">
        <f t="shared" si="13"/>
        <v>10.454545454545455</v>
      </c>
    </row>
    <row r="95" spans="1:7" x14ac:dyDescent="0.2">
      <c r="A95" s="9" t="s">
        <v>61</v>
      </c>
      <c r="B95" s="45" t="s">
        <v>350</v>
      </c>
      <c r="C95" s="10">
        <v>14</v>
      </c>
      <c r="D95" s="11">
        <v>0.1</v>
      </c>
      <c r="E95" s="10">
        <f t="shared" si="12"/>
        <v>1.2727272727272727</v>
      </c>
      <c r="F95" s="10">
        <f t="shared" si="13"/>
        <v>12.727272727272727</v>
      </c>
    </row>
    <row r="96" spans="1:7" x14ac:dyDescent="0.2">
      <c r="A96" s="9" t="s">
        <v>62</v>
      </c>
      <c r="B96" s="45" t="s">
        <v>393</v>
      </c>
      <c r="C96" s="10">
        <v>14</v>
      </c>
      <c r="D96" s="11">
        <v>0.1</v>
      </c>
      <c r="E96" s="10">
        <f t="shared" si="12"/>
        <v>1.2727272727272727</v>
      </c>
      <c r="F96" s="10">
        <f t="shared" si="13"/>
        <v>12.727272727272727</v>
      </c>
    </row>
    <row r="97" spans="1:7" x14ac:dyDescent="0.2">
      <c r="A97" s="9" t="s">
        <v>192</v>
      </c>
      <c r="B97" s="45" t="s">
        <v>294</v>
      </c>
      <c r="C97" s="10">
        <v>14</v>
      </c>
      <c r="D97" s="11">
        <v>0.1</v>
      </c>
      <c r="E97" s="10">
        <f>C97/(1+D97)*D97</f>
        <v>1.2727272727272727</v>
      </c>
      <c r="F97" s="10">
        <f>C97-E97</f>
        <v>12.727272727272727</v>
      </c>
    </row>
    <row r="98" spans="1:7" x14ac:dyDescent="0.2">
      <c r="A98" s="9" t="s">
        <v>229</v>
      </c>
      <c r="B98" s="45" t="s">
        <v>391</v>
      </c>
      <c r="C98" s="10">
        <v>35</v>
      </c>
      <c r="D98" s="11">
        <v>0.1</v>
      </c>
      <c r="E98" s="10">
        <f>C98/(1+D98)*D98</f>
        <v>3.1818181818181817</v>
      </c>
      <c r="F98" s="10">
        <f>C98-E98</f>
        <v>31.81818181818182</v>
      </c>
    </row>
    <row r="99" spans="1:7" x14ac:dyDescent="0.2">
      <c r="A99" s="9" t="s">
        <v>389</v>
      </c>
      <c r="B99" s="45" t="s">
        <v>392</v>
      </c>
      <c r="C99" s="10">
        <v>12</v>
      </c>
      <c r="D99" s="11">
        <v>0.1</v>
      </c>
      <c r="E99" s="10">
        <f>C99/(1+D99)*D99</f>
        <v>1.0909090909090908</v>
      </c>
      <c r="F99" s="10">
        <f>C99-E99</f>
        <v>10.90909090909091</v>
      </c>
    </row>
    <row r="100" spans="1:7" x14ac:dyDescent="0.2">
      <c r="A100" s="9" t="s">
        <v>390</v>
      </c>
      <c r="B100" s="45" t="s">
        <v>230</v>
      </c>
      <c r="C100" s="10">
        <v>3</v>
      </c>
      <c r="D100" s="11">
        <v>0.1</v>
      </c>
      <c r="E100" s="10">
        <f t="shared" si="12"/>
        <v>0.27272727272727271</v>
      </c>
      <c r="F100" s="10">
        <f t="shared" si="13"/>
        <v>2.7272727272727275</v>
      </c>
    </row>
    <row r="102" spans="1:7" x14ac:dyDescent="0.2">
      <c r="A102" s="5" t="s">
        <v>93</v>
      </c>
      <c r="B102" s="48" t="s">
        <v>125</v>
      </c>
      <c r="C102" s="7" t="s">
        <v>0</v>
      </c>
      <c r="D102" s="5" t="s">
        <v>2</v>
      </c>
      <c r="E102" s="5" t="s">
        <v>1</v>
      </c>
      <c r="F102" s="5" t="s">
        <v>167</v>
      </c>
      <c r="G102" s="5" t="s">
        <v>27</v>
      </c>
    </row>
    <row r="103" spans="1:7" x14ac:dyDescent="0.2">
      <c r="A103" s="9" t="s">
        <v>63</v>
      </c>
      <c r="B103" s="49" t="s">
        <v>292</v>
      </c>
      <c r="C103" s="10">
        <v>4</v>
      </c>
      <c r="D103" s="11">
        <v>0.1</v>
      </c>
      <c r="E103" s="10">
        <f>C103/(1+D103)*D103</f>
        <v>0.36363636363636365</v>
      </c>
      <c r="F103" s="10">
        <f>C103-E103</f>
        <v>3.6363636363636362</v>
      </c>
    </row>
    <row r="104" spans="1:7" x14ac:dyDescent="0.2">
      <c r="A104" s="9" t="s">
        <v>64</v>
      </c>
      <c r="B104" s="49" t="s">
        <v>293</v>
      </c>
      <c r="C104" s="10">
        <v>4</v>
      </c>
      <c r="D104" s="11">
        <v>0.1</v>
      </c>
      <c r="E104" s="10">
        <f>C104/(1+D104)*D104</f>
        <v>0.36363636363636365</v>
      </c>
      <c r="F104" s="10">
        <f>C104-E104</f>
        <v>3.6363636363636362</v>
      </c>
    </row>
    <row r="106" spans="1:7" x14ac:dyDescent="0.2">
      <c r="A106" s="5" t="s">
        <v>94</v>
      </c>
      <c r="B106" s="50" t="s">
        <v>126</v>
      </c>
      <c r="C106" s="7" t="s">
        <v>0</v>
      </c>
      <c r="D106" s="5" t="s">
        <v>2</v>
      </c>
      <c r="E106" s="5" t="s">
        <v>1</v>
      </c>
      <c r="F106" s="5" t="s">
        <v>167</v>
      </c>
      <c r="G106" s="5" t="s">
        <v>27</v>
      </c>
    </row>
    <row r="107" spans="1:7" x14ac:dyDescent="0.2">
      <c r="A107" s="9" t="s">
        <v>65</v>
      </c>
      <c r="B107" s="51" t="s">
        <v>304</v>
      </c>
      <c r="C107" s="10">
        <v>5</v>
      </c>
      <c r="D107" s="11">
        <v>0.1</v>
      </c>
      <c r="E107" s="10">
        <f t="shared" ref="E107:E112" si="14">C107/(1+D107)*D107</f>
        <v>0.45454545454545453</v>
      </c>
      <c r="F107" s="10">
        <f t="shared" ref="F107:F112" si="15">C107-E107</f>
        <v>4.5454545454545459</v>
      </c>
    </row>
    <row r="108" spans="1:7" x14ac:dyDescent="0.2">
      <c r="A108" s="9" t="s">
        <v>66</v>
      </c>
      <c r="B108" s="51" t="s">
        <v>360</v>
      </c>
      <c r="C108" s="10">
        <v>5</v>
      </c>
      <c r="D108" s="11">
        <v>0.1</v>
      </c>
      <c r="E108" s="10">
        <f t="shared" si="14"/>
        <v>0.45454545454545453</v>
      </c>
      <c r="F108" s="10">
        <f t="shared" si="15"/>
        <v>4.5454545454545459</v>
      </c>
    </row>
    <row r="109" spans="1:7" x14ac:dyDescent="0.2">
      <c r="A109" s="9" t="s">
        <v>67</v>
      </c>
      <c r="B109" s="51" t="s">
        <v>361</v>
      </c>
      <c r="C109" s="10">
        <v>5</v>
      </c>
      <c r="D109" s="11">
        <v>0.1</v>
      </c>
      <c r="E109" s="10">
        <f>C109/(1+D109)*D109</f>
        <v>0.45454545454545453</v>
      </c>
      <c r="F109" s="10">
        <f>C109-E109</f>
        <v>4.5454545454545459</v>
      </c>
    </row>
    <row r="110" spans="1:7" x14ac:dyDescent="0.2">
      <c r="A110" s="9" t="s">
        <v>68</v>
      </c>
      <c r="B110" s="51" t="s">
        <v>269</v>
      </c>
      <c r="C110" s="10">
        <v>5</v>
      </c>
      <c r="D110" s="11">
        <v>0.1</v>
      </c>
      <c r="E110" s="10">
        <f t="shared" si="14"/>
        <v>0.45454545454545453</v>
      </c>
      <c r="F110" s="10">
        <f t="shared" si="15"/>
        <v>4.5454545454545459</v>
      </c>
    </row>
    <row r="111" spans="1:7" x14ac:dyDescent="0.2">
      <c r="A111" s="9" t="s">
        <v>69</v>
      </c>
      <c r="B111" s="51" t="s">
        <v>362</v>
      </c>
      <c r="C111" s="10">
        <v>4.5</v>
      </c>
      <c r="D111" s="11">
        <v>0.1</v>
      </c>
      <c r="E111" s="10">
        <f t="shared" si="14"/>
        <v>0.40909090909090912</v>
      </c>
      <c r="F111" s="10">
        <f t="shared" si="15"/>
        <v>4.0909090909090908</v>
      </c>
    </row>
    <row r="112" spans="1:7" x14ac:dyDescent="0.2">
      <c r="A112" s="9" t="s">
        <v>70</v>
      </c>
      <c r="B112" s="51" t="s">
        <v>363</v>
      </c>
      <c r="C112" s="10">
        <v>4.5</v>
      </c>
      <c r="D112" s="11">
        <v>0.1</v>
      </c>
      <c r="E112" s="10">
        <f t="shared" si="14"/>
        <v>0.40909090909090912</v>
      </c>
      <c r="F112" s="10">
        <f t="shared" si="15"/>
        <v>4.0909090909090908</v>
      </c>
    </row>
    <row r="113" spans="1:7" x14ac:dyDescent="0.2">
      <c r="A113" s="9" t="s">
        <v>213</v>
      </c>
      <c r="B113" s="51" t="s">
        <v>270</v>
      </c>
      <c r="C113" s="10">
        <v>5.5</v>
      </c>
      <c r="D113" s="11">
        <v>0.1</v>
      </c>
      <c r="E113" s="10">
        <f>C113/(1+D113)*D113</f>
        <v>0.5</v>
      </c>
      <c r="F113" s="10">
        <f>C113-E113</f>
        <v>5</v>
      </c>
    </row>
    <row r="114" spans="1:7" x14ac:dyDescent="0.2">
      <c r="A114" s="9" t="s">
        <v>214</v>
      </c>
      <c r="B114" s="51" t="s">
        <v>231</v>
      </c>
      <c r="C114" s="10">
        <v>4.5</v>
      </c>
      <c r="D114" s="11">
        <v>0.1</v>
      </c>
      <c r="E114" s="10">
        <f>C114/(1+D114)*D114</f>
        <v>0.40909090909090912</v>
      </c>
      <c r="F114" s="10">
        <f>C114-E114</f>
        <v>4.0909090909090908</v>
      </c>
    </row>
    <row r="115" spans="1:7" x14ac:dyDescent="0.2">
      <c r="A115" s="9" t="s">
        <v>364</v>
      </c>
      <c r="B115" s="51" t="s">
        <v>365</v>
      </c>
      <c r="C115" s="10">
        <v>1.5</v>
      </c>
      <c r="D115" s="11">
        <v>0.1</v>
      </c>
      <c r="E115" s="10">
        <f>C115/(1+D115)*D115</f>
        <v>0.13636363636363635</v>
      </c>
      <c r="F115" s="10">
        <f>C115-E115</f>
        <v>1.3636363636363638</v>
      </c>
    </row>
    <row r="117" spans="1:7" x14ac:dyDescent="0.2">
      <c r="A117" s="5" t="s">
        <v>95</v>
      </c>
      <c r="B117" s="29" t="s">
        <v>127</v>
      </c>
      <c r="C117" s="7" t="s">
        <v>0</v>
      </c>
      <c r="D117" s="5" t="s">
        <v>2</v>
      </c>
      <c r="E117" s="5" t="s">
        <v>1</v>
      </c>
      <c r="F117" s="5" t="s">
        <v>167</v>
      </c>
      <c r="G117" s="5" t="s">
        <v>27</v>
      </c>
    </row>
    <row r="118" spans="1:7" x14ac:dyDescent="0.2">
      <c r="A118" s="9" t="s">
        <v>71</v>
      </c>
      <c r="B118" s="30" t="s">
        <v>260</v>
      </c>
      <c r="C118" s="10">
        <v>3</v>
      </c>
      <c r="D118" s="11">
        <v>0.2</v>
      </c>
      <c r="E118" s="10">
        <f t="shared" ref="E118:E145" si="16">C118/(1+D118)*D118</f>
        <v>0.5</v>
      </c>
      <c r="F118" s="10">
        <f t="shared" ref="F118:F145" si="17">C118-E118</f>
        <v>2.5</v>
      </c>
    </row>
    <row r="119" spans="1:7" x14ac:dyDescent="0.2">
      <c r="A119" s="9" t="s">
        <v>261</v>
      </c>
      <c r="B119" s="30" t="s">
        <v>279</v>
      </c>
      <c r="C119" s="10">
        <v>2.5</v>
      </c>
      <c r="D119" s="11">
        <v>0.1</v>
      </c>
      <c r="E119" s="10">
        <f t="shared" si="16"/>
        <v>0.22727272727272727</v>
      </c>
      <c r="F119" s="10">
        <f t="shared" si="17"/>
        <v>2.2727272727272729</v>
      </c>
    </row>
    <row r="120" spans="1:7" x14ac:dyDescent="0.2">
      <c r="A120" s="9" t="s">
        <v>73</v>
      </c>
      <c r="B120" s="30" t="s">
        <v>351</v>
      </c>
      <c r="C120" s="10">
        <v>1.1000000000000001</v>
      </c>
      <c r="D120" s="11">
        <v>0.2</v>
      </c>
      <c r="E120" s="10">
        <f>C120/(1+D120)*D120</f>
        <v>0.18333333333333335</v>
      </c>
      <c r="F120" s="10">
        <f>C120-E120</f>
        <v>0.91666666666666674</v>
      </c>
      <c r="G120" s="2">
        <v>37</v>
      </c>
    </row>
    <row r="121" spans="1:7" x14ac:dyDescent="0.2">
      <c r="A121" s="9" t="s">
        <v>143</v>
      </c>
      <c r="B121" s="30" t="s">
        <v>221</v>
      </c>
      <c r="C121" s="10">
        <v>2.2000000000000002</v>
      </c>
      <c r="D121" s="11">
        <v>0.2</v>
      </c>
      <c r="E121" s="10">
        <f>C121/(1+D121)*D121</f>
        <v>0.3666666666666667</v>
      </c>
      <c r="F121" s="10">
        <f>C121-E121</f>
        <v>1.8333333333333335</v>
      </c>
      <c r="G121" s="2">
        <v>38</v>
      </c>
    </row>
    <row r="122" spans="1:7" x14ac:dyDescent="0.2">
      <c r="A122" s="9" t="s">
        <v>144</v>
      </c>
      <c r="B122" s="30" t="s">
        <v>352</v>
      </c>
      <c r="C122" s="10">
        <v>1.1000000000000001</v>
      </c>
      <c r="D122" s="11">
        <v>0.2</v>
      </c>
      <c r="E122" s="10">
        <f>C122/(1+D122)*D122</f>
        <v>0.18333333333333335</v>
      </c>
      <c r="F122" s="10">
        <f>C122-E122</f>
        <v>0.91666666666666674</v>
      </c>
      <c r="G122" s="2">
        <v>39</v>
      </c>
    </row>
    <row r="123" spans="1:7" x14ac:dyDescent="0.2">
      <c r="A123" s="9" t="s">
        <v>145</v>
      </c>
      <c r="B123" s="30" t="s">
        <v>280</v>
      </c>
      <c r="C123" s="10">
        <v>2.2000000000000002</v>
      </c>
      <c r="D123" s="11">
        <v>0.2</v>
      </c>
      <c r="E123" s="10">
        <f t="shared" si="16"/>
        <v>0.3666666666666667</v>
      </c>
      <c r="F123" s="10">
        <f t="shared" si="17"/>
        <v>1.8333333333333335</v>
      </c>
      <c r="G123" s="2">
        <v>40</v>
      </c>
    </row>
    <row r="124" spans="1:7" x14ac:dyDescent="0.2">
      <c r="A124" s="9" t="s">
        <v>72</v>
      </c>
      <c r="B124" s="30" t="s">
        <v>311</v>
      </c>
      <c r="C124" s="10">
        <v>2.5</v>
      </c>
      <c r="D124" s="11">
        <v>0.2</v>
      </c>
      <c r="E124" s="10">
        <f>C124/(1+D124)*D124</f>
        <v>0.41666666666666674</v>
      </c>
      <c r="F124" s="10">
        <f>C124-E124</f>
        <v>2.083333333333333</v>
      </c>
      <c r="G124" s="2">
        <v>41</v>
      </c>
    </row>
    <row r="125" spans="1:7" x14ac:dyDescent="0.2">
      <c r="A125" s="9" t="s">
        <v>146</v>
      </c>
      <c r="B125" s="30" t="s">
        <v>353</v>
      </c>
      <c r="C125" s="10">
        <v>2.2000000000000002</v>
      </c>
      <c r="D125" s="11">
        <v>0.2</v>
      </c>
      <c r="E125" s="10">
        <f>C125/(1+D125)*D125</f>
        <v>0.3666666666666667</v>
      </c>
      <c r="F125" s="10">
        <f>C125-E125</f>
        <v>1.8333333333333335</v>
      </c>
    </row>
    <row r="126" spans="1:7" x14ac:dyDescent="0.2">
      <c r="A126" s="9" t="s">
        <v>147</v>
      </c>
      <c r="B126" s="30" t="s">
        <v>148</v>
      </c>
      <c r="C126" s="10">
        <v>3</v>
      </c>
      <c r="D126" s="11">
        <v>0.2</v>
      </c>
      <c r="E126" s="10">
        <f t="shared" si="16"/>
        <v>0.5</v>
      </c>
      <c r="F126" s="10">
        <f t="shared" si="17"/>
        <v>2.5</v>
      </c>
    </row>
    <row r="127" spans="1:7" x14ac:dyDescent="0.2">
      <c r="A127" s="9" t="s">
        <v>149</v>
      </c>
      <c r="B127" s="30" t="s">
        <v>354</v>
      </c>
      <c r="C127" s="10">
        <v>2.5</v>
      </c>
      <c r="D127" s="11">
        <v>0.2</v>
      </c>
      <c r="E127" s="10">
        <f>C127/(1+D127)*D127</f>
        <v>0.41666666666666674</v>
      </c>
      <c r="F127" s="10">
        <f>C127-E127</f>
        <v>2.083333333333333</v>
      </c>
      <c r="G127" s="2">
        <v>42</v>
      </c>
    </row>
    <row r="128" spans="1:7" x14ac:dyDescent="0.2">
      <c r="A128" s="9" t="s">
        <v>150</v>
      </c>
      <c r="B128" s="30" t="s">
        <v>209</v>
      </c>
      <c r="C128" s="10">
        <v>1.1000000000000001</v>
      </c>
      <c r="D128" s="11">
        <v>0.2</v>
      </c>
      <c r="E128" s="10">
        <f t="shared" si="16"/>
        <v>0.18333333333333335</v>
      </c>
      <c r="F128" s="10">
        <f t="shared" si="17"/>
        <v>0.91666666666666674</v>
      </c>
      <c r="G128" s="2">
        <v>45</v>
      </c>
    </row>
    <row r="129" spans="1:7" x14ac:dyDescent="0.2">
      <c r="A129" s="9" t="s">
        <v>184</v>
      </c>
      <c r="B129" s="30" t="s">
        <v>210</v>
      </c>
      <c r="C129" s="10">
        <v>2.2000000000000002</v>
      </c>
      <c r="D129" s="11">
        <v>0.2</v>
      </c>
      <c r="E129" s="10">
        <f t="shared" si="16"/>
        <v>0.3666666666666667</v>
      </c>
      <c r="F129" s="10">
        <f t="shared" si="17"/>
        <v>1.8333333333333335</v>
      </c>
      <c r="G129" s="2">
        <v>46</v>
      </c>
    </row>
    <row r="130" spans="1:7" x14ac:dyDescent="0.2">
      <c r="A130" s="9" t="s">
        <v>185</v>
      </c>
      <c r="B130" s="30" t="s">
        <v>211</v>
      </c>
      <c r="C130" s="10">
        <v>1.3</v>
      </c>
      <c r="D130" s="11">
        <v>0.2</v>
      </c>
      <c r="E130" s="10">
        <f t="shared" si="16"/>
        <v>0.2166666666666667</v>
      </c>
      <c r="F130" s="10">
        <f t="shared" si="17"/>
        <v>1.0833333333333333</v>
      </c>
      <c r="G130" s="2">
        <v>47</v>
      </c>
    </row>
    <row r="131" spans="1:7" x14ac:dyDescent="0.2">
      <c r="A131" s="9" t="s">
        <v>186</v>
      </c>
      <c r="B131" s="30" t="s">
        <v>212</v>
      </c>
      <c r="C131" s="10">
        <v>2.5</v>
      </c>
      <c r="D131" s="11">
        <v>0.2</v>
      </c>
      <c r="E131" s="10">
        <f t="shared" si="16"/>
        <v>0.41666666666666674</v>
      </c>
      <c r="F131" s="10">
        <f t="shared" si="17"/>
        <v>2.083333333333333</v>
      </c>
      <c r="G131" s="2">
        <v>48</v>
      </c>
    </row>
    <row r="132" spans="1:7" x14ac:dyDescent="0.2">
      <c r="A132" s="9" t="s">
        <v>199</v>
      </c>
      <c r="B132" s="30">
        <v>1664</v>
      </c>
      <c r="C132" s="10">
        <v>2.5</v>
      </c>
      <c r="D132" s="11">
        <v>0.2</v>
      </c>
      <c r="E132" s="10">
        <f t="shared" si="16"/>
        <v>0.41666666666666674</v>
      </c>
      <c r="F132" s="10">
        <f t="shared" si="17"/>
        <v>2.083333333333333</v>
      </c>
    </row>
    <row r="133" spans="1:7" x14ac:dyDescent="0.2">
      <c r="A133" s="9" t="s">
        <v>203</v>
      </c>
      <c r="B133" s="30" t="s">
        <v>262</v>
      </c>
      <c r="C133" s="10">
        <v>2.8</v>
      </c>
      <c r="D133" s="11">
        <v>0.2</v>
      </c>
      <c r="E133" s="10">
        <f>C133/(1+D133)*D133</f>
        <v>0.46666666666666673</v>
      </c>
      <c r="F133" s="10">
        <f>C133-E133</f>
        <v>2.333333333333333</v>
      </c>
    </row>
    <row r="134" spans="1:7" x14ac:dyDescent="0.2">
      <c r="A134" s="9" t="s">
        <v>204</v>
      </c>
      <c r="B134" s="30" t="s">
        <v>281</v>
      </c>
      <c r="C134" s="10">
        <v>2.5</v>
      </c>
      <c r="D134" s="11">
        <v>0.2</v>
      </c>
      <c r="E134" s="10">
        <f>C134/(1+D134)*D134</f>
        <v>0.41666666666666674</v>
      </c>
      <c r="F134" s="10">
        <f>C134-E134</f>
        <v>2.083333333333333</v>
      </c>
    </row>
    <row r="135" spans="1:7" x14ac:dyDescent="0.2">
      <c r="A135" s="9" t="s">
        <v>205</v>
      </c>
      <c r="B135" s="30" t="s">
        <v>268</v>
      </c>
      <c r="C135" s="10">
        <v>2.5</v>
      </c>
      <c r="D135" s="11">
        <v>0.1</v>
      </c>
      <c r="E135" s="10">
        <f t="shared" si="16"/>
        <v>0.22727272727272727</v>
      </c>
      <c r="F135" s="10">
        <f t="shared" si="17"/>
        <v>2.2727272727272729</v>
      </c>
      <c r="G135" s="2">
        <v>49</v>
      </c>
    </row>
    <row r="136" spans="1:7" x14ac:dyDescent="0.2">
      <c r="A136" s="9" t="s">
        <v>206</v>
      </c>
      <c r="B136" s="30" t="s">
        <v>303</v>
      </c>
      <c r="C136" s="10">
        <v>2</v>
      </c>
      <c r="D136" s="11">
        <v>0.1</v>
      </c>
      <c r="E136" s="10">
        <f t="shared" si="16"/>
        <v>0.18181818181818182</v>
      </c>
      <c r="F136" s="10">
        <f t="shared" si="17"/>
        <v>1.8181818181818181</v>
      </c>
      <c r="G136" s="2">
        <v>50</v>
      </c>
    </row>
    <row r="137" spans="1:7" x14ac:dyDescent="0.2">
      <c r="A137" s="9" t="s">
        <v>207</v>
      </c>
      <c r="B137" s="30" t="s">
        <v>202</v>
      </c>
      <c r="C137" s="10">
        <v>1.5</v>
      </c>
      <c r="D137" s="11">
        <v>0.1</v>
      </c>
      <c r="E137" s="10">
        <f t="shared" si="16"/>
        <v>0.13636363636363635</v>
      </c>
      <c r="F137" s="10">
        <f t="shared" si="17"/>
        <v>1.3636363636363638</v>
      </c>
      <c r="G137" s="2">
        <v>51</v>
      </c>
    </row>
    <row r="138" spans="1:7" x14ac:dyDescent="0.2">
      <c r="A138" s="9" t="s">
        <v>208</v>
      </c>
      <c r="B138" s="30" t="s">
        <v>219</v>
      </c>
      <c r="C138" s="10">
        <v>1.2</v>
      </c>
      <c r="D138" s="11">
        <v>0.1</v>
      </c>
      <c r="E138" s="10">
        <f t="shared" si="16"/>
        <v>0.10909090909090909</v>
      </c>
      <c r="F138" s="10">
        <f t="shared" si="17"/>
        <v>1.0909090909090908</v>
      </c>
    </row>
    <row r="139" spans="1:7" x14ac:dyDescent="0.2">
      <c r="A139" s="9" t="s">
        <v>284</v>
      </c>
      <c r="B139" s="30" t="s">
        <v>283</v>
      </c>
      <c r="C139" s="10">
        <v>2.5</v>
      </c>
      <c r="D139" s="11">
        <v>0.1</v>
      </c>
      <c r="E139" s="10">
        <f t="shared" si="16"/>
        <v>0.22727272727272727</v>
      </c>
      <c r="F139" s="10">
        <f t="shared" si="17"/>
        <v>2.2727272727272729</v>
      </c>
    </row>
    <row r="140" spans="1:7" x14ac:dyDescent="0.2">
      <c r="A140" s="9" t="s">
        <v>285</v>
      </c>
      <c r="B140" s="30" t="s">
        <v>282</v>
      </c>
      <c r="C140" s="10">
        <v>2.5</v>
      </c>
      <c r="D140" s="11">
        <v>0.1</v>
      </c>
      <c r="E140" s="10">
        <f>C140/(1+D140)*D140</f>
        <v>0.22727272727272727</v>
      </c>
      <c r="F140" s="10">
        <f>C140-E140</f>
        <v>2.2727272727272729</v>
      </c>
      <c r="G140" s="2">
        <v>52</v>
      </c>
    </row>
    <row r="141" spans="1:7" x14ac:dyDescent="0.2">
      <c r="A141" s="9" t="s">
        <v>286</v>
      </c>
      <c r="B141" s="30" t="s">
        <v>153</v>
      </c>
      <c r="C141" s="10">
        <v>22</v>
      </c>
      <c r="D141" s="11">
        <v>0.2</v>
      </c>
      <c r="E141" s="10">
        <f t="shared" si="16"/>
        <v>3.6666666666666674</v>
      </c>
      <c r="F141" s="10">
        <f t="shared" si="17"/>
        <v>18.333333333333332</v>
      </c>
    </row>
    <row r="142" spans="1:7" x14ac:dyDescent="0.2">
      <c r="A142" s="9" t="s">
        <v>287</v>
      </c>
      <c r="B142" s="30" t="s">
        <v>313</v>
      </c>
      <c r="C142" s="10">
        <v>3</v>
      </c>
      <c r="D142" s="11">
        <v>0.2</v>
      </c>
      <c r="E142" s="10">
        <f>C142/(1+D142)*D142</f>
        <v>0.5</v>
      </c>
      <c r="F142" s="10">
        <f>C142-E142</f>
        <v>2.5</v>
      </c>
    </row>
    <row r="143" spans="1:7" x14ac:dyDescent="0.2">
      <c r="A143" s="9" t="s">
        <v>288</v>
      </c>
      <c r="B143" s="30" t="s">
        <v>314</v>
      </c>
      <c r="C143" s="10">
        <v>25</v>
      </c>
      <c r="D143" s="11">
        <v>0.2</v>
      </c>
      <c r="E143" s="10">
        <f>C143/(1+D143)*D143</f>
        <v>4.166666666666667</v>
      </c>
      <c r="F143" s="10">
        <f>C143-E143</f>
        <v>20.833333333333332</v>
      </c>
    </row>
    <row r="144" spans="1:7" x14ac:dyDescent="0.2">
      <c r="A144" s="9" t="s">
        <v>289</v>
      </c>
      <c r="B144" s="30" t="s">
        <v>151</v>
      </c>
      <c r="C144" s="10">
        <v>7</v>
      </c>
      <c r="D144" s="11">
        <v>0.2</v>
      </c>
      <c r="E144" s="10">
        <f t="shared" si="16"/>
        <v>1.1666666666666667</v>
      </c>
      <c r="F144" s="10">
        <f t="shared" si="17"/>
        <v>5.833333333333333</v>
      </c>
    </row>
    <row r="145" spans="1:7" x14ac:dyDescent="0.2">
      <c r="A145" s="9" t="s">
        <v>312</v>
      </c>
      <c r="B145" s="30" t="s">
        <v>152</v>
      </c>
      <c r="C145" s="10">
        <v>42</v>
      </c>
      <c r="D145" s="11">
        <v>0.2</v>
      </c>
      <c r="E145" s="10">
        <f t="shared" si="16"/>
        <v>7</v>
      </c>
      <c r="F145" s="10">
        <f t="shared" si="17"/>
        <v>35</v>
      </c>
    </row>
    <row r="147" spans="1:7" x14ac:dyDescent="0.2">
      <c r="A147" s="5" t="s">
        <v>100</v>
      </c>
      <c r="B147" s="16" t="s">
        <v>132</v>
      </c>
      <c r="C147" s="7" t="s">
        <v>0</v>
      </c>
      <c r="D147" s="5" t="s">
        <v>2</v>
      </c>
      <c r="E147" s="5" t="s">
        <v>1</v>
      </c>
      <c r="F147" s="5" t="s">
        <v>167</v>
      </c>
      <c r="G147" s="5" t="s">
        <v>27</v>
      </c>
    </row>
    <row r="148" spans="1:7" x14ac:dyDescent="0.2">
      <c r="A148" s="9" t="s">
        <v>101</v>
      </c>
      <c r="B148" s="17" t="s">
        <v>201</v>
      </c>
      <c r="C148" s="10">
        <v>2.5</v>
      </c>
      <c r="D148" s="11">
        <v>0.2</v>
      </c>
      <c r="E148" s="10">
        <f>C148/(1+D148)*D148</f>
        <v>0.41666666666666674</v>
      </c>
      <c r="F148" s="10">
        <f>C148-E148</f>
        <v>2.083333333333333</v>
      </c>
      <c r="G148" s="2">
        <v>53</v>
      </c>
    </row>
    <row r="149" spans="1:7" x14ac:dyDescent="0.2">
      <c r="A149" s="9" t="s">
        <v>102</v>
      </c>
      <c r="B149" s="17" t="s">
        <v>142</v>
      </c>
      <c r="C149" s="10">
        <v>2.5</v>
      </c>
      <c r="D149" s="11">
        <v>0.2</v>
      </c>
      <c r="E149" s="10">
        <f>C149/(1+D149)*D149</f>
        <v>0.41666666666666674</v>
      </c>
      <c r="F149" s="10">
        <f>C149-E149</f>
        <v>2.083333333333333</v>
      </c>
      <c r="G149" s="2">
        <v>54</v>
      </c>
    </row>
    <row r="150" spans="1:7" x14ac:dyDescent="0.2">
      <c r="A150" s="9" t="s">
        <v>103</v>
      </c>
      <c r="B150" s="17" t="s">
        <v>264</v>
      </c>
      <c r="C150" s="10">
        <v>2.5</v>
      </c>
      <c r="D150" s="11">
        <v>0.2</v>
      </c>
      <c r="E150" s="10">
        <f>C150/(1+D150)*D150</f>
        <v>0.41666666666666674</v>
      </c>
      <c r="F150" s="10">
        <f>C150-E150</f>
        <v>2.083333333333333</v>
      </c>
    </row>
    <row r="151" spans="1:7" x14ac:dyDescent="0.2">
      <c r="A151" s="9" t="s">
        <v>104</v>
      </c>
      <c r="B151" s="17" t="s">
        <v>200</v>
      </c>
      <c r="C151" s="10">
        <v>3</v>
      </c>
      <c r="D151" s="11">
        <v>0.2</v>
      </c>
      <c r="E151" s="10">
        <f>C151/(1+D151)*D151</f>
        <v>0.5</v>
      </c>
      <c r="F151" s="10">
        <f>C151-E151</f>
        <v>2.5</v>
      </c>
      <c r="G151" s="2">
        <v>55</v>
      </c>
    </row>
    <row r="152" spans="1:7" x14ac:dyDescent="0.2">
      <c r="A152" s="9" t="s">
        <v>368</v>
      </c>
      <c r="B152" s="17" t="s">
        <v>263</v>
      </c>
      <c r="C152" s="10">
        <v>2.5</v>
      </c>
      <c r="D152" s="11">
        <v>0.2</v>
      </c>
      <c r="E152" s="10">
        <f>C152/(1+D152)*D152</f>
        <v>0.41666666666666674</v>
      </c>
      <c r="F152" s="10">
        <f>C152-E152</f>
        <v>2.083333333333333</v>
      </c>
      <c r="G152" s="2">
        <v>56</v>
      </c>
    </row>
    <row r="154" spans="1:7" x14ac:dyDescent="0.2">
      <c r="A154" s="5" t="s">
        <v>134</v>
      </c>
      <c r="B154" s="40" t="s">
        <v>271</v>
      </c>
      <c r="C154" s="7" t="s">
        <v>0</v>
      </c>
      <c r="D154" s="5" t="s">
        <v>2</v>
      </c>
      <c r="E154" s="5" t="s">
        <v>1</v>
      </c>
      <c r="F154" s="5"/>
      <c r="G154" s="5" t="s">
        <v>27</v>
      </c>
    </row>
    <row r="155" spans="1:7" x14ac:dyDescent="0.2">
      <c r="A155" s="9" t="s">
        <v>272</v>
      </c>
      <c r="B155" s="53" t="s">
        <v>383</v>
      </c>
      <c r="C155" s="10">
        <v>5.5</v>
      </c>
      <c r="D155" s="11">
        <v>5.5E-2</v>
      </c>
      <c r="E155" s="10">
        <f t="shared" ref="E155:E162" si="18">C155/(1+D155)*D155</f>
        <v>0.28672985781990523</v>
      </c>
      <c r="F155" s="10">
        <f t="shared" ref="F155:F162" si="19">C155-E155</f>
        <v>5.2132701421800949</v>
      </c>
    </row>
    <row r="156" spans="1:7" x14ac:dyDescent="0.2">
      <c r="A156" s="9" t="s">
        <v>273</v>
      </c>
      <c r="B156" s="53" t="s">
        <v>384</v>
      </c>
      <c r="C156" s="10">
        <v>5.5</v>
      </c>
      <c r="D156" s="11">
        <v>5.5E-2</v>
      </c>
      <c r="E156" s="10">
        <f t="shared" si="18"/>
        <v>0.28672985781990523</v>
      </c>
      <c r="F156" s="10">
        <f t="shared" si="19"/>
        <v>5.2132701421800949</v>
      </c>
    </row>
    <row r="157" spans="1:7" x14ac:dyDescent="0.2">
      <c r="A157" s="9" t="s">
        <v>274</v>
      </c>
      <c r="B157" s="53" t="s">
        <v>385</v>
      </c>
      <c r="C157" s="10">
        <v>8.5</v>
      </c>
      <c r="D157" s="11">
        <v>5.5E-2</v>
      </c>
      <c r="E157" s="10">
        <f t="shared" si="18"/>
        <v>0.44312796208530808</v>
      </c>
      <c r="F157" s="10">
        <f t="shared" si="19"/>
        <v>8.0568720379146921</v>
      </c>
    </row>
    <row r="158" spans="1:7" x14ac:dyDescent="0.2">
      <c r="A158" s="9" t="s">
        <v>275</v>
      </c>
      <c r="B158" s="53" t="s">
        <v>386</v>
      </c>
      <c r="C158" s="10">
        <v>8.5</v>
      </c>
      <c r="D158" s="11">
        <v>5.5E-2</v>
      </c>
      <c r="E158" s="10">
        <f t="shared" si="18"/>
        <v>0.44312796208530808</v>
      </c>
      <c r="F158" s="10">
        <f t="shared" si="19"/>
        <v>8.0568720379146921</v>
      </c>
    </row>
    <row r="159" spans="1:7" x14ac:dyDescent="0.2">
      <c r="A159" s="9" t="s">
        <v>276</v>
      </c>
      <c r="B159" s="41" t="s">
        <v>387</v>
      </c>
      <c r="C159" s="10">
        <v>10</v>
      </c>
      <c r="D159" s="11">
        <v>5.5E-2</v>
      </c>
      <c r="E159" s="10">
        <f t="shared" si="18"/>
        <v>0.52132701421800953</v>
      </c>
      <c r="F159" s="10">
        <f t="shared" si="19"/>
        <v>9.4786729857819907</v>
      </c>
    </row>
    <row r="160" spans="1:7" x14ac:dyDescent="0.2">
      <c r="A160" s="9" t="s">
        <v>277</v>
      </c>
      <c r="B160" s="41" t="s">
        <v>388</v>
      </c>
      <c r="C160" s="10">
        <v>10</v>
      </c>
      <c r="D160" s="11">
        <v>5.5E-2</v>
      </c>
      <c r="E160" s="10">
        <f t="shared" si="18"/>
        <v>0.52132701421800953</v>
      </c>
      <c r="F160" s="10">
        <f t="shared" si="19"/>
        <v>9.4786729857819907</v>
      </c>
    </row>
    <row r="161" spans="1:7" x14ac:dyDescent="0.2">
      <c r="A161" s="9" t="s">
        <v>278</v>
      </c>
      <c r="B161" s="41" t="s">
        <v>355</v>
      </c>
      <c r="C161" s="10">
        <v>12.5</v>
      </c>
      <c r="D161" s="11">
        <v>5.5E-2</v>
      </c>
      <c r="E161" s="10">
        <f>C161/(1+D161)*D161</f>
        <v>0.65165876777251186</v>
      </c>
      <c r="F161" s="10">
        <f>C161-E161</f>
        <v>11.848341232227488</v>
      </c>
    </row>
    <row r="162" spans="1:7" x14ac:dyDescent="0.2">
      <c r="A162" s="9" t="s">
        <v>306</v>
      </c>
      <c r="B162" s="41" t="s">
        <v>394</v>
      </c>
      <c r="C162" s="10">
        <v>12.5</v>
      </c>
      <c r="D162" s="11">
        <v>5.5E-2</v>
      </c>
      <c r="E162" s="10">
        <f t="shared" si="18"/>
        <v>0.65165876777251186</v>
      </c>
      <c r="F162" s="10">
        <f t="shared" si="19"/>
        <v>11.848341232227488</v>
      </c>
    </row>
    <row r="163" spans="1:7" x14ac:dyDescent="0.2">
      <c r="D163" s="11"/>
      <c r="E163" s="10"/>
      <c r="F163" s="10"/>
    </row>
    <row r="164" spans="1:7" x14ac:dyDescent="0.2">
      <c r="A164" s="5" t="s">
        <v>135</v>
      </c>
      <c r="B164" s="18" t="s">
        <v>48</v>
      </c>
      <c r="C164" s="7" t="s">
        <v>0</v>
      </c>
      <c r="D164" s="5" t="s">
        <v>2</v>
      </c>
      <c r="E164" s="5" t="s">
        <v>1</v>
      </c>
      <c r="F164" s="5"/>
      <c r="G164" s="5" t="s">
        <v>27</v>
      </c>
    </row>
    <row r="165" spans="1:7" x14ac:dyDescent="0.2">
      <c r="B165" s="19"/>
      <c r="D165" s="11"/>
      <c r="E165" s="10"/>
      <c r="F165" s="10"/>
    </row>
    <row r="166" spans="1:7" x14ac:dyDescent="0.2">
      <c r="B166" s="19"/>
      <c r="D166" s="11"/>
      <c r="E166" s="10"/>
      <c r="F166" s="10"/>
    </row>
    <row r="167" spans="1:7" x14ac:dyDescent="0.2">
      <c r="D167" s="11"/>
      <c r="E167" s="10"/>
      <c r="F167" s="10"/>
    </row>
    <row r="168" spans="1:7" x14ac:dyDescent="0.2">
      <c r="D168" s="11"/>
      <c r="E168" s="10"/>
      <c r="F168" s="10"/>
    </row>
    <row r="169" spans="1:7" x14ac:dyDescent="0.2">
      <c r="A169" s="20" t="s">
        <v>45</v>
      </c>
      <c r="B169" s="21"/>
      <c r="C169" s="20"/>
      <c r="D169" s="20"/>
      <c r="E169" s="20"/>
      <c r="F169" s="20"/>
      <c r="G169" s="5"/>
    </row>
    <row r="170" spans="1:7" x14ac:dyDescent="0.2">
      <c r="B170" s="4" t="s">
        <v>44</v>
      </c>
      <c r="C170" s="10" t="s">
        <v>46</v>
      </c>
    </row>
    <row r="171" spans="1:7" x14ac:dyDescent="0.2">
      <c r="B171" s="4" t="s">
        <v>48</v>
      </c>
      <c r="C171" s="10" t="s">
        <v>47</v>
      </c>
    </row>
    <row r="173" spans="1:7" x14ac:dyDescent="0.2">
      <c r="A173" s="20" t="s">
        <v>112</v>
      </c>
      <c r="B173" s="21"/>
      <c r="C173" s="20"/>
      <c r="D173" s="20"/>
      <c r="E173" s="20"/>
      <c r="F173" s="20"/>
      <c r="G173" s="5"/>
    </row>
    <row r="174" spans="1:7" x14ac:dyDescent="0.2">
      <c r="A174" s="9" t="s">
        <v>119</v>
      </c>
      <c r="B174" s="31">
        <v>0.2</v>
      </c>
      <c r="C174" s="10" t="s">
        <v>141</v>
      </c>
    </row>
    <row r="175" spans="1:7" x14ac:dyDescent="0.2">
      <c r="A175" s="9" t="s">
        <v>120</v>
      </c>
      <c r="B175" s="31">
        <v>0.1</v>
      </c>
      <c r="C175" s="32"/>
    </row>
    <row r="176" spans="1:7" x14ac:dyDescent="0.2">
      <c r="A176" s="9" t="s">
        <v>121</v>
      </c>
      <c r="B176" s="22">
        <v>5.5E-2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1"/>
  <sheetViews>
    <sheetView zoomScale="84" workbookViewId="0">
      <selection activeCell="M13" sqref="M13"/>
    </sheetView>
  </sheetViews>
  <sheetFormatPr baseColWidth="10" defaultRowHeight="12.75" x14ac:dyDescent="0.2"/>
  <cols>
    <col min="1" max="1" width="28.5703125" style="2" customWidth="1"/>
    <col min="2" max="2" width="14.28515625" style="2" customWidth="1"/>
    <col min="3" max="3" width="28.5703125" style="2" customWidth="1"/>
    <col min="4" max="4" width="14.28515625" style="2" customWidth="1"/>
    <col min="5" max="5" width="28.5703125" style="2" customWidth="1"/>
    <col min="6" max="6" width="14.28515625" style="2" customWidth="1"/>
    <col min="7" max="7" width="28.5703125" style="2" customWidth="1"/>
    <col min="8" max="16384" width="11.42578125" style="2"/>
  </cols>
  <sheetData>
    <row r="1" spans="1:7" ht="16.5" customHeight="1" x14ac:dyDescent="0.2">
      <c r="A1" s="1" t="s">
        <v>3</v>
      </c>
      <c r="C1" s="1" t="s">
        <v>4</v>
      </c>
      <c r="E1" s="1" t="s">
        <v>5</v>
      </c>
      <c r="G1" s="1" t="s">
        <v>6</v>
      </c>
    </row>
    <row r="2" spans="1:7" ht="16.5" customHeight="1" thickBot="1" x14ac:dyDescent="0.25">
      <c r="A2" s="3" t="str">
        <f>IF(COUNTIF(Prix!$G:$G,1)&gt;1,"ERR!",IF(COUNTIF(Prix!$G:$G,1)=1,LOOKUP(1,Prix!$G:$G,Prix!$B:$B),"-"))</f>
        <v>Menu du jour</v>
      </c>
      <c r="C2" s="3" t="str">
        <f>IF(COUNTIF(Prix!$G:$G,2)&gt;1,"ERR!",IF(COUNTIF(Prix!$G:$G,2)=1,LOOKUP(2,Prix!$G:$G,Prix!$B:$B),"-"))</f>
        <v>Menu viande du jour</v>
      </c>
      <c r="E2" s="3" t="str">
        <f>IF(COUNTIF(Prix!$G:$G,3)&gt;1,"ERR!",IF(COUNTIF(Prix!$G:$G,3)=1,LOOKUP(3,Prix!$G:$G,Prix!$B:$B),"-"))</f>
        <v>Menu week end 15.5</v>
      </c>
      <c r="G2" s="3" t="str">
        <f>IF(COUNTIF(Prix!$G:$G,4)&gt;1,"ERR!",IF(COUNTIF(Prix!$G:$G,4)=1,LOOKUP(4,Prix!$G:$G,Prix!$B:$B),"-"))</f>
        <v>Menu 19 €</v>
      </c>
    </row>
    <row r="3" spans="1:7" ht="16.5" customHeight="1" thickBot="1" x14ac:dyDescent="0.25"/>
    <row r="4" spans="1:7" ht="16.5" customHeight="1" x14ac:dyDescent="0.2">
      <c r="A4" s="1" t="s">
        <v>7</v>
      </c>
      <c r="C4" s="1" t="s">
        <v>8</v>
      </c>
      <c r="E4" s="1" t="s">
        <v>9</v>
      </c>
      <c r="G4" s="1" t="s">
        <v>10</v>
      </c>
    </row>
    <row r="5" spans="1:7" ht="16.5" customHeight="1" thickBot="1" x14ac:dyDescent="0.25">
      <c r="A5" s="3" t="str">
        <f>IF(COUNTIF(Prix!$G:$G,5)&gt;1,"ERR!",IF(COUNTIF(Prix!$G:$G,5)=1,LOOKUP(5,Prix!$G:$G,Prix!$B:$B),"-"))</f>
        <v>Formule Entrée et plat jour</v>
      </c>
      <c r="C5" s="3" t="str">
        <f>IF(COUNTIF(Prix!$G:$G,6)&gt;1,"ERR!",IF(COUNTIF(Prix!$G:$G,6)=1,LOOKUP(6,Prix!$G:$G,Prix!$B:$B),"-"))</f>
        <v>Entrée + viande du jour</v>
      </c>
      <c r="E5" s="3" t="str">
        <f>IF(COUNTIF(Prix!$G:$G,7)&gt;1,"ERR!",IF(COUNTIF(Prix!$G:$G,7)=1,LOOKUP(7,Prix!$G:$G,Prix!$B:$B),"-"))</f>
        <v>Menu week end 18.5</v>
      </c>
      <c r="G5" s="3" t="str">
        <f>IF(COUNTIF(Prix!$G:$G,8)&gt;1,"ERR!",IF(COUNTIF(Prix!$G:$G,8)=1,LOOKUP(8,Prix!$G:$G,Prix!$B:$B),"-"))</f>
        <v>Menu 25 € + grenouilles</v>
      </c>
    </row>
    <row r="6" spans="1:7" ht="16.5" customHeight="1" thickBot="1" x14ac:dyDescent="0.25"/>
    <row r="7" spans="1:7" ht="16.5" customHeight="1" x14ac:dyDescent="0.2">
      <c r="A7" s="1" t="s">
        <v>11</v>
      </c>
      <c r="C7" s="1" t="s">
        <v>12</v>
      </c>
      <c r="E7" s="1" t="s">
        <v>13</v>
      </c>
      <c r="G7" s="1" t="s">
        <v>14</v>
      </c>
    </row>
    <row r="8" spans="1:7" ht="16.5" customHeight="1" thickBot="1" x14ac:dyDescent="0.25">
      <c r="A8" s="3" t="str">
        <f>IF(COUNTIF(Prix!$G:$G,9)&gt;1,"ERR!",IF(COUNTIF(Prix!$G:$G,9)=1,LOOKUP(9,Prix!$G:$G,Prix!$B:$B),"-"))</f>
        <v>Formule Plat + dessert du jour</v>
      </c>
      <c r="C8" s="3" t="str">
        <f>IF(COUNTIF(Prix!$G:$G,10)&gt;1,"ERR!",IF(COUNTIF(Prix!$G:$G,10)=1,LOOKUP(10,Prix!$G:$G,Prix!$B:$B),"-"))</f>
        <v>Viande du jour + dessert</v>
      </c>
      <c r="E8" s="3" t="str">
        <f>IF(COUNTIF(Prix!$G:$G,11)&gt;1,"ERR!",IF(COUNTIF(Prix!$G:$G,11)=1,LOOKUP(11,Prix!$G:$G,Prix!$B:$B),"-"))</f>
        <v>Formule week end</v>
      </c>
      <c r="G8" s="3" t="str">
        <f>IF(COUNTIF(Prix!$G:$G,12)&gt;1,"ERR!",IF(COUNTIF(Prix!$G:$G,12)=1,LOOKUP(12,Prix!$G:$G,Prix!$B:$B),"-"))</f>
        <v>Menu enfants</v>
      </c>
    </row>
    <row r="9" spans="1:7" ht="16.5" customHeight="1" thickBot="1" x14ac:dyDescent="0.25"/>
    <row r="10" spans="1:7" ht="16.5" customHeight="1" x14ac:dyDescent="0.2">
      <c r="A10" s="1" t="s">
        <v>15</v>
      </c>
      <c r="C10" s="1" t="s">
        <v>16</v>
      </c>
      <c r="E10" s="1" t="s">
        <v>17</v>
      </c>
      <c r="G10" s="1" t="s">
        <v>18</v>
      </c>
    </row>
    <row r="11" spans="1:7" ht="16.5" customHeight="1" thickBot="1" x14ac:dyDescent="0.25">
      <c r="A11" s="3" t="str">
        <f>IF(COUNTIF(Prix!$G:$G,13)&gt;1,"ERR!",IF(COUNTIF(Prix!$G:$G,13)=1,LOOKUP(13,Prix!$G:$G,Prix!$B:$B),"-"))</f>
        <v>Plat du jour</v>
      </c>
      <c r="C11" s="3" t="str">
        <f>IF(COUNTIF(Prix!$G:$G,14)&gt;1,"ERR!",IF(COUNTIF(Prix!$G:$G,14)=1,LOOKUP(14,Prix!$G:$G,Prix!$B:$B),"-"))</f>
        <v>Direct Viande du jour</v>
      </c>
      <c r="E11" s="3" t="str">
        <f>IF(COUNTIF(Prix!$G:$G,15)&gt;1,"ERR!",IF(COUNTIF(Prix!$G:$G,15)=1,LOOKUP(15,Prix!$G:$G,Prix!$B:$B),"-"))</f>
        <v>Café - Déca</v>
      </c>
      <c r="G11" s="3" t="str">
        <f>IF(COUNTIF(Prix!$G:$G,16)&gt;1,"ERR!",IF(COUNTIF(Prix!$G:$G,16)=1,LOOKUP(16,Prix!$G:$G,Prix!$B:$B),"-"))</f>
        <v>Supp cafe gourmand</v>
      </c>
    </row>
    <row r="12" spans="1:7" ht="16.5" customHeight="1" thickBot="1" x14ac:dyDescent="0.25"/>
    <row r="13" spans="1:7" ht="16.5" customHeight="1" x14ac:dyDescent="0.2">
      <c r="A13" s="1" t="s">
        <v>19</v>
      </c>
      <c r="C13" s="1" t="s">
        <v>20</v>
      </c>
      <c r="E13" s="1" t="s">
        <v>21</v>
      </c>
      <c r="G13" s="1" t="s">
        <v>22</v>
      </c>
    </row>
    <row r="14" spans="1:7" ht="16.5" customHeight="1" thickBot="1" x14ac:dyDescent="0.25">
      <c r="A14" s="3" t="str">
        <f>IF(COUNTIF(Prix!$G:$G,17)&gt;1,"ERR!",IF(COUNTIF(Prix!$G:$G,17)=1,LOOKUP(17,Prix!$G:$G,Prix!$B:$B),"-"))</f>
        <v>pichet blanc 1/4</v>
      </c>
      <c r="C14" s="3" t="str">
        <f>IF(COUNTIF(Prix!$G:$G,18)&gt;1,"ERR!",IF(COUNTIF(Prix!$G:$G,18)=1,LOOKUP(18,Prix!$G:$G,Prix!$B:$B),"-"))</f>
        <v>pichet blanc 1/2</v>
      </c>
      <c r="E14" s="3" t="str">
        <f>IF(COUNTIF(Prix!$G:$G,19)&gt;1,"ERR!",IF(COUNTIF(Prix!$G:$G,19)=1,LOOKUP(19,Prix!$G:$G,Prix!$B:$B),"-"))</f>
        <v>Verre pichet Chardonnay</v>
      </c>
      <c r="G14" s="3" t="str">
        <f>IF(COUNTIF(Prix!$G:$G,20)&gt;1,"ERR!",IF(COUNTIF(Prix!$G:$G,20)=1,LOOKUP(20,Prix!$G:$G,Prix!$B:$B),"-"))</f>
        <v>Verre blanc Viognier Mujolan</v>
      </c>
    </row>
    <row r="15" spans="1:7" ht="16.5" customHeight="1" thickBot="1" x14ac:dyDescent="0.25"/>
    <row r="16" spans="1:7" ht="16.5" customHeight="1" x14ac:dyDescent="0.2">
      <c r="A16" s="1" t="s">
        <v>23</v>
      </c>
      <c r="C16" s="1" t="s">
        <v>24</v>
      </c>
      <c r="E16" s="1" t="s">
        <v>25</v>
      </c>
      <c r="G16" s="1" t="s">
        <v>26</v>
      </c>
    </row>
    <row r="17" spans="1:7" ht="16.5" customHeight="1" thickBot="1" x14ac:dyDescent="0.25">
      <c r="A17" s="3" t="str">
        <f>IF(COUNTIF(Prix!$G:$G,21)&gt;1,"ERR!",IF(COUNTIF(Prix!$G:$G,21)=1,LOOKUP(21,Prix!$G:$G,Prix!$B:$B),"-"))</f>
        <v>pichet rosé 1/4</v>
      </c>
      <c r="C17" s="3" t="str">
        <f>IF(COUNTIF(Prix!$G:$G,22)&gt;1,"ERR!",IF(COUNTIF(Prix!$G:$G,22)=1,LOOKUP(22,Prix!$G:$G,Prix!$B:$B),"-"))</f>
        <v>pichet rosé 1/2</v>
      </c>
      <c r="E17" s="3" t="str">
        <f>IF(COUNTIF(Prix!$G:$G,23)&gt;1,"ERR!",IF(COUNTIF(Prix!$G:$G,23)=1,LOOKUP(23,Prix!$G:$G,Prix!$B:$B),"-"))</f>
        <v>Verre pichet rosé</v>
      </c>
      <c r="G17" s="3" t="str">
        <f>IF(COUNTIF(Prix!$G:$G,24)&gt;1,"ERR!",IF(COUNTIF(Prix!$G:$G,24)=1,LOOKUP(24,Prix!$G:$G,Prix!$B:$B),"-"))</f>
        <v>Verre rosé Zèbre</v>
      </c>
    </row>
    <row r="18" spans="1:7" ht="16.5" customHeight="1" thickBot="1" x14ac:dyDescent="0.25"/>
    <row r="19" spans="1:7" ht="16.5" customHeight="1" x14ac:dyDescent="0.2">
      <c r="A19" s="1" t="s">
        <v>28</v>
      </c>
      <c r="C19" s="1" t="s">
        <v>29</v>
      </c>
      <c r="E19" s="1" t="s">
        <v>30</v>
      </c>
      <c r="G19" s="1" t="s">
        <v>31</v>
      </c>
    </row>
    <row r="20" spans="1:7" ht="16.5" customHeight="1" thickBot="1" x14ac:dyDescent="0.25">
      <c r="A20" s="3" t="str">
        <f>IF(COUNTIF(Prix!$G:$G,25)&gt;1,"ERR!",IF(COUNTIF(Prix!$G:$G,25)=1,LOOKUP(25,Prix!$G:$G,Prix!$B:$B),"-"))</f>
        <v>pichet rouge Sirah 1/4</v>
      </c>
      <c r="C20" s="3" t="str">
        <f>IF(COUNTIF(Prix!$G:$G,26)&gt;1,"ERR!",IF(COUNTIF(Prix!$G:$G,26)=1,LOOKUP(26,Prix!$G:$G,Prix!$B:$B),"-"))</f>
        <v>pichet rouge Sirah 1/2</v>
      </c>
      <c r="E20" s="3" t="str">
        <f>IF(COUNTIF(Prix!$G:$G,27)&gt;1,"ERR!",IF(COUNTIF(Prix!$G:$G,27)=1,LOOKUP(27,Prix!$G:$G,Prix!$B:$B),"-"))</f>
        <v>pichet Crozes Breyton 1/4</v>
      </c>
      <c r="G20" s="3" t="str">
        <f>IF(COUNTIF(Prix!$G:$G,28)&gt;1,"ERR!",IF(COUNTIF(Prix!$G:$G,28)=1,LOOKUP(28,Prix!$G:$G,Prix!$B:$B),"-"))</f>
        <v>pichet Crozes Breyton 1/2</v>
      </c>
    </row>
    <row r="21" spans="1:7" ht="16.5" customHeight="1" thickBot="1" x14ac:dyDescent="0.25"/>
    <row r="22" spans="1:7" ht="16.5" customHeight="1" x14ac:dyDescent="0.2">
      <c r="A22" s="1" t="s">
        <v>32</v>
      </c>
      <c r="C22" s="1" t="s">
        <v>33</v>
      </c>
      <c r="E22" s="1" t="s">
        <v>34</v>
      </c>
      <c r="G22" s="1" t="s">
        <v>35</v>
      </c>
    </row>
    <row r="23" spans="1:7" ht="16.5" customHeight="1" thickBot="1" x14ac:dyDescent="0.25">
      <c r="A23" s="3" t="str">
        <f>IF(COUNTIF(Prix!$G:$G,29)&gt;1,"ERR!",IF(COUNTIF(Prix!$G:$G,29)=1,LOOKUP(29,Prix!$G:$G,Prix!$B:$B),"-"))</f>
        <v>Verre pichet Sirah</v>
      </c>
      <c r="C23" s="3" t="str">
        <f>IF(COUNTIF(Prix!$G:$G,30)&gt;1,"ERR!",IF(COUNTIF(Prix!$G:$G,30)=1,LOOKUP(30,Prix!$G:$G,Prix!$B:$B),"-"))</f>
        <v>-</v>
      </c>
      <c r="E23" s="3" t="str">
        <f>IF(COUNTIF(Prix!$G:$G,31)&gt;1,"ERR!",IF(COUNTIF(Prix!$G:$G,31)=1,LOOKUP(31,Prix!$G:$G,Prix!$B:$B),"-"))</f>
        <v>Verre pichet Crozes Breyton</v>
      </c>
      <c r="G23" s="3" t="str">
        <f>IF(COUNTIF(Prix!$G:$G,32)&gt;1,"ERR!",IF(COUNTIF(Prix!$G:$G,32)=1,LOOKUP(32,Prix!$G:$G,Prix!$B:$B),"-"))</f>
        <v>-</v>
      </c>
    </row>
    <row r="24" spans="1:7" ht="13.5" thickBot="1" x14ac:dyDescent="0.25"/>
    <row r="25" spans="1:7" x14ac:dyDescent="0.2">
      <c r="A25" s="1" t="s">
        <v>36</v>
      </c>
      <c r="C25" s="1" t="s">
        <v>37</v>
      </c>
      <c r="E25" s="1" t="s">
        <v>38</v>
      </c>
      <c r="G25" s="1" t="s">
        <v>39</v>
      </c>
    </row>
    <row r="26" spans="1:7" ht="13.5" thickBot="1" x14ac:dyDescent="0.25">
      <c r="A26" s="3" t="str">
        <f>IF(COUNTIF(Prix!$G:$G,33)&gt;1,"ERR!",IF(COUNTIF(Prix!$G:$G,33)=1,LOOKUP(33,Prix!$G:$G,Prix!$B:$B),"-"))</f>
        <v>Bout rouge Belleruche Chapout.</v>
      </c>
      <c r="C26" s="3" t="str">
        <f>IF(COUNTIF(Prix!$G:$G,34)&gt;1,"ERR!",IF(COUNTIF(Prix!$G:$G,34)=1,LOOKUP(34,Prix!$G:$G,Prix!$B:$B),"-"))</f>
        <v>Bout rouge Crozes Fayolle</v>
      </c>
      <c r="E26" s="3" t="str">
        <f>IF(COUNTIF(Prix!$G:$G,35)&gt;1,"ERR!",IF(COUNTIF(Prix!$G:$G,35)=1,LOOKUP(35,Prix!$G:$G,Prix!$B:$B),"-"))</f>
        <v>Bout rouge Rasteau</v>
      </c>
      <c r="G26" s="3" t="str">
        <f>IF(COUNTIF(Prix!$G:$G,36)&gt;1,"ERR!",IF(COUNTIF(Prix!$G:$G,36)=1,LOOKUP(36,Prix!$G:$G,Prix!$B:$B),"-"))</f>
        <v>Badoit bout</v>
      </c>
    </row>
    <row r="27" spans="1:7" ht="13.5" thickBot="1" x14ac:dyDescent="0.25"/>
    <row r="28" spans="1:7" x14ac:dyDescent="0.2">
      <c r="A28" s="1" t="s">
        <v>40</v>
      </c>
      <c r="C28" s="1" t="s">
        <v>41</v>
      </c>
      <c r="E28" s="1" t="s">
        <v>42</v>
      </c>
      <c r="G28" s="1" t="s">
        <v>43</v>
      </c>
    </row>
    <row r="29" spans="1:7" ht="13.5" thickBot="1" x14ac:dyDescent="0.25">
      <c r="A29" s="3" t="str">
        <f>IF(COUNTIF(Prix!$G:$G,37)&gt;1,"ERR!",IF(COUNTIF(Prix!$G:$G,37)=1,LOOKUP(37,Prix!$G:$G,Prix!$B:$B),"-"))</f>
        <v>Momie pastis ricard 1cl</v>
      </c>
      <c r="C29" s="3" t="str">
        <f>IF(COUNTIF(Prix!$G:$G,38)&gt;1,"ERR!",IF(COUNTIF(Prix!$G:$G,38)=1,LOOKUP(38,Prix!$G:$G,Prix!$B:$B),"-"))</f>
        <v>Pastis - Ricard 2cl</v>
      </c>
      <c r="E29" s="3" t="str">
        <f>IF(COUNTIF(Prix!$G:$G,39)&gt;1,"ERR!",IF(COUNTIF(Prix!$G:$G,39)=1,LOOKUP(39,Prix!$G:$G,Prix!$B:$B),"-"))</f>
        <v>Whisky 1cl</v>
      </c>
      <c r="G29" s="3" t="str">
        <f>IF(COUNTIF(Prix!$G:$G,40)&gt;1,"ERR!",IF(COUNTIF(Prix!$G:$G,40)=1,LOOKUP(40,Prix!$G:$G,Prix!$B:$B),"-"))</f>
        <v>Whisky 2cl</v>
      </c>
    </row>
    <row r="30" spans="1:7" ht="16.5" customHeight="1" thickBot="1" x14ac:dyDescent="0.25"/>
    <row r="31" spans="1:7" ht="16.5" customHeight="1" x14ac:dyDescent="0.2">
      <c r="A31" s="1" t="s">
        <v>232</v>
      </c>
      <c r="C31" s="1" t="s">
        <v>233</v>
      </c>
      <c r="E31" s="1" t="s">
        <v>234</v>
      </c>
      <c r="G31" s="1" t="s">
        <v>235</v>
      </c>
    </row>
    <row r="32" spans="1:7" ht="16.5" customHeight="1" thickBot="1" x14ac:dyDescent="0.25">
      <c r="A32" s="3" t="str">
        <f>IF(COUNTIF(Prix!$G:$G,41)&gt;1,"ERR!",IF(COUNTIF(Prix!$G:$G,41)=1,LOOKUP(41,Prix!$G:$G,Prix!$B:$B),"-"))</f>
        <v>Kir</v>
      </c>
      <c r="C32" s="3" t="str">
        <f>IF(COUNTIF(Prix!$G:$G,42)&gt;1,"ERR!",IF(COUNTIF(Prix!$G:$G,42)=1,LOOKUP(42,Prix!$G:$G,Prix!$B:$B),"-"))</f>
        <v>Martini - Porto 4cl</v>
      </c>
      <c r="E32" s="3" t="str">
        <f>IF(COUNTIF(Prix!$G:$G,43)&gt;1,"ERR!",IF(COUNTIF(Prix!$G:$G,43)=1,LOOKUP(43,Prix!$G:$G,Prix!$B:$B),"-"))</f>
        <v>-</v>
      </c>
      <c r="G32" s="3" t="str">
        <f>IF(COUNTIF(Prix!$G:$G,44)&gt;1,"ERR!",IF(COUNTIF(Prix!$G:$G,44)=1,LOOKUP(44,Prix!$G:$G,Prix!$B:$B),"-"))</f>
        <v>-</v>
      </c>
    </row>
    <row r="33" spans="1:7" ht="16.5" customHeight="1" thickBot="1" x14ac:dyDescent="0.25"/>
    <row r="34" spans="1:7" ht="16.5" customHeight="1" x14ac:dyDescent="0.2">
      <c r="A34" s="1" t="s">
        <v>236</v>
      </c>
      <c r="C34" s="1" t="s">
        <v>237</v>
      </c>
      <c r="E34" s="1" t="s">
        <v>238</v>
      </c>
      <c r="G34" s="1" t="s">
        <v>239</v>
      </c>
    </row>
    <row r="35" spans="1:7" ht="16.5" customHeight="1" thickBot="1" x14ac:dyDescent="0.25">
      <c r="A35" s="3" t="str">
        <f>IF(COUNTIF(Prix!$G:$G,45)&gt;1,"ERR!",IF(COUNTIF(Prix!$G:$G,45)=1,LOOKUP(45,Prix!$G:$G,Prix!$B:$B),"-"))</f>
        <v>Galopin Fleuron</v>
      </c>
      <c r="C35" s="3" t="str">
        <f>IF(COUNTIF(Prix!$G:$G,46)&gt;1,"ERR!",IF(COUNTIF(Prix!$G:$G,46)=1,LOOKUP(46,Prix!$G:$G,Prix!$B:$B),"-"))</f>
        <v>Demi Fleuron</v>
      </c>
      <c r="E35" s="3" t="str">
        <f>IF(COUNTIF(Prix!$G:$G,47)&gt;1,"ERR!",IF(COUNTIF(Prix!$G:$G,47)=1,LOOKUP(47,Prix!$G:$G,Prix!$B:$B),"-"))</f>
        <v>Galopin Grim</v>
      </c>
      <c r="G35" s="3" t="str">
        <f>IF(COUNTIF(Prix!$G:$G,48)&gt;1,"ERR!",IF(COUNTIF(Prix!$G:$G,48)=1,LOOKUP(48,Prix!$G:$G,Prix!$B:$B),"-"))</f>
        <v>Demi Grim</v>
      </c>
    </row>
    <row r="36" spans="1:7" ht="13.5" thickBot="1" x14ac:dyDescent="0.25"/>
    <row r="37" spans="1:7" x14ac:dyDescent="0.2">
      <c r="A37" s="1" t="s">
        <v>240</v>
      </c>
      <c r="C37" s="1" t="s">
        <v>241</v>
      </c>
      <c r="E37" s="1" t="s">
        <v>242</v>
      </c>
      <c r="G37" s="1" t="s">
        <v>243</v>
      </c>
    </row>
    <row r="38" spans="1:7" ht="13.5" thickBot="1" x14ac:dyDescent="0.25">
      <c r="A38" s="3" t="str">
        <f>IF(COUNTIF(Prix!$G:$G,49)&gt;1,"ERR!",IF(COUNTIF(Prix!$G:$G,49)=1,LOOKUP(49,Prix!$G:$G,Prix!$B:$B),"-"))</f>
        <v>Coca - Orangina - Jus de fruits</v>
      </c>
      <c r="C38" s="3" t="str">
        <f>IF(COUNTIF(Prix!$G:$G,50)&gt;1,"ERR!",IF(COUNTIF(Prix!$G:$G,50)=1,LOOKUP(50,Prix!$G:$G,Prix!$B:$B),"-"))</f>
        <v>Ice-tea</v>
      </c>
      <c r="E38" s="3" t="str">
        <f>IF(COUNTIF(Prix!$G:$G,51)&gt;1,"ERR!",IF(COUNTIF(Prix!$G:$G,51)=1,LOOKUP(51,Prix!$G:$G,Prix!$B:$B),"-"))</f>
        <v>Sirop - Diabolo</v>
      </c>
      <c r="G38" s="3" t="str">
        <f>IF(COUNTIF(Prix!$G:$G,52)&gt;1,"ERR!",IF(COUNTIF(Prix!$G:$G,52)=1,LOOKUP(52,Prix!$G:$G,Prix!$B:$B),"-"))</f>
        <v>Perrier</v>
      </c>
    </row>
    <row r="39" spans="1:7" ht="13.5" thickBot="1" x14ac:dyDescent="0.25"/>
    <row r="40" spans="1:7" x14ac:dyDescent="0.2">
      <c r="A40" s="1" t="s">
        <v>244</v>
      </c>
      <c r="C40" s="1" t="s">
        <v>245</v>
      </c>
      <c r="E40" s="1" t="s">
        <v>246</v>
      </c>
      <c r="G40" s="1" t="s">
        <v>247</v>
      </c>
    </row>
    <row r="41" spans="1:7" ht="13.5" thickBot="1" x14ac:dyDescent="0.25">
      <c r="A41" s="3" t="str">
        <f>IF(COUNTIF(Prix!$G:$G,53)&gt;1,"ERR!",IF(COUNTIF(Prix!$G:$G,53)=1,LOOKUP(53,Prix!$G:$G,Prix!$B:$B),"-"))</f>
        <v>Get 27 - 31</v>
      </c>
      <c r="C41" s="3" t="str">
        <f>IF(COUNTIF(Prix!$G:$G,54)&gt;1,"ERR!",IF(COUNTIF(Prix!$G:$G,54)=1,LOOKUP(54,Prix!$G:$G,Prix!$B:$B),"-"))</f>
        <v>Poire</v>
      </c>
      <c r="E41" s="3" t="str">
        <f>IF(COUNTIF(Prix!$G:$G,55)&gt;1,"ERR!",IF(COUNTIF(Prix!$G:$G,55)=1,LOOKUP(55,Prix!$G:$G,Prix!$B:$B),"-"))</f>
        <v>Chartreuse</v>
      </c>
      <c r="G41" s="3" t="str">
        <f>IF(COUNTIF(Prix!$G:$G,56)&gt;1,"ERR!",IF(COUNTIF(Prix!$G:$G,56)=1,LOOKUP(56,Prix!$G:$G,Prix!$B:$B),"-"))</f>
        <v>Cognac - Armagnac - Calvados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1"/>
  <sheetViews>
    <sheetView showZeros="0" zoomScale="115" workbookViewId="0">
      <pane ySplit="1" topLeftCell="A2" activePane="bottomLeft" state="frozen"/>
      <selection pane="bottomLeft" activeCell="M12" sqref="M12"/>
    </sheetView>
  </sheetViews>
  <sheetFormatPr baseColWidth="10" defaultRowHeight="12.75" x14ac:dyDescent="0.2"/>
  <cols>
    <col min="1" max="1" width="13" style="79" customWidth="1"/>
    <col min="2" max="2" width="17.42578125" style="80" bestFit="1" customWidth="1"/>
    <col min="3" max="3" width="10.7109375" style="81" customWidth="1"/>
    <col min="4" max="4" width="10.7109375" style="82" customWidth="1"/>
    <col min="5" max="5" width="11.140625" style="83" customWidth="1"/>
    <col min="6" max="7" width="10.7109375" style="82" customWidth="1"/>
    <col min="8" max="8" width="10.7109375" style="36" customWidth="1"/>
    <col min="9" max="9" width="10.7109375" style="84" bestFit="1" customWidth="1"/>
    <col min="10" max="10" width="8.7109375" style="85" customWidth="1"/>
    <col min="11" max="11" width="16.28515625" style="86" bestFit="1" customWidth="1"/>
    <col min="12" max="12" width="17.85546875" style="87" customWidth="1"/>
    <col min="13" max="16384" width="11.42578125" style="36"/>
  </cols>
  <sheetData>
    <row r="1" spans="1:13" ht="15.75" customHeight="1" x14ac:dyDescent="0.25">
      <c r="A1" s="73" t="s">
        <v>136</v>
      </c>
      <c r="B1" s="74" t="s">
        <v>137</v>
      </c>
      <c r="C1" s="38" t="s">
        <v>138</v>
      </c>
      <c r="D1" s="75" t="s">
        <v>172</v>
      </c>
      <c r="E1" s="75" t="s">
        <v>173</v>
      </c>
      <c r="F1" s="75" t="s">
        <v>174</v>
      </c>
      <c r="G1" s="75" t="s">
        <v>175</v>
      </c>
      <c r="H1" s="76" t="s">
        <v>176</v>
      </c>
      <c r="I1" s="37" t="s">
        <v>177</v>
      </c>
      <c r="J1" s="33" t="s">
        <v>178</v>
      </c>
      <c r="K1" s="74" t="s">
        <v>179</v>
      </c>
      <c r="L1" s="77"/>
      <c r="M1" s="78"/>
    </row>
  </sheetData>
  <phoneticPr fontId="0" type="noConversion"/>
  <printOptions horizontalCentered="1" verticalCentered="1"/>
  <pageMargins left="0.11811023622047245" right="0" top="0.39370078740157483" bottom="0.39370078740157483" header="0.19685039370078741" footer="0"/>
  <pageSetup paperSize="9" orientation="landscape" r:id="rId1"/>
  <headerFooter alignWithMargins="0">
    <oddHeader>&amp;C&amp;"Arial,Gras"&amp;14&amp;A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"/>
  <sheetViews>
    <sheetView showZeros="0" zoomScale="115" zoomScaleNormal="115" workbookViewId="0">
      <selection activeCell="A5" sqref="A5"/>
    </sheetView>
  </sheetViews>
  <sheetFormatPr baseColWidth="10" defaultRowHeight="12.75" x14ac:dyDescent="0.2"/>
  <cols>
    <col min="1" max="1" width="12.42578125" style="91" customWidth="1"/>
    <col min="2" max="8" width="16.42578125" style="39" customWidth="1"/>
    <col min="9" max="9" width="18.28515625" style="88" bestFit="1" customWidth="1"/>
    <col min="10" max="10" width="10.42578125" style="89" bestFit="1" customWidth="1"/>
    <col min="11" max="11" width="17.28515625" style="88" bestFit="1" customWidth="1"/>
    <col min="12" max="16384" width="11.42578125" style="88"/>
  </cols>
  <sheetData>
    <row r="1" spans="1:8" x14ac:dyDescent="0.2">
      <c r="A1" s="103" t="s">
        <v>136</v>
      </c>
      <c r="B1" s="107" t="s">
        <v>138</v>
      </c>
      <c r="C1" s="105">
        <v>0.2</v>
      </c>
      <c r="D1" s="106"/>
      <c r="E1" s="105">
        <v>0.1</v>
      </c>
      <c r="F1" s="106"/>
      <c r="G1" s="105">
        <v>5.5E-2</v>
      </c>
      <c r="H1" s="106"/>
    </row>
    <row r="2" spans="1:8" x14ac:dyDescent="0.2">
      <c r="A2" s="104"/>
      <c r="B2" s="108"/>
      <c r="C2" s="90" t="s">
        <v>140</v>
      </c>
      <c r="D2" s="90" t="s">
        <v>139</v>
      </c>
      <c r="E2" s="90" t="s">
        <v>140</v>
      </c>
      <c r="F2" s="90" t="s">
        <v>139</v>
      </c>
      <c r="G2" s="90" t="s">
        <v>140</v>
      </c>
      <c r="H2" s="90" t="s">
        <v>139</v>
      </c>
    </row>
  </sheetData>
  <mergeCells count="5">
    <mergeCell ref="A1:A2"/>
    <mergeCell ref="C1:D1"/>
    <mergeCell ref="E1:F1"/>
    <mergeCell ref="G1:H1"/>
    <mergeCell ref="B1:B2"/>
  </mergeCells>
  <phoneticPr fontId="0" type="noConversion"/>
  <printOptions horizontalCentered="1" verticalCentered="1"/>
  <pageMargins left="0.39370078740157483" right="0.39370078740157483" top="0.39370078740157483" bottom="0.39370078740157483" header="0.19685039370078741" footer="0"/>
  <pageSetup paperSize="9" orientation="landscape" r:id="rId1"/>
  <headerFooter alignWithMargins="0">
    <oddHeader>&amp;C&amp;"Arial,Gras"&amp;14&amp;A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H43"/>
  <sheetViews>
    <sheetView workbookViewId="0">
      <selection sqref="A1:F43"/>
    </sheetView>
  </sheetViews>
  <sheetFormatPr baseColWidth="10" defaultRowHeight="13.5" x14ac:dyDescent="0.25"/>
  <cols>
    <col min="1" max="1" width="4" style="54" customWidth="1"/>
    <col min="2" max="2" width="9.140625" style="66" customWidth="1"/>
    <col min="3" max="3" width="22.5703125" style="54" customWidth="1"/>
    <col min="4" max="4" width="11" style="55" customWidth="1"/>
    <col min="5" max="5" width="14.28515625" style="54" customWidth="1"/>
    <col min="6" max="6" width="6.28515625" style="54" customWidth="1"/>
    <col min="7" max="16384" width="11.42578125" style="54"/>
  </cols>
  <sheetData>
    <row r="1" spans="2:8" ht="36.75" customHeight="1" x14ac:dyDescent="0.25">
      <c r="C1" s="92" t="s">
        <v>356</v>
      </c>
      <c r="D1" s="109" t="s">
        <v>366</v>
      </c>
      <c r="E1" s="109"/>
      <c r="F1" s="109"/>
    </row>
    <row r="2" spans="2:8" ht="9" customHeight="1" x14ac:dyDescent="0.25"/>
    <row r="3" spans="2:8" x14ac:dyDescent="0.25">
      <c r="B3" s="93" t="s">
        <v>335</v>
      </c>
      <c r="C3" s="56">
        <v>42248</v>
      </c>
      <c r="D3" s="54"/>
    </row>
    <row r="4" spans="2:8" x14ac:dyDescent="0.25">
      <c r="B4" s="94"/>
      <c r="C4" s="95"/>
      <c r="D4" s="96"/>
      <c r="E4" s="57"/>
    </row>
    <row r="5" spans="2:8" x14ac:dyDescent="0.25">
      <c r="B5" s="97" t="s">
        <v>395</v>
      </c>
      <c r="C5" s="98"/>
      <c r="D5" s="99">
        <v>1</v>
      </c>
      <c r="E5" s="58" t="s">
        <v>396</v>
      </c>
    </row>
    <row r="6" spans="2:8" x14ac:dyDescent="0.25">
      <c r="B6" s="97"/>
      <c r="C6" s="98"/>
      <c r="D6" s="99"/>
      <c r="E6" s="58"/>
    </row>
    <row r="7" spans="2:8" x14ac:dyDescent="0.25">
      <c r="B7" s="97"/>
      <c r="C7" s="98"/>
      <c r="D7" s="99"/>
      <c r="E7" s="58"/>
    </row>
    <row r="8" spans="2:8" x14ac:dyDescent="0.25">
      <c r="B8" s="97"/>
      <c r="C8" s="98"/>
      <c r="D8" s="99"/>
      <c r="E8" s="58"/>
    </row>
    <row r="9" spans="2:8" x14ac:dyDescent="0.25">
      <c r="B9" s="97"/>
      <c r="C9" s="98"/>
      <c r="D9" s="99"/>
      <c r="E9" s="58"/>
    </row>
    <row r="10" spans="2:8" x14ac:dyDescent="0.25">
      <c r="B10" s="97"/>
      <c r="C10" s="98"/>
      <c r="D10" s="99"/>
      <c r="E10" s="58"/>
      <c r="H10" s="100"/>
    </row>
    <row r="11" spans="2:8" x14ac:dyDescent="0.25">
      <c r="B11" s="97"/>
      <c r="C11" s="98"/>
      <c r="D11" s="99"/>
      <c r="E11" s="58"/>
    </row>
    <row r="12" spans="2:8" x14ac:dyDescent="0.25">
      <c r="B12" s="97"/>
      <c r="C12" s="98"/>
      <c r="D12" s="99"/>
      <c r="E12" s="58"/>
    </row>
    <row r="13" spans="2:8" x14ac:dyDescent="0.25">
      <c r="B13" s="97"/>
      <c r="C13" s="98"/>
      <c r="D13" s="99"/>
      <c r="E13" s="58"/>
    </row>
    <row r="14" spans="2:8" x14ac:dyDescent="0.25">
      <c r="B14" s="97"/>
      <c r="C14" s="98"/>
      <c r="D14" s="99"/>
      <c r="E14" s="58"/>
    </row>
    <row r="15" spans="2:8" x14ac:dyDescent="0.25">
      <c r="B15" s="97"/>
      <c r="C15" s="98"/>
      <c r="D15" s="99"/>
      <c r="E15" s="58"/>
    </row>
    <row r="16" spans="2:8" x14ac:dyDescent="0.25">
      <c r="B16" s="97"/>
      <c r="C16" s="98"/>
      <c r="D16" s="99"/>
      <c r="E16" s="58"/>
    </row>
    <row r="17" spans="2:5" x14ac:dyDescent="0.25">
      <c r="B17" s="97"/>
      <c r="C17" s="98"/>
      <c r="D17" s="99"/>
      <c r="E17" s="58"/>
    </row>
    <row r="18" spans="2:5" x14ac:dyDescent="0.25">
      <c r="B18" s="97"/>
      <c r="C18" s="98"/>
      <c r="D18" s="99"/>
      <c r="E18" s="58"/>
    </row>
    <row r="19" spans="2:5" x14ac:dyDescent="0.25">
      <c r="B19" s="97"/>
      <c r="C19" s="98"/>
      <c r="D19" s="99"/>
      <c r="E19" s="58"/>
    </row>
    <row r="20" spans="2:5" x14ac:dyDescent="0.25">
      <c r="B20" s="97"/>
      <c r="C20" s="98"/>
      <c r="D20" s="99"/>
      <c r="E20" s="58"/>
    </row>
    <row r="21" spans="2:5" x14ac:dyDescent="0.25">
      <c r="B21" s="97"/>
      <c r="C21" s="98"/>
      <c r="D21" s="99"/>
      <c r="E21" s="58"/>
    </row>
    <row r="22" spans="2:5" x14ac:dyDescent="0.25">
      <c r="B22" s="97"/>
      <c r="C22" s="98"/>
      <c r="D22" s="99"/>
      <c r="E22" s="58"/>
    </row>
    <row r="23" spans="2:5" x14ac:dyDescent="0.25">
      <c r="B23" s="97"/>
      <c r="C23" s="98"/>
      <c r="D23" s="99"/>
      <c r="E23" s="58"/>
    </row>
    <row r="24" spans="2:5" x14ac:dyDescent="0.25">
      <c r="B24" s="97"/>
      <c r="C24" s="98"/>
      <c r="D24" s="99"/>
      <c r="E24" s="58"/>
    </row>
    <row r="25" spans="2:5" x14ac:dyDescent="0.25">
      <c r="B25" s="97"/>
      <c r="C25" s="98"/>
      <c r="D25" s="99"/>
      <c r="E25" s="58"/>
    </row>
    <row r="26" spans="2:5" x14ac:dyDescent="0.25">
      <c r="B26" s="97"/>
      <c r="C26" s="98"/>
      <c r="D26" s="99"/>
      <c r="E26" s="58"/>
    </row>
    <row r="27" spans="2:5" x14ac:dyDescent="0.25">
      <c r="B27" s="97"/>
      <c r="C27" s="98"/>
      <c r="D27" s="99"/>
      <c r="E27" s="58"/>
    </row>
    <row r="28" spans="2:5" x14ac:dyDescent="0.25">
      <c r="B28" s="97"/>
      <c r="C28" s="98"/>
      <c r="D28" s="99"/>
      <c r="E28" s="58"/>
    </row>
    <row r="29" spans="2:5" x14ac:dyDescent="0.25">
      <c r="B29" s="97"/>
      <c r="C29" s="98"/>
      <c r="D29" s="99"/>
      <c r="E29" s="58"/>
    </row>
    <row r="30" spans="2:5" x14ac:dyDescent="0.25">
      <c r="B30" s="97"/>
      <c r="C30" s="98"/>
      <c r="D30" s="99"/>
      <c r="E30" s="58"/>
    </row>
    <row r="31" spans="2:5" x14ac:dyDescent="0.25">
      <c r="B31" s="97"/>
      <c r="C31" s="98"/>
      <c r="D31" s="99"/>
      <c r="E31" s="58"/>
    </row>
    <row r="32" spans="2:5" x14ac:dyDescent="0.25">
      <c r="B32" s="97"/>
      <c r="C32" s="98"/>
      <c r="D32" s="99"/>
      <c r="E32" s="58"/>
    </row>
    <row r="33" spans="2:5" x14ac:dyDescent="0.25">
      <c r="B33" s="97"/>
      <c r="C33" s="98"/>
      <c r="D33" s="99"/>
      <c r="E33" s="58"/>
    </row>
    <row r="34" spans="2:5" x14ac:dyDescent="0.25">
      <c r="B34" s="97"/>
      <c r="C34" s="98"/>
      <c r="D34" s="99"/>
      <c r="E34" s="58"/>
    </row>
    <row r="35" spans="2:5" x14ac:dyDescent="0.25">
      <c r="B35" s="97"/>
      <c r="C35" s="98"/>
      <c r="D35" s="99"/>
      <c r="E35" s="58"/>
    </row>
    <row r="36" spans="2:5" ht="6.75" customHeight="1" x14ac:dyDescent="0.25">
      <c r="B36" s="97"/>
      <c r="C36" s="98"/>
      <c r="D36" s="99"/>
      <c r="E36" s="58"/>
    </row>
    <row r="37" spans="2:5" ht="6.75" customHeight="1" x14ac:dyDescent="0.25">
      <c r="B37" s="97"/>
      <c r="C37" s="98"/>
      <c r="D37" s="99"/>
      <c r="E37" s="58"/>
    </row>
    <row r="38" spans="2:5" ht="18" x14ac:dyDescent="0.35">
      <c r="B38" s="101"/>
      <c r="C38" s="70" t="s">
        <v>336</v>
      </c>
      <c r="D38" s="71"/>
      <c r="E38" s="72" t="s">
        <v>397</v>
      </c>
    </row>
    <row r="39" spans="2:5" x14ac:dyDescent="0.25">
      <c r="B39" s="68"/>
      <c r="C39" s="60" t="s">
        <v>337</v>
      </c>
      <c r="D39" s="64" t="s">
        <v>357</v>
      </c>
      <c r="E39" s="61" t="s">
        <v>398</v>
      </c>
    </row>
    <row r="40" spans="2:5" x14ac:dyDescent="0.25">
      <c r="B40" s="68"/>
      <c r="C40" s="60" t="s">
        <v>337</v>
      </c>
      <c r="D40" s="64" t="s">
        <v>358</v>
      </c>
      <c r="E40" s="61" t="s">
        <v>399</v>
      </c>
    </row>
    <row r="41" spans="2:5" x14ac:dyDescent="0.25">
      <c r="B41" s="69"/>
      <c r="C41" s="62" t="s">
        <v>337</v>
      </c>
      <c r="D41" s="65" t="s">
        <v>359</v>
      </c>
      <c r="E41" s="63" t="s">
        <v>372</v>
      </c>
    </row>
    <row r="42" spans="2:5" ht="7.5" customHeight="1" x14ac:dyDescent="0.25"/>
    <row r="43" spans="2:5" s="55" customFormat="1" ht="12" x14ac:dyDescent="0.25">
      <c r="B43" s="67" t="s">
        <v>338</v>
      </c>
    </row>
  </sheetData>
  <mergeCells count="1">
    <mergeCell ref="D1:F1"/>
  </mergeCells>
  <phoneticPr fontId="8" type="noConversion"/>
  <pageMargins left="0" right="0" top="0" bottom="0" header="0" footer="0"/>
  <pageSetup paperSize="11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3218"/>
  <sheetViews>
    <sheetView topLeftCell="A196" zoomScaleNormal="100" workbookViewId="0">
      <selection activeCell="A218" sqref="A218"/>
    </sheetView>
  </sheetViews>
  <sheetFormatPr baseColWidth="10" defaultRowHeight="12.75" x14ac:dyDescent="0.2"/>
  <cols>
    <col min="1" max="1" width="20.140625" bestFit="1" customWidth="1"/>
    <col min="3" max="3" width="16" customWidth="1"/>
  </cols>
  <sheetData>
    <row r="1" spans="2:10" ht="24" customHeight="1" thickBot="1" x14ac:dyDescent="0.25">
      <c r="J1" s="34" t="s">
        <v>215</v>
      </c>
    </row>
    <row r="6" spans="2:10" x14ac:dyDescent="0.2">
      <c r="B6" s="110"/>
    </row>
    <row r="210" spans="1:1" x14ac:dyDescent="0.2">
      <c r="A210">
        <f>ROUND(SUMIF(B1:B200,0.2,A1:A200)-A216,2)</f>
        <v>0</v>
      </c>
    </row>
    <row r="211" spans="1:1" x14ac:dyDescent="0.2">
      <c r="A211">
        <f>ROUND(SUMIF(B1:B200,0.1,A1:A200)-A217,2)</f>
        <v>0</v>
      </c>
    </row>
    <row r="212" spans="1:1" x14ac:dyDescent="0.2">
      <c r="A212">
        <f>ROUND(SUMIF(B1:B200,0.05,A1:A200)-A218,2)</f>
        <v>0</v>
      </c>
    </row>
    <row r="216" spans="1:1" x14ac:dyDescent="0.2">
      <c r="A216">
        <f>ROUND(SUMIF(B1:B200,0.2,A1:A200)/(1+0.2),2)</f>
        <v>0</v>
      </c>
    </row>
    <row r="217" spans="1:1" x14ac:dyDescent="0.2">
      <c r="A217">
        <f>ROUND(SUMIF(B1:B200,0.1,A1:A200)/(1+0.1),2)</f>
        <v>0</v>
      </c>
    </row>
    <row r="218" spans="1:1" x14ac:dyDescent="0.2">
      <c r="A218">
        <f>ROUND(SUMIF(B1:B200,0.05,A1:A200)/(1+0.05),2)</f>
        <v>0</v>
      </c>
    </row>
    <row r="1210" spans="1:1" x14ac:dyDescent="0.2">
      <c r="A1210">
        <f>ROUND(SUMIF(B1001:B1200,0.2,A1001:A1200)-A1216,2)</f>
        <v>0</v>
      </c>
    </row>
    <row r="1211" spans="1:1" x14ac:dyDescent="0.2">
      <c r="A1211">
        <f>ROUND(SUMIF(B1001:B1200,0.1,A1001:A1200)-A1217,2)</f>
        <v>0</v>
      </c>
    </row>
    <row r="1212" spans="1:1" x14ac:dyDescent="0.2">
      <c r="A1212">
        <f>ROUND(SUMIF(B1001:B1200,0.05,A1001:A1200)-A1218,2)</f>
        <v>0</v>
      </c>
    </row>
    <row r="1216" spans="1:1" x14ac:dyDescent="0.2">
      <c r="A1216">
        <f>ROUND(SUMIF(B1001:B1200,0.2,A1001:A1200)/(1+0.2),2)</f>
        <v>0</v>
      </c>
    </row>
    <row r="1217" spans="1:1" x14ac:dyDescent="0.2">
      <c r="A1217">
        <f>ROUND(SUMIF(B1001:B1200,0.1,A1001:A1200)/(1+0.1),2)</f>
        <v>0</v>
      </c>
    </row>
    <row r="1218" spans="1:1" x14ac:dyDescent="0.2">
      <c r="A1218">
        <f>ROUND(SUMIF(B1001:B1200,0.05,A1001:A1200)/(1+0.05),2)</f>
        <v>0</v>
      </c>
    </row>
    <row r="2210" spans="1:1" x14ac:dyDescent="0.2">
      <c r="A2210">
        <f>ROUND(SUMIF(B2001:B2200,0.2,A2001:A2200)-A2216,2)</f>
        <v>0</v>
      </c>
    </row>
    <row r="2211" spans="1:1" x14ac:dyDescent="0.2">
      <c r="A2211">
        <f>ROUND(SUMIF(B2001:B2200,0.1,A2001:A2200)-A2217,2)</f>
        <v>0</v>
      </c>
    </row>
    <row r="2212" spans="1:1" x14ac:dyDescent="0.2">
      <c r="A2212">
        <f>ROUND(SUMIF(B2001:B2200,0.05,A2001:A2200)-A2218,2)</f>
        <v>0</v>
      </c>
    </row>
    <row r="2216" spans="1:1" x14ac:dyDescent="0.2">
      <c r="A2216">
        <f>ROUND(SUMIF(B2001:B2200,0.2,A2001:A2200)/(1+0.2),2)</f>
        <v>0</v>
      </c>
    </row>
    <row r="2217" spans="1:1" x14ac:dyDescent="0.2">
      <c r="A2217">
        <f>ROUND(SUMIF(B2001:B2200,0.1,A2001:A2200)/(1+0.1),2)</f>
        <v>0</v>
      </c>
    </row>
    <row r="2218" spans="1:1" x14ac:dyDescent="0.2">
      <c r="A2218">
        <f>ROUND(SUMIF(B2001:B2200,0.05,A2001:A2200)/(1+0.05),2)</f>
        <v>0</v>
      </c>
    </row>
    <row r="3210" spans="1:4" x14ac:dyDescent="0.2">
      <c r="A3210">
        <f>ROUND(SUMIF(B3001:B3200,0.2,A3001:A3200)-A3216,2)</f>
        <v>0</v>
      </c>
      <c r="D3210" s="111"/>
    </row>
    <row r="3211" spans="1:4" x14ac:dyDescent="0.2">
      <c r="A3211">
        <f>ROUND(SUMIF(B3001:B3200,0.1,A3001:A3200)-A3217,2)</f>
        <v>0</v>
      </c>
    </row>
    <row r="3212" spans="1:4" x14ac:dyDescent="0.2">
      <c r="A3212">
        <f>ROUND(SUMIF(B3001:B3200,0.05,A3001:A3200)-A3218,2)</f>
        <v>0</v>
      </c>
    </row>
    <row r="3216" spans="1:4" x14ac:dyDescent="0.2">
      <c r="A3216">
        <f>ROUND(SUMIF(B3001:B3200,0.2,A3001:A3200)/(1+0.2),2)</f>
        <v>0</v>
      </c>
    </row>
    <row r="3217" spans="1:1" x14ac:dyDescent="0.2">
      <c r="A3217">
        <f>ROUND(SUMIF(B3001:B3200,0.1,A3001:A3200)/(1+0.1),2)</f>
        <v>0</v>
      </c>
    </row>
    <row r="3218" spans="1:1" x14ac:dyDescent="0.2">
      <c r="A3218">
        <f>ROUND(SUMIF(B3001:B3200,0.05,A3001:A3200)/(1+0.05),2)</f>
        <v>0</v>
      </c>
    </row>
  </sheetData>
  <phoneticPr fontId="8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Démarrage caisse</vt:lpstr>
      <vt:lpstr>Prix</vt:lpstr>
      <vt:lpstr>Plats favoris</vt:lpstr>
      <vt:lpstr>Paiement</vt:lpstr>
      <vt:lpstr>TVA</vt:lpstr>
      <vt:lpstr>Imprimer</vt:lpstr>
      <vt:lpstr>calcul logiciel</vt:lpstr>
      <vt:lpstr>Prix!Criteres</vt:lpstr>
      <vt:lpstr>Paiement!Impression_des_titres</vt:lpstr>
      <vt:lpstr>TVA!Impression_des_titres</vt:lpstr>
      <vt:lpstr>Imprimer!Zone_d_impression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Michel Zombaï</cp:lastModifiedBy>
  <cp:lastPrinted>2015-09-01T12:51:23Z</cp:lastPrinted>
  <dcterms:created xsi:type="dcterms:W3CDTF">2012-02-04T19:17:06Z</dcterms:created>
  <dcterms:modified xsi:type="dcterms:W3CDTF">2015-12-01T20:10:39Z</dcterms:modified>
</cp:coreProperties>
</file>