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updateLinks="never" codeName="ThisWorkbook" defaultThemeVersion="124226"/>
  <bookViews>
    <workbookView xWindow="12600" yWindow="-15" windowWidth="12645" windowHeight="10815" tabRatio="652" activeTab="1"/>
  </bookViews>
  <sheets>
    <sheet name="Params" sheetId="2" r:id="rId1"/>
    <sheet name="Calculs" sheetId="8" r:id="rId2"/>
    <sheet name="Pose" sheetId="12" r:id="rId3"/>
    <sheet name="Tarif pose" sheetId="13" r:id="rId4"/>
    <sheet name="Couverture" sheetId="14" r:id="rId5"/>
    <sheet name="Zinguerie" sheetId="15" r:id="rId6"/>
  </sheets>
  <externalReferences>
    <externalReference r:id="rId7"/>
    <externalReference r:id="rId8"/>
    <externalReference r:id="rId9"/>
  </externalReferences>
  <definedNames>
    <definedName name="_xlnm._FilterDatabase" localSheetId="0" hidden="1">Params!$J$1:$J$2</definedName>
    <definedName name="Access.Bac.Acier">[1]Bardage!$B$55:$B$56</definedName>
    <definedName name="B">[2]Zinguerie!$B$19:$B$23</definedName>
    <definedName name="Bardages">[1]Bardage!$B$9:$B$43</definedName>
    <definedName name="basefibro" localSheetId="4">Couverture!$G$2</definedName>
    <definedName name="basefibro" localSheetId="5">Zinguerie!$G$1</definedName>
    <definedName name="Couverture">Couverture!$B$9:$B$30</definedName>
    <definedName name="Couvertures" localSheetId="5">Zinguerie!$B$9:$B$14</definedName>
    <definedName name="Couvertures">[1]Couverture!$B$9:$B$29</definedName>
    <definedName name="Descentes">[1]Zinguerie!$B$19:$B$23</definedName>
    <definedName name="_xlnm.Extract" localSheetId="0">Params!$C$4</definedName>
    <definedName name="faîtage">'[1]Page 1'!$Q$14</definedName>
    <definedName name="Faîtière">Couverture!$B$37:$B$59</definedName>
    <definedName name="Faîtières" localSheetId="5">Zinguerie!#REF!</definedName>
    <definedName name="Faîtières">[1]Couverture!$B$37:$B$46</definedName>
    <definedName name="Fourniture_et_Pose_Ossature">[1]Calculs!$D$78</definedName>
    <definedName name="Goutières">[1]Zinguerie!$B$9:$B$12</definedName>
    <definedName name="H.Pot.">[1]Calculs!$P$3</definedName>
    <definedName name="Isolation">[1]Bardage!$B$63:$B$67</definedName>
    <definedName name="largeur" localSheetId="4">'[1]Page 1'!$C$19</definedName>
    <definedName name="largeur" localSheetId="2">'[1]Page 1'!$C$19</definedName>
    <definedName name="largeur" localSheetId="3">'[1]Page 1'!$C$19</definedName>
    <definedName name="largeur" localSheetId="5">'[1]Page 1'!$C$19</definedName>
    <definedName name="largeur">Calculs!#REF!</definedName>
    <definedName name="longueur" localSheetId="4">'[1]Page 1'!$C$20</definedName>
    <definedName name="longueur" localSheetId="2">'[1]Page 1'!$C$20</definedName>
    <definedName name="longueur" localSheetId="3">'[1]Page 1'!$C$20</definedName>
    <definedName name="longueur" localSheetId="5">'[1]Page 1'!$C$20</definedName>
    <definedName name="longueur">Calculs!#REF!</definedName>
    <definedName name="nb_travées" localSheetId="4">'[1]Page 1'!$C$21</definedName>
    <definedName name="nb_travées" localSheetId="2">'[1]Page 1'!$C$21</definedName>
    <definedName name="nb_travées" localSheetId="3">'[1]Page 1'!$C$21</definedName>
    <definedName name="nb_travées" localSheetId="5">'[1]Page 1'!$C$21</definedName>
    <definedName name="nb_travées">Calculs!#REF!</definedName>
    <definedName name="Oui">'[1]Page 1'!$P$53:$P$54</definedName>
    <definedName name="ouinon">Calculs!$M$5:$M$6</definedName>
    <definedName name="Parebottes">'[1]Pare-bot'!$B$4:$B$23</definedName>
    <definedName name="Pente">[1]Calculs!$O$3</definedName>
    <definedName name="Portes">#REF!</definedName>
    <definedName name="Portesparebottes">'[1]Pare-bot'!$B$28:$B$36</definedName>
    <definedName name="Rive">Couverture!$B$63:$B$67</definedName>
    <definedName name="Rives">[1]Couverture!$B$51:$B$53</definedName>
    <definedName name="Serie">'[1]Page 1'!$L$41</definedName>
    <definedName name="série">'[1]Page 1'!$L$41</definedName>
    <definedName name="Shed">[1]Couverture!$B$59:$B$62</definedName>
    <definedName name="surface">'[1]Page 1'!$D$34</definedName>
    <definedName name="T">[2]Couverture!$B$24:$B$28</definedName>
    <definedName name="Taux_pente" localSheetId="4">'[1]Page 1'!$Q$35</definedName>
    <definedName name="Taux_pente" localSheetId="2">'[1]Page 1'!$Q$35</definedName>
    <definedName name="Taux_pente" localSheetId="3">'[1]Page 1'!$Q$35</definedName>
    <definedName name="Taux_pente" localSheetId="5">'[1]Page 1'!$Q$35</definedName>
    <definedName name="Taux_pente">Calculs!#REF!</definedName>
    <definedName name="tlm">[2]Couverture!$B$51:$B$53</definedName>
    <definedName name="Translucide" localSheetId="5">Zinguerie!$B$13:$B$13</definedName>
    <definedName name="Translucide">[1]Couverture!$B$24:$B$28</definedName>
    <definedName name="travées">'[1]Page 1'!$F$21</definedName>
    <definedName name="Ventefibro" localSheetId="4">Couverture!$G$3</definedName>
    <definedName name="Ventefibro" localSheetId="5">Zinguerie!$G$2</definedName>
    <definedName name="_xlnm.Print_Area" localSheetId="1">Calculs!$A$1:$G$53</definedName>
    <definedName name="_xlnm.Print_Area" localSheetId="2">Pose!$A$1:$J$69</definedName>
  </definedNames>
  <calcPr calcId="114210"/>
</workbook>
</file>

<file path=xl/calcChain.xml><?xml version="1.0" encoding="utf-8"?>
<calcChain xmlns="http://schemas.openxmlformats.org/spreadsheetml/2006/main">
  <c r="E35" i="8"/>
  <c r="C34" i="12"/>
  <c r="C33"/>
  <c r="C31"/>
  <c r="C30"/>
  <c r="C29"/>
  <c r="C28"/>
  <c r="F22"/>
  <c r="C32"/>
  <c r="Z37" i="8"/>
  <c r="Z35"/>
  <c r="Q63" i="14"/>
  <c r="Q71"/>
  <c r="Q73"/>
  <c r="AF72"/>
  <c r="Q72"/>
  <c r="O72"/>
  <c r="AG61"/>
  <c r="X64"/>
  <c r="X63"/>
  <c r="Q64"/>
  <c r="O55"/>
  <c r="O54"/>
  <c r="O53"/>
  <c r="O52"/>
  <c r="O51"/>
  <c r="O50"/>
  <c r="O49"/>
  <c r="O48"/>
  <c r="O47"/>
  <c r="O46"/>
  <c r="O45"/>
  <c r="AG35"/>
  <c r="Q39"/>
  <c r="Q40"/>
  <c r="Q41"/>
  <c r="Q42"/>
  <c r="Q43"/>
  <c r="Q44"/>
  <c r="Q45"/>
  <c r="X45"/>
  <c r="Q46"/>
  <c r="X46"/>
  <c r="Q47"/>
  <c r="X47"/>
  <c r="Q48"/>
  <c r="X48"/>
  <c r="Q49"/>
  <c r="X49"/>
  <c r="Q50"/>
  <c r="X50"/>
  <c r="Q51"/>
  <c r="X51"/>
  <c r="Q52"/>
  <c r="X52"/>
  <c r="Q53"/>
  <c r="X53"/>
  <c r="Q54"/>
  <c r="X54"/>
  <c r="Q55"/>
  <c r="X55"/>
  <c r="Q56"/>
  <c r="X56"/>
  <c r="Q38"/>
  <c r="X37"/>
  <c r="Q37"/>
  <c r="R27" i="8"/>
  <c r="F7" i="13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E7"/>
  <c r="AA27" i="14"/>
  <c r="AA26"/>
  <c r="AA25"/>
  <c r="Q16"/>
  <c r="Q10"/>
  <c r="Q11"/>
  <c r="Q12"/>
  <c r="Q13"/>
  <c r="Q14"/>
  <c r="Q15"/>
  <c r="Q17"/>
  <c r="Q18"/>
  <c r="Q19"/>
  <c r="Q20"/>
  <c r="Q21"/>
  <c r="Q22"/>
  <c r="Q23"/>
  <c r="Q24"/>
  <c r="Q25"/>
  <c r="Q26"/>
  <c r="Q27"/>
  <c r="Q9"/>
  <c r="O44"/>
  <c r="X44"/>
  <c r="O43"/>
  <c r="X43"/>
  <c r="O42"/>
  <c r="X42"/>
  <c r="O41"/>
  <c r="X41"/>
  <c r="O40"/>
  <c r="X40"/>
  <c r="O39"/>
  <c r="X39"/>
  <c r="O38"/>
  <c r="X38"/>
  <c r="F7" i="12"/>
  <c r="F6"/>
  <c r="H37" i="8"/>
  <c r="D46"/>
  <c r="K11" i="12"/>
  <c r="C18" i="8"/>
  <c r="E9" i="13"/>
  <c r="G32" i="12"/>
  <c r="G51" i="8"/>
  <c r="Q32"/>
  <c r="E8" i="13"/>
  <c r="G33" i="12"/>
  <c r="B39" i="8"/>
  <c r="U36"/>
  <c r="U38"/>
  <c r="U34"/>
  <c r="B28"/>
  <c r="B27"/>
  <c r="E6" i="13"/>
  <c r="F6"/>
  <c r="H6"/>
  <c r="J6"/>
  <c r="L6"/>
  <c r="N6"/>
  <c r="P6"/>
  <c r="R6"/>
  <c r="T6"/>
  <c r="V6"/>
  <c r="X6"/>
  <c r="AB6"/>
  <c r="AF6"/>
  <c r="G6"/>
  <c r="I6"/>
  <c r="K6"/>
  <c r="M6"/>
  <c r="O6"/>
  <c r="Q6"/>
  <c r="S6"/>
  <c r="U6"/>
  <c r="W6"/>
  <c r="Y6"/>
  <c r="AA6"/>
  <c r="AC6"/>
  <c r="AE6"/>
  <c r="AG6"/>
  <c r="Z6"/>
  <c r="AD6"/>
  <c r="AH6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H20" i="12"/>
  <c r="F30"/>
  <c r="H19"/>
  <c r="F29"/>
  <c r="B43" i="8"/>
  <c r="B30"/>
  <c r="B29"/>
  <c r="B33"/>
  <c r="B32"/>
  <c r="L43"/>
  <c r="L44"/>
  <c r="V38"/>
  <c r="V36"/>
  <c r="V34"/>
  <c r="B34"/>
  <c r="V31"/>
  <c r="B31"/>
  <c r="V25"/>
  <c r="B25"/>
  <c r="A9"/>
  <c r="C16"/>
  <c r="E39"/>
  <c r="Z39"/>
  <c r="X29" i="14"/>
  <c r="W29"/>
  <c r="Q28"/>
  <c r="X28"/>
  <c r="W28"/>
  <c r="AC56" i="15"/>
  <c r="AB56"/>
  <c r="AA56"/>
  <c r="Z56"/>
  <c r="Y56"/>
  <c r="X56"/>
  <c r="W56"/>
  <c r="V56"/>
  <c r="U56"/>
  <c r="T56"/>
  <c r="S56"/>
  <c r="R56"/>
  <c r="Q56"/>
  <c r="P56"/>
  <c r="O56"/>
  <c r="N56"/>
  <c r="AC55"/>
  <c r="AB55"/>
  <c r="AA55"/>
  <c r="Z55"/>
  <c r="Y55"/>
  <c r="X55"/>
  <c r="W55"/>
  <c r="V55"/>
  <c r="U55"/>
  <c r="T55"/>
  <c r="S55"/>
  <c r="R55"/>
  <c r="Q55"/>
  <c r="P55"/>
  <c r="O55"/>
  <c r="N55"/>
  <c r="AC54"/>
  <c r="AB54"/>
  <c r="AA54"/>
  <c r="Z54"/>
  <c r="Y54"/>
  <c r="X54"/>
  <c r="W54"/>
  <c r="V54"/>
  <c r="U54"/>
  <c r="T54"/>
  <c r="S54"/>
  <c r="R54"/>
  <c r="Q54"/>
  <c r="P54"/>
  <c r="O54"/>
  <c r="N54"/>
  <c r="AC53"/>
  <c r="AB53"/>
  <c r="AA53"/>
  <c r="Z53"/>
  <c r="Y53"/>
  <c r="X53"/>
  <c r="W53"/>
  <c r="V53"/>
  <c r="U53"/>
  <c r="T53"/>
  <c r="S53"/>
  <c r="R53"/>
  <c r="Q53"/>
  <c r="P53"/>
  <c r="O53"/>
  <c r="N53"/>
  <c r="AC52"/>
  <c r="AB52"/>
  <c r="AA52"/>
  <c r="Z52"/>
  <c r="Y52"/>
  <c r="X52"/>
  <c r="W52"/>
  <c r="V52"/>
  <c r="U52"/>
  <c r="T52"/>
  <c r="S52"/>
  <c r="R52"/>
  <c r="Q52"/>
  <c r="P52"/>
  <c r="O52"/>
  <c r="N52"/>
  <c r="AC51"/>
  <c r="AB51"/>
  <c r="AA51"/>
  <c r="Z51"/>
  <c r="Y51"/>
  <c r="X51"/>
  <c r="W51"/>
  <c r="V51"/>
  <c r="U51"/>
  <c r="T51"/>
  <c r="S51"/>
  <c r="R51"/>
  <c r="Q51"/>
  <c r="P51"/>
  <c r="O51"/>
  <c r="N51"/>
  <c r="AC50"/>
  <c r="AB50"/>
  <c r="AA50"/>
  <c r="Z50"/>
  <c r="Y50"/>
  <c r="X50"/>
  <c r="W50"/>
  <c r="V50"/>
  <c r="U50"/>
  <c r="T50"/>
  <c r="S50"/>
  <c r="R50"/>
  <c r="Q50"/>
  <c r="P50"/>
  <c r="O50"/>
  <c r="N50"/>
  <c r="AC49"/>
  <c r="AB49"/>
  <c r="AA49"/>
  <c r="Z49"/>
  <c r="Y49"/>
  <c r="X49"/>
  <c r="W49"/>
  <c r="V49"/>
  <c r="U49"/>
  <c r="T49"/>
  <c r="S49"/>
  <c r="R49"/>
  <c r="Q49"/>
  <c r="P49"/>
  <c r="O49"/>
  <c r="N49"/>
  <c r="AC48"/>
  <c r="AB48"/>
  <c r="AA48"/>
  <c r="Z48"/>
  <c r="Y48"/>
  <c r="X48"/>
  <c r="W48"/>
  <c r="V48"/>
  <c r="U48"/>
  <c r="T48"/>
  <c r="S48"/>
  <c r="R48"/>
  <c r="Q48"/>
  <c r="P48"/>
  <c r="O48"/>
  <c r="N48"/>
  <c r="AC47"/>
  <c r="AB47"/>
  <c r="AA47"/>
  <c r="Z47"/>
  <c r="Y47"/>
  <c r="X47"/>
  <c r="W47"/>
  <c r="V47"/>
  <c r="U47"/>
  <c r="T47"/>
  <c r="S47"/>
  <c r="R47"/>
  <c r="Q47"/>
  <c r="P47"/>
  <c r="O47"/>
  <c r="N47"/>
  <c r="AC46"/>
  <c r="AB46"/>
  <c r="AA46"/>
  <c r="Z46"/>
  <c r="Y46"/>
  <c r="X46"/>
  <c r="W46"/>
  <c r="V46"/>
  <c r="U46"/>
  <c r="T46"/>
  <c r="S46"/>
  <c r="R46"/>
  <c r="Q46"/>
  <c r="P46"/>
  <c r="O46"/>
  <c r="N46"/>
  <c r="AC45"/>
  <c r="AB45"/>
  <c r="AA45"/>
  <c r="Z45"/>
  <c r="Y45"/>
  <c r="X45"/>
  <c r="W45"/>
  <c r="V45"/>
  <c r="U45"/>
  <c r="T45"/>
  <c r="S45"/>
  <c r="R45"/>
  <c r="Q45"/>
  <c r="P45"/>
  <c r="O45"/>
  <c r="N45"/>
  <c r="AC44"/>
  <c r="AB44"/>
  <c r="AA44"/>
  <c r="Z44"/>
  <c r="Y44"/>
  <c r="X44"/>
  <c r="W44"/>
  <c r="V44"/>
  <c r="U44"/>
  <c r="T44"/>
  <c r="S44"/>
  <c r="R44"/>
  <c r="Q44"/>
  <c r="P44"/>
  <c r="O44"/>
  <c r="N44"/>
  <c r="AC43"/>
  <c r="AB43"/>
  <c r="AA43"/>
  <c r="Z43"/>
  <c r="Y43"/>
  <c r="X43"/>
  <c r="W43"/>
  <c r="V43"/>
  <c r="U43"/>
  <c r="T43"/>
  <c r="S43"/>
  <c r="R43"/>
  <c r="Q43"/>
  <c r="P43"/>
  <c r="O43"/>
  <c r="N43"/>
  <c r="AC42"/>
  <c r="AB42"/>
  <c r="AA42"/>
  <c r="Z42"/>
  <c r="Y42"/>
  <c r="X42"/>
  <c r="W42"/>
  <c r="V42"/>
  <c r="U42"/>
  <c r="T42"/>
  <c r="S42"/>
  <c r="R42"/>
  <c r="Q42"/>
  <c r="P42"/>
  <c r="O42"/>
  <c r="N42"/>
  <c r="AC41"/>
  <c r="AB41"/>
  <c r="AA41"/>
  <c r="Z41"/>
  <c r="Y41"/>
  <c r="X41"/>
  <c r="W41"/>
  <c r="V41"/>
  <c r="U41"/>
  <c r="T41"/>
  <c r="S41"/>
  <c r="R41"/>
  <c r="Q41"/>
  <c r="P41"/>
  <c r="O41"/>
  <c r="N41"/>
  <c r="AC40"/>
  <c r="AB40"/>
  <c r="AA40"/>
  <c r="Z40"/>
  <c r="Y40"/>
  <c r="X40"/>
  <c r="W40"/>
  <c r="V40"/>
  <c r="U40"/>
  <c r="T40"/>
  <c r="S40"/>
  <c r="R40"/>
  <c r="Q40"/>
  <c r="P40"/>
  <c r="O40"/>
  <c r="N40"/>
  <c r="AC39"/>
  <c r="AB39"/>
  <c r="AA39"/>
  <c r="Z39"/>
  <c r="Y39"/>
  <c r="X39"/>
  <c r="W39"/>
  <c r="V39"/>
  <c r="U39"/>
  <c r="T39"/>
  <c r="S39"/>
  <c r="R39"/>
  <c r="Q39"/>
  <c r="P39"/>
  <c r="O39"/>
  <c r="N39"/>
  <c r="AC38"/>
  <c r="AB38"/>
  <c r="AA38"/>
  <c r="Z38"/>
  <c r="Y38"/>
  <c r="X38"/>
  <c r="W38"/>
  <c r="V38"/>
  <c r="U38"/>
  <c r="T38"/>
  <c r="S38"/>
  <c r="R38"/>
  <c r="Q38"/>
  <c r="P38"/>
  <c r="O38"/>
  <c r="N38"/>
  <c r="AC37"/>
  <c r="AB37"/>
  <c r="AA37"/>
  <c r="Z37"/>
  <c r="Y37"/>
  <c r="X37"/>
  <c r="W37"/>
  <c r="V37"/>
  <c r="U37"/>
  <c r="T37"/>
  <c r="S37"/>
  <c r="R37"/>
  <c r="Q37"/>
  <c r="P37"/>
  <c r="O37"/>
  <c r="N37"/>
  <c r="AC36"/>
  <c r="AB36"/>
  <c r="AA36"/>
  <c r="Z36"/>
  <c r="Y36"/>
  <c r="X36"/>
  <c r="W36"/>
  <c r="V36"/>
  <c r="U36"/>
  <c r="T36"/>
  <c r="S36"/>
  <c r="R36"/>
  <c r="Q36"/>
  <c r="P36"/>
  <c r="O36"/>
  <c r="N36"/>
  <c r="AC35"/>
  <c r="AB35"/>
  <c r="AA35"/>
  <c r="Z35"/>
  <c r="Y35"/>
  <c r="X35"/>
  <c r="W35"/>
  <c r="V35"/>
  <c r="U35"/>
  <c r="T35"/>
  <c r="S35"/>
  <c r="R35"/>
  <c r="Q35"/>
  <c r="P35"/>
  <c r="O35"/>
  <c r="N35"/>
  <c r="AC34"/>
  <c r="AB34"/>
  <c r="AA34"/>
  <c r="Z34"/>
  <c r="Y34"/>
  <c r="X34"/>
  <c r="W34"/>
  <c r="V34"/>
  <c r="U34"/>
  <c r="T34"/>
  <c r="S34"/>
  <c r="R34"/>
  <c r="Q34"/>
  <c r="P34"/>
  <c r="O34"/>
  <c r="N34"/>
  <c r="AC33"/>
  <c r="AB33"/>
  <c r="AA33"/>
  <c r="Z33"/>
  <c r="Y33"/>
  <c r="X33"/>
  <c r="W33"/>
  <c r="V33"/>
  <c r="U33"/>
  <c r="T33"/>
  <c r="S33"/>
  <c r="R33"/>
  <c r="Q33"/>
  <c r="P33"/>
  <c r="O33"/>
  <c r="N33"/>
  <c r="AC32"/>
  <c r="AB32"/>
  <c r="AA32"/>
  <c r="Z32"/>
  <c r="Y32"/>
  <c r="X32"/>
  <c r="W32"/>
  <c r="V32"/>
  <c r="U32"/>
  <c r="T32"/>
  <c r="S32"/>
  <c r="R32"/>
  <c r="Q32"/>
  <c r="P32"/>
  <c r="O32"/>
  <c r="N32"/>
  <c r="AC31"/>
  <c r="AB31"/>
  <c r="AA31"/>
  <c r="Z31"/>
  <c r="Y31"/>
  <c r="X31"/>
  <c r="W31"/>
  <c r="V31"/>
  <c r="U31"/>
  <c r="T31"/>
  <c r="S31"/>
  <c r="R31"/>
  <c r="Q31"/>
  <c r="P31"/>
  <c r="O31"/>
  <c r="N31"/>
  <c r="AC30"/>
  <c r="AB30"/>
  <c r="AA30"/>
  <c r="Z30"/>
  <c r="Y30"/>
  <c r="X30"/>
  <c r="W30"/>
  <c r="V30"/>
  <c r="U30"/>
  <c r="T30"/>
  <c r="S30"/>
  <c r="R30"/>
  <c r="Q30"/>
  <c r="P30"/>
  <c r="O30"/>
  <c r="N30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AE25"/>
  <c r="AD25"/>
  <c r="AC25"/>
  <c r="AB25"/>
  <c r="AA25"/>
  <c r="Z25"/>
  <c r="Y25"/>
  <c r="X25"/>
  <c r="R25"/>
  <c r="Q25"/>
  <c r="P25"/>
  <c r="O25"/>
  <c r="N25"/>
  <c r="H25"/>
  <c r="B25"/>
  <c r="AE24"/>
  <c r="AD24"/>
  <c r="AC24"/>
  <c r="AB24"/>
  <c r="AA24"/>
  <c r="Z24"/>
  <c r="Y24"/>
  <c r="X24"/>
  <c r="R24"/>
  <c r="Q24"/>
  <c r="P24"/>
  <c r="O24"/>
  <c r="N24"/>
  <c r="H24"/>
  <c r="B24"/>
  <c r="AE23"/>
  <c r="AD23"/>
  <c r="AC23"/>
  <c r="AB23"/>
  <c r="AA23"/>
  <c r="Z23"/>
  <c r="Y23"/>
  <c r="X23"/>
  <c r="R23"/>
  <c r="Q23"/>
  <c r="P23"/>
  <c r="O23"/>
  <c r="N23"/>
  <c r="H23"/>
  <c r="B23"/>
  <c r="AE22"/>
  <c r="AD22"/>
  <c r="AC22"/>
  <c r="AB22"/>
  <c r="AA22"/>
  <c r="Z22"/>
  <c r="Y22"/>
  <c r="X22"/>
  <c r="Q22"/>
  <c r="P22"/>
  <c r="O22"/>
  <c r="N22"/>
  <c r="H22"/>
  <c r="B22"/>
  <c r="AE21"/>
  <c r="AD21"/>
  <c r="AC21"/>
  <c r="AB21"/>
  <c r="AA21"/>
  <c r="Z21"/>
  <c r="Y21"/>
  <c r="X21"/>
  <c r="Q21"/>
  <c r="P21"/>
  <c r="O21"/>
  <c r="N21"/>
  <c r="H21"/>
  <c r="B21"/>
  <c r="AE20"/>
  <c r="AD20"/>
  <c r="AC20"/>
  <c r="AB20"/>
  <c r="AA20"/>
  <c r="Z20"/>
  <c r="Y20"/>
  <c r="X20"/>
  <c r="Q20"/>
  <c r="P20"/>
  <c r="O20"/>
  <c r="N20"/>
  <c r="H20"/>
  <c r="B20"/>
  <c r="AE19"/>
  <c r="AD19"/>
  <c r="AC19"/>
  <c r="AB19"/>
  <c r="AA19"/>
  <c r="Z19"/>
  <c r="Y19"/>
  <c r="X19"/>
  <c r="Q19"/>
  <c r="P19"/>
  <c r="O19"/>
  <c r="N19"/>
  <c r="H19"/>
  <c r="B19"/>
  <c r="AF7"/>
  <c r="AE15"/>
  <c r="AD15"/>
  <c r="AC15"/>
  <c r="AB15"/>
  <c r="AA15"/>
  <c r="Z15"/>
  <c r="Y15"/>
  <c r="X15"/>
  <c r="R15"/>
  <c r="Q15"/>
  <c r="P15"/>
  <c r="O15"/>
  <c r="N15"/>
  <c r="H15"/>
  <c r="B15"/>
  <c r="AE14"/>
  <c r="AD14"/>
  <c r="AC14"/>
  <c r="AB14"/>
  <c r="AA14"/>
  <c r="Z14"/>
  <c r="Y14"/>
  <c r="X14"/>
  <c r="R14"/>
  <c r="Q14"/>
  <c r="P14"/>
  <c r="O14"/>
  <c r="N14"/>
  <c r="H14"/>
  <c r="B14"/>
  <c r="AE13"/>
  <c r="AD13"/>
  <c r="AC13"/>
  <c r="AB13"/>
  <c r="AA13"/>
  <c r="Z13"/>
  <c r="Y13"/>
  <c r="X13"/>
  <c r="R13"/>
  <c r="Q13"/>
  <c r="P13"/>
  <c r="O13"/>
  <c r="N13"/>
  <c r="H13"/>
  <c r="B13"/>
  <c r="AE12"/>
  <c r="AD12"/>
  <c r="AC12"/>
  <c r="AB12"/>
  <c r="AA12"/>
  <c r="Z12"/>
  <c r="Y12"/>
  <c r="X12"/>
  <c r="Q12"/>
  <c r="P12"/>
  <c r="O12"/>
  <c r="N12"/>
  <c r="H12"/>
  <c r="B12"/>
  <c r="AE11"/>
  <c r="AD11"/>
  <c r="AC11"/>
  <c r="AB11"/>
  <c r="AA11"/>
  <c r="Z11"/>
  <c r="Y11"/>
  <c r="X11"/>
  <c r="Q11"/>
  <c r="P11"/>
  <c r="O11"/>
  <c r="N11"/>
  <c r="H11"/>
  <c r="B11"/>
  <c r="AE10"/>
  <c r="AD10"/>
  <c r="AC10"/>
  <c r="AB10"/>
  <c r="AA10"/>
  <c r="Z10"/>
  <c r="Y10"/>
  <c r="X10"/>
  <c r="Q10"/>
  <c r="P10"/>
  <c r="O10"/>
  <c r="N10"/>
  <c r="H10"/>
  <c r="B10"/>
  <c r="AE9"/>
  <c r="AD9"/>
  <c r="AC9"/>
  <c r="AB9"/>
  <c r="AA9"/>
  <c r="Z9"/>
  <c r="Y9"/>
  <c r="X9"/>
  <c r="Q9"/>
  <c r="P9"/>
  <c r="O9"/>
  <c r="N9"/>
  <c r="H9"/>
  <c r="B9"/>
  <c r="Q75" i="14"/>
  <c r="Q74"/>
  <c r="Q67"/>
  <c r="Q66"/>
  <c r="X13"/>
  <c r="X9"/>
  <c r="X10"/>
  <c r="X11"/>
  <c r="X12"/>
  <c r="X14"/>
  <c r="X15"/>
  <c r="X16"/>
  <c r="X17"/>
  <c r="X18"/>
  <c r="X19"/>
  <c r="X20"/>
  <c r="X21"/>
  <c r="X22"/>
  <c r="X23"/>
  <c r="X24"/>
  <c r="X25"/>
  <c r="X26"/>
  <c r="X27"/>
  <c r="W32" i="8"/>
  <c r="H21" i="12"/>
  <c r="F31"/>
  <c r="W17" i="15"/>
  <c r="AE18"/>
  <c r="AF17"/>
  <c r="X69" i="14"/>
  <c r="X61"/>
  <c r="X35"/>
  <c r="AG69"/>
  <c r="V6"/>
  <c r="V5"/>
  <c r="V4"/>
  <c r="AE3"/>
  <c r="V3"/>
  <c r="V2"/>
  <c r="B47" i="12"/>
  <c r="H27" i="14"/>
  <c r="H26"/>
  <c r="H25"/>
  <c r="H24"/>
  <c r="H23"/>
  <c r="H22"/>
  <c r="H21"/>
  <c r="H20"/>
  <c r="H19"/>
  <c r="H18"/>
  <c r="H17"/>
  <c r="H16"/>
  <c r="H15"/>
  <c r="H14"/>
  <c r="H13"/>
  <c r="H12"/>
  <c r="H11"/>
  <c r="H9"/>
  <c r="W39" i="8"/>
  <c r="X67" i="14"/>
  <c r="X66"/>
  <c r="X75"/>
  <c r="X74"/>
  <c r="S59" i="15"/>
  <c r="S60"/>
  <c r="G61"/>
  <c r="K61"/>
  <c r="M61"/>
  <c r="Q61"/>
  <c r="G62"/>
  <c r="F5" i="12"/>
  <c r="D6" i="13"/>
  <c r="B22" i="2"/>
  <c r="C14" i="8"/>
  <c r="S4"/>
  <c r="S3"/>
  <c r="A8"/>
  <c r="D11"/>
  <c r="D12"/>
  <c r="F9" i="12"/>
  <c r="E13" i="2"/>
  <c r="E14"/>
  <c r="E15"/>
  <c r="E16"/>
  <c r="D9"/>
  <c r="D10"/>
  <c r="D11"/>
  <c r="D12"/>
  <c r="D13"/>
  <c r="D14"/>
  <c r="D15"/>
  <c r="D16"/>
  <c r="D17"/>
  <c r="A15" i="8"/>
  <c r="C17" i="2"/>
  <c r="E17"/>
  <c r="E12"/>
  <c r="E11"/>
  <c r="E10"/>
  <c r="E6"/>
  <c r="C9"/>
  <c r="E9"/>
  <c r="G7"/>
  <c r="G6"/>
  <c r="C13"/>
  <c r="C12"/>
  <c r="C11"/>
  <c r="C10"/>
  <c r="F2"/>
  <c r="G3"/>
  <c r="G4"/>
  <c r="G5"/>
  <c r="C16"/>
  <c r="C15"/>
  <c r="C14"/>
  <c r="G18"/>
  <c r="G19"/>
  <c r="H12" i="12"/>
  <c r="H24"/>
  <c r="E16" i="8"/>
  <c r="H11" i="12"/>
  <c r="H14"/>
  <c r="H13"/>
  <c r="E18" i="8"/>
  <c r="A13" i="2"/>
  <c r="A14"/>
  <c r="A15"/>
  <c r="A16"/>
  <c r="A10"/>
  <c r="A11"/>
  <c r="A12"/>
  <c r="A9"/>
  <c r="F18" i="8"/>
  <c r="J4"/>
  <c r="J5"/>
  <c r="J6"/>
  <c r="K4"/>
  <c r="K5"/>
  <c r="K6"/>
  <c r="L4"/>
  <c r="L5"/>
  <c r="L6"/>
  <c r="E3" i="2"/>
  <c r="F3"/>
  <c r="D6"/>
  <c r="D18"/>
  <c r="D19"/>
  <c r="C20" i="8"/>
  <c r="E18" i="2"/>
  <c r="C21" i="8"/>
  <c r="K26"/>
  <c r="E26"/>
  <c r="C19"/>
  <c r="H34" i="12"/>
  <c r="F34"/>
  <c r="D13" i="8"/>
  <c r="H15" i="12"/>
  <c r="L58" i="15"/>
  <c r="H23" i="12"/>
  <c r="H22"/>
  <c r="F32"/>
  <c r="E32" i="8"/>
  <c r="Z32"/>
  <c r="P15"/>
  <c r="K6" i="12"/>
  <c r="G31"/>
  <c r="M39"/>
  <c r="B39"/>
  <c r="Q63" i="15"/>
  <c r="Q62"/>
  <c r="M63"/>
  <c r="M62"/>
  <c r="K63"/>
  <c r="K62"/>
  <c r="F33" i="12"/>
  <c r="AF70" i="14"/>
  <c r="AF62"/>
  <c r="AF36"/>
  <c r="H18" i="12"/>
  <c r="F28"/>
  <c r="X27" i="8"/>
  <c r="V27"/>
  <c r="I1" i="13"/>
  <c r="F10"/>
  <c r="G30" i="12"/>
  <c r="H30"/>
  <c r="G29"/>
  <c r="H29"/>
  <c r="H32"/>
  <c r="G28"/>
  <c r="AF8" i="14"/>
  <c r="H33" i="12"/>
  <c r="E10" i="13"/>
  <c r="G10"/>
  <c r="S10"/>
  <c r="K10"/>
  <c r="AA10"/>
  <c r="I10"/>
  <c r="O10"/>
  <c r="W10"/>
  <c r="AE10"/>
  <c r="H10"/>
  <c r="J10"/>
  <c r="M10"/>
  <c r="Q10"/>
  <c r="U10"/>
  <c r="Y10"/>
  <c r="AC10"/>
  <c r="AG10"/>
  <c r="L10"/>
  <c r="N10"/>
  <c r="P10"/>
  <c r="R10"/>
  <c r="T10"/>
  <c r="V10"/>
  <c r="X10"/>
  <c r="Z10"/>
  <c r="AB10"/>
  <c r="AD10"/>
  <c r="AF10"/>
  <c r="AH10"/>
  <c r="H28" i="12"/>
  <c r="AG39" i="14"/>
  <c r="W39"/>
  <c r="AG40"/>
  <c r="W40"/>
  <c r="AG41"/>
  <c r="W41"/>
  <c r="AG42"/>
  <c r="W42"/>
  <c r="AG43"/>
  <c r="W43"/>
  <c r="AG44"/>
  <c r="W44"/>
  <c r="AG45"/>
  <c r="W45"/>
  <c r="AG46"/>
  <c r="W46"/>
  <c r="AG47"/>
  <c r="W47"/>
  <c r="AG48"/>
  <c r="W48"/>
  <c r="AG49"/>
  <c r="W49"/>
  <c r="AG50"/>
  <c r="W50"/>
  <c r="AG51"/>
  <c r="W51"/>
  <c r="AG52"/>
  <c r="W52"/>
  <c r="AG53"/>
  <c r="W53"/>
  <c r="AG54"/>
  <c r="W54"/>
  <c r="AG55"/>
  <c r="W55"/>
  <c r="AG56"/>
  <c r="W56"/>
  <c r="AG38"/>
  <c r="W38"/>
  <c r="AG37"/>
  <c r="W37"/>
  <c r="AG64"/>
  <c r="AG63"/>
  <c r="AG73"/>
  <c r="AG72"/>
  <c r="AG71"/>
  <c r="AG26"/>
  <c r="W26"/>
  <c r="AG22"/>
  <c r="W22"/>
  <c r="AG27"/>
  <c r="W27"/>
  <c r="AG10"/>
  <c r="W10"/>
  <c r="AG11"/>
  <c r="W11"/>
  <c r="AG12"/>
  <c r="W12"/>
  <c r="AG13"/>
  <c r="W13"/>
  <c r="AG14"/>
  <c r="W14"/>
  <c r="AG15"/>
  <c r="W15"/>
  <c r="AG16"/>
  <c r="W16"/>
  <c r="AG17"/>
  <c r="W17"/>
  <c r="AG18"/>
  <c r="W18"/>
  <c r="AG19"/>
  <c r="W19"/>
  <c r="AG20"/>
  <c r="W20"/>
  <c r="AG21"/>
  <c r="W21"/>
  <c r="AG23"/>
  <c r="W23"/>
  <c r="AG24"/>
  <c r="W24"/>
  <c r="AG25"/>
  <c r="W25"/>
  <c r="AG9"/>
  <c r="W9"/>
  <c r="S27" i="8"/>
  <c r="X28"/>
  <c r="S28"/>
  <c r="H31" i="12"/>
  <c r="V32" i="8"/>
  <c r="H36" i="12"/>
  <c r="P13" i="8"/>
  <c r="P14"/>
  <c r="P16"/>
  <c r="X32"/>
  <c r="S32"/>
  <c r="AG75" i="14"/>
  <c r="W75"/>
  <c r="AG74"/>
  <c r="W74"/>
  <c r="AG67"/>
  <c r="W67"/>
  <c r="AG66"/>
  <c r="W66"/>
  <c r="B42" i="12"/>
  <c r="B43"/>
  <c r="X39" i="8"/>
  <c r="V39"/>
  <c r="G32"/>
  <c r="H32"/>
  <c r="S39"/>
  <c r="G39"/>
  <c r="H39"/>
  <c r="V28"/>
  <c r="G26"/>
  <c r="H26"/>
  <c r="X37"/>
  <c r="X35"/>
  <c r="W37"/>
  <c r="W35"/>
  <c r="W64" i="14"/>
  <c r="W63"/>
  <c r="V37" i="8"/>
  <c r="S37"/>
  <c r="G37"/>
  <c r="S35"/>
  <c r="G35"/>
  <c r="H35"/>
  <c r="V35"/>
  <c r="G41"/>
  <c r="P17"/>
  <c r="B61"/>
  <c r="G43"/>
  <c r="G44"/>
  <c r="C57"/>
  <c r="B60"/>
  <c r="B47"/>
  <c r="H41"/>
  <c r="B48"/>
  <c r="B59"/>
  <c r="B46"/>
  <c r="P18"/>
  <c r="R18"/>
  <c r="X72" i="14"/>
  <c r="X73"/>
  <c r="W73"/>
  <c r="W71"/>
  <c r="W72"/>
</calcChain>
</file>

<file path=xl/comments1.xml><?xml version="1.0" encoding="utf-8"?>
<comments xmlns="http://schemas.openxmlformats.org/spreadsheetml/2006/main">
  <authors>
    <author>michel</author>
  </authors>
  <commentList>
    <comment ref="D5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b/>
            <sz val="8"/>
            <color indexed="81"/>
            <rFont val="Tahoma"/>
            <family val="2"/>
          </rPr>
          <t>saisir le n° de tel 
portable si différent</t>
        </r>
      </text>
    </comment>
    <comment ref="D9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de chantier si différente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 xml:space="preserve">Saisir l'adresse </t>
        </r>
        <r>
          <rPr>
            <sz val="8"/>
            <color indexed="81"/>
            <rFont val="Tahoma"/>
            <family val="2"/>
          </rPr>
          <t xml:space="preserve">
de chantier si différente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 xml:space="preserve">Dépend de la date : ne saisir que si différent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8"/>
            <color indexed="81"/>
            <rFont val="Tahoma"/>
            <family val="2"/>
          </rPr>
          <t>Saisir la longueur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8"/>
            <color indexed="81"/>
            <rFont val="Tahoma"/>
            <family val="2"/>
          </rPr>
          <t>Saisir la longueur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8"/>
            <color indexed="81"/>
            <rFont val="Tahoma"/>
            <family val="2"/>
          </rPr>
          <t>Saisir la pente de la toiture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8"/>
            <color indexed="81"/>
            <rFont val="Tahoma"/>
            <family val="2"/>
          </rPr>
          <t>surface toiture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" authorId="0">
      <text>
        <r>
          <rPr>
            <b/>
            <sz val="8"/>
            <color indexed="81"/>
            <rFont val="Tahoma"/>
            <family val="2"/>
          </rPr>
          <t>Choisir la couverture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35" authorId="0">
      <text>
        <r>
          <rPr>
            <b/>
            <sz val="8"/>
            <color indexed="81"/>
            <rFont val="Tahoma"/>
            <family val="2"/>
          </rPr>
          <t>Saisir la longueur des rives</t>
        </r>
      </text>
    </comment>
    <comment ref="I35" authorId="0">
      <text>
        <r>
          <rPr>
            <b/>
            <sz val="8"/>
            <color indexed="81"/>
            <rFont val="Tahoma"/>
            <family val="2"/>
          </rPr>
          <t>Choisir la couverture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Saisir la longueur des couvertines</t>
        </r>
      </text>
    </comment>
    <comment ref="I37" authorId="0">
      <text>
        <r>
          <rPr>
            <b/>
            <sz val="8"/>
            <color indexed="81"/>
            <rFont val="Tahoma"/>
            <family val="2"/>
          </rPr>
          <t>Choisir la couverture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39" authorId="0">
      <text>
        <r>
          <rPr>
            <b/>
            <sz val="8"/>
            <color indexed="81"/>
            <rFont val="Tahoma"/>
            <family val="2"/>
          </rPr>
          <t>Saisir la longueur de la faîtière</t>
        </r>
      </text>
    </comment>
    <comment ref="I39" authorId="0">
      <text>
        <r>
          <rPr>
            <b/>
            <sz val="8"/>
            <color indexed="81"/>
            <rFont val="Tahoma"/>
            <family val="2"/>
          </rPr>
          <t>Choisir la couverture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michel</author>
    <author>Thomas Le Mer</author>
  </authors>
  <commentList>
    <comment ref="G2" authorId="0">
      <text>
        <r>
          <rPr>
            <b/>
            <sz val="8"/>
            <color indexed="81"/>
            <rFont val="Tahoma"/>
            <family val="2"/>
          </rPr>
          <t>ce champ est nommé : BASEFIBRO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8"/>
            <color indexed="81"/>
            <rFont val="Tahoma"/>
            <family val="2"/>
          </rPr>
          <t>ce champ est nommé : VENTEFIBRO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8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8" authorId="1">
      <text>
        <r>
          <rPr>
            <b/>
            <sz val="8"/>
            <color indexed="81"/>
            <rFont val="Tahoma"/>
            <family val="2"/>
          </rPr>
          <t>Thomas Le Mer:</t>
        </r>
        <r>
          <rPr>
            <sz val="8"/>
            <color indexed="81"/>
            <rFont val="Tahoma"/>
            <family val="2"/>
          </rPr>
          <t xml:space="preserve">
Demande de prix - 11/2010 - Batifix</t>
        </r>
      </text>
    </comment>
    <comment ref="AF36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62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70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michel</author>
  </authors>
  <commentList>
    <comment ref="AE8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E18" authorId="0">
      <text>
        <r>
          <rPr>
            <b/>
            <sz val="8"/>
            <color indexed="81"/>
            <rFont val="Tahoma"/>
            <family val="2"/>
          </rPr>
          <t>Ce montant est le prix de la pose pour ce bâtiment (Onglet "Pose")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<sst xmlns="http://schemas.openxmlformats.org/spreadsheetml/2006/main" count="471" uniqueCount="278">
  <si>
    <t>m</t>
  </si>
  <si>
    <t>Longueur</t>
  </si>
  <si>
    <t>Emprise de la construction :</t>
  </si>
  <si>
    <t>Réf.</t>
  </si>
  <si>
    <t>Désignation</t>
  </si>
  <si>
    <t>TOTAL H.T.</t>
  </si>
  <si>
    <t>TVA 19,6%</t>
  </si>
  <si>
    <t>TOTAL TTC</t>
  </si>
  <si>
    <t>Dimensions du bâtiment</t>
  </si>
  <si>
    <t>Qté</t>
  </si>
  <si>
    <t>soit</t>
  </si>
  <si>
    <t>Largeur du bâtiment</t>
  </si>
  <si>
    <t>Largeur des travées</t>
  </si>
  <si>
    <t>Version du modèle</t>
  </si>
  <si>
    <t>Transfo date</t>
  </si>
  <si>
    <t xml:space="preserve"> </t>
  </si>
  <si>
    <t>Shed</t>
  </si>
  <si>
    <t>Nombre de travées</t>
  </si>
  <si>
    <t>Surface</t>
  </si>
  <si>
    <t>Décentré</t>
  </si>
  <si>
    <t>Surface PHQ</t>
  </si>
  <si>
    <t>Sud</t>
  </si>
  <si>
    <t>Nord</t>
  </si>
  <si>
    <t>Pente Toiture</t>
  </si>
  <si>
    <t>Total Toiture</t>
  </si>
  <si>
    <t>Total Sol</t>
  </si>
  <si>
    <t>Coeff. pente</t>
  </si>
  <si>
    <t>Pente toiture</t>
  </si>
  <si>
    <t>Surface de la couverture :</t>
  </si>
  <si>
    <t>Dont:</t>
  </si>
  <si>
    <t>Exposition</t>
  </si>
  <si>
    <t>Est-Ouest</t>
  </si>
  <si>
    <t>de panneaux photovoltaïques</t>
  </si>
  <si>
    <t>Version</t>
  </si>
  <si>
    <t>Type du bâtiment 1 :</t>
  </si>
  <si>
    <t>Monopente</t>
  </si>
  <si>
    <t>-PV</t>
  </si>
  <si>
    <t>Adresse</t>
  </si>
  <si>
    <t>Chantier</t>
  </si>
  <si>
    <t>Rédacteur</t>
  </si>
  <si>
    <t>Rédacteurs</t>
  </si>
  <si>
    <t>Michel</t>
  </si>
  <si>
    <t>Patrick</t>
  </si>
  <si>
    <t>Sébastien</t>
  </si>
  <si>
    <t>Stéven</t>
  </si>
  <si>
    <t>Thomas</t>
  </si>
  <si>
    <t>G</t>
  </si>
  <si>
    <t>M</t>
  </si>
  <si>
    <t>H</t>
  </si>
  <si>
    <t>S</t>
  </si>
  <si>
    <t>T</t>
  </si>
  <si>
    <t>L</t>
  </si>
  <si>
    <t xml:space="preserve">Choix commercial </t>
  </si>
  <si>
    <t>DEVIS N°</t>
  </si>
  <si>
    <t>Confirmation de Commande N°</t>
  </si>
  <si>
    <t>Avenant N°</t>
  </si>
  <si>
    <t>40% à la livraison des matériaux</t>
  </si>
  <si>
    <t>Solde à la réception technique</t>
  </si>
  <si>
    <t>30% à la commande</t>
  </si>
  <si>
    <t>§ modalités de règlement</t>
  </si>
  <si>
    <t>mois (validité des prix)</t>
  </si>
  <si>
    <t xml:space="preserve">Modalités de règlement </t>
  </si>
  <si>
    <t>Conditions particulières</t>
  </si>
  <si>
    <t>Surface Tarif</t>
  </si>
  <si>
    <t>1. Description du bâtiment</t>
  </si>
  <si>
    <t xml:space="preserve">Largeur </t>
  </si>
  <si>
    <t xml:space="preserve">Longueur </t>
  </si>
  <si>
    <t xml:space="preserve">Pente </t>
  </si>
  <si>
    <t>m²</t>
  </si>
  <si>
    <t>ml</t>
  </si>
  <si>
    <t>Rives</t>
  </si>
  <si>
    <t>Tôlerie</t>
  </si>
  <si>
    <t>Soit un montant du contrat de :</t>
  </si>
  <si>
    <t>Euros hors taxes</t>
  </si>
  <si>
    <t>2. Durée du chantier</t>
  </si>
  <si>
    <t>3. Conditions de règlement</t>
  </si>
  <si>
    <t>4. Hébergement</t>
  </si>
  <si>
    <t>L'hébergement est assuré par les soins du sous-traitant.</t>
  </si>
  <si>
    <t>5. Avance Fuel élévateurs</t>
  </si>
  <si>
    <t xml:space="preserve">Une avance en espèces de 200 € sera remise avec le dossier technique, en début de chantier, afin de régler </t>
  </si>
  <si>
    <t>les frais de fuel exclusivement destinés aux élévateurs de chantier.</t>
  </si>
  <si>
    <t>Toute absence de justificatifs et / ou de monnaie sera retenu sur le règlement de la prestation de montage.</t>
  </si>
  <si>
    <t>6. Matériel et Outillage</t>
  </si>
  <si>
    <t>Les matériels suivants seront mis à disposition :</t>
  </si>
  <si>
    <t>1 élévateur manuscopique avec mât de 12 m</t>
  </si>
  <si>
    <t>1 nacelle de 5 m repliable</t>
  </si>
  <si>
    <t>1 lot de filets + corde</t>
  </si>
  <si>
    <t>L'ensemble doit être rendu dans l'état initial.</t>
  </si>
  <si>
    <t>Rappel surface tarif</t>
  </si>
  <si>
    <t>Pose</t>
  </si>
  <si>
    <t>Couverture</t>
  </si>
  <si>
    <t>Point Graph</t>
  </si>
  <si>
    <r>
      <t xml:space="preserve">Largeur </t>
    </r>
    <r>
      <rPr>
        <sz val="8"/>
        <rFont val="Arial"/>
        <family val="2"/>
      </rPr>
      <t>(y compris appentis et/ou auvent)</t>
    </r>
  </si>
  <si>
    <r>
      <t xml:space="preserve">Longueur </t>
    </r>
    <r>
      <rPr>
        <sz val="8"/>
        <rFont val="Arial"/>
        <family val="2"/>
      </rPr>
      <t>(y compris débord pignon)</t>
    </r>
  </si>
  <si>
    <t>Surface Sol</t>
  </si>
  <si>
    <t>Surface Panneaux</t>
  </si>
  <si>
    <t>Postes :</t>
  </si>
  <si>
    <t>Bac Acier</t>
  </si>
  <si>
    <t>Couvertines</t>
  </si>
  <si>
    <t>Faîtières</t>
  </si>
  <si>
    <t>Panneaux PHV</t>
  </si>
  <si>
    <t>Rails - Platines</t>
  </si>
  <si>
    <t>Panneaux PHQ</t>
  </si>
  <si>
    <t>Frais de vie</t>
  </si>
  <si>
    <t>o</t>
  </si>
  <si>
    <t>Dimensions :</t>
  </si>
  <si>
    <t>Adresse Chantier :</t>
  </si>
  <si>
    <t>Nombre jour de chantier</t>
  </si>
  <si>
    <t>% Avance</t>
  </si>
  <si>
    <t>Nbr Personnes</t>
  </si>
  <si>
    <t>Base Fibrociment Teinte Naturelle</t>
  </si>
  <si>
    <t>Plus-value bac laqué sur Base Fibro gris</t>
  </si>
  <si>
    <t>Fibro :</t>
  </si>
  <si>
    <t>-60 cm au sol (sur la largeur du bat)</t>
  </si>
  <si>
    <t>Prix Construmetal</t>
  </si>
  <si>
    <t>Prix de vente Fibrociment TN</t>
  </si>
  <si>
    <t>Vis Fibro SFS</t>
  </si>
  <si>
    <t xml:space="preserve">Plaques de </t>
  </si>
  <si>
    <t>Date</t>
  </si>
  <si>
    <t>gris</t>
  </si>
  <si>
    <t>rouge</t>
  </si>
  <si>
    <t>eco 30</t>
  </si>
  <si>
    <t>Ces champs sont à renseigner correctement après chaque tri de la table</t>
  </si>
  <si>
    <t>(surface utile)</t>
  </si>
  <si>
    <t>tole</t>
  </si>
  <si>
    <t>pab</t>
  </si>
  <si>
    <t>drain</t>
  </si>
  <si>
    <t>Base plus-value : Fibro gris</t>
  </si>
  <si>
    <t>+ 80 cm au sol</t>
  </si>
  <si>
    <t>+175 cm au sol</t>
  </si>
  <si>
    <t>Prix Achat</t>
  </si>
  <si>
    <t>Accessoires</t>
  </si>
  <si>
    <t>Table des couvertures</t>
  </si>
  <si>
    <t>(si ajouts, trier !)</t>
  </si>
  <si>
    <t>Libellé ligne suivante 1</t>
  </si>
  <si>
    <t>Plaque</t>
  </si>
  <si>
    <t>Coef.</t>
  </si>
  <si>
    <t>Access.</t>
  </si>
  <si>
    <t>Fournisseur</t>
  </si>
  <si>
    <t>vente</t>
  </si>
  <si>
    <t>Fourni</t>
  </si>
  <si>
    <t>dimens</t>
  </si>
  <si>
    <t>fixation</t>
  </si>
  <si>
    <t>/ m²</t>
  </si>
  <si>
    <t>caval</t>
  </si>
  <si>
    <t>joint</t>
  </si>
  <si>
    <t>Fibro : Faîtières</t>
  </si>
  <si>
    <t>(longueur utile)</t>
  </si>
  <si>
    <t>Table des faîtières</t>
  </si>
  <si>
    <t>Piéce</t>
  </si>
  <si>
    <t>/ ml</t>
  </si>
  <si>
    <t>Table des rives</t>
  </si>
  <si>
    <t>Table des goutiéres</t>
  </si>
  <si>
    <t>Pièce</t>
  </si>
  <si>
    <t>Table des descentes</t>
  </si>
  <si>
    <t>Par descente</t>
  </si>
  <si>
    <t>Chéneaux</t>
  </si>
  <si>
    <t>Table des accessoires</t>
  </si>
  <si>
    <t>Qté / ml</t>
  </si>
  <si>
    <t>Prix</t>
  </si>
  <si>
    <t>DTU 60.11 Descentes Eaux Pluviales</t>
  </si>
  <si>
    <t>Surface toiture prospect :</t>
  </si>
  <si>
    <t>Nbre Descentes :</t>
  </si>
  <si>
    <t>Prospect</t>
  </si>
  <si>
    <r>
      <t>Æ</t>
    </r>
    <r>
      <rPr>
        <sz val="10"/>
        <rFont val="Arial"/>
        <family val="2"/>
      </rPr>
      <t xml:space="preserve">  intérieur tuyau (mm)</t>
    </r>
  </si>
  <si>
    <t>Surface toiture desservie (m²)</t>
  </si>
  <si>
    <t>&gt;300</t>
  </si>
  <si>
    <t>Nbre. Descentes Idéal</t>
  </si>
  <si>
    <t>Unité</t>
  </si>
  <si>
    <t>Fourniture</t>
  </si>
  <si>
    <t>coef</t>
  </si>
  <si>
    <t>n</t>
  </si>
  <si>
    <t>Surfaces</t>
  </si>
  <si>
    <t>Saisir le prix HT avant simulations</t>
  </si>
  <si>
    <t>TOTAL H.T. NET</t>
  </si>
  <si>
    <t>Montant de la remise</t>
  </si>
  <si>
    <t>Pourcentage de remise</t>
  </si>
  <si>
    <t>LE CLIENT</t>
  </si>
  <si>
    <t xml:space="preserve">Bon pour travaux </t>
  </si>
  <si>
    <t>pour info</t>
  </si>
  <si>
    <t>Modules Photovoltaïques</t>
  </si>
  <si>
    <t>Surface Toiture avec modules comprenant :</t>
  </si>
  <si>
    <t>Tôle Plane</t>
  </si>
  <si>
    <t>Panneaux Photovoltaïques</t>
  </si>
  <si>
    <t>Montant</t>
  </si>
  <si>
    <t>Bac acier 75/100éme avec régulateur **</t>
  </si>
  <si>
    <t>Sécurité</t>
  </si>
  <si>
    <t>Location engin</t>
  </si>
  <si>
    <t>Coeff. Pose Pente</t>
  </si>
  <si>
    <t>Coeff Pente</t>
  </si>
  <si>
    <t>De 36,4% à 40,39%</t>
  </si>
  <si>
    <t>De 40,40% à 46,63%</t>
  </si>
  <si>
    <t>Plus de 46,64%</t>
  </si>
  <si>
    <t>m² / j / h</t>
  </si>
  <si>
    <t>PHV</t>
  </si>
  <si>
    <t>Couv</t>
  </si>
  <si>
    <t>Platines</t>
  </si>
  <si>
    <t>Rails</t>
  </si>
  <si>
    <t>Contrat pose PRZ</t>
  </si>
  <si>
    <t>Estimat° location</t>
  </si>
  <si>
    <t>Total dépenses</t>
  </si>
  <si>
    <t>Résultat estimé</t>
  </si>
  <si>
    <t>Bac acier 75 / 100ème laqué Agriconfort**</t>
  </si>
  <si>
    <t>Bac acier 75 / 100ème laqué Agridrain**</t>
  </si>
  <si>
    <t>Bac acier 75/100éme **</t>
  </si>
  <si>
    <t>Bac acier isolé 100mm 0,5/0,5 **</t>
  </si>
  <si>
    <t>Bac Acier isolé 40mm 0,5/0,5 **</t>
  </si>
  <si>
    <t>Bac Acier isolé 60mm 0,5/0,5 **</t>
  </si>
  <si>
    <t>Bac Acier isolé 80mm 0,5/0,5 **</t>
  </si>
  <si>
    <t>Bac acier isolé Eco 30 simple peau**</t>
  </si>
  <si>
    <t>Bac acier JI Roof Isolé 80mm</t>
  </si>
  <si>
    <t>Fibro 5 ondes Flammé</t>
  </si>
  <si>
    <t>Fibro 5 ondes Teinté</t>
  </si>
  <si>
    <t>Fibro 5 ondes Teinte Naturelle</t>
  </si>
  <si>
    <t>Fibro 6 ondes Flammé</t>
  </si>
  <si>
    <t>Fibro 6 ondes Teinté</t>
  </si>
  <si>
    <t>Fibro 6 ondes Teinte Naturelle</t>
  </si>
  <si>
    <t>Translucide Pollycarbonate Tetratherm 100mm</t>
  </si>
  <si>
    <t>Translucide polycarbonate</t>
  </si>
  <si>
    <t>Translucide polyester cl.4</t>
  </si>
  <si>
    <t>Arcelor Mittal</t>
  </si>
  <si>
    <t>SCAB</t>
  </si>
  <si>
    <t>SCAB-JORISIDE</t>
  </si>
  <si>
    <t>6,5x100</t>
  </si>
  <si>
    <t>6,5x200</t>
  </si>
  <si>
    <t>6,5x160</t>
  </si>
  <si>
    <t>6,5x130</t>
  </si>
  <si>
    <t>6,5x180</t>
  </si>
  <si>
    <t>tire-fds</t>
  </si>
  <si>
    <t>Faitière à boudin crantée RAL Standard</t>
  </si>
  <si>
    <t>Fibro 5 ondes à chapeau teinté</t>
  </si>
  <si>
    <t>Fibro 5 ondes à chapeau teinte naturelle</t>
  </si>
  <si>
    <t>Fibro 5 ondes à charnière flammée</t>
  </si>
  <si>
    <t>Fibro 5 ondes à charnière teinte naturelle</t>
  </si>
  <si>
    <t>Fibro 5 ondes à charnière teintée</t>
  </si>
  <si>
    <t>Fibro 5 ondes aération teinte naturelle</t>
  </si>
  <si>
    <t>Fibro 5 ondes aération teintée</t>
  </si>
  <si>
    <t>Fibro 5 ondes pare vent teinte naturelle</t>
  </si>
  <si>
    <t>Fibro 5 ondes pare vent teintée</t>
  </si>
  <si>
    <t>Fibro 6 ondes à chapeau teinté</t>
  </si>
  <si>
    <t>Fibro 6 ondes à chapeau teinte naturelle</t>
  </si>
  <si>
    <t>Fibro 6 ondes à charnière flammée</t>
  </si>
  <si>
    <t>Fibro 6 ondes à charnière teinte naturelle</t>
  </si>
  <si>
    <t>Fibro 6 ondes à charnière teintée</t>
  </si>
  <si>
    <t>Fibro 6 ondes aération teinte naturelle</t>
  </si>
  <si>
    <t>Fibro 6 ondes aération teintée</t>
  </si>
  <si>
    <t>Fibro 6 ondes pare vent teinte naturelle (ITEB)</t>
  </si>
  <si>
    <t>Fibro 6 ondes pare vent teintée (ITEB)</t>
  </si>
  <si>
    <t>Tôle Plane Pliée</t>
  </si>
  <si>
    <t>6 ondes</t>
  </si>
  <si>
    <t>5 ondes</t>
  </si>
  <si>
    <t>Bac Acier Simple</t>
  </si>
  <si>
    <t>Raccord de mur</t>
  </si>
  <si>
    <t>Raccord de Shed</t>
  </si>
  <si>
    <t>Tôle</t>
  </si>
  <si>
    <t>% Marge/PV</t>
  </si>
  <si>
    <t>4.00</t>
  </si>
  <si>
    <t>CALCUL MARGE</t>
  </si>
  <si>
    <t>De 30,1% à 36,39%</t>
  </si>
  <si>
    <t>De 10% à 30%</t>
  </si>
  <si>
    <t>zéro (sans)</t>
  </si>
  <si>
    <t>Mise en Sécurité</t>
  </si>
  <si>
    <t>Manège équestre</t>
  </si>
  <si>
    <t>M01</t>
  </si>
  <si>
    <t xml:space="preserve">   Bac Acier Simple</t>
  </si>
  <si>
    <t xml:space="preserve">   Pose  : Couvertines (Toutes fournitures non comprises)</t>
  </si>
  <si>
    <t xml:space="preserve">   Tôle Plane</t>
  </si>
  <si>
    <t xml:space="preserve">   Pose  : Faîtières (Toutes fournitures non comprises)</t>
  </si>
  <si>
    <t>Société</t>
  </si>
  <si>
    <t>Les justificatifs devront être remis à Société en fin de chantier, ainsi que le solde.</t>
  </si>
  <si>
    <t xml:space="preserve">Joël </t>
  </si>
  <si>
    <t xml:space="preserve">Michel </t>
  </si>
  <si>
    <t xml:space="preserve">Régis </t>
  </si>
  <si>
    <t xml:space="preserve">Stéphane </t>
  </si>
  <si>
    <t xml:space="preserve">Thierry </t>
  </si>
  <si>
    <t xml:space="preserve">Thomas Le </t>
  </si>
  <si>
    <t>06</t>
  </si>
  <si>
    <t>http://forum.excel-pratique.com/excel/inverser-la-valeur-numero-de-couleur-de-la-police-t24470.html</t>
  </si>
</sst>
</file>

<file path=xl/styles.xml><?xml version="1.0" encoding="utf-8"?>
<styleSheet xmlns="http://schemas.openxmlformats.org/spreadsheetml/2006/main">
  <numFmts count="16">
    <numFmt numFmtId="44" formatCode="_-* #,##0.00\ &quot;€&quot;_-;\-* #,##0.00\ &quot;€&quot;_-;_-* &quot;-&quot;??\ &quot;€&quot;_-;_-@_-"/>
    <numFmt numFmtId="164" formatCode="#,##0.00\ &quot;€&quot;"/>
    <numFmt numFmtId="165" formatCode="[$-40C]d\ mmmm\ yyyy;@"/>
    <numFmt numFmtId="166" formatCode="0.00&quot; m&quot;"/>
    <numFmt numFmtId="167" formatCode="0&quot; m²&quot;"/>
    <numFmt numFmtId="168" formatCode="0&quot; m&quot;"/>
    <numFmt numFmtId="169" formatCode="#,##0.00&quot; m²&quot;"/>
    <numFmt numFmtId="170" formatCode="#,##0&quot; m²&quot;"/>
    <numFmt numFmtId="171" formatCode="&quot; m x &quot;00.00&quot; m&quot;"/>
    <numFmt numFmtId="172" formatCode="0.000"/>
    <numFmt numFmtId="173" formatCode="#,##0.00&quot; ml&quot;"/>
    <numFmt numFmtId="174" formatCode="0.0"/>
    <numFmt numFmtId="175" formatCode="0.00&quot; €&quot;"/>
    <numFmt numFmtId="176" formatCode="[$-40C]mmm\-yy;@"/>
    <numFmt numFmtId="177" formatCode="General&quot; ml&quot;"/>
    <numFmt numFmtId="178" formatCode="#,##0\ [$FRF]"/>
  </numFmts>
  <fonts count="98"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color indexed="12"/>
      <name val="Arial"/>
      <family val="2"/>
    </font>
    <font>
      <sz val="10"/>
      <color indexed="12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sz val="11"/>
      <color indexed="10"/>
      <name val="Arial"/>
      <family val="2"/>
    </font>
    <font>
      <sz val="8"/>
      <color indexed="12"/>
      <name val="Arial"/>
      <family val="2"/>
    </font>
    <font>
      <b/>
      <i/>
      <sz val="11"/>
      <color indexed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i/>
      <sz val="10"/>
      <color indexed="12"/>
      <name val="Arial"/>
      <family val="2"/>
    </font>
    <font>
      <i/>
      <sz val="6"/>
      <color indexed="55"/>
      <name val="Arial"/>
      <family val="2"/>
    </font>
    <font>
      <i/>
      <sz val="5"/>
      <color indexed="55"/>
      <name val="Arial"/>
      <family val="2"/>
    </font>
    <font>
      <b/>
      <sz val="7"/>
      <color indexed="10"/>
      <name val="Arial"/>
      <family val="2"/>
    </font>
    <font>
      <i/>
      <sz val="10"/>
      <color indexed="12"/>
      <name val="Arial"/>
      <family val="2"/>
    </font>
    <font>
      <sz val="10"/>
      <color indexed="55"/>
      <name val="Arial"/>
      <family val="2"/>
    </font>
    <font>
      <b/>
      <sz val="9"/>
      <color indexed="10"/>
      <name val="Arial"/>
      <family val="2"/>
    </font>
    <font>
      <i/>
      <sz val="10"/>
      <name val="Arial"/>
      <family val="2"/>
    </font>
    <font>
      <i/>
      <sz val="11"/>
      <name val="Arial"/>
      <family val="2"/>
    </font>
    <font>
      <b/>
      <sz val="16"/>
      <name val="Arial"/>
      <family val="2"/>
    </font>
    <font>
      <u/>
      <sz val="11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  <font>
      <b/>
      <sz val="7"/>
      <color indexed="12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i/>
      <sz val="8"/>
      <name val="Arial"/>
      <family val="2"/>
    </font>
    <font>
      <i/>
      <sz val="8"/>
      <color indexed="23"/>
      <name val="Arial"/>
      <family val="2"/>
    </font>
    <font>
      <i/>
      <sz val="10"/>
      <color indexed="23"/>
      <name val="Arial"/>
      <family val="2"/>
    </font>
    <font>
      <b/>
      <sz val="8"/>
      <color indexed="12"/>
      <name val="Arial"/>
      <family val="2"/>
    </font>
    <font>
      <b/>
      <sz val="7"/>
      <name val="Arial"/>
      <family val="2"/>
    </font>
    <font>
      <sz val="10"/>
      <color indexed="56"/>
      <name val="Arial"/>
      <family val="2"/>
    </font>
    <font>
      <b/>
      <sz val="10"/>
      <color indexed="56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8"/>
      <color indexed="9"/>
      <name val="Arial"/>
      <family val="2"/>
    </font>
    <font>
      <b/>
      <sz val="8"/>
      <color indexed="9"/>
      <name val="Arial"/>
      <family val="2"/>
    </font>
    <font>
      <b/>
      <sz val="14"/>
      <color indexed="10"/>
      <name val="Arial"/>
      <family val="2"/>
    </font>
    <font>
      <sz val="11"/>
      <color indexed="12"/>
      <name val="Arial"/>
      <family val="2"/>
    </font>
    <font>
      <i/>
      <sz val="10"/>
      <color indexed="10"/>
      <name val="Arial"/>
      <family val="2"/>
    </font>
    <font>
      <i/>
      <sz val="8"/>
      <color indexed="10"/>
      <name val="Arial"/>
      <family val="2"/>
    </font>
    <font>
      <i/>
      <sz val="11"/>
      <color indexed="10"/>
      <name val="Arial"/>
      <family val="2"/>
    </font>
    <font>
      <sz val="9"/>
      <color indexed="12"/>
      <name val="Arial"/>
      <family val="2"/>
    </font>
    <font>
      <u/>
      <sz val="10"/>
      <color indexed="12"/>
      <name val="Arial"/>
      <family val="2"/>
    </font>
    <font>
      <sz val="10"/>
      <name val="Symbol"/>
      <family val="1"/>
      <charset val="2"/>
    </font>
    <font>
      <sz val="7"/>
      <color indexed="56"/>
      <name val="Arial"/>
      <family val="2"/>
    </font>
    <font>
      <sz val="8"/>
      <color indexed="56"/>
      <name val="Arial"/>
      <family val="2"/>
    </font>
    <font>
      <b/>
      <sz val="9"/>
      <color indexed="56"/>
      <name val="Arial"/>
      <family val="2"/>
    </font>
    <font>
      <sz val="9"/>
      <color indexed="56"/>
      <name val="Arial"/>
      <family val="2"/>
    </font>
    <font>
      <b/>
      <sz val="8"/>
      <color indexed="56"/>
      <name val="Arial"/>
      <family val="2"/>
    </font>
    <font>
      <sz val="11"/>
      <color indexed="56"/>
      <name val="Arial"/>
      <family val="2"/>
    </font>
    <font>
      <i/>
      <sz val="8"/>
      <color indexed="56"/>
      <name val="Arial"/>
      <family val="2"/>
    </font>
    <font>
      <b/>
      <i/>
      <sz val="9"/>
      <color indexed="56"/>
      <name val="Arial"/>
      <family val="2"/>
    </font>
    <font>
      <i/>
      <sz val="7"/>
      <color indexed="56"/>
      <name val="Arial"/>
      <family val="2"/>
    </font>
    <font>
      <i/>
      <sz val="10"/>
      <color indexed="56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color indexed="17"/>
      <name val="Arial"/>
      <family val="2"/>
    </font>
    <font>
      <b/>
      <sz val="11"/>
      <color indexed="12"/>
      <name val="Arial"/>
      <family val="2"/>
    </font>
    <font>
      <sz val="11"/>
      <color indexed="48"/>
      <name val="Arial"/>
      <family val="2"/>
    </font>
    <font>
      <b/>
      <sz val="11"/>
      <color indexed="48"/>
      <name val="Arial"/>
      <family val="2"/>
    </font>
    <font>
      <b/>
      <sz val="9"/>
      <color indexed="10"/>
      <name val="Arial"/>
      <family val="2"/>
    </font>
    <font>
      <i/>
      <sz val="8"/>
      <color indexed="12"/>
      <name val="Arial"/>
      <family val="2"/>
    </font>
    <font>
      <b/>
      <sz val="8"/>
      <color indexed="30"/>
      <name val="Arial"/>
      <family val="2"/>
    </font>
    <font>
      <b/>
      <sz val="10"/>
      <color indexed="8"/>
      <name val="Arial"/>
      <family val="2"/>
    </font>
    <font>
      <sz val="7"/>
      <color indexed="22"/>
      <name val="Arial"/>
      <family val="2"/>
    </font>
    <font>
      <sz val="10"/>
      <color indexed="8"/>
      <name val="Arial"/>
      <family val="2"/>
    </font>
    <font>
      <b/>
      <i/>
      <sz val="11"/>
      <color indexed="23"/>
      <name val="Arial"/>
      <family val="2"/>
    </font>
    <font>
      <sz val="7"/>
      <color indexed="10"/>
      <name val="Arial"/>
      <family val="2"/>
    </font>
    <font>
      <sz val="7"/>
      <color indexed="12"/>
      <name val="Arial"/>
      <family val="2"/>
    </font>
    <font>
      <b/>
      <i/>
      <sz val="9"/>
      <color indexed="12"/>
      <name val="Arial"/>
      <family val="2"/>
    </font>
    <font>
      <b/>
      <i/>
      <sz val="9"/>
      <color indexed="10"/>
      <name val="Arial"/>
      <family val="2"/>
    </font>
    <font>
      <i/>
      <sz val="7"/>
      <color indexed="10"/>
      <name val="Arial"/>
      <family val="2"/>
    </font>
    <font>
      <b/>
      <i/>
      <sz val="9"/>
      <name val="Arial"/>
      <family val="2"/>
    </font>
    <font>
      <i/>
      <sz val="7"/>
      <name val="Arial"/>
      <family val="2"/>
    </font>
    <font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12"/>
      </left>
      <right/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/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6"/>
      </left>
      <right style="medium">
        <color indexed="56"/>
      </right>
      <top/>
      <bottom style="medium">
        <color indexed="56"/>
      </bottom>
      <diagonal/>
    </border>
    <border>
      <left style="medium">
        <color indexed="56"/>
      </left>
      <right style="medium">
        <color indexed="56"/>
      </right>
      <top style="medium">
        <color indexed="56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44" fontId="3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" fillId="0" borderId="0"/>
    <xf numFmtId="0" fontId="97" fillId="0" borderId="0"/>
    <xf numFmtId="9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5" fillId="0" borderId="0" applyFont="0" applyFill="0" applyBorder="0" applyAlignment="0" applyProtection="0"/>
  </cellStyleXfs>
  <cellXfs count="1130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10" fillId="0" borderId="0" xfId="0" applyFont="1"/>
    <xf numFmtId="0" fontId="3" fillId="0" borderId="0" xfId="0" applyFont="1"/>
    <xf numFmtId="0" fontId="1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 applyBorder="1" applyAlignment="1">
      <alignment horizontal="right"/>
    </xf>
    <xf numFmtId="0" fontId="7" fillId="0" borderId="0" xfId="0" quotePrefix="1" applyFont="1"/>
    <xf numFmtId="0" fontId="13" fillId="0" borderId="0" xfId="0" applyFont="1" applyFill="1" applyAlignme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 applyBorder="1" applyAlignment="1">
      <alignment horizontal="left"/>
    </xf>
    <xf numFmtId="164" fontId="10" fillId="0" borderId="0" xfId="0" applyNumberFormat="1" applyFont="1"/>
    <xf numFmtId="0" fontId="13" fillId="0" borderId="0" xfId="0" applyFont="1" applyBorder="1" applyAlignment="1"/>
    <xf numFmtId="0" fontId="0" fillId="0" borderId="0" xfId="0" applyBorder="1"/>
    <xf numFmtId="0" fontId="14" fillId="0" borderId="0" xfId="0" applyFont="1" applyAlignment="1">
      <alignment horizontal="left"/>
    </xf>
    <xf numFmtId="0" fontId="1" fillId="0" borderId="0" xfId="0" applyFont="1"/>
    <xf numFmtId="2" fontId="10" fillId="0" borderId="0" xfId="0" applyNumberFormat="1" applyFont="1"/>
    <xf numFmtId="0" fontId="4" fillId="0" borderId="0" xfId="0" applyFont="1"/>
    <xf numFmtId="0" fontId="17" fillId="0" borderId="0" xfId="0" applyFont="1" applyBorder="1" applyAlignment="1">
      <alignment horizontal="right"/>
    </xf>
    <xf numFmtId="0" fontId="7" fillId="0" borderId="0" xfId="0" applyFont="1"/>
    <xf numFmtId="0" fontId="17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2" fontId="2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24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0" fillId="2" borderId="2" xfId="0" applyFill="1" applyBorder="1"/>
    <xf numFmtId="166" fontId="2" fillId="3" borderId="3" xfId="0" applyNumberFormat="1" applyFont="1" applyFill="1" applyBorder="1" applyAlignment="1">
      <alignment horizontal="center"/>
    </xf>
    <xf numFmtId="12" fontId="20" fillId="3" borderId="4" xfId="0" applyNumberFormat="1" applyFont="1" applyFill="1" applyBorder="1" applyAlignment="1">
      <alignment horizontal="center"/>
    </xf>
    <xf numFmtId="0" fontId="25" fillId="3" borderId="5" xfId="0" applyFont="1" applyFill="1" applyBorder="1" applyAlignment="1">
      <alignment horizontal="center"/>
    </xf>
    <xf numFmtId="0" fontId="25" fillId="3" borderId="6" xfId="0" applyFont="1" applyFill="1" applyBorder="1" applyAlignment="1">
      <alignment horizontal="center"/>
    </xf>
    <xf numFmtId="166" fontId="20" fillId="3" borderId="7" xfId="0" applyNumberFormat="1" applyFont="1" applyFill="1" applyBorder="1" applyAlignment="1">
      <alignment horizontal="center"/>
    </xf>
    <xf numFmtId="12" fontId="20" fillId="3" borderId="8" xfId="0" applyNumberFormat="1" applyFont="1" applyFill="1" applyBorder="1" applyAlignment="1">
      <alignment horizontal="center"/>
    </xf>
    <xf numFmtId="9" fontId="10" fillId="0" borderId="0" xfId="0" applyNumberFormat="1" applyFont="1"/>
    <xf numFmtId="0" fontId="0" fillId="0" borderId="9" xfId="0" applyBorder="1"/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2" fontId="22" fillId="0" borderId="0" xfId="0" applyNumberFormat="1" applyFont="1"/>
    <xf numFmtId="9" fontId="22" fillId="0" borderId="0" xfId="0" applyNumberFormat="1" applyFont="1" applyAlignment="1">
      <alignment horizontal="center"/>
    </xf>
    <xf numFmtId="9" fontId="22" fillId="0" borderId="0" xfId="0" applyNumberFormat="1" applyFont="1"/>
    <xf numFmtId="2" fontId="7" fillId="0" borderId="0" xfId="0" applyNumberFormat="1" applyFont="1"/>
    <xf numFmtId="0" fontId="21" fillId="0" borderId="0" xfId="0" applyFont="1" applyFill="1"/>
    <xf numFmtId="3" fontId="7" fillId="0" borderId="0" xfId="0" applyNumberFormat="1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7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0" fontId="20" fillId="0" borderId="0" xfId="0" applyFont="1"/>
    <xf numFmtId="167" fontId="9" fillId="4" borderId="10" xfId="0" applyNumberFormat="1" applyFont="1" applyFill="1" applyBorder="1" applyAlignment="1">
      <alignment horizontal="center"/>
    </xf>
    <xf numFmtId="167" fontId="9" fillId="4" borderId="11" xfId="0" applyNumberFormat="1" applyFont="1" applyFill="1" applyBorder="1" applyAlignment="1">
      <alignment horizontal="center"/>
    </xf>
    <xf numFmtId="167" fontId="9" fillId="4" borderId="12" xfId="0" applyNumberFormat="1" applyFont="1" applyFill="1" applyBorder="1" applyAlignment="1">
      <alignment horizontal="center"/>
    </xf>
    <xf numFmtId="167" fontId="9" fillId="4" borderId="2" xfId="0" applyNumberFormat="1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168" fontId="2" fillId="5" borderId="11" xfId="0" applyNumberFormat="1" applyFont="1" applyFill="1" applyBorder="1" applyAlignment="1">
      <alignment horizontal="center"/>
    </xf>
    <xf numFmtId="1" fontId="2" fillId="5" borderId="11" xfId="0" applyNumberFormat="1" applyFont="1" applyFill="1" applyBorder="1" applyAlignment="1">
      <alignment horizontal="center"/>
    </xf>
    <xf numFmtId="166" fontId="2" fillId="5" borderId="11" xfId="0" applyNumberFormat="1" applyFont="1" applyFill="1" applyBorder="1" applyAlignment="1">
      <alignment horizontal="center"/>
    </xf>
    <xf numFmtId="166" fontId="2" fillId="5" borderId="12" xfId="0" applyNumberFormat="1" applyFont="1" applyFill="1" applyBorder="1" applyAlignment="1">
      <alignment horizontal="center"/>
    </xf>
    <xf numFmtId="9" fontId="2" fillId="5" borderId="10" xfId="0" applyNumberFormat="1" applyFont="1" applyFill="1" applyBorder="1" applyAlignment="1">
      <alignment horizontal="center"/>
    </xf>
    <xf numFmtId="168" fontId="20" fillId="3" borderId="11" xfId="0" applyNumberFormat="1" applyFont="1" applyFill="1" applyBorder="1" applyAlignment="1">
      <alignment horizontal="center"/>
    </xf>
    <xf numFmtId="168" fontId="20" fillId="3" borderId="12" xfId="0" applyNumberFormat="1" applyFont="1" applyFill="1" applyBorder="1" applyAlignment="1">
      <alignment horizontal="center"/>
    </xf>
    <xf numFmtId="0" fontId="25" fillId="3" borderId="10" xfId="0" applyFont="1" applyFill="1" applyBorder="1" applyAlignment="1">
      <alignment horizontal="center"/>
    </xf>
    <xf numFmtId="167" fontId="20" fillId="6" borderId="10" xfId="0" applyNumberFormat="1" applyFont="1" applyFill="1" applyBorder="1" applyAlignment="1">
      <alignment horizontal="center"/>
    </xf>
    <xf numFmtId="167" fontId="20" fillId="6" borderId="11" xfId="0" applyNumberFormat="1" applyFont="1" applyFill="1" applyBorder="1" applyAlignment="1">
      <alignment horizontal="center"/>
    </xf>
    <xf numFmtId="167" fontId="20" fillId="6" borderId="2" xfId="0" applyNumberFormat="1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9" fillId="4" borderId="0" xfId="0" applyFont="1" applyFill="1" applyBorder="1" applyAlignment="1">
      <alignment horizontal="center"/>
    </xf>
    <xf numFmtId="0" fontId="30" fillId="0" borderId="0" xfId="0" applyFont="1"/>
    <xf numFmtId="0" fontId="23" fillId="2" borderId="2" xfId="0" applyFont="1" applyFill="1" applyBorder="1"/>
    <xf numFmtId="0" fontId="11" fillId="0" borderId="0" xfId="0" applyFont="1" applyAlignment="1">
      <alignment horizontal="right"/>
    </xf>
    <xf numFmtId="0" fontId="32" fillId="0" borderId="0" xfId="0" applyFont="1"/>
    <xf numFmtId="0" fontId="3" fillId="7" borderId="13" xfId="0" applyFont="1" applyFill="1" applyBorder="1" applyAlignment="1">
      <alignment vertical="center"/>
    </xf>
    <xf numFmtId="0" fontId="3" fillId="7" borderId="14" xfId="0" applyFont="1" applyFill="1" applyBorder="1" applyAlignment="1">
      <alignment vertical="center"/>
    </xf>
    <xf numFmtId="0" fontId="3" fillId="7" borderId="15" xfId="0" applyFont="1" applyFill="1" applyBorder="1" applyAlignment="1">
      <alignment vertical="center"/>
    </xf>
    <xf numFmtId="0" fontId="3" fillId="7" borderId="0" xfId="0" applyFont="1" applyFill="1" applyBorder="1" applyAlignment="1">
      <alignment vertical="center"/>
    </xf>
    <xf numFmtId="0" fontId="3" fillId="7" borderId="16" xfId="0" applyFont="1" applyFill="1" applyBorder="1" applyAlignment="1">
      <alignment vertical="center"/>
    </xf>
    <xf numFmtId="0" fontId="3" fillId="7" borderId="17" xfId="0" applyFont="1" applyFill="1" applyBorder="1" applyAlignment="1">
      <alignment vertical="center"/>
    </xf>
    <xf numFmtId="0" fontId="3" fillId="7" borderId="18" xfId="0" applyFont="1" applyFill="1" applyBorder="1" applyAlignment="1">
      <alignment vertical="center"/>
    </xf>
    <xf numFmtId="0" fontId="3" fillId="7" borderId="0" xfId="0" applyFont="1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12" fillId="0" borderId="0" xfId="0" applyFont="1" applyAlignment="1"/>
    <xf numFmtId="0" fontId="7" fillId="0" borderId="0" xfId="0" applyFont="1" applyBorder="1" applyAlignment="1" applyProtection="1">
      <alignment horizontal="left"/>
      <protection locked="0"/>
    </xf>
    <xf numFmtId="0" fontId="3" fillId="7" borderId="13" xfId="0" applyFont="1" applyFill="1" applyBorder="1"/>
    <xf numFmtId="0" fontId="3" fillId="7" borderId="15" xfId="0" applyFont="1" applyFill="1" applyBorder="1"/>
    <xf numFmtId="0" fontId="3" fillId="7" borderId="16" xfId="0" applyFont="1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18" xfId="0" applyFill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2" fillId="0" borderId="0" xfId="0" applyFont="1" applyAlignment="1">
      <alignment horizontal="right" vertical="center"/>
    </xf>
    <xf numFmtId="0" fontId="28" fillId="0" borderId="0" xfId="0" applyFont="1" applyAlignment="1"/>
    <xf numFmtId="0" fontId="4" fillId="7" borderId="13" xfId="0" applyFont="1" applyFill="1" applyBorder="1" applyAlignment="1">
      <alignment horizontal="center"/>
    </xf>
    <xf numFmtId="0" fontId="10" fillId="7" borderId="15" xfId="0" applyFont="1" applyFill="1" applyBorder="1"/>
    <xf numFmtId="0" fontId="3" fillId="7" borderId="15" xfId="0" applyFont="1" applyFill="1" applyBorder="1" applyAlignment="1">
      <alignment horizontal="center"/>
    </xf>
    <xf numFmtId="0" fontId="36" fillId="7" borderId="23" xfId="0" applyFont="1" applyFill="1" applyBorder="1" applyAlignment="1"/>
    <xf numFmtId="0" fontId="6" fillId="7" borderId="19" xfId="0" applyFont="1" applyFill="1" applyBorder="1" applyAlignment="1">
      <alignment horizontal="center"/>
    </xf>
    <xf numFmtId="0" fontId="16" fillId="7" borderId="0" xfId="0" applyFont="1" applyFill="1" applyBorder="1" applyAlignment="1">
      <alignment horizont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" fontId="3" fillId="7" borderId="0" xfId="0" applyNumberFormat="1" applyFont="1" applyFill="1" applyBorder="1" applyAlignment="1">
      <alignment horizontal="center"/>
    </xf>
    <xf numFmtId="0" fontId="16" fillId="7" borderId="15" xfId="0" applyFont="1" applyFill="1" applyBorder="1" applyAlignment="1">
      <alignment horizontal="center"/>
    </xf>
    <xf numFmtId="0" fontId="16" fillId="7" borderId="22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1" fontId="3" fillId="7" borderId="22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right"/>
    </xf>
    <xf numFmtId="0" fontId="3" fillId="7" borderId="17" xfId="0" applyFont="1" applyFill="1" applyBorder="1" applyAlignment="1">
      <alignment horizontal="center"/>
    </xf>
    <xf numFmtId="0" fontId="3" fillId="7" borderId="18" xfId="0" applyFont="1" applyFill="1" applyBorder="1" applyAlignment="1">
      <alignment horizontal="center"/>
    </xf>
    <xf numFmtId="0" fontId="1" fillId="0" borderId="0" xfId="7"/>
    <xf numFmtId="0" fontId="1" fillId="0" borderId="0" xfId="7" applyAlignment="1">
      <alignment horizontal="center"/>
    </xf>
    <xf numFmtId="4" fontId="1" fillId="0" borderId="0" xfId="7" applyNumberFormat="1"/>
    <xf numFmtId="0" fontId="5" fillId="0" borderId="0" xfId="7" applyFont="1" applyAlignment="1"/>
    <xf numFmtId="0" fontId="1" fillId="0" borderId="0" xfId="7" applyAlignment="1"/>
    <xf numFmtId="0" fontId="40" fillId="0" borderId="0" xfId="7" applyFont="1" applyAlignment="1"/>
    <xf numFmtId="0" fontId="39" fillId="0" borderId="0" xfId="7" applyFont="1"/>
    <xf numFmtId="0" fontId="1" fillId="0" borderId="0" xfId="7" applyFont="1" applyAlignment="1"/>
    <xf numFmtId="0" fontId="1" fillId="0" borderId="0" xfId="7" applyFill="1"/>
    <xf numFmtId="0" fontId="1" fillId="0" borderId="0" xfId="7" applyFont="1"/>
    <xf numFmtId="0" fontId="40" fillId="0" borderId="0" xfId="7" applyFont="1" applyAlignment="1">
      <alignment horizontal="right"/>
    </xf>
    <xf numFmtId="0" fontId="3" fillId="0" borderId="0" xfId="7" applyFont="1"/>
    <xf numFmtId="2" fontId="1" fillId="0" borderId="0" xfId="7" applyNumberFormat="1"/>
    <xf numFmtId="10" fontId="1" fillId="0" borderId="0" xfId="10" applyNumberFormat="1"/>
    <xf numFmtId="0" fontId="39" fillId="0" borderId="0" xfId="7" applyFont="1" applyAlignment="1"/>
    <xf numFmtId="0" fontId="1" fillId="0" borderId="0" xfId="7" applyBorder="1"/>
    <xf numFmtId="0" fontId="1" fillId="0" borderId="0" xfId="7" applyBorder="1" applyAlignment="1">
      <alignment horizontal="center"/>
    </xf>
    <xf numFmtId="4" fontId="1" fillId="0" borderId="0" xfId="7" applyNumberFormat="1" applyBorder="1"/>
    <xf numFmtId="0" fontId="1" fillId="0" borderId="0" xfId="7" applyFont="1" applyBorder="1" applyAlignment="1"/>
    <xf numFmtId="0" fontId="1" fillId="0" borderId="0" xfId="7" applyBorder="1" applyAlignment="1"/>
    <xf numFmtId="10" fontId="36" fillId="0" borderId="0" xfId="7" applyNumberFormat="1" applyFont="1" applyAlignment="1">
      <alignment horizontal="center"/>
    </xf>
    <xf numFmtId="0" fontId="41" fillId="8" borderId="24" xfId="7" applyNumberFormat="1" applyFont="1" applyFill="1" applyBorder="1" applyAlignment="1">
      <alignment horizontal="center"/>
    </xf>
    <xf numFmtId="0" fontId="36" fillId="0" borderId="0" xfId="7" applyFont="1" applyAlignment="1">
      <alignment horizontal="center"/>
    </xf>
    <xf numFmtId="164" fontId="42" fillId="0" borderId="0" xfId="7" applyNumberFormat="1" applyFont="1"/>
    <xf numFmtId="0" fontId="43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/>
    <xf numFmtId="2" fontId="3" fillId="0" borderId="0" xfId="7" applyNumberFormat="1" applyFont="1"/>
    <xf numFmtId="4" fontId="43" fillId="0" borderId="0" xfId="7" applyNumberFormat="1" applyFont="1"/>
    <xf numFmtId="2" fontId="16" fillId="0" borderId="0" xfId="7" applyNumberFormat="1" applyFont="1" applyFill="1" applyAlignment="1">
      <alignment horizontal="center"/>
    </xf>
    <xf numFmtId="10" fontId="36" fillId="0" borderId="0" xfId="7" applyNumberFormat="1" applyFont="1" applyFill="1" applyAlignment="1">
      <alignment horizontal="center"/>
    </xf>
    <xf numFmtId="0" fontId="45" fillId="0" borderId="0" xfId="7" applyFont="1"/>
    <xf numFmtId="0" fontId="46" fillId="0" borderId="0" xfId="7" applyFont="1"/>
    <xf numFmtId="0" fontId="45" fillId="0" borderId="0" xfId="7" applyFont="1" applyAlignment="1">
      <alignment horizontal="center"/>
    </xf>
    <xf numFmtId="0" fontId="3" fillId="0" borderId="0" xfId="7" applyFont="1" applyAlignment="1">
      <alignment horizontal="center"/>
    </xf>
    <xf numFmtId="0" fontId="4" fillId="0" borderId="0" xfId="7" applyFont="1" applyFill="1"/>
    <xf numFmtId="2" fontId="3" fillId="0" borderId="0" xfId="7" applyNumberFormat="1" applyFont="1" applyFill="1"/>
    <xf numFmtId="4" fontId="43" fillId="0" borderId="0" xfId="7" applyNumberFormat="1" applyFont="1" applyFill="1"/>
    <xf numFmtId="0" fontId="3" fillId="0" borderId="0" xfId="7" applyFont="1" applyFill="1"/>
    <xf numFmtId="0" fontId="1" fillId="0" borderId="0" xfId="7" applyFont="1" applyFill="1"/>
    <xf numFmtId="9" fontId="3" fillId="0" borderId="0" xfId="7" applyNumberFormat="1" applyFont="1" applyAlignment="1">
      <alignment horizontal="center" vertical="center"/>
    </xf>
    <xf numFmtId="0" fontId="50" fillId="9" borderId="25" xfId="7" applyNumberFormat="1" applyFont="1" applyFill="1" applyBorder="1" applyAlignment="1">
      <alignment horizontal="center" vertical="center"/>
    </xf>
    <xf numFmtId="0" fontId="50" fillId="9" borderId="26" xfId="7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39" fillId="0" borderId="0" xfId="7" applyFont="1" applyFill="1" applyAlignment="1">
      <alignment horizontal="center"/>
    </xf>
    <xf numFmtId="9" fontId="39" fillId="0" borderId="0" xfId="7" applyNumberFormat="1" applyFont="1" applyFill="1"/>
    <xf numFmtId="164" fontId="39" fillId="0" borderId="0" xfId="7" applyNumberFormat="1" applyFont="1" applyFill="1"/>
    <xf numFmtId="0" fontId="39" fillId="0" borderId="0" xfId="7" applyFont="1" applyFill="1"/>
    <xf numFmtId="1" fontId="52" fillId="0" borderId="0" xfId="7" applyNumberFormat="1" applyFont="1" applyAlignment="1">
      <alignment horizontal="center" vertical="center"/>
    </xf>
    <xf numFmtId="1" fontId="52" fillId="0" borderId="0" xfId="7" applyNumberFormat="1" applyFont="1" applyFill="1" applyAlignment="1">
      <alignment horizontal="center" vertical="center"/>
    </xf>
    <xf numFmtId="0" fontId="1" fillId="0" borderId="27" xfId="7" applyBorder="1"/>
    <xf numFmtId="0" fontId="40" fillId="0" borderId="0" xfId="7" applyFont="1" applyBorder="1" applyAlignment="1"/>
    <xf numFmtId="0" fontId="40" fillId="0" borderId="0" xfId="7" applyFont="1" applyBorder="1" applyAlignment="1">
      <alignment horizontal="right"/>
    </xf>
    <xf numFmtId="0" fontId="1" fillId="0" borderId="0" xfId="7" applyBorder="1" applyAlignment="1">
      <alignment horizontal="right"/>
    </xf>
    <xf numFmtId="166" fontId="39" fillId="8" borderId="0" xfId="7" applyNumberFormat="1" applyFont="1" applyFill="1" applyBorder="1" applyAlignment="1">
      <alignment horizontal="center"/>
    </xf>
    <xf numFmtId="10" fontId="39" fillId="8" borderId="0" xfId="7" applyNumberFormat="1" applyFont="1" applyFill="1" applyBorder="1" applyAlignment="1">
      <alignment horizontal="center"/>
    </xf>
    <xf numFmtId="169" fontId="39" fillId="8" borderId="0" xfId="7" applyNumberFormat="1" applyFont="1" applyFill="1" applyBorder="1" applyAlignment="1">
      <alignment horizontal="center"/>
    </xf>
    <xf numFmtId="169" fontId="39" fillId="9" borderId="0" xfId="7" applyNumberFormat="1" applyFont="1" applyFill="1" applyBorder="1" applyAlignment="1">
      <alignment horizontal="center"/>
    </xf>
    <xf numFmtId="0" fontId="1" fillId="0" borderId="0" xfId="7" applyFont="1" applyBorder="1" applyAlignment="1">
      <alignment horizontal="right"/>
    </xf>
    <xf numFmtId="169" fontId="1" fillId="8" borderId="0" xfId="7" applyNumberFormat="1" applyFont="1" applyFill="1" applyBorder="1" applyAlignment="1">
      <alignment horizontal="center"/>
    </xf>
    <xf numFmtId="173" fontId="1" fillId="8" borderId="0" xfId="7" applyNumberFormat="1" applyFont="1" applyFill="1" applyBorder="1" applyAlignment="1">
      <alignment horizontal="center"/>
    </xf>
    <xf numFmtId="0" fontId="1" fillId="0" borderId="0" xfId="7" applyFill="1" applyBorder="1"/>
    <xf numFmtId="164" fontId="1" fillId="0" borderId="0" xfId="7" applyNumberFormat="1" applyBorder="1"/>
    <xf numFmtId="175" fontId="1" fillId="0" borderId="0" xfId="7" applyNumberFormat="1" applyBorder="1" applyAlignment="1">
      <alignment horizontal="left"/>
    </xf>
    <xf numFmtId="44" fontId="1" fillId="0" borderId="0" xfId="4" applyFont="1" applyBorder="1"/>
    <xf numFmtId="0" fontId="1" fillId="0" borderId="0" xfId="7" applyFont="1" applyBorder="1"/>
    <xf numFmtId="0" fontId="39" fillId="0" borderId="0" xfId="7" applyFont="1" applyBorder="1" applyAlignment="1"/>
    <xf numFmtId="0" fontId="39" fillId="0" borderId="0" xfId="7" applyFont="1" applyBorder="1"/>
    <xf numFmtId="171" fontId="1" fillId="0" borderId="0" xfId="7" applyNumberFormat="1" applyBorder="1" applyAlignment="1">
      <alignment horizontal="left"/>
    </xf>
    <xf numFmtId="0" fontId="38" fillId="0" borderId="0" xfId="7" applyFont="1" applyAlignment="1">
      <alignment horizontal="center" vertical="center"/>
    </xf>
    <xf numFmtId="0" fontId="39" fillId="0" borderId="0" xfId="0" applyFont="1" applyAlignment="1">
      <alignment wrapText="1"/>
    </xf>
    <xf numFmtId="164" fontId="39" fillId="9" borderId="14" xfId="7" applyNumberFormat="1" applyFont="1" applyFill="1" applyBorder="1"/>
    <xf numFmtId="0" fontId="39" fillId="0" borderId="0" xfId="7" applyFont="1" applyFill="1" applyBorder="1" applyAlignment="1">
      <alignment horizontal="center"/>
    </xf>
    <xf numFmtId="0" fontId="52" fillId="0" borderId="0" xfId="7" applyFont="1" applyBorder="1" applyAlignment="1">
      <alignment horizontal="center"/>
    </xf>
    <xf numFmtId="0" fontId="53" fillId="9" borderId="28" xfId="7" applyFont="1" applyFill="1" applyBorder="1"/>
    <xf numFmtId="0" fontId="53" fillId="9" borderId="29" xfId="7" applyFont="1" applyFill="1" applyBorder="1"/>
    <xf numFmtId="0" fontId="53" fillId="9" borderId="30" xfId="7" applyFont="1" applyFill="1" applyBorder="1"/>
    <xf numFmtId="0" fontId="53" fillId="9" borderId="31" xfId="7" applyFont="1" applyFill="1" applyBorder="1"/>
    <xf numFmtId="2" fontId="8" fillId="9" borderId="24" xfId="7" applyNumberFormat="1" applyFont="1" applyFill="1" applyBorder="1"/>
    <xf numFmtId="2" fontId="8" fillId="0" borderId="0" xfId="7" applyNumberFormat="1" applyFont="1" applyFill="1" applyBorder="1"/>
    <xf numFmtId="172" fontId="3" fillId="9" borderId="27" xfId="7" applyNumberFormat="1" applyFont="1" applyFill="1" applyBorder="1" applyAlignment="1">
      <alignment horizontal="center"/>
    </xf>
    <xf numFmtId="172" fontId="3" fillId="9" borderId="27" xfId="7" applyNumberFormat="1" applyFont="1" applyFill="1" applyBorder="1"/>
    <xf numFmtId="0" fontId="3" fillId="9" borderId="27" xfId="7" applyFont="1" applyFill="1" applyBorder="1" applyAlignment="1">
      <alignment horizontal="left"/>
    </xf>
    <xf numFmtId="0" fontId="3" fillId="9" borderId="32" xfId="7" quotePrefix="1" applyFont="1" applyFill="1" applyBorder="1" applyAlignment="1">
      <alignment horizontal="left"/>
    </xf>
    <xf numFmtId="2" fontId="3" fillId="9" borderId="27" xfId="7" applyNumberFormat="1" applyFont="1" applyFill="1" applyBorder="1" applyAlignment="1">
      <alignment horizontal="center"/>
    </xf>
    <xf numFmtId="0" fontId="36" fillId="9" borderId="33" xfId="7" applyFont="1" applyFill="1" applyBorder="1"/>
    <xf numFmtId="0" fontId="53" fillId="9" borderId="34" xfId="7" applyFont="1" applyFill="1" applyBorder="1"/>
    <xf numFmtId="0" fontId="53" fillId="9" borderId="35" xfId="7" applyFont="1" applyFill="1" applyBorder="1"/>
    <xf numFmtId="2" fontId="31" fillId="0" borderId="0" xfId="7" applyNumberFormat="1" applyFont="1" applyFill="1" applyBorder="1"/>
    <xf numFmtId="0" fontId="55" fillId="0" borderId="0" xfId="7" applyFont="1" applyBorder="1" applyAlignment="1"/>
    <xf numFmtId="0" fontId="53" fillId="9" borderId="36" xfId="7" applyFont="1" applyFill="1" applyBorder="1"/>
    <xf numFmtId="0" fontId="3" fillId="9" borderId="0" xfId="7" applyFont="1" applyFill="1" applyBorder="1"/>
    <xf numFmtId="172" fontId="4" fillId="9" borderId="0" xfId="7" applyNumberFormat="1" applyFont="1" applyFill="1" applyBorder="1" applyAlignment="1">
      <alignment horizontal="center"/>
    </xf>
    <xf numFmtId="172" fontId="4" fillId="9" borderId="0" xfId="7" applyNumberFormat="1" applyFont="1" applyFill="1" applyBorder="1"/>
    <xf numFmtId="0" fontId="4" fillId="9" borderId="0" xfId="7" applyFont="1" applyFill="1" applyBorder="1" applyAlignment="1">
      <alignment horizontal="left"/>
    </xf>
    <xf numFmtId="0" fontId="3" fillId="9" borderId="15" xfId="7" applyFont="1" applyFill="1" applyBorder="1" applyAlignment="1">
      <alignment horizontal="center"/>
    </xf>
    <xf numFmtId="2" fontId="3" fillId="9" borderId="0" xfId="7" applyNumberFormat="1" applyFont="1" applyFill="1" applyBorder="1" applyAlignment="1">
      <alignment horizontal="center"/>
    </xf>
    <xf numFmtId="0" fontId="36" fillId="9" borderId="37" xfId="7" applyFont="1" applyFill="1" applyBorder="1"/>
    <xf numFmtId="0" fontId="52" fillId="10" borderId="30" xfId="7" applyFont="1" applyFill="1" applyBorder="1" applyAlignment="1">
      <alignment horizontal="center"/>
    </xf>
    <xf numFmtId="0" fontId="54" fillId="11" borderId="0" xfId="7" applyFont="1" applyFill="1" applyAlignment="1">
      <alignment horizontal="center"/>
    </xf>
    <xf numFmtId="0" fontId="51" fillId="0" borderId="0" xfId="7" applyFont="1"/>
    <xf numFmtId="0" fontId="3" fillId="0" borderId="0" xfId="7" applyFont="1" applyBorder="1"/>
    <xf numFmtId="2" fontId="3" fillId="0" borderId="0" xfId="7" applyNumberFormat="1" applyFont="1" applyBorder="1"/>
    <xf numFmtId="0" fontId="3" fillId="9" borderId="36" xfId="7" applyFont="1" applyFill="1" applyBorder="1"/>
    <xf numFmtId="172" fontId="3" fillId="9" borderId="0" xfId="7" applyNumberFormat="1" applyFont="1" applyFill="1" applyBorder="1" applyAlignment="1">
      <alignment horizontal="center"/>
    </xf>
    <xf numFmtId="172" fontId="3" fillId="9" borderId="0" xfId="7" applyNumberFormat="1" applyFont="1" applyFill="1" applyBorder="1"/>
    <xf numFmtId="0" fontId="3" fillId="9" borderId="0" xfId="7" applyFont="1" applyFill="1" applyBorder="1" applyAlignment="1">
      <alignment horizontal="left"/>
    </xf>
    <xf numFmtId="0" fontId="3" fillId="9" borderId="15" xfId="7" quotePrefix="1" applyFont="1" applyFill="1" applyBorder="1" applyAlignment="1">
      <alignment horizontal="left"/>
    </xf>
    <xf numFmtId="0" fontId="56" fillId="0" borderId="0" xfId="7" quotePrefix="1" applyFont="1"/>
    <xf numFmtId="0" fontId="55" fillId="0" borderId="0" xfId="7" applyFont="1" applyBorder="1" applyAlignment="1">
      <alignment horizontal="left"/>
    </xf>
    <xf numFmtId="0" fontId="3" fillId="9" borderId="35" xfId="7" applyFont="1" applyFill="1" applyBorder="1"/>
    <xf numFmtId="172" fontId="3" fillId="9" borderId="35" xfId="7" applyNumberFormat="1" applyFont="1" applyFill="1" applyBorder="1" applyAlignment="1">
      <alignment horizontal="center"/>
    </xf>
    <xf numFmtId="172" fontId="3" fillId="9" borderId="35" xfId="7" applyNumberFormat="1" applyFont="1" applyFill="1" applyBorder="1"/>
    <xf numFmtId="0" fontId="3" fillId="9" borderId="35" xfId="7" applyFont="1" applyFill="1" applyBorder="1" applyAlignment="1">
      <alignment horizontal="left"/>
    </xf>
    <xf numFmtId="0" fontId="3" fillId="9" borderId="38" xfId="7" quotePrefix="1" applyFont="1" applyFill="1" applyBorder="1" applyAlignment="1">
      <alignment horizontal="left"/>
    </xf>
    <xf numFmtId="2" fontId="3" fillId="9" borderId="35" xfId="7" applyNumberFormat="1" applyFont="1" applyFill="1" applyBorder="1" applyAlignment="1">
      <alignment horizontal="center"/>
    </xf>
    <xf numFmtId="0" fontId="36" fillId="9" borderId="39" xfId="7" applyFont="1" applyFill="1" applyBorder="1"/>
    <xf numFmtId="0" fontId="3" fillId="0" borderId="0" xfId="7" applyFont="1" applyBorder="1" applyAlignment="1">
      <alignment horizontal="center"/>
    </xf>
    <xf numFmtId="0" fontId="53" fillId="0" borderId="0" xfId="7" applyFont="1" applyFill="1" applyBorder="1"/>
    <xf numFmtId="0" fontId="4" fillId="0" borderId="0" xfId="7" applyFont="1" applyBorder="1" applyAlignment="1">
      <alignment horizontal="center"/>
    </xf>
    <xf numFmtId="0" fontId="3" fillId="0" borderId="31" xfId="7" applyFont="1" applyFill="1" applyBorder="1"/>
    <xf numFmtId="0" fontId="8" fillId="0" borderId="31" xfId="7" applyFont="1" applyFill="1" applyBorder="1" applyAlignment="1">
      <alignment horizontal="center"/>
    </xf>
    <xf numFmtId="0" fontId="3" fillId="0" borderId="31" xfId="7" applyFont="1" applyFill="1" applyBorder="1" applyAlignment="1">
      <alignment horizontal="center"/>
    </xf>
    <xf numFmtId="0" fontId="3" fillId="0" borderId="31" xfId="7" applyFont="1" applyBorder="1" applyAlignment="1">
      <alignment horizontal="center"/>
    </xf>
    <xf numFmtId="0" fontId="3" fillId="0" borderId="40" xfId="7" applyFont="1" applyBorder="1"/>
    <xf numFmtId="0" fontId="3" fillId="0" borderId="41" xfId="7" applyFont="1" applyBorder="1" applyAlignment="1">
      <alignment horizontal="center"/>
    </xf>
    <xf numFmtId="0" fontId="4" fillId="0" borderId="42" xfId="7" applyFont="1" applyBorder="1" applyAlignment="1"/>
    <xf numFmtId="0" fontId="4" fillId="0" borderId="27" xfId="7" applyFont="1" applyBorder="1" applyAlignment="1"/>
    <xf numFmtId="0" fontId="16" fillId="0" borderId="27" xfId="7" applyFont="1" applyBorder="1"/>
    <xf numFmtId="0" fontId="4" fillId="0" borderId="43" xfId="7" applyFont="1" applyBorder="1" applyAlignment="1">
      <alignment horizontal="center"/>
    </xf>
    <xf numFmtId="0" fontId="4" fillId="0" borderId="44" xfId="7" applyFont="1" applyBorder="1" applyAlignment="1">
      <alignment horizontal="center"/>
    </xf>
    <xf numFmtId="0" fontId="4" fillId="0" borderId="27" xfId="7" applyFont="1" applyBorder="1" applyAlignment="1">
      <alignment horizontal="center"/>
    </xf>
    <xf numFmtId="0" fontId="48" fillId="0" borderId="45" xfId="7" applyFont="1" applyBorder="1"/>
    <xf numFmtId="0" fontId="4" fillId="0" borderId="32" xfId="7" applyFont="1" applyBorder="1" applyAlignment="1">
      <alignment horizontal="center"/>
    </xf>
    <xf numFmtId="0" fontId="3" fillId="0" borderId="27" xfId="7" applyFont="1" applyBorder="1" applyAlignment="1"/>
    <xf numFmtId="0" fontId="3" fillId="0" borderId="27" xfId="7" applyFont="1" applyBorder="1"/>
    <xf numFmtId="2" fontId="43" fillId="0" borderId="43" xfId="7" applyNumberFormat="1" applyFont="1" applyBorder="1" applyAlignment="1">
      <alignment horizontal="center"/>
    </xf>
    <xf numFmtId="0" fontId="36" fillId="0" borderId="32" xfId="7" applyFont="1" applyBorder="1"/>
    <xf numFmtId="0" fontId="3" fillId="0" borderId="27" xfId="7" applyFont="1" applyBorder="1" applyAlignment="1">
      <alignment horizontal="center"/>
    </xf>
    <xf numFmtId="0" fontId="3" fillId="0" borderId="44" xfId="7" quotePrefix="1" applyFont="1" applyBorder="1" applyAlignment="1">
      <alignment horizontal="center"/>
    </xf>
    <xf numFmtId="0" fontId="3" fillId="0" borderId="32" xfId="7" applyFont="1" applyBorder="1" applyAlignment="1">
      <alignment horizontal="center"/>
    </xf>
    <xf numFmtId="2" fontId="47" fillId="0" borderId="32" xfId="7" applyNumberFormat="1" applyFont="1" applyBorder="1" applyAlignment="1">
      <alignment horizontal="center"/>
    </xf>
    <xf numFmtId="0" fontId="3" fillId="0" borderId="33" xfId="7" applyFont="1" applyBorder="1"/>
    <xf numFmtId="0" fontId="16" fillId="3" borderId="36" xfId="7" applyFont="1" applyFill="1" applyBorder="1" applyAlignment="1">
      <alignment horizontal="left"/>
    </xf>
    <xf numFmtId="0" fontId="9" fillId="3" borderId="0" xfId="7" applyFont="1" applyFill="1" applyBorder="1"/>
    <xf numFmtId="0" fontId="9" fillId="3" borderId="22" xfId="7" applyFont="1" applyFill="1" applyBorder="1"/>
    <xf numFmtId="0" fontId="16" fillId="3" borderId="22" xfId="7" applyFont="1" applyFill="1" applyBorder="1"/>
    <xf numFmtId="0" fontId="9" fillId="0" borderId="0" xfId="7" applyFont="1"/>
    <xf numFmtId="0" fontId="16" fillId="3" borderId="0" xfId="7" applyFont="1" applyFill="1" applyBorder="1"/>
    <xf numFmtId="0" fontId="16" fillId="3" borderId="15" xfId="7" applyFont="1" applyFill="1" applyBorder="1"/>
    <xf numFmtId="0" fontId="3" fillId="3" borderId="36" xfId="7" applyFont="1" applyFill="1" applyBorder="1" applyAlignment="1">
      <alignment horizontal="left"/>
    </xf>
    <xf numFmtId="0" fontId="3" fillId="3" borderId="0" xfId="7" applyFont="1" applyFill="1" applyBorder="1"/>
    <xf numFmtId="0" fontId="1" fillId="3" borderId="0" xfId="7" applyFont="1" applyFill="1" applyBorder="1"/>
    <xf numFmtId="0" fontId="1" fillId="3" borderId="22" xfId="7" applyFont="1" applyFill="1" applyBorder="1"/>
    <xf numFmtId="0" fontId="3" fillId="3" borderId="15" xfId="7" applyFont="1" applyFill="1" applyBorder="1"/>
    <xf numFmtId="0" fontId="3" fillId="3" borderId="22" xfId="7" applyFont="1" applyFill="1" applyBorder="1"/>
    <xf numFmtId="0" fontId="3" fillId="3" borderId="34" xfId="7" applyFont="1" applyFill="1" applyBorder="1" applyAlignment="1">
      <alignment horizontal="left"/>
    </xf>
    <xf numFmtId="0" fontId="3" fillId="3" borderId="35" xfId="7" applyFont="1" applyFill="1" applyBorder="1"/>
    <xf numFmtId="0" fontId="1" fillId="3" borderId="35" xfId="7" applyFont="1" applyFill="1" applyBorder="1"/>
    <xf numFmtId="0" fontId="1" fillId="3" borderId="46" xfId="7" applyFont="1" applyFill="1" applyBorder="1"/>
    <xf numFmtId="0" fontId="3" fillId="3" borderId="38" xfId="7" applyFont="1" applyFill="1" applyBorder="1"/>
    <xf numFmtId="0" fontId="3" fillId="3" borderId="46" xfId="7" applyFont="1" applyFill="1" applyBorder="1"/>
    <xf numFmtId="0" fontId="36" fillId="0" borderId="0" xfId="7" applyFont="1"/>
    <xf numFmtId="0" fontId="52" fillId="0" borderId="0" xfId="7" applyFont="1" applyAlignment="1">
      <alignment horizontal="center"/>
    </xf>
    <xf numFmtId="0" fontId="52" fillId="0" borderId="0" xfId="7" applyFont="1"/>
    <xf numFmtId="0" fontId="39" fillId="9" borderId="42" xfId="7" applyFont="1" applyFill="1" applyBorder="1" applyAlignment="1"/>
    <xf numFmtId="0" fontId="39" fillId="9" borderId="27" xfId="7" applyFont="1" applyFill="1" applyBorder="1" applyAlignment="1"/>
    <xf numFmtId="172" fontId="3" fillId="9" borderId="27" xfId="7" applyNumberFormat="1" applyFont="1" applyFill="1" applyBorder="1" applyAlignment="1"/>
    <xf numFmtId="0" fontId="3" fillId="9" borderId="34" xfId="7" applyFont="1" applyFill="1" applyBorder="1"/>
    <xf numFmtId="0" fontId="53" fillId="9" borderId="35" xfId="7" applyFont="1" applyFill="1" applyBorder="1" applyAlignment="1">
      <alignment horizontal="right"/>
    </xf>
    <xf numFmtId="172" fontId="3" fillId="9" borderId="35" xfId="7" applyNumberFormat="1" applyFont="1" applyFill="1" applyBorder="1" applyAlignment="1"/>
    <xf numFmtId="172" fontId="3" fillId="9" borderId="39" xfId="7" applyNumberFormat="1" applyFont="1" applyFill="1" applyBorder="1" applyAlignment="1"/>
    <xf numFmtId="0" fontId="3" fillId="0" borderId="31" xfId="7" applyFont="1" applyBorder="1"/>
    <xf numFmtId="0" fontId="58" fillId="0" borderId="0" xfId="7" applyFont="1"/>
    <xf numFmtId="0" fontId="9" fillId="6" borderId="0" xfId="7" applyFont="1" applyFill="1" applyBorder="1"/>
    <xf numFmtId="0" fontId="9" fillId="6" borderId="22" xfId="7" applyFont="1" applyFill="1" applyBorder="1"/>
    <xf numFmtId="0" fontId="16" fillId="6" borderId="15" xfId="7" applyFont="1" applyFill="1" applyBorder="1" applyAlignment="1">
      <alignment horizontal="center"/>
    </xf>
    <xf numFmtId="0" fontId="16" fillId="6" borderId="0" xfId="7" applyFont="1" applyFill="1" applyBorder="1" applyAlignment="1">
      <alignment horizontal="center"/>
    </xf>
    <xf numFmtId="0" fontId="16" fillId="6" borderId="22" xfId="7" applyFont="1" applyFill="1" applyBorder="1" applyAlignment="1">
      <alignment horizontal="center"/>
    </xf>
    <xf numFmtId="0" fontId="57" fillId="6" borderId="0" xfId="7" applyFont="1" applyFill="1" applyBorder="1"/>
    <xf numFmtId="0" fontId="23" fillId="0" borderId="0" xfId="7" applyFont="1"/>
    <xf numFmtId="0" fontId="10" fillId="6" borderId="35" xfId="7" applyFont="1" applyFill="1" applyBorder="1"/>
    <xf numFmtId="0" fontId="1" fillId="6" borderId="35" xfId="7" applyFont="1" applyFill="1" applyBorder="1"/>
    <xf numFmtId="0" fontId="1" fillId="6" borderId="46" xfId="7" applyFont="1" applyFill="1" applyBorder="1"/>
    <xf numFmtId="0" fontId="3" fillId="6" borderId="38" xfId="7" applyFont="1" applyFill="1" applyBorder="1" applyAlignment="1">
      <alignment horizontal="center"/>
    </xf>
    <xf numFmtId="0" fontId="3" fillId="6" borderId="35" xfId="7" applyFont="1" applyFill="1" applyBorder="1" applyAlignment="1">
      <alignment horizontal="center"/>
    </xf>
    <xf numFmtId="0" fontId="60" fillId="5" borderId="0" xfId="7" applyFont="1" applyFill="1" applyBorder="1"/>
    <xf numFmtId="0" fontId="58" fillId="5" borderId="0" xfId="7" applyFont="1" applyFill="1" applyBorder="1"/>
    <xf numFmtId="0" fontId="58" fillId="5" borderId="22" xfId="7" applyFont="1" applyFill="1" applyBorder="1"/>
    <xf numFmtId="0" fontId="59" fillId="5" borderId="15" xfId="7" applyFont="1" applyFill="1" applyBorder="1" applyAlignment="1">
      <alignment horizontal="center"/>
    </xf>
    <xf numFmtId="0" fontId="59" fillId="5" borderId="0" xfId="7" applyFont="1" applyFill="1" applyBorder="1" applyAlignment="1">
      <alignment horizontal="center"/>
    </xf>
    <xf numFmtId="0" fontId="59" fillId="5" borderId="22" xfId="7" applyFont="1" applyFill="1" applyBorder="1" applyAlignment="1">
      <alignment horizontal="center"/>
    </xf>
    <xf numFmtId="0" fontId="10" fillId="5" borderId="35" xfId="7" applyFont="1" applyFill="1" applyBorder="1"/>
    <xf numFmtId="0" fontId="1" fillId="5" borderId="35" xfId="7" applyFont="1" applyFill="1" applyBorder="1"/>
    <xf numFmtId="0" fontId="1" fillId="5" borderId="46" xfId="7" applyFont="1" applyFill="1" applyBorder="1"/>
    <xf numFmtId="0" fontId="3" fillId="5" borderId="38" xfId="7" applyFont="1" applyFill="1" applyBorder="1" applyAlignment="1">
      <alignment horizontal="center"/>
    </xf>
    <xf numFmtId="0" fontId="3" fillId="5" borderId="35" xfId="7" applyFont="1" applyFill="1" applyBorder="1" applyAlignment="1">
      <alignment horizontal="center"/>
    </xf>
    <xf numFmtId="0" fontId="31" fillId="3" borderId="10" xfId="7" applyFont="1" applyFill="1" applyBorder="1" applyAlignment="1">
      <alignment horizontal="center"/>
    </xf>
    <xf numFmtId="0" fontId="3" fillId="0" borderId="27" xfId="7" applyFont="1" applyFill="1" applyBorder="1"/>
    <xf numFmtId="0" fontId="8" fillId="0" borderId="27" xfId="7" applyFont="1" applyFill="1" applyBorder="1" applyAlignment="1">
      <alignment horizontal="center"/>
    </xf>
    <xf numFmtId="0" fontId="3" fillId="0" borderId="27" xfId="7" applyFont="1" applyFill="1" applyBorder="1" applyAlignment="1">
      <alignment horizontal="center"/>
    </xf>
    <xf numFmtId="0" fontId="3" fillId="0" borderId="44" xfId="7" applyFont="1" applyBorder="1"/>
    <xf numFmtId="0" fontId="4" fillId="0" borderId="45" xfId="7" applyFont="1" applyBorder="1" applyAlignment="1">
      <alignment horizontal="center"/>
    </xf>
    <xf numFmtId="0" fontId="4" fillId="0" borderId="47" xfId="7" applyFont="1" applyBorder="1" applyAlignment="1"/>
    <xf numFmtId="0" fontId="3" fillId="0" borderId="29" xfId="7" applyFont="1" applyBorder="1" applyAlignment="1"/>
    <xf numFmtId="0" fontId="3" fillId="0" borderId="48" xfId="7" applyFont="1" applyBorder="1"/>
    <xf numFmtId="2" fontId="43" fillId="0" borderId="45" xfId="7" applyNumberFormat="1" applyFont="1" applyBorder="1" applyAlignment="1">
      <alignment horizontal="center"/>
    </xf>
    <xf numFmtId="0" fontId="3" fillId="0" borderId="27" xfId="7" quotePrefix="1" applyFont="1" applyBorder="1" applyAlignment="1">
      <alignment horizontal="center"/>
    </xf>
    <xf numFmtId="2" fontId="47" fillId="0" borderId="47" xfId="7" applyNumberFormat="1" applyFont="1" applyBorder="1" applyAlignment="1">
      <alignment horizontal="center"/>
    </xf>
    <xf numFmtId="0" fontId="1" fillId="0" borderId="0" xfId="7" applyFont="1" applyBorder="1" applyAlignment="1">
      <alignment horizontal="center"/>
    </xf>
    <xf numFmtId="0" fontId="1" fillId="0" borderId="27" xfId="7" applyFont="1" applyBorder="1"/>
    <xf numFmtId="0" fontId="1" fillId="0" borderId="27" xfId="7" applyFont="1" applyBorder="1" applyAlignment="1">
      <alignment horizontal="center"/>
    </xf>
    <xf numFmtId="0" fontId="36" fillId="0" borderId="27" xfId="7" applyFont="1" applyBorder="1"/>
    <xf numFmtId="0" fontId="1" fillId="0" borderId="0" xfId="7" applyFont="1" applyAlignment="1">
      <alignment horizontal="center"/>
    </xf>
    <xf numFmtId="0" fontId="1" fillId="0" borderId="35" xfId="7" applyFont="1" applyBorder="1"/>
    <xf numFmtId="0" fontId="3" fillId="0" borderId="35" xfId="7" applyFont="1" applyBorder="1"/>
    <xf numFmtId="0" fontId="36" fillId="0" borderId="0" xfId="7" applyFont="1" applyBorder="1"/>
    <xf numFmtId="0" fontId="31" fillId="3" borderId="42" xfId="7" applyFont="1" applyFill="1" applyBorder="1" applyAlignment="1">
      <alignment horizontal="center"/>
    </xf>
    <xf numFmtId="0" fontId="48" fillId="0" borderId="27" xfId="7" applyFont="1" applyBorder="1"/>
    <xf numFmtId="2" fontId="43" fillId="0" borderId="27" xfId="7" applyNumberFormat="1" applyFont="1" applyBorder="1" applyAlignment="1">
      <alignment horizontal="center"/>
    </xf>
    <xf numFmtId="0" fontId="3" fillId="0" borderId="43" xfId="7" applyFont="1" applyFill="1" applyBorder="1" applyAlignment="1">
      <alignment horizontal="center"/>
    </xf>
    <xf numFmtId="0" fontId="3" fillId="0" borderId="33" xfId="7" applyFont="1" applyFill="1" applyBorder="1" applyAlignment="1">
      <alignment horizontal="center"/>
    </xf>
    <xf numFmtId="174" fontId="1" fillId="0" borderId="0" xfId="7" applyNumberFormat="1"/>
    <xf numFmtId="0" fontId="3" fillId="0" borderId="0" xfId="7" applyFont="1" applyFill="1" applyBorder="1" applyAlignment="1">
      <alignment horizontal="center"/>
    </xf>
    <xf numFmtId="0" fontId="3" fillId="0" borderId="0" xfId="7" applyFont="1" applyFill="1" applyBorder="1" applyAlignment="1">
      <alignment horizontal="left"/>
    </xf>
    <xf numFmtId="0" fontId="3" fillId="0" borderId="0" xfId="7" applyFont="1" applyFill="1" applyBorder="1"/>
    <xf numFmtId="0" fontId="1" fillId="0" borderId="0" xfId="7" applyFont="1" applyFill="1" applyBorder="1"/>
    <xf numFmtId="2" fontId="42" fillId="0" borderId="0" xfId="7" applyNumberFormat="1" applyFont="1" applyFill="1" applyBorder="1" applyAlignment="1">
      <alignment horizontal="center"/>
    </xf>
    <xf numFmtId="2" fontId="3" fillId="0" borderId="0" xfId="7" applyNumberFormat="1" applyFont="1" applyFill="1" applyBorder="1" applyAlignment="1">
      <alignment horizontal="center"/>
    </xf>
    <xf numFmtId="2" fontId="16" fillId="0" borderId="0" xfId="7" applyNumberFormat="1" applyFont="1" applyFill="1" applyBorder="1" applyAlignment="1">
      <alignment horizontal="center"/>
    </xf>
    <xf numFmtId="176" fontId="3" fillId="0" borderId="0" xfId="7" applyNumberFormat="1" applyFont="1" applyFill="1" applyBorder="1" applyAlignment="1"/>
    <xf numFmtId="0" fontId="3" fillId="0" borderId="0" xfId="7" applyFont="1" applyFill="1" applyBorder="1" applyAlignment="1"/>
    <xf numFmtId="0" fontId="36" fillId="0" borderId="0" xfId="7" applyFont="1" applyFill="1" applyBorder="1"/>
    <xf numFmtId="0" fontId="1" fillId="8" borderId="30" xfId="7" applyFont="1" applyFill="1" applyBorder="1"/>
    <xf numFmtId="0" fontId="1" fillId="8" borderId="31" xfId="7" applyFont="1" applyFill="1" applyBorder="1"/>
    <xf numFmtId="0" fontId="3" fillId="8" borderId="31" xfId="7" applyFont="1" applyFill="1" applyBorder="1"/>
    <xf numFmtId="0" fontId="1" fillId="2" borderId="49" xfId="7" applyFont="1" applyFill="1" applyBorder="1" applyAlignment="1">
      <alignment horizontal="center"/>
    </xf>
    <xf numFmtId="0" fontId="1" fillId="2" borderId="50" xfId="7" applyFont="1" applyFill="1" applyBorder="1" applyAlignment="1">
      <alignment horizontal="center"/>
    </xf>
    <xf numFmtId="0" fontId="39" fillId="8" borderId="50" xfId="7" applyFont="1" applyFill="1" applyBorder="1" applyAlignment="1">
      <alignment horizontal="center"/>
    </xf>
    <xf numFmtId="0" fontId="1" fillId="2" borderId="51" xfId="7" applyFont="1" applyFill="1" applyBorder="1" applyAlignment="1">
      <alignment horizontal="center"/>
    </xf>
    <xf numFmtId="0" fontId="1" fillId="2" borderId="51" xfId="7" quotePrefix="1" applyFont="1" applyFill="1" applyBorder="1" applyAlignment="1">
      <alignment horizontal="center"/>
    </xf>
    <xf numFmtId="0" fontId="20" fillId="8" borderId="50" xfId="7" applyFont="1" applyFill="1" applyBorder="1" applyAlignment="1">
      <alignment horizontal="center"/>
    </xf>
    <xf numFmtId="0" fontId="1" fillId="2" borderId="31" xfId="7" applyFont="1" applyFill="1" applyBorder="1"/>
    <xf numFmtId="0" fontId="3" fillId="2" borderId="31" xfId="7" applyFont="1" applyFill="1" applyBorder="1"/>
    <xf numFmtId="0" fontId="20" fillId="8" borderId="51" xfId="7" applyFont="1" applyFill="1" applyBorder="1" applyAlignment="1">
      <alignment horizontal="center"/>
    </xf>
    <xf numFmtId="0" fontId="1" fillId="0" borderId="50" xfId="7" applyFont="1" applyBorder="1" applyAlignment="1">
      <alignment horizontal="center"/>
    </xf>
    <xf numFmtId="0" fontId="1" fillId="2" borderId="31" xfId="7" applyFont="1" applyFill="1" applyBorder="1" applyAlignment="1">
      <alignment horizontal="center"/>
    </xf>
    <xf numFmtId="0" fontId="3" fillId="2" borderId="31" xfId="7" applyFont="1" applyFill="1" applyBorder="1" applyAlignment="1">
      <alignment horizontal="center"/>
    </xf>
    <xf numFmtId="0" fontId="1" fillId="0" borderId="51" xfId="7" applyFont="1" applyBorder="1" applyAlignment="1">
      <alignment horizontal="center"/>
    </xf>
    <xf numFmtId="0" fontId="3" fillId="0" borderId="42" xfId="7" applyFont="1" applyBorder="1"/>
    <xf numFmtId="0" fontId="64" fillId="3" borderId="13" xfId="7" applyFont="1" applyFill="1" applyBorder="1"/>
    <xf numFmtId="2" fontId="65" fillId="3" borderId="13" xfId="7" applyNumberFormat="1" applyFont="1" applyFill="1" applyBorder="1" applyAlignment="1">
      <alignment horizontal="center"/>
    </xf>
    <xf numFmtId="0" fontId="64" fillId="3" borderId="15" xfId="7" applyFont="1" applyFill="1" applyBorder="1"/>
    <xf numFmtId="2" fontId="65" fillId="3" borderId="0" xfId="7" applyNumberFormat="1" applyFont="1" applyFill="1" applyBorder="1" applyAlignment="1">
      <alignment horizontal="center"/>
    </xf>
    <xf numFmtId="2" fontId="65" fillId="3" borderId="22" xfId="7" applyNumberFormat="1" applyFont="1" applyFill="1" applyBorder="1" applyAlignment="1">
      <alignment horizontal="center"/>
    </xf>
    <xf numFmtId="2" fontId="65" fillId="3" borderId="15" xfId="7" applyNumberFormat="1" applyFont="1" applyFill="1" applyBorder="1" applyAlignment="1">
      <alignment horizontal="center"/>
    </xf>
    <xf numFmtId="0" fontId="65" fillId="3" borderId="0" xfId="7" applyFont="1" applyFill="1" applyBorder="1"/>
    <xf numFmtId="0" fontId="65" fillId="3" borderId="22" xfId="7" applyFont="1" applyFill="1" applyBorder="1" applyAlignment="1">
      <alignment horizontal="center"/>
    </xf>
    <xf numFmtId="0" fontId="65" fillId="3" borderId="15" xfId="7" applyFont="1" applyFill="1" applyBorder="1"/>
    <xf numFmtId="0" fontId="64" fillId="3" borderId="38" xfId="7" applyFont="1" applyFill="1" applyBorder="1"/>
    <xf numFmtId="0" fontId="65" fillId="3" borderId="35" xfId="7" applyFont="1" applyFill="1" applyBorder="1"/>
    <xf numFmtId="0" fontId="65" fillId="3" borderId="46" xfId="7" applyFont="1" applyFill="1" applyBorder="1" applyAlignment="1">
      <alignment horizontal="center"/>
    </xf>
    <xf numFmtId="0" fontId="65" fillId="3" borderId="38" xfId="7" applyFont="1" applyFill="1" applyBorder="1"/>
    <xf numFmtId="2" fontId="65" fillId="3" borderId="21" xfId="7" applyNumberFormat="1" applyFont="1" applyFill="1" applyBorder="1" applyAlignment="1">
      <alignment horizontal="center"/>
    </xf>
    <xf numFmtId="0" fontId="65" fillId="3" borderId="13" xfId="7" applyFont="1" applyFill="1" applyBorder="1" applyAlignment="1">
      <alignment horizontal="center"/>
    </xf>
    <xf numFmtId="0" fontId="65" fillId="3" borderId="21" xfId="7" applyFont="1" applyFill="1" applyBorder="1"/>
    <xf numFmtId="176" fontId="65" fillId="3" borderId="22" xfId="7" applyNumberFormat="1" applyFont="1" applyFill="1" applyBorder="1" applyAlignment="1">
      <alignment horizontal="center"/>
    </xf>
    <xf numFmtId="0" fontId="65" fillId="3" borderId="15" xfId="7" applyFont="1" applyFill="1" applyBorder="1" applyAlignment="1"/>
    <xf numFmtId="0" fontId="65" fillId="3" borderId="0" xfId="7" applyFont="1" applyFill="1" applyBorder="1" applyAlignment="1"/>
    <xf numFmtId="0" fontId="65" fillId="3" borderId="22" xfId="7" applyFont="1" applyFill="1" applyBorder="1" applyAlignment="1"/>
    <xf numFmtId="2" fontId="66" fillId="3" borderId="19" xfId="7" applyNumberFormat="1" applyFont="1" applyFill="1" applyBorder="1" applyAlignment="1">
      <alignment horizontal="center"/>
    </xf>
    <xf numFmtId="2" fontId="65" fillId="3" borderId="19" xfId="7" applyNumberFormat="1" applyFont="1" applyFill="1" applyBorder="1" applyAlignment="1">
      <alignment horizontal="center"/>
    </xf>
    <xf numFmtId="0" fontId="65" fillId="3" borderId="15" xfId="7" applyFont="1" applyFill="1" applyBorder="1" applyAlignment="1">
      <alignment horizontal="center"/>
    </xf>
    <xf numFmtId="0" fontId="65" fillId="3" borderId="22" xfId="7" applyFont="1" applyFill="1" applyBorder="1"/>
    <xf numFmtId="176" fontId="65" fillId="3" borderId="22" xfId="7" applyNumberFormat="1" applyFont="1" applyFill="1" applyBorder="1" applyAlignment="1"/>
    <xf numFmtId="0" fontId="67" fillId="3" borderId="19" xfId="7" applyFont="1" applyFill="1" applyBorder="1" applyAlignment="1">
      <alignment horizontal="center"/>
    </xf>
    <xf numFmtId="2" fontId="65" fillId="3" borderId="46" xfId="7" applyNumberFormat="1" applyFont="1" applyFill="1" applyBorder="1" applyAlignment="1">
      <alignment horizontal="center"/>
    </xf>
    <xf numFmtId="176" fontId="65" fillId="3" borderId="46" xfId="7" applyNumberFormat="1" applyFont="1" applyFill="1" applyBorder="1" applyAlignment="1"/>
    <xf numFmtId="0" fontId="65" fillId="3" borderId="38" xfId="7" applyFont="1" applyFill="1" applyBorder="1" applyAlignment="1"/>
    <xf numFmtId="0" fontId="65" fillId="3" borderId="35" xfId="7" applyFont="1" applyFill="1" applyBorder="1" applyAlignment="1"/>
    <xf numFmtId="0" fontId="65" fillId="3" borderId="46" xfId="7" applyFont="1" applyFill="1" applyBorder="1" applyAlignment="1"/>
    <xf numFmtId="0" fontId="65" fillId="3" borderId="52" xfId="7" applyFont="1" applyFill="1" applyBorder="1" applyAlignment="1">
      <alignment horizontal="center"/>
    </xf>
    <xf numFmtId="2" fontId="65" fillId="3" borderId="52" xfId="7" applyNumberFormat="1" applyFont="1" applyFill="1" applyBorder="1" applyAlignment="1">
      <alignment horizontal="center"/>
    </xf>
    <xf numFmtId="0" fontId="65" fillId="3" borderId="38" xfId="7" applyFont="1" applyFill="1" applyBorder="1" applyAlignment="1">
      <alignment horizontal="center"/>
    </xf>
    <xf numFmtId="0" fontId="65" fillId="3" borderId="46" xfId="7" applyFont="1" applyFill="1" applyBorder="1"/>
    <xf numFmtId="2" fontId="68" fillId="3" borderId="19" xfId="7" applyNumberFormat="1" applyFont="1" applyFill="1" applyBorder="1" applyAlignment="1">
      <alignment horizontal="center"/>
    </xf>
    <xf numFmtId="2" fontId="68" fillId="3" borderId="52" xfId="7" applyNumberFormat="1" applyFont="1" applyFill="1" applyBorder="1" applyAlignment="1">
      <alignment horizontal="center"/>
    </xf>
    <xf numFmtId="2" fontId="65" fillId="3" borderId="38" xfId="7" applyNumberFormat="1" applyFont="1" applyFill="1" applyBorder="1" applyAlignment="1">
      <alignment horizontal="center"/>
    </xf>
    <xf numFmtId="2" fontId="65" fillId="3" borderId="37" xfId="7" applyNumberFormat="1" applyFont="1" applyFill="1" applyBorder="1" applyAlignment="1">
      <alignment horizontal="center"/>
    </xf>
    <xf numFmtId="2" fontId="65" fillId="3" borderId="37" xfId="7" applyNumberFormat="1" applyFont="1" applyFill="1" applyBorder="1"/>
    <xf numFmtId="0" fontId="65" fillId="3" borderId="39" xfId="7" applyFont="1" applyFill="1" applyBorder="1"/>
    <xf numFmtId="0" fontId="66" fillId="3" borderId="10" xfId="7" applyNumberFormat="1" applyFont="1" applyFill="1" applyBorder="1" applyAlignment="1">
      <alignment horizontal="center" vertical="center"/>
    </xf>
    <xf numFmtId="0" fontId="65" fillId="3" borderId="53" xfId="7" applyFont="1" applyFill="1" applyBorder="1" applyAlignment="1">
      <alignment horizontal="left"/>
    </xf>
    <xf numFmtId="0" fontId="69" fillId="3" borderId="14" xfId="7" applyFont="1" applyFill="1" applyBorder="1"/>
    <xf numFmtId="0" fontId="49" fillId="3" borderId="14" xfId="7" applyFont="1" applyFill="1" applyBorder="1"/>
    <xf numFmtId="0" fontId="49" fillId="3" borderId="21" xfId="7" applyFont="1" applyFill="1" applyBorder="1"/>
    <xf numFmtId="0" fontId="65" fillId="3" borderId="36" xfId="7" applyFont="1" applyFill="1" applyBorder="1" applyAlignment="1">
      <alignment horizontal="left"/>
    </xf>
    <xf numFmtId="0" fontId="66" fillId="3" borderId="0" xfId="7" applyFont="1" applyFill="1" applyBorder="1" applyAlignment="1">
      <alignment horizontal="left"/>
    </xf>
    <xf numFmtId="0" fontId="49" fillId="3" borderId="0" xfId="7" applyFont="1" applyFill="1" applyBorder="1"/>
    <xf numFmtId="0" fontId="49" fillId="3" borderId="22" xfId="7" applyFont="1" applyFill="1" applyBorder="1"/>
    <xf numFmtId="2" fontId="66" fillId="9" borderId="54" xfId="7" applyNumberFormat="1" applyFont="1" applyFill="1" applyBorder="1"/>
    <xf numFmtId="2" fontId="66" fillId="9" borderId="39" xfId="7" applyNumberFormat="1" applyFont="1" applyFill="1" applyBorder="1"/>
    <xf numFmtId="2" fontId="66" fillId="9" borderId="24" xfId="7" applyNumberFormat="1" applyFont="1" applyFill="1" applyBorder="1"/>
    <xf numFmtId="2" fontId="65" fillId="6" borderId="23" xfId="7" applyNumberFormat="1" applyFont="1" applyFill="1" applyBorder="1" applyAlignment="1">
      <alignment horizontal="center"/>
    </xf>
    <xf numFmtId="2" fontId="66" fillId="6" borderId="23" xfId="7" applyNumberFormat="1" applyFont="1" applyFill="1" applyBorder="1" applyAlignment="1">
      <alignment horizontal="center"/>
    </xf>
    <xf numFmtId="2" fontId="65" fillId="6" borderId="13" xfId="7" applyNumberFormat="1" applyFont="1" applyFill="1" applyBorder="1" applyAlignment="1">
      <alignment horizontal="center"/>
    </xf>
    <xf numFmtId="0" fontId="65" fillId="6" borderId="14" xfId="7" applyFont="1" applyFill="1" applyBorder="1"/>
    <xf numFmtId="0" fontId="65" fillId="6" borderId="13" xfId="7" applyFont="1" applyFill="1" applyBorder="1" applyAlignment="1">
      <alignment horizontal="center"/>
    </xf>
    <xf numFmtId="2" fontId="65" fillId="6" borderId="19" xfId="7" applyNumberFormat="1" applyFont="1" applyFill="1" applyBorder="1" applyAlignment="1">
      <alignment horizontal="center"/>
    </xf>
    <xf numFmtId="2" fontId="66" fillId="6" borderId="19" xfId="7" applyNumberFormat="1" applyFont="1" applyFill="1" applyBorder="1" applyAlignment="1">
      <alignment horizontal="center"/>
    </xf>
    <xf numFmtId="0" fontId="65" fillId="6" borderId="15" xfId="7" applyFont="1" applyFill="1" applyBorder="1" applyAlignment="1"/>
    <xf numFmtId="0" fontId="65" fillId="6" borderId="0" xfId="7" applyFont="1" applyFill="1" applyBorder="1" applyAlignment="1"/>
    <xf numFmtId="2" fontId="65" fillId="6" borderId="15" xfId="7" applyNumberFormat="1" applyFont="1" applyFill="1" applyBorder="1" applyAlignment="1">
      <alignment horizontal="center"/>
    </xf>
    <xf numFmtId="0" fontId="65" fillId="6" borderId="22" xfId="7" applyFont="1" applyFill="1" applyBorder="1" applyAlignment="1">
      <alignment horizontal="center"/>
    </xf>
    <xf numFmtId="0" fontId="65" fillId="6" borderId="0" xfId="7" applyFont="1" applyFill="1" applyBorder="1"/>
    <xf numFmtId="0" fontId="65" fillId="6" borderId="15" xfId="7" applyFont="1" applyFill="1" applyBorder="1" applyAlignment="1">
      <alignment horizontal="center"/>
    </xf>
    <xf numFmtId="2" fontId="70" fillId="6" borderId="19" xfId="7" applyNumberFormat="1" applyFont="1" applyFill="1" applyBorder="1" applyAlignment="1">
      <alignment horizontal="center"/>
    </xf>
    <xf numFmtId="0" fontId="70" fillId="6" borderId="19" xfId="7" applyFont="1" applyFill="1" applyBorder="1" applyAlignment="1">
      <alignment horizontal="center"/>
    </xf>
    <xf numFmtId="0" fontId="70" fillId="6" borderId="0" xfId="7" applyFont="1" applyFill="1" applyBorder="1" applyAlignment="1"/>
    <xf numFmtId="0" fontId="70" fillId="6" borderId="22" xfId="7" applyFont="1" applyFill="1" applyBorder="1" applyAlignment="1"/>
    <xf numFmtId="2" fontId="71" fillId="6" borderId="19" xfId="7" applyNumberFormat="1" applyFont="1" applyFill="1" applyBorder="1" applyAlignment="1">
      <alignment horizontal="center"/>
    </xf>
    <xf numFmtId="176" fontId="70" fillId="6" borderId="19" xfId="7" applyNumberFormat="1" applyFont="1" applyFill="1" applyBorder="1" applyAlignment="1">
      <alignment horizontal="center"/>
    </xf>
    <xf numFmtId="0" fontId="70" fillId="6" borderId="15" xfId="7" applyFont="1" applyFill="1" applyBorder="1" applyAlignment="1"/>
    <xf numFmtId="2" fontId="70" fillId="6" borderId="15" xfId="7" applyNumberFormat="1" applyFont="1" applyFill="1" applyBorder="1" applyAlignment="1">
      <alignment horizontal="center"/>
    </xf>
    <xf numFmtId="2" fontId="72" fillId="6" borderId="15" xfId="7" applyNumberFormat="1" applyFont="1" applyFill="1" applyBorder="1" applyAlignment="1">
      <alignment horizontal="center"/>
    </xf>
    <xf numFmtId="0" fontId="70" fillId="6" borderId="0" xfId="7" applyFont="1" applyFill="1" applyBorder="1"/>
    <xf numFmtId="0" fontId="70" fillId="6" borderId="22" xfId="7" applyFont="1" applyFill="1" applyBorder="1" applyAlignment="1">
      <alignment horizontal="center"/>
    </xf>
    <xf numFmtId="0" fontId="70" fillId="6" borderId="15" xfId="7" applyFont="1" applyFill="1" applyBorder="1" applyAlignment="1">
      <alignment horizontal="center"/>
    </xf>
    <xf numFmtId="2" fontId="70" fillId="6" borderId="37" xfId="7" applyNumberFormat="1" applyFont="1" applyFill="1" applyBorder="1" applyAlignment="1">
      <alignment horizontal="center"/>
    </xf>
    <xf numFmtId="0" fontId="70" fillId="6" borderId="0" xfId="7" applyFont="1" applyFill="1" applyBorder="1" applyAlignment="1">
      <alignment horizontal="center"/>
    </xf>
    <xf numFmtId="0" fontId="65" fillId="6" borderId="52" xfId="7" applyFont="1" applyFill="1" applyBorder="1" applyAlignment="1">
      <alignment horizontal="center"/>
    </xf>
    <xf numFmtId="2" fontId="66" fillId="6" borderId="52" xfId="7" applyNumberFormat="1" applyFont="1" applyFill="1" applyBorder="1" applyAlignment="1">
      <alignment horizontal="center"/>
    </xf>
    <xf numFmtId="176" fontId="65" fillId="6" borderId="52" xfId="7" applyNumberFormat="1" applyFont="1" applyFill="1" applyBorder="1" applyAlignment="1">
      <alignment horizontal="center"/>
    </xf>
    <xf numFmtId="0" fontId="65" fillId="6" borderId="38" xfId="7" applyFont="1" applyFill="1" applyBorder="1" applyAlignment="1"/>
    <xf numFmtId="0" fontId="65" fillId="6" borderId="35" xfId="7" applyFont="1" applyFill="1" applyBorder="1" applyAlignment="1"/>
    <xf numFmtId="0" fontId="65" fillId="6" borderId="46" xfId="7" applyFont="1" applyFill="1" applyBorder="1" applyAlignment="1"/>
    <xf numFmtId="0" fontId="66" fillId="6" borderId="52" xfId="7" applyFont="1" applyFill="1" applyBorder="1" applyAlignment="1">
      <alignment horizontal="center"/>
    </xf>
    <xf numFmtId="2" fontId="65" fillId="6" borderId="38" xfId="7" applyNumberFormat="1" applyFont="1" applyFill="1" applyBorder="1" applyAlignment="1">
      <alignment horizontal="center"/>
    </xf>
    <xf numFmtId="2" fontId="64" fillId="6" borderId="38" xfId="7" applyNumberFormat="1" applyFont="1" applyFill="1" applyBorder="1" applyAlignment="1">
      <alignment horizontal="center"/>
    </xf>
    <xf numFmtId="0" fontId="65" fillId="6" borderId="35" xfId="7" applyFont="1" applyFill="1" applyBorder="1"/>
    <xf numFmtId="0" fontId="65" fillId="6" borderId="46" xfId="7" applyFont="1" applyFill="1" applyBorder="1" applyAlignment="1">
      <alignment horizontal="center"/>
    </xf>
    <xf numFmtId="0" fontId="65" fillId="6" borderId="38" xfId="7" applyFont="1" applyFill="1" applyBorder="1" applyAlignment="1">
      <alignment horizontal="center"/>
    </xf>
    <xf numFmtId="2" fontId="65" fillId="6" borderId="39" xfId="7" applyNumberFormat="1" applyFont="1" applyFill="1" applyBorder="1" applyAlignment="1">
      <alignment horizontal="center"/>
    </xf>
    <xf numFmtId="0" fontId="66" fillId="3" borderId="2" xfId="7" applyFont="1" applyFill="1" applyBorder="1" applyAlignment="1">
      <alignment horizontal="center"/>
    </xf>
    <xf numFmtId="2" fontId="65" fillId="5" borderId="23" xfId="7" applyNumberFormat="1" applyFont="1" applyFill="1" applyBorder="1" applyAlignment="1">
      <alignment horizontal="center"/>
    </xf>
    <xf numFmtId="2" fontId="66" fillId="5" borderId="23" xfId="7" applyNumberFormat="1" applyFont="1" applyFill="1" applyBorder="1" applyAlignment="1">
      <alignment horizontal="center"/>
    </xf>
    <xf numFmtId="2" fontId="65" fillId="5" borderId="13" xfId="7" applyNumberFormat="1" applyFont="1" applyFill="1" applyBorder="1" applyAlignment="1">
      <alignment horizontal="center"/>
    </xf>
    <xf numFmtId="176" fontId="65" fillId="5" borderId="23" xfId="7" applyNumberFormat="1" applyFont="1" applyFill="1" applyBorder="1" applyAlignment="1">
      <alignment horizontal="center"/>
    </xf>
    <xf numFmtId="0" fontId="65" fillId="5" borderId="13" xfId="7" applyFont="1" applyFill="1" applyBorder="1" applyAlignment="1"/>
    <xf numFmtId="0" fontId="65" fillId="5" borderId="14" xfId="7" applyFont="1" applyFill="1" applyBorder="1" applyAlignment="1"/>
    <xf numFmtId="0" fontId="65" fillId="5" borderId="21" xfId="7" applyFont="1" applyFill="1" applyBorder="1" applyAlignment="1"/>
    <xf numFmtId="0" fontId="65" fillId="5" borderId="13" xfId="7" applyFont="1" applyFill="1" applyBorder="1"/>
    <xf numFmtId="0" fontId="65" fillId="5" borderId="21" xfId="7" applyFont="1" applyFill="1" applyBorder="1"/>
    <xf numFmtId="2" fontId="70" fillId="5" borderId="19" xfId="7" applyNumberFormat="1" applyFont="1" applyFill="1" applyBorder="1" applyAlignment="1">
      <alignment horizontal="center"/>
    </xf>
    <xf numFmtId="2" fontId="66" fillId="5" borderId="19" xfId="7" applyNumberFormat="1" applyFont="1" applyFill="1" applyBorder="1" applyAlignment="1">
      <alignment horizontal="center"/>
    </xf>
    <xf numFmtId="2" fontId="70" fillId="5" borderId="15" xfId="7" applyNumberFormat="1" applyFont="1" applyFill="1" applyBorder="1" applyAlignment="1">
      <alignment horizontal="center"/>
    </xf>
    <xf numFmtId="176" fontId="65" fillId="5" borderId="19" xfId="7" applyNumberFormat="1" applyFont="1" applyFill="1" applyBorder="1" applyAlignment="1">
      <alignment horizontal="center"/>
    </xf>
    <xf numFmtId="0" fontId="65" fillId="5" borderId="15" xfId="7" applyFont="1" applyFill="1" applyBorder="1" applyAlignment="1"/>
    <xf numFmtId="0" fontId="70" fillId="5" borderId="0" xfId="7" applyFont="1" applyFill="1" applyBorder="1" applyAlignment="1"/>
    <xf numFmtId="0" fontId="70" fillId="5" borderId="22" xfId="7" applyFont="1" applyFill="1" applyBorder="1" applyAlignment="1"/>
    <xf numFmtId="2" fontId="65" fillId="5" borderId="19" xfId="7" applyNumberFormat="1" applyFont="1" applyFill="1" applyBorder="1" applyAlignment="1">
      <alignment horizontal="center"/>
    </xf>
    <xf numFmtId="2" fontId="72" fillId="5" borderId="15" xfId="7" applyNumberFormat="1" applyFont="1" applyFill="1" applyBorder="1" applyAlignment="1">
      <alignment horizontal="center"/>
    </xf>
    <xf numFmtId="0" fontId="70" fillId="5" borderId="22" xfId="7" applyFont="1" applyFill="1" applyBorder="1" applyAlignment="1">
      <alignment horizontal="center"/>
    </xf>
    <xf numFmtId="0" fontId="70" fillId="5" borderId="15" xfId="7" applyFont="1" applyFill="1" applyBorder="1"/>
    <xf numFmtId="0" fontId="70" fillId="5" borderId="15" xfId="7" applyFont="1" applyFill="1" applyBorder="1" applyAlignment="1">
      <alignment horizontal="center"/>
    </xf>
    <xf numFmtId="0" fontId="70" fillId="5" borderId="22" xfId="7" applyFont="1" applyFill="1" applyBorder="1"/>
    <xf numFmtId="2" fontId="65" fillId="5" borderId="15" xfId="7" applyNumberFormat="1" applyFont="1" applyFill="1" applyBorder="1" applyAlignment="1">
      <alignment horizontal="center"/>
    </xf>
    <xf numFmtId="0" fontId="65" fillId="5" borderId="0" xfId="7" applyFont="1" applyFill="1" applyBorder="1" applyAlignment="1"/>
    <xf numFmtId="0" fontId="65" fillId="5" borderId="22" xfId="7" applyFont="1" applyFill="1" applyBorder="1" applyAlignment="1"/>
    <xf numFmtId="0" fontId="65" fillId="5" borderId="15" xfId="7" applyFont="1" applyFill="1" applyBorder="1"/>
    <xf numFmtId="0" fontId="65" fillId="5" borderId="22" xfId="7" applyFont="1" applyFill="1" applyBorder="1"/>
    <xf numFmtId="0" fontId="70" fillId="5" borderId="19" xfId="7" applyFont="1" applyFill="1" applyBorder="1" applyAlignment="1">
      <alignment horizontal="center"/>
    </xf>
    <xf numFmtId="2" fontId="71" fillId="5" borderId="19" xfId="7" applyNumberFormat="1" applyFont="1" applyFill="1" applyBorder="1" applyAlignment="1">
      <alignment horizontal="center"/>
    </xf>
    <xf numFmtId="2" fontId="71" fillId="5" borderId="15" xfId="7" applyNumberFormat="1" applyFont="1" applyFill="1" applyBorder="1" applyAlignment="1">
      <alignment horizontal="center"/>
    </xf>
    <xf numFmtId="176" fontId="70" fillId="5" borderId="19" xfId="7" applyNumberFormat="1" applyFont="1" applyFill="1" applyBorder="1" applyAlignment="1">
      <alignment horizontal="center"/>
    </xf>
    <xf numFmtId="0" fontId="70" fillId="5" borderId="15" xfId="7" applyFont="1" applyFill="1" applyBorder="1" applyAlignment="1"/>
    <xf numFmtId="0" fontId="70" fillId="5" borderId="0" xfId="7" applyFont="1" applyFill="1" applyBorder="1"/>
    <xf numFmtId="2" fontId="70" fillId="5" borderId="15" xfId="7" applyNumberFormat="1" applyFont="1" applyFill="1" applyBorder="1"/>
    <xf numFmtId="2" fontId="70" fillId="5" borderId="37" xfId="7" applyNumberFormat="1" applyFont="1" applyFill="1" applyBorder="1" applyAlignment="1">
      <alignment horizontal="center"/>
    </xf>
    <xf numFmtId="0" fontId="65" fillId="5" borderId="52" xfId="7" applyFont="1" applyFill="1" applyBorder="1" applyAlignment="1">
      <alignment horizontal="center"/>
    </xf>
    <xf numFmtId="2" fontId="66" fillId="5" borderId="52" xfId="7" applyNumberFormat="1" applyFont="1" applyFill="1" applyBorder="1" applyAlignment="1">
      <alignment horizontal="center"/>
    </xf>
    <xf numFmtId="2" fontId="66" fillId="5" borderId="38" xfId="7" applyNumberFormat="1" applyFont="1" applyFill="1" applyBorder="1" applyAlignment="1">
      <alignment horizontal="center"/>
    </xf>
    <xf numFmtId="2" fontId="65" fillId="5" borderId="38" xfId="7" applyNumberFormat="1" applyFont="1" applyFill="1" applyBorder="1" applyAlignment="1">
      <alignment horizontal="center"/>
    </xf>
    <xf numFmtId="176" fontId="65" fillId="5" borderId="52" xfId="7" applyNumberFormat="1" applyFont="1" applyFill="1" applyBorder="1" applyAlignment="1">
      <alignment horizontal="center"/>
    </xf>
    <xf numFmtId="0" fontId="65" fillId="5" borderId="38" xfId="7" applyFont="1" applyFill="1" applyBorder="1" applyAlignment="1"/>
    <xf numFmtId="0" fontId="65" fillId="5" borderId="35" xfId="7" applyFont="1" applyFill="1" applyBorder="1" applyAlignment="1"/>
    <xf numFmtId="0" fontId="65" fillId="5" borderId="46" xfId="7" applyFont="1" applyFill="1" applyBorder="1" applyAlignment="1"/>
    <xf numFmtId="0" fontId="66" fillId="5" borderId="52" xfId="7" applyFont="1" applyFill="1" applyBorder="1" applyAlignment="1">
      <alignment horizontal="center"/>
    </xf>
    <xf numFmtId="2" fontId="65" fillId="5" borderId="52" xfId="7" applyNumberFormat="1" applyFont="1" applyFill="1" applyBorder="1" applyAlignment="1">
      <alignment horizontal="center"/>
    </xf>
    <xf numFmtId="2" fontId="64" fillId="5" borderId="38" xfId="7" applyNumberFormat="1" applyFont="1" applyFill="1" applyBorder="1" applyAlignment="1">
      <alignment horizontal="center"/>
    </xf>
    <xf numFmtId="0" fontId="65" fillId="5" borderId="35" xfId="7" applyFont="1" applyFill="1" applyBorder="1"/>
    <xf numFmtId="0" fontId="65" fillId="5" borderId="46" xfId="7" applyFont="1" applyFill="1" applyBorder="1" applyAlignment="1">
      <alignment horizontal="center"/>
    </xf>
    <xf numFmtId="0" fontId="65" fillId="5" borderId="38" xfId="7" applyFont="1" applyFill="1" applyBorder="1"/>
    <xf numFmtId="0" fontId="65" fillId="5" borderId="38" xfId="7" applyFont="1" applyFill="1" applyBorder="1" applyAlignment="1">
      <alignment horizontal="center"/>
    </xf>
    <xf numFmtId="0" fontId="65" fillId="5" borderId="46" xfId="7" applyFont="1" applyFill="1" applyBorder="1"/>
    <xf numFmtId="0" fontId="65" fillId="5" borderId="39" xfId="7" applyFont="1" applyFill="1" applyBorder="1"/>
    <xf numFmtId="0" fontId="65" fillId="6" borderId="53" xfId="7" applyFont="1" applyFill="1" applyBorder="1" applyAlignment="1">
      <alignment horizontal="left"/>
    </xf>
    <xf numFmtId="0" fontId="65" fillId="6" borderId="36" xfId="7" applyFont="1" applyFill="1" applyBorder="1" applyAlignment="1">
      <alignment horizontal="left"/>
    </xf>
    <xf numFmtId="0" fontId="65" fillId="6" borderId="34" xfId="7" applyFont="1" applyFill="1" applyBorder="1" applyAlignment="1">
      <alignment horizontal="left"/>
    </xf>
    <xf numFmtId="0" fontId="65" fillId="5" borderId="53" xfId="7" applyFont="1" applyFill="1" applyBorder="1" applyAlignment="1">
      <alignment horizontal="left"/>
    </xf>
    <xf numFmtId="0" fontId="65" fillId="5" borderId="36" xfId="7" applyFont="1" applyFill="1" applyBorder="1" applyAlignment="1">
      <alignment horizontal="left"/>
    </xf>
    <xf numFmtId="0" fontId="65" fillId="5" borderId="34" xfId="7" applyFont="1" applyFill="1" applyBorder="1" applyAlignment="1">
      <alignment horizontal="left"/>
    </xf>
    <xf numFmtId="0" fontId="9" fillId="0" borderId="0" xfId="7" applyFont="1" applyBorder="1"/>
    <xf numFmtId="0" fontId="65" fillId="3" borderId="13" xfId="7" applyFont="1" applyFill="1" applyBorder="1"/>
    <xf numFmtId="0" fontId="65" fillId="3" borderId="14" xfId="7" applyFont="1" applyFill="1" applyBorder="1"/>
    <xf numFmtId="2" fontId="65" fillId="3" borderId="14" xfId="7" applyNumberFormat="1" applyFont="1" applyFill="1" applyBorder="1" applyAlignment="1">
      <alignment horizontal="center"/>
    </xf>
    <xf numFmtId="44" fontId="64" fillId="3" borderId="15" xfId="7" applyNumberFormat="1" applyFont="1" applyFill="1" applyBorder="1"/>
    <xf numFmtId="0" fontId="65" fillId="3" borderId="34" xfId="7" applyFont="1" applyFill="1" applyBorder="1" applyAlignment="1">
      <alignment horizontal="left"/>
    </xf>
    <xf numFmtId="0" fontId="49" fillId="3" borderId="35" xfId="7" applyFont="1" applyFill="1" applyBorder="1"/>
    <xf numFmtId="0" fontId="49" fillId="3" borderId="46" xfId="7" applyFont="1" applyFill="1" applyBorder="1"/>
    <xf numFmtId="2" fontId="66" fillId="3" borderId="10" xfId="7" applyNumberFormat="1" applyFont="1" applyFill="1" applyBorder="1" applyAlignment="1">
      <alignment horizontal="center"/>
    </xf>
    <xf numFmtId="0" fontId="66" fillId="3" borderId="10" xfId="7" applyFont="1" applyFill="1" applyBorder="1" applyAlignment="1">
      <alignment horizontal="center"/>
    </xf>
    <xf numFmtId="0" fontId="69" fillId="6" borderId="14" xfId="7" applyFont="1" applyFill="1" applyBorder="1"/>
    <xf numFmtId="0" fontId="49" fillId="6" borderId="14" xfId="7" applyFont="1" applyFill="1" applyBorder="1"/>
    <xf numFmtId="0" fontId="49" fillId="6" borderId="21" xfId="7" applyFont="1" applyFill="1" applyBorder="1"/>
    <xf numFmtId="0" fontId="65" fillId="6" borderId="13" xfId="7" applyFont="1" applyFill="1" applyBorder="1"/>
    <xf numFmtId="0" fontId="65" fillId="6" borderId="21" xfId="7" applyFont="1" applyFill="1" applyBorder="1"/>
    <xf numFmtId="176" fontId="65" fillId="6" borderId="22" xfId="7" applyNumberFormat="1" applyFont="1" applyFill="1" applyBorder="1" applyAlignment="1">
      <alignment horizontal="center"/>
    </xf>
    <xf numFmtId="0" fontId="64" fillId="6" borderId="14" xfId="7" applyFont="1" applyFill="1" applyBorder="1"/>
    <xf numFmtId="2" fontId="65" fillId="6" borderId="14" xfId="7" applyNumberFormat="1" applyFont="1" applyFill="1" applyBorder="1" applyAlignment="1">
      <alignment horizontal="center"/>
    </xf>
    <xf numFmtId="2" fontId="65" fillId="6" borderId="21" xfId="7" applyNumberFormat="1" applyFont="1" applyFill="1" applyBorder="1" applyAlignment="1">
      <alignment horizontal="center"/>
    </xf>
    <xf numFmtId="0" fontId="66" fillId="6" borderId="0" xfId="7" applyFont="1" applyFill="1" applyBorder="1" applyAlignment="1">
      <alignment horizontal="left"/>
    </xf>
    <xf numFmtId="0" fontId="49" fillId="6" borderId="0" xfId="7" applyFont="1" applyFill="1" applyBorder="1"/>
    <xf numFmtId="0" fontId="49" fillId="6" borderId="22" xfId="7" applyFont="1" applyFill="1" applyBorder="1"/>
    <xf numFmtId="0" fontId="65" fillId="6" borderId="15" xfId="7" applyFont="1" applyFill="1" applyBorder="1"/>
    <xf numFmtId="0" fontId="65" fillId="6" borderId="22" xfId="7" applyFont="1" applyFill="1" applyBorder="1"/>
    <xf numFmtId="44" fontId="64" fillId="6" borderId="0" xfId="7" applyNumberFormat="1" applyFont="1" applyFill="1" applyBorder="1"/>
    <xf numFmtId="2" fontId="65" fillId="6" borderId="0" xfId="7" applyNumberFormat="1" applyFont="1" applyFill="1" applyBorder="1" applyAlignment="1">
      <alignment horizontal="center"/>
    </xf>
    <xf numFmtId="2" fontId="65" fillId="6" borderId="22" xfId="7" applyNumberFormat="1" applyFont="1" applyFill="1" applyBorder="1" applyAlignment="1">
      <alignment horizontal="center"/>
    </xf>
    <xf numFmtId="0" fontId="64" fillId="6" borderId="0" xfId="7" applyFont="1" applyFill="1" applyBorder="1"/>
    <xf numFmtId="2" fontId="68" fillId="6" borderId="19" xfId="7" applyNumberFormat="1" applyFont="1" applyFill="1" applyBorder="1" applyAlignment="1">
      <alignment horizontal="center"/>
    </xf>
    <xf numFmtId="176" fontId="65" fillId="6" borderId="22" xfId="7" applyNumberFormat="1" applyFont="1" applyFill="1" applyBorder="1" applyAlignment="1"/>
    <xf numFmtId="0" fontId="67" fillId="6" borderId="19" xfId="7" applyFont="1" applyFill="1" applyBorder="1" applyAlignment="1">
      <alignment horizontal="center"/>
    </xf>
    <xf numFmtId="2" fontId="65" fillId="6" borderId="22" xfId="7" applyNumberFormat="1" applyFont="1" applyFill="1" applyBorder="1"/>
    <xf numFmtId="0" fontId="49" fillId="6" borderId="35" xfId="7" applyFont="1" applyFill="1" applyBorder="1"/>
    <xf numFmtId="0" fontId="49" fillId="6" borderId="46" xfId="7" applyFont="1" applyFill="1" applyBorder="1"/>
    <xf numFmtId="0" fontId="65" fillId="6" borderId="38" xfId="7" applyFont="1" applyFill="1" applyBorder="1"/>
    <xf numFmtId="0" fontId="65" fillId="6" borderId="46" xfId="7" applyFont="1" applyFill="1" applyBorder="1"/>
    <xf numFmtId="2" fontId="65" fillId="6" borderId="52" xfId="7" applyNumberFormat="1" applyFont="1" applyFill="1" applyBorder="1" applyAlignment="1">
      <alignment horizontal="center"/>
    </xf>
    <xf numFmtId="176" fontId="65" fillId="6" borderId="46" xfId="7" applyNumberFormat="1" applyFont="1" applyFill="1" applyBorder="1" applyAlignment="1"/>
    <xf numFmtId="0" fontId="64" fillId="6" borderId="35" xfId="7" applyFont="1" applyFill="1" applyBorder="1"/>
    <xf numFmtId="0" fontId="69" fillId="5" borderId="14" xfId="7" applyFont="1" applyFill="1" applyBorder="1"/>
    <xf numFmtId="0" fontId="49" fillId="5" borderId="14" xfId="7" applyFont="1" applyFill="1" applyBorder="1"/>
    <xf numFmtId="0" fontId="49" fillId="5" borderId="21" xfId="7" applyFont="1" applyFill="1" applyBorder="1"/>
    <xf numFmtId="0" fontId="65" fillId="5" borderId="14" xfId="7" applyFont="1" applyFill="1" applyBorder="1"/>
    <xf numFmtId="0" fontId="65" fillId="5" borderId="19" xfId="7" applyFont="1" applyFill="1" applyBorder="1" applyAlignment="1">
      <alignment horizontal="center"/>
    </xf>
    <xf numFmtId="0" fontId="65" fillId="5" borderId="23" xfId="7" applyFont="1" applyFill="1" applyBorder="1" applyAlignment="1">
      <alignment horizontal="center"/>
    </xf>
    <xf numFmtId="0" fontId="65" fillId="5" borderId="55" xfId="7" applyFont="1" applyFill="1" applyBorder="1" applyAlignment="1">
      <alignment horizontal="center"/>
    </xf>
    <xf numFmtId="0" fontId="66" fillId="5" borderId="0" xfId="7" applyFont="1" applyFill="1" applyBorder="1" applyAlignment="1">
      <alignment horizontal="left"/>
    </xf>
    <xf numFmtId="0" fontId="49" fillId="5" borderId="0" xfId="7" applyFont="1" applyFill="1" applyBorder="1"/>
    <xf numFmtId="0" fontId="49" fillId="5" borderId="22" xfId="7" applyFont="1" applyFill="1" applyBorder="1"/>
    <xf numFmtId="0" fontId="65" fillId="5" borderId="0" xfId="7" applyFont="1" applyFill="1" applyBorder="1"/>
    <xf numFmtId="0" fontId="49" fillId="5" borderId="56" xfId="7" applyFont="1" applyFill="1" applyBorder="1"/>
    <xf numFmtId="0" fontId="65" fillId="5" borderId="56" xfId="7" applyFont="1" applyFill="1" applyBorder="1" applyAlignment="1">
      <alignment horizontal="center"/>
    </xf>
    <xf numFmtId="2" fontId="66" fillId="5" borderId="20" xfId="7" applyNumberFormat="1" applyFont="1" applyFill="1" applyBorder="1" applyAlignment="1">
      <alignment horizontal="center"/>
    </xf>
    <xf numFmtId="2" fontId="65" fillId="5" borderId="16" xfId="7" applyNumberFormat="1" applyFont="1" applyFill="1" applyBorder="1" applyAlignment="1">
      <alignment horizontal="center"/>
    </xf>
    <xf numFmtId="0" fontId="73" fillId="5" borderId="0" xfId="7" applyFont="1" applyFill="1" applyBorder="1"/>
    <xf numFmtId="0" fontId="73" fillId="5" borderId="22" xfId="7" applyFont="1" applyFill="1" applyBorder="1"/>
    <xf numFmtId="0" fontId="69" fillId="5" borderId="0" xfId="7" applyFont="1" applyFill="1" applyBorder="1"/>
    <xf numFmtId="0" fontId="49" fillId="5" borderId="15" xfId="7" applyFont="1" applyFill="1" applyBorder="1"/>
    <xf numFmtId="0" fontId="49" fillId="5" borderId="19" xfId="7" applyFont="1" applyFill="1" applyBorder="1" applyAlignment="1">
      <alignment horizontal="center"/>
    </xf>
    <xf numFmtId="176" fontId="65" fillId="5" borderId="19" xfId="7" applyNumberFormat="1" applyFont="1" applyFill="1" applyBorder="1" applyAlignment="1"/>
    <xf numFmtId="0" fontId="49" fillId="5" borderId="35" xfId="7" applyFont="1" applyFill="1" applyBorder="1"/>
    <xf numFmtId="0" fontId="49" fillId="5" borderId="46" xfId="7" applyFont="1" applyFill="1" applyBorder="1"/>
    <xf numFmtId="176" fontId="65" fillId="5" borderId="52" xfId="7" applyNumberFormat="1" applyFont="1" applyFill="1" applyBorder="1" applyAlignment="1"/>
    <xf numFmtId="0" fontId="49" fillId="5" borderId="38" xfId="7" applyFont="1" applyFill="1" applyBorder="1" applyAlignment="1">
      <alignment horizontal="center"/>
    </xf>
    <xf numFmtId="0" fontId="64" fillId="5" borderId="52" xfId="7" applyFont="1" applyFill="1" applyBorder="1"/>
    <xf numFmtId="0" fontId="65" fillId="5" borderId="52" xfId="7" applyFont="1" applyFill="1" applyBorder="1"/>
    <xf numFmtId="0" fontId="65" fillId="5" borderId="57" xfId="7" applyFont="1" applyFill="1" applyBorder="1" applyAlignment="1">
      <alignment horizontal="center"/>
    </xf>
    <xf numFmtId="0" fontId="20" fillId="2" borderId="31" xfId="7" applyFont="1" applyFill="1" applyBorder="1" applyAlignment="1">
      <alignment horizontal="center"/>
    </xf>
    <xf numFmtId="0" fontId="47" fillId="2" borderId="31" xfId="7" applyFont="1" applyFill="1" applyBorder="1" applyAlignment="1">
      <alignment horizontal="center"/>
    </xf>
    <xf numFmtId="0" fontId="47" fillId="8" borderId="51" xfId="7" applyFont="1" applyFill="1" applyBorder="1" applyAlignment="1">
      <alignment horizontal="center"/>
    </xf>
    <xf numFmtId="0" fontId="6" fillId="0" borderId="0" xfId="7" applyFont="1"/>
    <xf numFmtId="0" fontId="10" fillId="3" borderId="27" xfId="7" applyFont="1" applyFill="1" applyBorder="1"/>
    <xf numFmtId="0" fontId="15" fillId="0" borderId="0" xfId="7" applyFont="1"/>
    <xf numFmtId="164" fontId="10" fillId="0" borderId="0" xfId="7" applyNumberFormat="1" applyFont="1"/>
    <xf numFmtId="0" fontId="10" fillId="0" borderId="0" xfId="7" applyFont="1"/>
    <xf numFmtId="0" fontId="57" fillId="0" borderId="0" xfId="7" applyFont="1"/>
    <xf numFmtId="0" fontId="10" fillId="0" borderId="0" xfId="7" applyFont="1" applyAlignment="1">
      <alignment horizontal="left"/>
    </xf>
    <xf numFmtId="0" fontId="6" fillId="0" borderId="0" xfId="7" applyFont="1" applyBorder="1" applyAlignment="1">
      <alignment horizontal="center"/>
    </xf>
    <xf numFmtId="0" fontId="10" fillId="0" borderId="0" xfId="7" applyFont="1" applyBorder="1"/>
    <xf numFmtId="0" fontId="15" fillId="0" borderId="0" xfId="7" applyFont="1" applyAlignment="1">
      <alignment horizontal="center"/>
    </xf>
    <xf numFmtId="0" fontId="76" fillId="0" borderId="42" xfId="7" applyFont="1" applyBorder="1"/>
    <xf numFmtId="0" fontId="77" fillId="0" borderId="27" xfId="7" applyFont="1" applyBorder="1"/>
    <xf numFmtId="0" fontId="10" fillId="0" borderId="27" xfId="7" applyFont="1" applyBorder="1"/>
    <xf numFmtId="0" fontId="61" fillId="3" borderId="27" xfId="7" applyFont="1" applyFill="1" applyBorder="1"/>
    <xf numFmtId="2" fontId="2" fillId="0" borderId="27" xfId="7" applyNumberFormat="1" applyFont="1" applyFill="1" applyBorder="1" applyAlignment="1">
      <alignment horizontal="center"/>
    </xf>
    <xf numFmtId="2" fontId="31" fillId="12" borderId="27" xfId="7" applyNumberFormat="1" applyFont="1" applyFill="1" applyBorder="1" applyAlignment="1">
      <alignment horizontal="center"/>
    </xf>
    <xf numFmtId="0" fontId="61" fillId="5" borderId="27" xfId="7" applyFont="1" applyFill="1" applyBorder="1"/>
    <xf numFmtId="0" fontId="10" fillId="5" borderId="27" xfId="7" applyFont="1" applyFill="1" applyBorder="1"/>
    <xf numFmtId="2" fontId="2" fillId="0" borderId="33" xfId="7" applyNumberFormat="1" applyFont="1" applyFill="1" applyBorder="1" applyAlignment="1">
      <alignment horizontal="center"/>
    </xf>
    <xf numFmtId="164" fontId="8" fillId="0" borderId="36" xfId="7" applyNumberFormat="1" applyFont="1" applyBorder="1" applyAlignment="1"/>
    <xf numFmtId="164" fontId="6" fillId="0" borderId="0" xfId="7" applyNumberFormat="1" applyFont="1" applyBorder="1" applyAlignment="1"/>
    <xf numFmtId="2" fontId="31" fillId="12" borderId="0" xfId="7" applyNumberFormat="1" applyFont="1" applyFill="1" applyBorder="1" applyAlignment="1">
      <alignment horizontal="center"/>
    </xf>
    <xf numFmtId="0" fontId="10" fillId="0" borderId="0" xfId="7" applyFont="1" applyFill="1" applyBorder="1"/>
    <xf numFmtId="0" fontId="10" fillId="0" borderId="37" xfId="7" applyFont="1" applyFill="1" applyBorder="1"/>
    <xf numFmtId="164" fontId="61" fillId="0" borderId="0" xfId="7" applyNumberFormat="1" applyFont="1" applyBorder="1" applyAlignment="1"/>
    <xf numFmtId="2" fontId="2" fillId="0" borderId="0" xfId="7" applyNumberFormat="1" applyFont="1" applyFill="1" applyBorder="1" applyAlignment="1">
      <alignment horizontal="center"/>
    </xf>
    <xf numFmtId="2" fontId="36" fillId="8" borderId="58" xfId="7" applyNumberFormat="1" applyFont="1" applyFill="1" applyBorder="1" applyAlignment="1">
      <alignment horizontal="center"/>
    </xf>
    <xf numFmtId="2" fontId="36" fillId="8" borderId="59" xfId="7" applyNumberFormat="1" applyFont="1" applyFill="1" applyBorder="1" applyAlignment="1">
      <alignment horizontal="center"/>
    </xf>
    <xf numFmtId="0" fontId="10" fillId="0" borderId="35" xfId="7" applyFont="1" applyBorder="1"/>
    <xf numFmtId="2" fontId="31" fillId="13" borderId="35" xfId="7" applyNumberFormat="1" applyFont="1" applyFill="1" applyBorder="1" applyAlignment="1">
      <alignment horizontal="center"/>
    </xf>
    <xf numFmtId="0" fontId="10" fillId="0" borderId="0" xfId="7" applyFont="1" applyBorder="1" applyAlignment="1">
      <alignment horizontal="left"/>
    </xf>
    <xf numFmtId="164" fontId="6" fillId="0" borderId="27" xfId="7" applyNumberFormat="1" applyFont="1" applyBorder="1" applyAlignment="1"/>
    <xf numFmtId="0" fontId="15" fillId="0" borderId="0" xfId="7" applyFont="1" applyBorder="1"/>
    <xf numFmtId="0" fontId="6" fillId="0" borderId="27" xfId="7" applyFont="1" applyBorder="1"/>
    <xf numFmtId="0" fontId="6" fillId="0" borderId="0" xfId="7" applyFont="1" applyBorder="1"/>
    <xf numFmtId="0" fontId="10" fillId="0" borderId="37" xfId="7" applyFont="1" applyBorder="1"/>
    <xf numFmtId="2" fontId="36" fillId="8" borderId="60" xfId="7" applyNumberFormat="1" applyFont="1" applyFill="1" applyBorder="1" applyAlignment="1">
      <alignment horizontal="center"/>
    </xf>
    <xf numFmtId="0" fontId="75" fillId="0" borderId="0" xfId="7" applyFont="1" applyAlignment="1"/>
    <xf numFmtId="0" fontId="10" fillId="0" borderId="0" xfId="7" applyFont="1" applyAlignment="1">
      <alignment horizontal="right"/>
    </xf>
    <xf numFmtId="164" fontId="6" fillId="0" borderId="27" xfId="7" applyNumberFormat="1" applyFont="1" applyBorder="1"/>
    <xf numFmtId="164" fontId="6" fillId="0" borderId="33" xfId="7" applyNumberFormat="1" applyFont="1" applyBorder="1"/>
    <xf numFmtId="164" fontId="6" fillId="0" borderId="0" xfId="7" applyNumberFormat="1" applyFont="1" applyBorder="1"/>
    <xf numFmtId="0" fontId="78" fillId="0" borderId="0" xfId="7" applyFont="1" applyAlignment="1">
      <alignment horizontal="left"/>
    </xf>
    <xf numFmtId="0" fontId="78" fillId="0" borderId="0" xfId="7" applyFont="1" applyAlignment="1">
      <alignment horizontal="right"/>
    </xf>
    <xf numFmtId="164" fontId="79" fillId="0" borderId="0" xfId="7" applyNumberFormat="1" applyFont="1"/>
    <xf numFmtId="0" fontId="10" fillId="5" borderId="36" xfId="7" applyFont="1" applyFill="1" applyBorder="1"/>
    <xf numFmtId="0" fontId="10" fillId="5" borderId="0" xfId="7" applyFont="1" applyFill="1" applyBorder="1"/>
    <xf numFmtId="0" fontId="10" fillId="5" borderId="37" xfId="7" applyFont="1" applyFill="1" applyBorder="1"/>
    <xf numFmtId="164" fontId="6" fillId="0" borderId="0" xfId="7" applyNumberFormat="1" applyFont="1"/>
    <xf numFmtId="164" fontId="6" fillId="0" borderId="37" xfId="7" applyNumberFormat="1" applyFont="1" applyBorder="1"/>
    <xf numFmtId="164" fontId="7" fillId="0" borderId="0" xfId="7" applyNumberFormat="1" applyFont="1"/>
    <xf numFmtId="164" fontId="53" fillId="0" borderId="0" xfId="7" applyNumberFormat="1" applyFont="1"/>
    <xf numFmtId="164" fontId="53" fillId="0" borderId="17" xfId="7" applyNumberFormat="1" applyFont="1" applyBorder="1"/>
    <xf numFmtId="164" fontId="53" fillId="0" borderId="61" xfId="7" applyNumberFormat="1" applyFont="1" applyBorder="1"/>
    <xf numFmtId="0" fontId="35" fillId="0" borderId="0" xfId="7" applyFont="1"/>
    <xf numFmtId="0" fontId="12" fillId="14" borderId="62" xfId="7" applyFont="1" applyFill="1" applyBorder="1" applyAlignment="1">
      <alignment horizontal="center"/>
    </xf>
    <xf numFmtId="0" fontId="6" fillId="14" borderId="29" xfId="7" applyFont="1" applyFill="1" applyBorder="1"/>
    <xf numFmtId="0" fontId="10" fillId="14" borderId="29" xfId="7" applyFont="1" applyFill="1" applyBorder="1"/>
    <xf numFmtId="0" fontId="10" fillId="14" borderId="54" xfId="7" applyFont="1" applyFill="1" applyBorder="1"/>
    <xf numFmtId="0" fontId="12" fillId="14" borderId="63" xfId="7" applyFont="1" applyFill="1" applyBorder="1" applyAlignment="1">
      <alignment horizontal="center"/>
    </xf>
    <xf numFmtId="0" fontId="6" fillId="14" borderId="35" xfId="7" applyFont="1" applyFill="1" applyBorder="1"/>
    <xf numFmtId="0" fontId="10" fillId="14" borderId="35" xfId="7" applyFont="1" applyFill="1" applyBorder="1"/>
    <xf numFmtId="0" fontId="10" fillId="14" borderId="39" xfId="7" applyFont="1" applyFill="1" applyBorder="1"/>
    <xf numFmtId="0" fontId="6" fillId="0" borderId="0" xfId="7" applyFont="1" applyAlignment="1">
      <alignment horizontal="right"/>
    </xf>
    <xf numFmtId="0" fontId="7" fillId="0" borderId="0" xfId="7" applyFont="1" applyFill="1" applyAlignment="1">
      <alignment vertical="center"/>
    </xf>
    <xf numFmtId="0" fontId="6" fillId="14" borderId="33" xfId="7" applyFont="1" applyFill="1" applyBorder="1"/>
    <xf numFmtId="0" fontId="6" fillId="8" borderId="23" xfId="7" applyFont="1" applyFill="1" applyBorder="1" applyAlignment="1">
      <alignment horizontal="center"/>
    </xf>
    <xf numFmtId="0" fontId="6" fillId="14" borderId="37" xfId="7" applyFont="1" applyFill="1" applyBorder="1"/>
    <xf numFmtId="178" fontId="53" fillId="8" borderId="64" xfId="7" applyNumberFormat="1" applyFont="1" applyFill="1" applyBorder="1" applyAlignment="1">
      <alignment horizontal="center"/>
    </xf>
    <xf numFmtId="0" fontId="6" fillId="14" borderId="39" xfId="7" applyFont="1" applyFill="1" applyBorder="1"/>
    <xf numFmtId="0" fontId="61" fillId="5" borderId="0" xfId="7" applyFont="1" applyFill="1" applyBorder="1"/>
    <xf numFmtId="2" fontId="2" fillId="0" borderId="37" xfId="7" applyNumberFormat="1" applyFont="1" applyFill="1" applyBorder="1" applyAlignment="1">
      <alignment horizontal="center"/>
    </xf>
    <xf numFmtId="0" fontId="61" fillId="3" borderId="0" xfId="7" applyFont="1" applyFill="1" applyBorder="1"/>
    <xf numFmtId="0" fontId="61" fillId="0" borderId="0" xfId="7" applyFont="1" applyBorder="1" applyAlignment="1">
      <alignment horizontal="left"/>
    </xf>
    <xf numFmtId="0" fontId="80" fillId="3" borderId="10" xfId="7" applyFont="1" applyFill="1" applyBorder="1" applyAlignment="1">
      <alignment horizontal="center"/>
    </xf>
    <xf numFmtId="0" fontId="76" fillId="0" borderId="36" xfId="7" applyFont="1" applyBorder="1"/>
    <xf numFmtId="0" fontId="6" fillId="0" borderId="0" xfId="7" applyFont="1" applyFill="1" applyBorder="1"/>
    <xf numFmtId="164" fontId="6" fillId="0" borderId="0" xfId="7" applyNumberFormat="1" applyFont="1" applyFill="1" applyBorder="1"/>
    <xf numFmtId="0" fontId="10" fillId="0" borderId="0" xfId="7" applyFont="1" applyFill="1" applyBorder="1" applyAlignment="1">
      <alignment horizontal="right"/>
    </xf>
    <xf numFmtId="0" fontId="10" fillId="0" borderId="0" xfId="7" applyFont="1" applyFill="1" applyBorder="1" applyAlignment="1">
      <alignment horizontal="left"/>
    </xf>
    <xf numFmtId="0" fontId="33" fillId="0" borderId="0" xfId="7" applyFont="1" applyFill="1" applyBorder="1" applyAlignment="1">
      <alignment horizontal="left"/>
    </xf>
    <xf numFmtId="4" fontId="10" fillId="0" borderId="0" xfId="7" applyNumberFormat="1" applyFont="1" applyFill="1" applyBorder="1" applyAlignment="1">
      <alignment horizontal="right"/>
    </xf>
    <xf numFmtId="0" fontId="10" fillId="0" borderId="0" xfId="7" applyFont="1" applyFill="1" applyBorder="1" applyAlignment="1">
      <alignment horizontal="center" vertical="center"/>
    </xf>
    <xf numFmtId="1" fontId="10" fillId="0" borderId="0" xfId="7" applyNumberFormat="1" applyFont="1" applyFill="1" applyBorder="1"/>
    <xf numFmtId="164" fontId="16" fillId="0" borderId="35" xfId="7" applyNumberFormat="1" applyFont="1" applyFill="1" applyBorder="1" applyAlignment="1">
      <alignment horizontal="left"/>
    </xf>
    <xf numFmtId="44" fontId="77" fillId="0" borderId="0" xfId="2" applyFont="1" applyBorder="1" applyAlignment="1">
      <alignment horizontal="center"/>
    </xf>
    <xf numFmtId="4" fontId="61" fillId="0" borderId="0" xfId="7" applyNumberFormat="1" applyFont="1" applyBorder="1" applyAlignment="1">
      <alignment horizontal="right"/>
    </xf>
    <xf numFmtId="0" fontId="61" fillId="0" borderId="0" xfId="7" applyFont="1" applyBorder="1" applyAlignment="1"/>
    <xf numFmtId="4" fontId="61" fillId="0" borderId="0" xfId="7" applyNumberFormat="1" applyFont="1" applyBorder="1" applyAlignment="1"/>
    <xf numFmtId="0" fontId="14" fillId="0" borderId="14" xfId="0" applyFont="1" applyBorder="1" applyAlignment="1">
      <alignment horizontal="left"/>
    </xf>
    <xf numFmtId="0" fontId="0" fillId="0" borderId="14" xfId="0" applyBorder="1"/>
    <xf numFmtId="0" fontId="7" fillId="0" borderId="14" xfId="7" applyFont="1" applyFill="1" applyBorder="1" applyAlignment="1">
      <alignment horizontal="left"/>
    </xf>
    <xf numFmtId="0" fontId="33" fillId="0" borderId="17" xfId="7" applyFont="1" applyFill="1" applyBorder="1" applyAlignment="1">
      <alignment horizontal="left"/>
    </xf>
    <xf numFmtId="0" fontId="0" fillId="0" borderId="17" xfId="0" applyBorder="1"/>
    <xf numFmtId="0" fontId="10" fillId="0" borderId="17" xfId="7" applyFont="1" applyFill="1" applyBorder="1" applyAlignment="1">
      <alignment horizontal="right"/>
    </xf>
    <xf numFmtId="0" fontId="7" fillId="0" borderId="14" xfId="7" applyFont="1" applyFill="1" applyBorder="1" applyAlignment="1"/>
    <xf numFmtId="2" fontId="10" fillId="0" borderId="17" xfId="7" applyNumberFormat="1" applyFont="1" applyFill="1" applyBorder="1"/>
    <xf numFmtId="0" fontId="10" fillId="0" borderId="17" xfId="7" applyFont="1" applyFill="1" applyBorder="1" applyAlignment="1">
      <alignment horizontal="center" vertical="center"/>
    </xf>
    <xf numFmtId="1" fontId="10" fillId="0" borderId="17" xfId="7" applyNumberFormat="1" applyFont="1" applyFill="1" applyBorder="1"/>
    <xf numFmtId="0" fontId="74" fillId="0" borderId="0" xfId="7" applyFont="1" applyBorder="1" applyAlignment="1"/>
    <xf numFmtId="4" fontId="82" fillId="0" borderId="0" xfId="0" applyNumberFormat="1" applyFont="1" applyAlignment="1">
      <alignment horizontal="center" vertical="center"/>
    </xf>
    <xf numFmtId="0" fontId="16" fillId="0" borderId="35" xfId="7" applyFont="1" applyFill="1" applyBorder="1" applyAlignment="1">
      <alignment horizontal="left"/>
    </xf>
    <xf numFmtId="0" fontId="76" fillId="0" borderId="34" xfId="7" applyFont="1" applyBorder="1"/>
    <xf numFmtId="164" fontId="6" fillId="0" borderId="35" xfId="7" applyNumberFormat="1" applyFont="1" applyBorder="1" applyAlignment="1"/>
    <xf numFmtId="164" fontId="3" fillId="0" borderId="35" xfId="7" applyNumberFormat="1" applyFont="1" applyFill="1" applyBorder="1" applyAlignment="1">
      <alignment horizontal="left"/>
    </xf>
    <xf numFmtId="164" fontId="3" fillId="0" borderId="39" xfId="7" applyNumberFormat="1" applyFont="1" applyFill="1" applyBorder="1" applyAlignment="1">
      <alignment horizontal="left"/>
    </xf>
    <xf numFmtId="4" fontId="16" fillId="0" borderId="34" xfId="7" applyNumberFormat="1" applyFont="1" applyBorder="1" applyAlignment="1"/>
    <xf numFmtId="169" fontId="16" fillId="0" borderId="35" xfId="7" applyNumberFormat="1" applyFont="1" applyBorder="1" applyAlignment="1"/>
    <xf numFmtId="0" fontId="7" fillId="0" borderId="14" xfId="7" applyFont="1" applyFill="1" applyBorder="1" applyAlignment="1">
      <alignment horizontal="center"/>
    </xf>
    <xf numFmtId="0" fontId="10" fillId="0" borderId="0" xfId="7" applyFont="1" applyFill="1" applyBorder="1" applyAlignment="1">
      <alignment horizontal="center"/>
    </xf>
    <xf numFmtId="0" fontId="10" fillId="0" borderId="17" xfId="7" applyFont="1" applyFill="1" applyBorder="1" applyAlignment="1">
      <alignment horizontal="center"/>
    </xf>
    <xf numFmtId="0" fontId="77" fillId="0" borderId="23" xfId="0" applyFont="1" applyBorder="1" applyAlignment="1">
      <alignment horizontal="left" vertical="center"/>
    </xf>
    <xf numFmtId="0" fontId="57" fillId="0" borderId="19" xfId="0" applyFont="1" applyBorder="1" applyAlignment="1">
      <alignment horizontal="left" vertical="center"/>
    </xf>
    <xf numFmtId="0" fontId="57" fillId="0" borderId="20" xfId="0" applyFont="1" applyBorder="1" applyAlignment="1">
      <alignment horizontal="left" vertical="center"/>
    </xf>
    <xf numFmtId="0" fontId="81" fillId="0" borderId="19" xfId="0" applyFont="1" applyBorder="1" applyAlignment="1">
      <alignment horizontal="right" vertical="center"/>
    </xf>
    <xf numFmtId="0" fontId="81" fillId="0" borderId="20" xfId="0" applyFont="1" applyBorder="1" applyAlignment="1">
      <alignment horizontal="right" vertical="center"/>
    </xf>
    <xf numFmtId="2" fontId="36" fillId="8" borderId="64" xfId="7" applyNumberFormat="1" applyFont="1" applyFill="1" applyBorder="1" applyAlignment="1">
      <alignment horizontal="center"/>
    </xf>
    <xf numFmtId="174" fontId="50" fillId="9" borderId="25" xfId="7" applyNumberFormat="1" applyFont="1" applyFill="1" applyBorder="1" applyAlignment="1">
      <alignment horizontal="center" vertical="center"/>
    </xf>
    <xf numFmtId="0" fontId="1" fillId="12" borderId="24" xfId="7" applyFill="1" applyBorder="1" applyAlignment="1">
      <alignment horizontal="center"/>
    </xf>
    <xf numFmtId="0" fontId="1" fillId="12" borderId="30" xfId="7" applyFont="1" applyFill="1" applyBorder="1" applyAlignment="1">
      <alignment horizontal="center"/>
    </xf>
    <xf numFmtId="0" fontId="1" fillId="12" borderId="24" xfId="9" applyNumberFormat="1" applyFont="1" applyFill="1" applyBorder="1" applyAlignment="1">
      <alignment horizontal="center"/>
    </xf>
    <xf numFmtId="0" fontId="1" fillId="12" borderId="30" xfId="7" applyFill="1" applyBorder="1"/>
    <xf numFmtId="0" fontId="32" fillId="0" borderId="0" xfId="7" quotePrefix="1" applyFont="1" applyAlignment="1">
      <alignment vertical="center" wrapText="1"/>
    </xf>
    <xf numFmtId="0" fontId="84" fillId="0" borderId="0" xfId="0" applyFont="1" applyAlignment="1">
      <alignment horizontal="right"/>
    </xf>
    <xf numFmtId="0" fontId="83" fillId="9" borderId="55" xfId="0" applyFont="1" applyFill="1" applyBorder="1" applyAlignment="1">
      <alignment horizontal="center"/>
    </xf>
    <xf numFmtId="0" fontId="83" fillId="9" borderId="65" xfId="0" applyFont="1" applyFill="1" applyBorder="1" applyAlignment="1">
      <alignment horizontal="center"/>
    </xf>
    <xf numFmtId="0" fontId="83" fillId="9" borderId="54" xfId="0" applyFont="1" applyFill="1" applyBorder="1" applyAlignment="1"/>
    <xf numFmtId="0" fontId="61" fillId="0" borderId="35" xfId="7" applyFont="1" applyBorder="1" applyAlignment="1">
      <alignment horizontal="left"/>
    </xf>
    <xf numFmtId="4" fontId="61" fillId="0" borderId="35" xfId="7" applyNumberFormat="1" applyFont="1" applyBorder="1" applyAlignment="1">
      <alignment horizontal="right"/>
    </xf>
    <xf numFmtId="164" fontId="61" fillId="0" borderId="35" xfId="7" applyNumberFormat="1" applyFont="1" applyBorder="1" applyAlignment="1"/>
    <xf numFmtId="44" fontId="77" fillId="0" borderId="35" xfId="2" applyFont="1" applyBorder="1" applyAlignment="1">
      <alignment horizontal="center"/>
    </xf>
    <xf numFmtId="2" fontId="2" fillId="0" borderId="35" xfId="7" applyNumberFormat="1" applyFont="1" applyFill="1" applyBorder="1" applyAlignment="1">
      <alignment horizontal="center"/>
    </xf>
    <xf numFmtId="0" fontId="10" fillId="0" borderId="39" xfId="7" applyFont="1" applyBorder="1"/>
    <xf numFmtId="0" fontId="61" fillId="3" borderId="35" xfId="7" applyFont="1" applyFill="1" applyBorder="1"/>
    <xf numFmtId="2" fontId="31" fillId="12" borderId="35" xfId="7" applyNumberFormat="1" applyFont="1" applyFill="1" applyBorder="1" applyAlignment="1">
      <alignment horizontal="center"/>
    </xf>
    <xf numFmtId="0" fontId="83" fillId="9" borderId="66" xfId="0" applyFont="1" applyFill="1" applyBorder="1" applyAlignment="1"/>
    <xf numFmtId="0" fontId="83" fillId="9" borderId="67" xfId="0" applyFont="1" applyFill="1" applyBorder="1" applyAlignment="1">
      <alignment horizontal="center"/>
    </xf>
    <xf numFmtId="0" fontId="83" fillId="9" borderId="68" xfId="0" applyFont="1" applyFill="1" applyBorder="1" applyAlignment="1">
      <alignment horizontal="center"/>
    </xf>
    <xf numFmtId="0" fontId="83" fillId="9" borderId="66" xfId="0" applyFont="1" applyFill="1" applyBorder="1" applyAlignment="1">
      <alignment horizontal="center"/>
    </xf>
    <xf numFmtId="0" fontId="83" fillId="9" borderId="67" xfId="0" applyFont="1" applyFill="1" applyBorder="1"/>
    <xf numFmtId="0" fontId="83" fillId="9" borderId="68" xfId="0" applyFont="1" applyFill="1" applyBorder="1"/>
    <xf numFmtId="2" fontId="31" fillId="13" borderId="0" xfId="7" applyNumberFormat="1" applyFont="1" applyFill="1" applyBorder="1" applyAlignment="1">
      <alignment horizontal="center"/>
    </xf>
    <xf numFmtId="0" fontId="86" fillId="11" borderId="0" xfId="7" applyFont="1" applyFill="1"/>
    <xf numFmtId="176" fontId="16" fillId="3" borderId="21" xfId="0" applyNumberFormat="1" applyFont="1" applyFill="1" applyBorder="1" applyAlignment="1">
      <alignment horizontal="center"/>
    </xf>
    <xf numFmtId="176" fontId="16" fillId="3" borderId="22" xfId="0" applyNumberFormat="1" applyFont="1" applyFill="1" applyBorder="1" applyAlignment="1">
      <alignment horizontal="center"/>
    </xf>
    <xf numFmtId="0" fontId="16" fillId="3" borderId="13" xfId="0" applyFont="1" applyFill="1" applyBorder="1" applyAlignment="1"/>
    <xf numFmtId="0" fontId="16" fillId="3" borderId="15" xfId="0" applyFont="1" applyFill="1" applyBorder="1" applyAlignment="1"/>
    <xf numFmtId="0" fontId="16" fillId="3" borderId="53" xfId="0" applyFont="1" applyFill="1" applyBorder="1" applyAlignment="1">
      <alignment horizontal="left"/>
    </xf>
    <xf numFmtId="0" fontId="57" fillId="3" borderId="14" xfId="0" applyFont="1" applyFill="1" applyBorder="1"/>
    <xf numFmtId="0" fontId="9" fillId="3" borderId="14" xfId="0" applyFont="1" applyFill="1" applyBorder="1"/>
    <xf numFmtId="0" fontId="9" fillId="3" borderId="21" xfId="0" applyFont="1" applyFill="1" applyBorder="1"/>
    <xf numFmtId="0" fontId="16" fillId="3" borderId="36" xfId="0" applyFont="1" applyFill="1" applyBorder="1" applyAlignment="1">
      <alignment horizontal="left"/>
    </xf>
    <xf numFmtId="0" fontId="16" fillId="3" borderId="0" xfId="0" applyFont="1" applyFill="1" applyBorder="1"/>
    <xf numFmtId="0" fontId="9" fillId="3" borderId="0" xfId="0" applyFont="1" applyFill="1" applyBorder="1"/>
    <xf numFmtId="0" fontId="9" fillId="3" borderId="22" xfId="0" applyFont="1" applyFill="1" applyBorder="1"/>
    <xf numFmtId="0" fontId="8" fillId="3" borderId="0" xfId="0" applyFont="1" applyFill="1" applyBorder="1" applyAlignment="1">
      <alignment horizontal="left"/>
    </xf>
    <xf numFmtId="0" fontId="3" fillId="3" borderId="0" xfId="0" applyFont="1" applyFill="1" applyBorder="1"/>
    <xf numFmtId="0" fontId="1" fillId="3" borderId="0" xfId="0" applyFont="1" applyFill="1" applyBorder="1"/>
    <xf numFmtId="0" fontId="1" fillId="3" borderId="22" xfId="0" applyFont="1" applyFill="1" applyBorder="1"/>
    <xf numFmtId="0" fontId="16" fillId="3" borderId="14" xfId="0" applyFont="1" applyFill="1" applyBorder="1" applyAlignment="1"/>
    <xf numFmtId="0" fontId="16" fillId="3" borderId="21" xfId="0" applyFont="1" applyFill="1" applyBorder="1" applyAlignment="1"/>
    <xf numFmtId="2" fontId="42" fillId="3" borderId="13" xfId="0" applyNumberFormat="1" applyFont="1" applyFill="1" applyBorder="1" applyAlignment="1">
      <alignment horizontal="center"/>
    </xf>
    <xf numFmtId="2" fontId="43" fillId="3" borderId="23" xfId="0" applyNumberFormat="1" applyFont="1" applyFill="1" applyBorder="1" applyAlignment="1">
      <alignment horizontal="center"/>
    </xf>
    <xf numFmtId="2" fontId="16" fillId="3" borderId="19" xfId="0" applyNumberFormat="1" applyFont="1" applyFill="1" applyBorder="1" applyAlignment="1">
      <alignment horizontal="center"/>
    </xf>
    <xf numFmtId="2" fontId="8" fillId="3" borderId="19" xfId="0" applyNumberFormat="1" applyFont="1" applyFill="1" applyBorder="1" applyAlignment="1">
      <alignment horizontal="center"/>
    </xf>
    <xf numFmtId="0" fontId="87" fillId="3" borderId="15" xfId="0" applyFont="1" applyFill="1" applyBorder="1"/>
    <xf numFmtId="2" fontId="42" fillId="3" borderId="0" xfId="0" applyNumberFormat="1" applyFont="1" applyFill="1" applyBorder="1" applyAlignment="1">
      <alignment horizontal="center"/>
    </xf>
    <xf numFmtId="2" fontId="42" fillId="3" borderId="22" xfId="0" applyNumberFormat="1" applyFont="1" applyFill="1" applyBorder="1" applyAlignment="1">
      <alignment horizontal="center"/>
    </xf>
    <xf numFmtId="2" fontId="42" fillId="3" borderId="15" xfId="0" applyNumberFormat="1" applyFont="1" applyFill="1" applyBorder="1" applyAlignment="1">
      <alignment horizontal="center"/>
    </xf>
    <xf numFmtId="2" fontId="16" fillId="3" borderId="22" xfId="0" applyNumberFormat="1" applyFont="1" applyFill="1" applyBorder="1" applyAlignment="1">
      <alignment horizontal="center"/>
    </xf>
    <xf numFmtId="0" fontId="16" fillId="3" borderId="15" xfId="0" applyFont="1" applyFill="1" applyBorder="1" applyAlignment="1">
      <alignment horizontal="center"/>
    </xf>
    <xf numFmtId="0" fontId="16" fillId="3" borderId="22" xfId="0" applyFont="1" applyFill="1" applyBorder="1"/>
    <xf numFmtId="2" fontId="16" fillId="3" borderId="37" xfId="0" applyNumberFormat="1" applyFont="1" applyFill="1" applyBorder="1" applyAlignment="1">
      <alignment horizontal="center"/>
    </xf>
    <xf numFmtId="0" fontId="16" fillId="3" borderId="15" xfId="0" applyFont="1" applyFill="1" applyBorder="1"/>
    <xf numFmtId="2" fontId="31" fillId="3" borderId="19" xfId="0" applyNumberFormat="1" applyFont="1" applyFill="1" applyBorder="1" applyAlignment="1">
      <alignment horizontal="center"/>
    </xf>
    <xf numFmtId="0" fontId="16" fillId="3" borderId="0" xfId="0" applyFont="1" applyFill="1" applyBorder="1" applyAlignment="1"/>
    <xf numFmtId="0" fontId="16" fillId="3" borderId="22" xfId="0" applyFont="1" applyFill="1" applyBorder="1" applyAlignment="1"/>
    <xf numFmtId="0" fontId="3" fillId="3" borderId="22" xfId="0" applyFont="1" applyFill="1" applyBorder="1"/>
    <xf numFmtId="2" fontId="3" fillId="3" borderId="15" xfId="0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22" xfId="0" applyFont="1" applyFill="1" applyBorder="1" applyAlignment="1"/>
    <xf numFmtId="0" fontId="3" fillId="3" borderId="15" xfId="0" applyFont="1" applyFill="1" applyBorder="1"/>
    <xf numFmtId="2" fontId="3" fillId="3" borderId="22" xfId="0" applyNumberFormat="1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2" fontId="16" fillId="3" borderId="15" xfId="0" applyNumberFormat="1" applyFont="1" applyFill="1" applyBorder="1" applyAlignment="1">
      <alignment horizontal="center"/>
    </xf>
    <xf numFmtId="2" fontId="80" fillId="3" borderId="19" xfId="0" applyNumberFormat="1" applyFont="1" applyFill="1" applyBorder="1" applyAlignment="1">
      <alignment horizontal="center"/>
    </xf>
    <xf numFmtId="0" fontId="16" fillId="6" borderId="36" xfId="0" applyFont="1" applyFill="1" applyBorder="1" applyAlignment="1">
      <alignment horizontal="left"/>
    </xf>
    <xf numFmtId="0" fontId="57" fillId="6" borderId="0" xfId="0" applyFont="1" applyFill="1" applyBorder="1"/>
    <xf numFmtId="0" fontId="9" fillId="6" borderId="0" xfId="0" applyFont="1" applyFill="1" applyBorder="1"/>
    <xf numFmtId="0" fontId="9" fillId="6" borderId="22" xfId="0" applyFont="1" applyFill="1" applyBorder="1"/>
    <xf numFmtId="0" fontId="16" fillId="6" borderId="15" xfId="0" applyFont="1" applyFill="1" applyBorder="1" applyAlignment="1">
      <alignment horizontal="center"/>
    </xf>
    <xf numFmtId="0" fontId="16" fillId="6" borderId="0" xfId="0" applyFont="1" applyFill="1" applyBorder="1" applyAlignment="1">
      <alignment horizontal="center"/>
    </xf>
    <xf numFmtId="0" fontId="16" fillId="6" borderId="22" xfId="0" applyFont="1" applyFill="1" applyBorder="1" applyAlignment="1">
      <alignment horizontal="center"/>
    </xf>
    <xf numFmtId="2" fontId="59" fillId="6" borderId="19" xfId="0" applyNumberFormat="1" applyFont="1" applyFill="1" applyBorder="1" applyAlignment="1">
      <alignment horizontal="center"/>
    </xf>
    <xf numFmtId="0" fontId="16" fillId="6" borderId="0" xfId="0" applyFont="1" applyFill="1" applyBorder="1"/>
    <xf numFmtId="0" fontId="16" fillId="6" borderId="15" xfId="0" applyFont="1" applyFill="1" applyBorder="1" applyAlignment="1">
      <alignment horizontal="left"/>
    </xf>
    <xf numFmtId="2" fontId="42" fillId="6" borderId="19" xfId="0" applyNumberFormat="1" applyFont="1" applyFill="1" applyBorder="1" applyAlignment="1">
      <alignment horizontal="center"/>
    </xf>
    <xf numFmtId="0" fontId="42" fillId="6" borderId="0" xfId="0" applyFont="1" applyFill="1" applyBorder="1"/>
    <xf numFmtId="0" fontId="23" fillId="6" borderId="0" xfId="0" applyFont="1" applyFill="1" applyBorder="1"/>
    <xf numFmtId="0" fontId="23" fillId="6" borderId="22" xfId="0" applyFont="1" applyFill="1" applyBorder="1"/>
    <xf numFmtId="0" fontId="42" fillId="6" borderId="0" xfId="0" applyFont="1" applyFill="1" applyBorder="1" applyAlignment="1">
      <alignment horizontal="center"/>
    </xf>
    <xf numFmtId="0" fontId="42" fillId="6" borderId="22" xfId="0" applyFont="1" applyFill="1" applyBorder="1" applyAlignment="1">
      <alignment horizontal="center"/>
    </xf>
    <xf numFmtId="2" fontId="31" fillId="6" borderId="19" xfId="0" applyNumberFormat="1" applyFont="1" applyFill="1" applyBorder="1" applyAlignment="1">
      <alignment horizontal="center"/>
    </xf>
    <xf numFmtId="0" fontId="81" fillId="6" borderId="19" xfId="0" applyFont="1" applyFill="1" applyBorder="1" applyAlignment="1">
      <alignment horizontal="center"/>
    </xf>
    <xf numFmtId="176" fontId="16" fillId="6" borderId="19" xfId="0" applyNumberFormat="1" applyFont="1" applyFill="1" applyBorder="1" applyAlignment="1">
      <alignment horizontal="center"/>
    </xf>
    <xf numFmtId="0" fontId="16" fillId="6" borderId="15" xfId="0" applyFont="1" applyFill="1" applyBorder="1" applyAlignment="1"/>
    <xf numFmtId="0" fontId="59" fillId="6" borderId="0" xfId="0" applyFont="1" applyFill="1" applyBorder="1" applyAlignment="1"/>
    <xf numFmtId="0" fontId="59" fillId="6" borderId="22" xfId="0" applyFont="1" applyFill="1" applyBorder="1" applyAlignment="1"/>
    <xf numFmtId="2" fontId="8" fillId="6" borderId="19" xfId="0" applyNumberFormat="1" applyFont="1" applyFill="1" applyBorder="1" applyAlignment="1">
      <alignment horizontal="center"/>
    </xf>
    <xf numFmtId="2" fontId="16" fillId="6" borderId="15" xfId="0" applyNumberFormat="1" applyFont="1" applyFill="1" applyBorder="1" applyAlignment="1">
      <alignment horizontal="center"/>
    </xf>
    <xf numFmtId="2" fontId="88" fillId="6" borderId="15" xfId="0" applyNumberFormat="1" applyFont="1" applyFill="1" applyBorder="1" applyAlignment="1">
      <alignment horizontal="center"/>
    </xf>
    <xf numFmtId="0" fontId="42" fillId="6" borderId="15" xfId="0" applyFont="1" applyFill="1" applyBorder="1" applyAlignment="1">
      <alignment horizontal="center"/>
    </xf>
    <xf numFmtId="2" fontId="16" fillId="6" borderId="37" xfId="0" applyNumberFormat="1" applyFont="1" applyFill="1" applyBorder="1" applyAlignment="1">
      <alignment horizontal="center"/>
    </xf>
    <xf numFmtId="0" fontId="16" fillId="6" borderId="19" xfId="0" applyFont="1" applyFill="1" applyBorder="1" applyAlignment="1">
      <alignment horizontal="center"/>
    </xf>
    <xf numFmtId="0" fontId="16" fillId="6" borderId="0" xfId="0" applyFont="1" applyFill="1" applyBorder="1" applyAlignment="1"/>
    <xf numFmtId="0" fontId="16" fillId="6" borderId="22" xfId="0" applyFont="1" applyFill="1" applyBorder="1" applyAlignment="1"/>
    <xf numFmtId="0" fontId="16" fillId="8" borderId="53" xfId="0" applyFont="1" applyFill="1" applyBorder="1" applyAlignment="1">
      <alignment horizontal="left"/>
    </xf>
    <xf numFmtId="0" fontId="16" fillId="8" borderId="14" xfId="0" applyFont="1" applyFill="1" applyBorder="1"/>
    <xf numFmtId="0" fontId="9" fillId="8" borderId="14" xfId="0" applyFont="1" applyFill="1" applyBorder="1"/>
    <xf numFmtId="0" fontId="9" fillId="8" borderId="21" xfId="0" applyFont="1" applyFill="1" applyBorder="1"/>
    <xf numFmtId="0" fontId="16" fillId="8" borderId="13" xfId="0" applyFont="1" applyFill="1" applyBorder="1" applyAlignment="1">
      <alignment horizontal="center"/>
    </xf>
    <xf numFmtId="0" fontId="16" fillId="8" borderId="14" xfId="0" applyFont="1" applyFill="1" applyBorder="1" applyAlignment="1">
      <alignment horizontal="center"/>
    </xf>
    <xf numFmtId="0" fontId="16" fillId="8" borderId="21" xfId="0" applyFont="1" applyFill="1" applyBorder="1" applyAlignment="1">
      <alignment horizontal="center"/>
    </xf>
    <xf numFmtId="2" fontId="42" fillId="8" borderId="23" xfId="0" applyNumberFormat="1" applyFont="1" applyFill="1" applyBorder="1" applyAlignment="1">
      <alignment horizontal="center"/>
    </xf>
    <xf numFmtId="2" fontId="31" fillId="8" borderId="23" xfId="0" applyNumberFormat="1" applyFont="1" applyFill="1" applyBorder="1" applyAlignment="1">
      <alignment horizontal="center"/>
    </xf>
    <xf numFmtId="0" fontId="16" fillId="8" borderId="23" xfId="0" applyFont="1" applyFill="1" applyBorder="1" applyAlignment="1">
      <alignment horizontal="center"/>
    </xf>
    <xf numFmtId="176" fontId="16" fillId="8" borderId="23" xfId="0" applyNumberFormat="1" applyFont="1" applyFill="1" applyBorder="1" applyAlignment="1">
      <alignment horizontal="center"/>
    </xf>
    <xf numFmtId="0" fontId="16" fillId="8" borderId="13" xfId="0" applyFont="1" applyFill="1" applyBorder="1" applyAlignment="1"/>
    <xf numFmtId="0" fontId="16" fillId="8" borderId="14" xfId="0" applyFont="1" applyFill="1" applyBorder="1" applyAlignment="1"/>
    <xf numFmtId="0" fontId="16" fillId="8" borderId="21" xfId="0" applyFont="1" applyFill="1" applyBorder="1" applyAlignment="1"/>
    <xf numFmtId="2" fontId="8" fillId="8" borderId="23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88" fillId="8" borderId="13" xfId="0" applyNumberFormat="1" applyFont="1" applyFill="1" applyBorder="1" applyAlignment="1">
      <alignment horizontal="center"/>
    </xf>
    <xf numFmtId="0" fontId="42" fillId="8" borderId="14" xfId="0" applyFont="1" applyFill="1" applyBorder="1" applyAlignment="1">
      <alignment horizontal="center"/>
    </xf>
    <xf numFmtId="0" fontId="42" fillId="8" borderId="21" xfId="0" applyFont="1" applyFill="1" applyBorder="1" applyAlignment="1">
      <alignment horizontal="center"/>
    </xf>
    <xf numFmtId="0" fontId="16" fillId="8" borderId="13" xfId="0" applyFont="1" applyFill="1" applyBorder="1"/>
    <xf numFmtId="0" fontId="16" fillId="8" borderId="21" xfId="0" applyFont="1" applyFill="1" applyBorder="1"/>
    <xf numFmtId="0" fontId="42" fillId="8" borderId="13" xfId="0" applyFont="1" applyFill="1" applyBorder="1" applyAlignment="1">
      <alignment horizontal="center"/>
    </xf>
    <xf numFmtId="2" fontId="16" fillId="8" borderId="69" xfId="0" applyNumberFormat="1" applyFont="1" applyFill="1" applyBorder="1" applyAlignment="1">
      <alignment horizontal="center"/>
    </xf>
    <xf numFmtId="0" fontId="16" fillId="8" borderId="36" xfId="0" applyFont="1" applyFill="1" applyBorder="1" applyAlignment="1">
      <alignment horizontal="left"/>
    </xf>
    <xf numFmtId="0" fontId="16" fillId="8" borderId="0" xfId="0" applyFont="1" applyFill="1" applyBorder="1"/>
    <xf numFmtId="0" fontId="9" fillId="8" borderId="0" xfId="0" applyFont="1" applyFill="1" applyBorder="1"/>
    <xf numFmtId="0" fontId="9" fillId="8" borderId="22" xfId="0" applyFont="1" applyFill="1" applyBorder="1"/>
    <xf numFmtId="0" fontId="16" fillId="8" borderId="15" xfId="0" applyFont="1" applyFill="1" applyBorder="1" applyAlignment="1">
      <alignment horizontal="center"/>
    </xf>
    <xf numFmtId="0" fontId="16" fillId="8" borderId="0" xfId="0" applyFont="1" applyFill="1" applyBorder="1" applyAlignment="1">
      <alignment horizontal="center"/>
    </xf>
    <xf numFmtId="0" fontId="16" fillId="8" borderId="22" xfId="0" applyFont="1" applyFill="1" applyBorder="1" applyAlignment="1">
      <alignment horizontal="center"/>
    </xf>
    <xf numFmtId="2" fontId="42" fillId="8" borderId="19" xfId="0" applyNumberFormat="1" applyFont="1" applyFill="1" applyBorder="1" applyAlignment="1">
      <alignment horizontal="center"/>
    </xf>
    <xf numFmtId="2" fontId="8" fillId="8" borderId="19" xfId="0" applyNumberFormat="1" applyFont="1" applyFill="1" applyBorder="1" applyAlignment="1">
      <alignment horizontal="center"/>
    </xf>
    <xf numFmtId="2" fontId="31" fillId="8" borderId="19" xfId="0" applyNumberFormat="1" applyFont="1" applyFill="1" applyBorder="1" applyAlignment="1">
      <alignment horizontal="center"/>
    </xf>
    <xf numFmtId="0" fontId="16" fillId="8" borderId="19" xfId="0" applyFont="1" applyFill="1" applyBorder="1" applyAlignment="1">
      <alignment horizontal="center"/>
    </xf>
    <xf numFmtId="176" fontId="16" fillId="8" borderId="19" xfId="0" applyNumberFormat="1" applyFont="1" applyFill="1" applyBorder="1" applyAlignment="1">
      <alignment horizontal="center"/>
    </xf>
    <xf numFmtId="0" fontId="16" fillId="8" borderId="15" xfId="0" applyFont="1" applyFill="1" applyBorder="1" applyAlignment="1"/>
    <xf numFmtId="0" fontId="16" fillId="8" borderId="0" xfId="0" applyFont="1" applyFill="1" applyBorder="1" applyAlignment="1"/>
    <xf numFmtId="0" fontId="16" fillId="8" borderId="22" xfId="0" applyFont="1" applyFill="1" applyBorder="1" applyAlignment="1"/>
    <xf numFmtId="2" fontId="16" fillId="8" borderId="15" xfId="0" applyNumberFormat="1" applyFont="1" applyFill="1" applyBorder="1" applyAlignment="1">
      <alignment horizontal="center"/>
    </xf>
    <xf numFmtId="2" fontId="88" fillId="8" borderId="15" xfId="0" applyNumberFormat="1" applyFont="1" applyFill="1" applyBorder="1" applyAlignment="1">
      <alignment horizontal="center"/>
    </xf>
    <xf numFmtId="0" fontId="42" fillId="8" borderId="0" xfId="0" applyFont="1" applyFill="1" applyBorder="1" applyAlignment="1">
      <alignment horizontal="center"/>
    </xf>
    <xf numFmtId="0" fontId="42" fillId="8" borderId="22" xfId="0" applyFont="1" applyFill="1" applyBorder="1" applyAlignment="1">
      <alignment horizontal="center"/>
    </xf>
    <xf numFmtId="0" fontId="16" fillId="8" borderId="15" xfId="0" applyFont="1" applyFill="1" applyBorder="1"/>
    <xf numFmtId="0" fontId="16" fillId="8" borderId="22" xfId="0" applyFont="1" applyFill="1" applyBorder="1"/>
    <xf numFmtId="0" fontId="42" fillId="8" borderId="15" xfId="0" applyFont="1" applyFill="1" applyBorder="1" applyAlignment="1">
      <alignment horizontal="center"/>
    </xf>
    <xf numFmtId="2" fontId="16" fillId="8" borderId="37" xfId="0" applyNumberFormat="1" applyFont="1" applyFill="1" applyBorder="1" applyAlignment="1">
      <alignment horizontal="center"/>
    </xf>
    <xf numFmtId="2" fontId="59" fillId="8" borderId="15" xfId="0" applyNumberFormat="1" applyFont="1" applyFill="1" applyBorder="1" applyAlignment="1">
      <alignment horizontal="center"/>
    </xf>
    <xf numFmtId="0" fontId="59" fillId="8" borderId="36" xfId="0" applyFont="1" applyFill="1" applyBorder="1" applyAlignment="1">
      <alignment horizontal="left"/>
    </xf>
    <xf numFmtId="0" fontId="60" fillId="8" borderId="0" xfId="0" applyFont="1" applyFill="1" applyBorder="1"/>
    <xf numFmtId="0" fontId="58" fillId="8" borderId="0" xfId="0" applyFont="1" applyFill="1" applyBorder="1"/>
    <xf numFmtId="0" fontId="58" fillId="8" borderId="22" xfId="0" applyFont="1" applyFill="1" applyBorder="1"/>
    <xf numFmtId="0" fontId="59" fillId="8" borderId="15" xfId="0" applyFont="1" applyFill="1" applyBorder="1" applyAlignment="1">
      <alignment horizontal="center"/>
    </xf>
    <xf numFmtId="0" fontId="59" fillId="8" borderId="0" xfId="0" applyFont="1" applyFill="1" applyBorder="1" applyAlignment="1">
      <alignment horizontal="center"/>
    </xf>
    <xf numFmtId="0" fontId="59" fillId="8" borderId="22" xfId="0" applyFont="1" applyFill="1" applyBorder="1" applyAlignment="1">
      <alignment horizontal="center"/>
    </xf>
    <xf numFmtId="2" fontId="59" fillId="8" borderId="19" xfId="0" applyNumberFormat="1" applyFont="1" applyFill="1" applyBorder="1" applyAlignment="1">
      <alignment horizontal="center"/>
    </xf>
    <xf numFmtId="2" fontId="89" fillId="8" borderId="19" xfId="0" applyNumberFormat="1" applyFont="1" applyFill="1" applyBorder="1" applyAlignment="1">
      <alignment horizontal="center"/>
    </xf>
    <xf numFmtId="2" fontId="90" fillId="8" borderId="19" xfId="0" applyNumberFormat="1" applyFont="1" applyFill="1" applyBorder="1" applyAlignment="1">
      <alignment horizontal="center"/>
    </xf>
    <xf numFmtId="0" fontId="81" fillId="8" borderId="19" xfId="0" applyFont="1" applyFill="1" applyBorder="1" applyAlignment="1">
      <alignment horizontal="center"/>
    </xf>
    <xf numFmtId="176" fontId="59" fillId="8" borderId="19" xfId="0" applyNumberFormat="1" applyFont="1" applyFill="1" applyBorder="1" applyAlignment="1">
      <alignment horizontal="center"/>
    </xf>
    <xf numFmtId="0" fontId="59" fillId="8" borderId="15" xfId="0" applyFont="1" applyFill="1" applyBorder="1" applyAlignment="1"/>
    <xf numFmtId="0" fontId="59" fillId="8" borderId="0" xfId="0" applyFont="1" applyFill="1" applyBorder="1" applyAlignment="1"/>
    <xf numFmtId="0" fontId="59" fillId="8" borderId="22" xfId="0" applyFont="1" applyFill="1" applyBorder="1" applyAlignment="1"/>
    <xf numFmtId="2" fontId="91" fillId="8" borderId="15" xfId="0" applyNumberFormat="1" applyFont="1" applyFill="1" applyBorder="1" applyAlignment="1">
      <alignment horizontal="center"/>
    </xf>
    <xf numFmtId="0" fontId="59" fillId="8" borderId="15" xfId="0" applyFont="1" applyFill="1" applyBorder="1"/>
    <xf numFmtId="0" fontId="59" fillId="8" borderId="22" xfId="0" applyFont="1" applyFill="1" applyBorder="1"/>
    <xf numFmtId="2" fontId="59" fillId="8" borderId="37" xfId="0" applyNumberFormat="1" applyFont="1" applyFill="1" applyBorder="1" applyAlignment="1">
      <alignment horizontal="center"/>
    </xf>
    <xf numFmtId="0" fontId="3" fillId="8" borderId="36" xfId="0" applyFont="1" applyFill="1" applyBorder="1" applyAlignment="1">
      <alignment horizontal="left"/>
    </xf>
    <xf numFmtId="0" fontId="33" fillId="8" borderId="0" xfId="0" applyFont="1" applyFill="1" applyBorder="1"/>
    <xf numFmtId="0" fontId="32" fillId="8" borderId="0" xfId="0" applyFont="1" applyFill="1" applyBorder="1"/>
    <xf numFmtId="0" fontId="32" fillId="8" borderId="22" xfId="0" applyFont="1" applyFill="1" applyBorder="1"/>
    <xf numFmtId="0" fontId="44" fillId="8" borderId="15" xfId="0" applyFont="1" applyFill="1" applyBorder="1" applyAlignment="1">
      <alignment horizontal="center"/>
    </xf>
    <xf numFmtId="0" fontId="44" fillId="8" borderId="0" xfId="0" applyFont="1" applyFill="1" applyBorder="1" applyAlignment="1">
      <alignment horizontal="center"/>
    </xf>
    <xf numFmtId="0" fontId="44" fillId="8" borderId="22" xfId="0" applyFont="1" applyFill="1" applyBorder="1" applyAlignment="1">
      <alignment horizontal="center"/>
    </xf>
    <xf numFmtId="0" fontId="44" fillId="8" borderId="19" xfId="0" applyFont="1" applyFill="1" applyBorder="1" applyAlignment="1">
      <alignment horizontal="center"/>
    </xf>
    <xf numFmtId="2" fontId="92" fillId="8" borderId="19" xfId="0" applyNumberFormat="1" applyFont="1" applyFill="1" applyBorder="1" applyAlignment="1">
      <alignment horizontal="center"/>
    </xf>
    <xf numFmtId="176" fontId="44" fillId="8" borderId="19" xfId="0" applyNumberFormat="1" applyFont="1" applyFill="1" applyBorder="1" applyAlignment="1">
      <alignment horizontal="center"/>
    </xf>
    <xf numFmtId="0" fontId="44" fillId="8" borderId="15" xfId="0" applyFont="1" applyFill="1" applyBorder="1" applyAlignment="1"/>
    <xf numFmtId="0" fontId="44" fillId="8" borderId="0" xfId="0" applyFont="1" applyFill="1" applyBorder="1" applyAlignment="1"/>
    <xf numFmtId="0" fontId="44" fillId="8" borderId="22" xfId="0" applyFont="1" applyFill="1" applyBorder="1" applyAlignment="1"/>
    <xf numFmtId="2" fontId="44" fillId="8" borderId="15" xfId="0" applyNumberFormat="1" applyFont="1" applyFill="1" applyBorder="1" applyAlignment="1">
      <alignment horizontal="center"/>
    </xf>
    <xf numFmtId="2" fontId="93" fillId="8" borderId="15" xfId="0" applyNumberFormat="1" applyFont="1" applyFill="1" applyBorder="1" applyAlignment="1">
      <alignment horizontal="center"/>
    </xf>
    <xf numFmtId="0" fontId="44" fillId="8" borderId="0" xfId="0" applyFont="1" applyFill="1" applyBorder="1"/>
    <xf numFmtId="2" fontId="44" fillId="8" borderId="15" xfId="0" applyNumberFormat="1" applyFont="1" applyFill="1" applyBorder="1"/>
    <xf numFmtId="0" fontId="44" fillId="8" borderId="22" xfId="0" applyFont="1" applyFill="1" applyBorder="1"/>
    <xf numFmtId="2" fontId="44" fillId="8" borderId="37" xfId="0" applyNumberFormat="1" applyFont="1" applyFill="1" applyBorder="1" applyAlignment="1">
      <alignment horizontal="center"/>
    </xf>
    <xf numFmtId="0" fontId="3" fillId="8" borderId="34" xfId="0" applyFont="1" applyFill="1" applyBorder="1" applyAlignment="1">
      <alignment horizontal="left"/>
    </xf>
    <xf numFmtId="0" fontId="10" fillId="8" borderId="35" xfId="0" applyFont="1" applyFill="1" applyBorder="1"/>
    <xf numFmtId="0" fontId="1" fillId="8" borderId="35" xfId="0" applyFont="1" applyFill="1" applyBorder="1"/>
    <xf numFmtId="0" fontId="1" fillId="8" borderId="46" xfId="0" applyFont="1" applyFill="1" applyBorder="1"/>
    <xf numFmtId="0" fontId="3" fillId="8" borderId="38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3" fillId="8" borderId="52" xfId="0" applyFont="1" applyFill="1" applyBorder="1" applyAlignment="1">
      <alignment horizontal="center"/>
    </xf>
    <xf numFmtId="2" fontId="53" fillId="8" borderId="52" xfId="0" applyNumberFormat="1" applyFont="1" applyFill="1" applyBorder="1" applyAlignment="1">
      <alignment horizontal="center"/>
    </xf>
    <xf numFmtId="2" fontId="31" fillId="8" borderId="52" xfId="0" applyNumberFormat="1" applyFont="1" applyFill="1" applyBorder="1" applyAlignment="1">
      <alignment horizontal="center"/>
    </xf>
    <xf numFmtId="0" fontId="16" fillId="8" borderId="52" xfId="0" applyFont="1" applyFill="1" applyBorder="1" applyAlignment="1">
      <alignment horizontal="center"/>
    </xf>
    <xf numFmtId="176" fontId="3" fillId="8" borderId="52" xfId="0" applyNumberFormat="1" applyFont="1" applyFill="1" applyBorder="1" applyAlignment="1">
      <alignment horizontal="center"/>
    </xf>
    <xf numFmtId="0" fontId="3" fillId="8" borderId="38" xfId="0" applyFont="1" applyFill="1" applyBorder="1" applyAlignment="1"/>
    <xf numFmtId="0" fontId="3" fillId="8" borderId="35" xfId="0" applyFont="1" applyFill="1" applyBorder="1" applyAlignment="1"/>
    <xf numFmtId="0" fontId="3" fillId="8" borderId="46" xfId="0" applyFont="1" applyFill="1" applyBorder="1" applyAlignment="1"/>
    <xf numFmtId="0" fontId="53" fillId="8" borderId="52" xfId="0" applyFont="1" applyFill="1" applyBorder="1" applyAlignment="1">
      <alignment horizontal="center"/>
    </xf>
    <xf numFmtId="2" fontId="3" fillId="8" borderId="38" xfId="0" applyNumberFormat="1" applyFont="1" applyFill="1" applyBorder="1" applyAlignment="1">
      <alignment horizontal="center"/>
    </xf>
    <xf numFmtId="2" fontId="36" fillId="8" borderId="38" xfId="0" applyNumberFormat="1" applyFont="1" applyFill="1" applyBorder="1" applyAlignment="1">
      <alignment horizontal="center"/>
    </xf>
    <xf numFmtId="0" fontId="3" fillId="8" borderId="35" xfId="0" applyFont="1" applyFill="1" applyBorder="1"/>
    <xf numFmtId="0" fontId="3" fillId="8" borderId="46" xfId="0" applyFont="1" applyFill="1" applyBorder="1" applyAlignment="1">
      <alignment horizontal="center"/>
    </xf>
    <xf numFmtId="0" fontId="3" fillId="8" borderId="38" xfId="0" applyFont="1" applyFill="1" applyBorder="1"/>
    <xf numFmtId="0" fontId="3" fillId="8" borderId="46" xfId="0" applyFont="1" applyFill="1" applyBorder="1"/>
    <xf numFmtId="2" fontId="3" fillId="8" borderId="39" xfId="0" applyNumberFormat="1" applyFont="1" applyFill="1" applyBorder="1" applyAlignment="1">
      <alignment horizontal="center"/>
    </xf>
    <xf numFmtId="0" fontId="16" fillId="5" borderId="53" xfId="0" applyFont="1" applyFill="1" applyBorder="1" applyAlignment="1">
      <alignment horizontal="left"/>
    </xf>
    <xf numFmtId="0" fontId="16" fillId="5" borderId="14" xfId="0" applyFont="1" applyFill="1" applyBorder="1"/>
    <xf numFmtId="0" fontId="9" fillId="5" borderId="14" xfId="0" applyFont="1" applyFill="1" applyBorder="1"/>
    <xf numFmtId="0" fontId="9" fillId="5" borderId="21" xfId="0" applyFont="1" applyFill="1" applyBorder="1"/>
    <xf numFmtId="0" fontId="16" fillId="5" borderId="13" xfId="0" applyFont="1" applyFill="1" applyBorder="1" applyAlignment="1">
      <alignment horizontal="center"/>
    </xf>
    <xf numFmtId="0" fontId="16" fillId="5" borderId="14" xfId="0" applyFont="1" applyFill="1" applyBorder="1" applyAlignment="1">
      <alignment horizontal="center"/>
    </xf>
    <xf numFmtId="0" fontId="16" fillId="5" borderId="21" xfId="0" applyFont="1" applyFill="1" applyBorder="1" applyAlignment="1">
      <alignment horizontal="center"/>
    </xf>
    <xf numFmtId="2" fontId="42" fillId="5" borderId="23" xfId="0" applyNumberFormat="1" applyFont="1" applyFill="1" applyBorder="1" applyAlignment="1">
      <alignment horizontal="center"/>
    </xf>
    <xf numFmtId="2" fontId="31" fillId="5" borderId="23" xfId="0" applyNumberFormat="1" applyFont="1" applyFill="1" applyBorder="1" applyAlignment="1">
      <alignment horizontal="center"/>
    </xf>
    <xf numFmtId="2" fontId="31" fillId="5" borderId="13" xfId="0" applyNumberFormat="1" applyFont="1" applyFill="1" applyBorder="1" applyAlignment="1">
      <alignment horizontal="center"/>
    </xf>
    <xf numFmtId="2" fontId="16" fillId="5" borderId="13" xfId="0" applyNumberFormat="1" applyFont="1" applyFill="1" applyBorder="1" applyAlignment="1">
      <alignment horizontal="center"/>
    </xf>
    <xf numFmtId="176" fontId="16" fillId="5" borderId="23" xfId="0" applyNumberFormat="1" applyFont="1" applyFill="1" applyBorder="1" applyAlignment="1">
      <alignment horizontal="center"/>
    </xf>
    <xf numFmtId="0" fontId="16" fillId="5" borderId="13" xfId="0" applyFont="1" applyFill="1" applyBorder="1" applyAlignment="1"/>
    <xf numFmtId="0" fontId="16" fillId="5" borderId="14" xfId="0" applyFont="1" applyFill="1" applyBorder="1" applyAlignment="1"/>
    <xf numFmtId="0" fontId="16" fillId="5" borderId="21" xfId="0" applyFont="1" applyFill="1" applyBorder="1" applyAlignment="1"/>
    <xf numFmtId="2" fontId="8" fillId="5" borderId="23" xfId="0" applyNumberFormat="1" applyFont="1" applyFill="1" applyBorder="1" applyAlignment="1">
      <alignment horizontal="center"/>
    </xf>
    <xf numFmtId="2" fontId="16" fillId="5" borderId="23" xfId="0" applyNumberFormat="1" applyFont="1" applyFill="1" applyBorder="1" applyAlignment="1">
      <alignment horizontal="center"/>
    </xf>
    <xf numFmtId="2" fontId="88" fillId="5" borderId="13" xfId="0" applyNumberFormat="1" applyFont="1" applyFill="1" applyBorder="1" applyAlignment="1">
      <alignment horizontal="center"/>
    </xf>
    <xf numFmtId="0" fontId="42" fillId="5" borderId="14" xfId="0" applyFont="1" applyFill="1" applyBorder="1" applyAlignment="1">
      <alignment horizontal="center"/>
    </xf>
    <xf numFmtId="0" fontId="42" fillId="5" borderId="21" xfId="0" applyFont="1" applyFill="1" applyBorder="1" applyAlignment="1">
      <alignment horizontal="center"/>
    </xf>
    <xf numFmtId="0" fontId="16" fillId="5" borderId="13" xfId="0" applyFont="1" applyFill="1" applyBorder="1"/>
    <xf numFmtId="0" fontId="16" fillId="5" borderId="21" xfId="0" applyFont="1" applyFill="1" applyBorder="1"/>
    <xf numFmtId="2" fontId="42" fillId="5" borderId="13" xfId="0" applyNumberFormat="1" applyFont="1" applyFill="1" applyBorder="1" applyAlignment="1">
      <alignment horizontal="center"/>
    </xf>
    <xf numFmtId="2" fontId="16" fillId="5" borderId="69" xfId="0" applyNumberFormat="1" applyFont="1" applyFill="1" applyBorder="1" applyAlignment="1">
      <alignment horizontal="center"/>
    </xf>
    <xf numFmtId="0" fontId="16" fillId="5" borderId="36" xfId="0" applyFont="1" applyFill="1" applyBorder="1" applyAlignment="1">
      <alignment horizontal="left"/>
    </xf>
    <xf numFmtId="0" fontId="60" fillId="5" borderId="0" xfId="0" applyFont="1" applyFill="1" applyBorder="1"/>
    <xf numFmtId="0" fontId="58" fillId="5" borderId="0" xfId="0" applyFont="1" applyFill="1" applyBorder="1"/>
    <xf numFmtId="0" fontId="58" fillId="5" borderId="22" xfId="0" applyFont="1" applyFill="1" applyBorder="1"/>
    <xf numFmtId="0" fontId="59" fillId="5" borderId="15" xfId="0" applyFont="1" applyFill="1" applyBorder="1" applyAlignment="1">
      <alignment horizontal="center"/>
    </xf>
    <xf numFmtId="0" fontId="59" fillId="5" borderId="0" xfId="0" applyFont="1" applyFill="1" applyBorder="1" applyAlignment="1">
      <alignment horizontal="center"/>
    </xf>
    <xf numFmtId="0" fontId="59" fillId="5" borderId="22" xfId="0" applyFont="1" applyFill="1" applyBorder="1" applyAlignment="1">
      <alignment horizontal="center"/>
    </xf>
    <xf numFmtId="2" fontId="59" fillId="5" borderId="19" xfId="0" applyNumberFormat="1" applyFont="1" applyFill="1" applyBorder="1" applyAlignment="1">
      <alignment horizontal="center"/>
    </xf>
    <xf numFmtId="2" fontId="8" fillId="5" borderId="19" xfId="0" applyNumberFormat="1" applyFont="1" applyFill="1" applyBorder="1" applyAlignment="1">
      <alignment horizontal="center"/>
    </xf>
    <xf numFmtId="2" fontId="31" fillId="5" borderId="15" xfId="0" applyNumberFormat="1" applyFont="1" applyFill="1" applyBorder="1" applyAlignment="1">
      <alignment horizontal="center"/>
    </xf>
    <xf numFmtId="2" fontId="59" fillId="5" borderId="15" xfId="0" applyNumberFormat="1" applyFont="1" applyFill="1" applyBorder="1" applyAlignment="1">
      <alignment horizontal="center"/>
    </xf>
    <xf numFmtId="176" fontId="16" fillId="5" borderId="19" xfId="0" applyNumberFormat="1" applyFont="1" applyFill="1" applyBorder="1" applyAlignment="1">
      <alignment horizontal="center"/>
    </xf>
    <xf numFmtId="0" fontId="16" fillId="5" borderId="15" xfId="0" applyFont="1" applyFill="1" applyBorder="1" applyAlignment="1"/>
    <xf numFmtId="0" fontId="59" fillId="5" borderId="0" xfId="0" applyFont="1" applyFill="1" applyBorder="1" applyAlignment="1"/>
    <xf numFmtId="0" fontId="59" fillId="5" borderId="22" xfId="0" applyFont="1" applyFill="1" applyBorder="1" applyAlignment="1"/>
    <xf numFmtId="2" fontId="16" fillId="5" borderId="19" xfId="0" applyNumberFormat="1" applyFont="1" applyFill="1" applyBorder="1" applyAlignment="1">
      <alignment horizontal="center"/>
    </xf>
    <xf numFmtId="2" fontId="91" fillId="5" borderId="15" xfId="0" applyNumberFormat="1" applyFont="1" applyFill="1" applyBorder="1" applyAlignment="1">
      <alignment horizontal="center"/>
    </xf>
    <xf numFmtId="0" fontId="59" fillId="5" borderId="15" xfId="0" applyFont="1" applyFill="1" applyBorder="1"/>
    <xf numFmtId="0" fontId="59" fillId="5" borderId="22" xfId="0" applyFont="1" applyFill="1" applyBorder="1"/>
    <xf numFmtId="2" fontId="42" fillId="5" borderId="15" xfId="0" applyNumberFormat="1" applyFont="1" applyFill="1" applyBorder="1" applyAlignment="1">
      <alignment horizontal="center"/>
    </xf>
    <xf numFmtId="2" fontId="16" fillId="5" borderId="37" xfId="0" applyNumberFormat="1" applyFont="1" applyFill="1" applyBorder="1" applyAlignment="1">
      <alignment horizontal="center"/>
    </xf>
    <xf numFmtId="0" fontId="16" fillId="5" borderId="0" xfId="0" applyFont="1" applyFill="1" applyBorder="1"/>
    <xf numFmtId="0" fontId="9" fillId="5" borderId="0" xfId="0" applyFont="1" applyFill="1" applyBorder="1"/>
    <xf numFmtId="0" fontId="9" fillId="5" borderId="22" xfId="0" applyFont="1" applyFill="1" applyBorder="1"/>
    <xf numFmtId="0" fontId="16" fillId="5" borderId="15" xfId="0" applyFont="1" applyFill="1" applyBorder="1" applyAlignment="1">
      <alignment horizontal="center"/>
    </xf>
    <xf numFmtId="0" fontId="16" fillId="5" borderId="0" xfId="0" applyFont="1" applyFill="1" applyBorder="1" applyAlignment="1">
      <alignment horizontal="center"/>
    </xf>
    <xf numFmtId="0" fontId="16" fillId="5" borderId="22" xfId="0" applyFont="1" applyFill="1" applyBorder="1" applyAlignment="1">
      <alignment horizontal="center"/>
    </xf>
    <xf numFmtId="2" fontId="42" fillId="5" borderId="19" xfId="0" applyNumberFormat="1" applyFont="1" applyFill="1" applyBorder="1" applyAlignment="1">
      <alignment horizontal="center"/>
    </xf>
    <xf numFmtId="2" fontId="31" fillId="5" borderId="19" xfId="0" applyNumberFormat="1" applyFont="1" applyFill="1" applyBorder="1" applyAlignment="1">
      <alignment horizontal="center"/>
    </xf>
    <xf numFmtId="2" fontId="16" fillId="5" borderId="15" xfId="0" applyNumberFormat="1" applyFont="1" applyFill="1" applyBorder="1" applyAlignment="1">
      <alignment horizontal="center"/>
    </xf>
    <xf numFmtId="0" fontId="16" fillId="5" borderId="0" xfId="0" applyFont="1" applyFill="1" applyBorder="1" applyAlignment="1"/>
    <xf numFmtId="0" fontId="16" fillId="5" borderId="22" xfId="0" applyFont="1" applyFill="1" applyBorder="1" applyAlignment="1"/>
    <xf numFmtId="2" fontId="88" fillId="5" borderId="15" xfId="0" applyNumberFormat="1" applyFont="1" applyFill="1" applyBorder="1" applyAlignment="1">
      <alignment horizontal="center"/>
    </xf>
    <xf numFmtId="0" fontId="42" fillId="5" borderId="0" xfId="0" applyFont="1" applyFill="1" applyBorder="1" applyAlignment="1">
      <alignment horizontal="center"/>
    </xf>
    <xf numFmtId="0" fontId="42" fillId="5" borderId="22" xfId="0" applyFont="1" applyFill="1" applyBorder="1" applyAlignment="1">
      <alignment horizontal="center"/>
    </xf>
    <xf numFmtId="0" fontId="16" fillId="5" borderId="15" xfId="0" applyFont="1" applyFill="1" applyBorder="1"/>
    <xf numFmtId="0" fontId="16" fillId="5" borderId="22" xfId="0" applyFont="1" applyFill="1" applyBorder="1"/>
    <xf numFmtId="2" fontId="36" fillId="2" borderId="64" xfId="7" applyNumberFormat="1" applyFont="1" applyFill="1" applyBorder="1" applyAlignment="1">
      <alignment horizontal="center"/>
    </xf>
    <xf numFmtId="0" fontId="33" fillId="9" borderId="36" xfId="7" applyFont="1" applyFill="1" applyBorder="1"/>
    <xf numFmtId="0" fontId="33" fillId="9" borderId="0" xfId="7" applyFont="1" applyFill="1" applyBorder="1"/>
    <xf numFmtId="0" fontId="14" fillId="9" borderId="34" xfId="7" applyFont="1" applyFill="1" applyBorder="1"/>
    <xf numFmtId="0" fontId="14" fillId="9" borderId="35" xfId="7" applyFont="1" applyFill="1" applyBorder="1"/>
    <xf numFmtId="164" fontId="94" fillId="0" borderId="22" xfId="7" applyNumberFormat="1" applyFont="1" applyFill="1" applyBorder="1" applyAlignment="1"/>
    <xf numFmtId="164" fontId="94" fillId="0" borderId="18" xfId="7" applyNumberFormat="1" applyFont="1" applyFill="1" applyBorder="1" applyAlignment="1">
      <alignment horizontal="right"/>
    </xf>
    <xf numFmtId="164" fontId="94" fillId="0" borderId="22" xfId="7" applyNumberFormat="1" applyFont="1" applyFill="1" applyBorder="1" applyAlignment="1">
      <alignment horizontal="right"/>
    </xf>
    <xf numFmtId="167" fontId="95" fillId="6" borderId="2" xfId="0" applyNumberFormat="1" applyFont="1" applyFill="1" applyBorder="1" applyAlignment="1">
      <alignment horizontal="center"/>
    </xf>
    <xf numFmtId="168" fontId="95" fillId="3" borderId="10" xfId="0" applyNumberFormat="1" applyFont="1" applyFill="1" applyBorder="1" applyAlignment="1">
      <alignment horizontal="center"/>
    </xf>
    <xf numFmtId="0" fontId="96" fillId="0" borderId="21" xfId="7" applyFont="1" applyFill="1" applyBorder="1" applyAlignment="1">
      <alignment horizontal="left"/>
    </xf>
    <xf numFmtId="164" fontId="94" fillId="0" borderId="18" xfId="7" applyNumberFormat="1" applyFont="1" applyFill="1" applyBorder="1" applyAlignment="1"/>
    <xf numFmtId="0" fontId="96" fillId="0" borderId="21" xfId="7" applyFont="1" applyFill="1" applyBorder="1" applyAlignment="1"/>
    <xf numFmtId="0" fontId="3" fillId="7" borderId="14" xfId="0" quotePrefix="1" applyFont="1" applyFill="1" applyBorder="1" applyAlignment="1">
      <alignment vertical="center"/>
    </xf>
    <xf numFmtId="0" fontId="3" fillId="7" borderId="0" xfId="0" quotePrefix="1" applyFont="1" applyFill="1" applyBorder="1" applyAlignment="1">
      <alignment vertical="center"/>
    </xf>
    <xf numFmtId="0" fontId="62" fillId="0" borderId="0" xfId="3" applyAlignment="1" applyProtection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5" fillId="2" borderId="30" xfId="0" applyFont="1" applyFill="1" applyBorder="1" applyAlignment="1">
      <alignment horizontal="center"/>
    </xf>
    <xf numFmtId="0" fontId="25" fillId="2" borderId="24" xfId="0" applyFont="1" applyFill="1" applyBorder="1" applyAlignment="1">
      <alignment horizontal="center"/>
    </xf>
    <xf numFmtId="0" fontId="8" fillId="8" borderId="29" xfId="0" applyFont="1" applyFill="1" applyBorder="1" applyAlignment="1">
      <alignment horizontal="center"/>
    </xf>
    <xf numFmtId="0" fontId="8" fillId="8" borderId="54" xfId="0" applyFont="1" applyFill="1" applyBorder="1" applyAlignment="1">
      <alignment horizontal="center"/>
    </xf>
    <xf numFmtId="0" fontId="12" fillId="8" borderId="71" xfId="0" applyFont="1" applyFill="1" applyBorder="1" applyAlignment="1">
      <alignment horizontal="center"/>
    </xf>
    <xf numFmtId="0" fontId="12" fillId="8" borderId="72" xfId="0" applyFont="1" applyFill="1" applyBorder="1" applyAlignment="1">
      <alignment horizontal="center"/>
    </xf>
    <xf numFmtId="165" fontId="10" fillId="0" borderId="0" xfId="0" applyNumberFormat="1" applyFont="1" applyFill="1" applyAlignment="1">
      <alignment horizontal="center"/>
    </xf>
    <xf numFmtId="0" fontId="8" fillId="8" borderId="42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31" fillId="8" borderId="34" xfId="0" applyFont="1" applyFill="1" applyBorder="1" applyAlignment="1">
      <alignment horizontal="center"/>
    </xf>
    <xf numFmtId="0" fontId="31" fillId="8" borderId="39" xfId="0" applyFont="1" applyFill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3" fillId="0" borderId="15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22" xfId="0" applyFont="1" applyBorder="1" applyAlignment="1">
      <alignment horizontal="left"/>
    </xf>
    <xf numFmtId="0" fontId="16" fillId="7" borderId="13" xfId="0" applyFont="1" applyFill="1" applyBorder="1" applyAlignment="1">
      <alignment horizontal="center"/>
    </xf>
    <xf numFmtId="0" fontId="16" fillId="7" borderId="14" xfId="0" applyFont="1" applyFill="1" applyBorder="1" applyAlignment="1">
      <alignment horizontal="center"/>
    </xf>
    <xf numFmtId="0" fontId="16" fillId="7" borderId="21" xfId="0" applyFont="1" applyFill="1" applyBorder="1" applyAlignment="1">
      <alignment horizontal="center"/>
    </xf>
    <xf numFmtId="44" fontId="33" fillId="9" borderId="0" xfId="5" applyFont="1" applyFill="1" applyBorder="1" applyAlignment="1">
      <alignment horizontal="center"/>
    </xf>
    <xf numFmtId="44" fontId="33" fillId="9" borderId="37" xfId="5" applyFont="1" applyFill="1" applyBorder="1" applyAlignment="1">
      <alignment horizontal="center"/>
    </xf>
    <xf numFmtId="0" fontId="16" fillId="6" borderId="42" xfId="7" applyFont="1" applyFill="1" applyBorder="1" applyAlignment="1">
      <alignment horizontal="left"/>
    </xf>
    <xf numFmtId="0" fontId="16" fillId="6" borderId="27" xfId="7" applyFont="1" applyFill="1" applyBorder="1" applyAlignment="1">
      <alignment horizontal="left"/>
    </xf>
    <xf numFmtId="0" fontId="36" fillId="8" borderId="70" xfId="7" applyFont="1" applyFill="1" applyBorder="1" applyAlignment="1">
      <alignment horizontal="center"/>
    </xf>
    <xf numFmtId="0" fontId="36" fillId="8" borderId="59" xfId="7" applyFont="1" applyFill="1" applyBorder="1" applyAlignment="1">
      <alignment horizontal="center"/>
    </xf>
    <xf numFmtId="0" fontId="36" fillId="8" borderId="60" xfId="7" applyFont="1" applyFill="1" applyBorder="1" applyAlignment="1">
      <alignment horizontal="center"/>
    </xf>
    <xf numFmtId="44" fontId="61" fillId="8" borderId="0" xfId="4" applyFont="1" applyFill="1" applyBorder="1" applyAlignment="1">
      <alignment horizontal="center"/>
    </xf>
    <xf numFmtId="44" fontId="61" fillId="8" borderId="37" xfId="4" applyFont="1" applyFill="1" applyBorder="1" applyAlignment="1">
      <alignment horizontal="center"/>
    </xf>
    <xf numFmtId="44" fontId="14" fillId="9" borderId="35" xfId="5" applyFont="1" applyFill="1" applyBorder="1" applyAlignment="1">
      <alignment horizontal="center"/>
    </xf>
    <xf numFmtId="44" fontId="14" fillId="9" borderId="39" xfId="5" applyFont="1" applyFill="1" applyBorder="1" applyAlignment="1">
      <alignment horizontal="center"/>
    </xf>
    <xf numFmtId="9" fontId="14" fillId="9" borderId="35" xfId="9" applyFont="1" applyFill="1" applyBorder="1" applyAlignment="1">
      <alignment horizontal="center"/>
    </xf>
    <xf numFmtId="9" fontId="14" fillId="9" borderId="39" xfId="9" applyFont="1" applyFill="1" applyBorder="1" applyAlignment="1">
      <alignment horizontal="center"/>
    </xf>
    <xf numFmtId="0" fontId="33" fillId="9" borderId="42" xfId="7" applyFont="1" applyFill="1" applyBorder="1" applyAlignment="1">
      <alignment horizontal="center"/>
    </xf>
    <xf numFmtId="0" fontId="33" fillId="9" borderId="27" xfId="7" applyFont="1" applyFill="1" applyBorder="1" applyAlignment="1">
      <alignment horizontal="center"/>
    </xf>
    <xf numFmtId="0" fontId="33" fillId="9" borderId="33" xfId="7" applyFont="1" applyFill="1" applyBorder="1" applyAlignment="1">
      <alignment horizontal="center"/>
    </xf>
    <xf numFmtId="0" fontId="16" fillId="6" borderId="34" xfId="7" applyFont="1" applyFill="1" applyBorder="1" applyAlignment="1">
      <alignment horizontal="left"/>
    </xf>
    <xf numFmtId="0" fontId="16" fillId="6" borderId="35" xfId="7" applyFont="1" applyFill="1" applyBorder="1" applyAlignment="1">
      <alignment horizontal="left"/>
    </xf>
    <xf numFmtId="44" fontId="61" fillId="8" borderId="35" xfId="4" applyFont="1" applyFill="1" applyBorder="1" applyAlignment="1">
      <alignment horizontal="center"/>
    </xf>
    <xf numFmtId="44" fontId="61" fillId="8" borderId="39" xfId="4" applyFont="1" applyFill="1" applyBorder="1" applyAlignment="1">
      <alignment horizontal="center"/>
    </xf>
    <xf numFmtId="0" fontId="34" fillId="14" borderId="42" xfId="7" applyFont="1" applyFill="1" applyBorder="1" applyAlignment="1">
      <alignment horizontal="center" vertical="center"/>
    </xf>
    <xf numFmtId="0" fontId="34" fillId="14" borderId="36" xfId="7" applyFont="1" applyFill="1" applyBorder="1" applyAlignment="1">
      <alignment horizontal="center" vertical="center"/>
    </xf>
    <xf numFmtId="0" fontId="34" fillId="14" borderId="34" xfId="7" applyFont="1" applyFill="1" applyBorder="1" applyAlignment="1">
      <alignment horizontal="center" vertical="center"/>
    </xf>
    <xf numFmtId="16" fontId="2" fillId="8" borderId="35" xfId="0" applyNumberFormat="1" applyFont="1" applyFill="1" applyBorder="1" applyAlignment="1">
      <alignment horizontal="center"/>
    </xf>
    <xf numFmtId="0" fontId="2" fillId="8" borderId="39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Fill="1" applyAlignment="1">
      <alignment horizontal="center"/>
    </xf>
    <xf numFmtId="0" fontId="33" fillId="0" borderId="16" xfId="0" applyFont="1" applyBorder="1" applyAlignment="1">
      <alignment horizontal="left"/>
    </xf>
    <xf numFmtId="0" fontId="33" fillId="0" borderId="17" xfId="0" applyFont="1" applyBorder="1" applyAlignment="1">
      <alignment horizontal="left"/>
    </xf>
    <xf numFmtId="0" fontId="33" fillId="0" borderId="18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32" fillId="0" borderId="13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32" fillId="0" borderId="21" xfId="0" applyFont="1" applyBorder="1" applyAlignment="1">
      <alignment horizontal="left"/>
    </xf>
    <xf numFmtId="10" fontId="53" fillId="8" borderId="70" xfId="7" applyNumberFormat="1" applyFont="1" applyFill="1" applyBorder="1" applyAlignment="1">
      <alignment horizontal="center"/>
    </xf>
    <xf numFmtId="10" fontId="53" fillId="8" borderId="59" xfId="7" applyNumberFormat="1" applyFont="1" applyFill="1" applyBorder="1" applyAlignment="1">
      <alignment horizontal="center"/>
    </xf>
    <xf numFmtId="10" fontId="53" fillId="8" borderId="60" xfId="7" applyNumberFormat="1" applyFont="1" applyFill="1" applyBorder="1" applyAlignment="1">
      <alignment horizontal="center"/>
    </xf>
    <xf numFmtId="164" fontId="61" fillId="8" borderId="70" xfId="7" applyNumberFormat="1" applyFont="1" applyFill="1" applyBorder="1" applyAlignment="1">
      <alignment horizontal="center"/>
    </xf>
    <xf numFmtId="164" fontId="61" fillId="8" borderId="59" xfId="7" applyNumberFormat="1" applyFont="1" applyFill="1" applyBorder="1" applyAlignment="1">
      <alignment horizontal="center"/>
    </xf>
    <xf numFmtId="164" fontId="61" fillId="8" borderId="60" xfId="7" applyNumberFormat="1" applyFont="1" applyFill="1" applyBorder="1" applyAlignment="1">
      <alignment horizontal="center"/>
    </xf>
    <xf numFmtId="164" fontId="31" fillId="8" borderId="28" xfId="7" applyNumberFormat="1" applyFont="1" applyFill="1" applyBorder="1" applyAlignment="1">
      <alignment horizontal="center"/>
    </xf>
    <xf numFmtId="164" fontId="31" fillId="8" borderId="29" xfId="7" applyNumberFormat="1" applyFont="1" applyFill="1" applyBorder="1" applyAlignment="1">
      <alignment horizontal="center"/>
    </xf>
    <xf numFmtId="164" fontId="31" fillId="8" borderId="48" xfId="7" applyNumberFormat="1" applyFont="1" applyFill="1" applyBorder="1" applyAlignment="1">
      <alignment horizontal="center"/>
    </xf>
    <xf numFmtId="0" fontId="1" fillId="12" borderId="30" xfId="7" applyFill="1" applyBorder="1" applyAlignment="1">
      <alignment horizontal="center"/>
    </xf>
    <xf numFmtId="0" fontId="1" fillId="12" borderId="31" xfId="7" applyFill="1" applyBorder="1" applyAlignment="1">
      <alignment horizontal="center"/>
    </xf>
    <xf numFmtId="0" fontId="39" fillId="0" borderId="0" xfId="7" applyFont="1" applyAlignment="1">
      <alignment wrapText="1"/>
    </xf>
    <xf numFmtId="0" fontId="39" fillId="0" borderId="0" xfId="0" applyFont="1" applyAlignment="1">
      <alignment wrapText="1"/>
    </xf>
    <xf numFmtId="0" fontId="38" fillId="0" borderId="0" xfId="7" applyFont="1" applyAlignment="1">
      <alignment horizontal="center" vertical="center"/>
    </xf>
    <xf numFmtId="10" fontId="41" fillId="8" borderId="30" xfId="7" applyNumberFormat="1" applyFont="1" applyFill="1" applyBorder="1" applyAlignment="1">
      <alignment horizontal="center"/>
    </xf>
    <xf numFmtId="10" fontId="41" fillId="8" borderId="31" xfId="7" applyNumberFormat="1" applyFont="1" applyFill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27" xfId="7" applyFont="1" applyBorder="1" applyAlignment="1">
      <alignment horizontal="center"/>
    </xf>
    <xf numFmtId="0" fontId="4" fillId="0" borderId="44" xfId="7" applyFont="1" applyBorder="1" applyAlignment="1">
      <alignment horizontal="center"/>
    </xf>
    <xf numFmtId="0" fontId="4" fillId="0" borderId="30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177" fontId="4" fillId="9" borderId="42" xfId="0" applyNumberFormat="1" applyFont="1" applyFill="1" applyBorder="1" applyAlignment="1">
      <alignment horizontal="center"/>
    </xf>
    <xf numFmtId="177" fontId="4" fillId="9" borderId="33" xfId="0" applyNumberFormat="1" applyFont="1" applyFill="1" applyBorder="1" applyAlignment="1">
      <alignment horizontal="center"/>
    </xf>
    <xf numFmtId="177" fontId="4" fillId="9" borderId="27" xfId="0" applyNumberFormat="1" applyFont="1" applyFill="1" applyBorder="1" applyAlignment="1">
      <alignment horizontal="center"/>
    </xf>
    <xf numFmtId="172" fontId="3" fillId="9" borderId="34" xfId="0" applyNumberFormat="1" applyFont="1" applyFill="1" applyBorder="1" applyAlignment="1">
      <alignment horizontal="center"/>
    </xf>
    <xf numFmtId="172" fontId="3" fillId="9" borderId="39" xfId="0" applyNumberFormat="1" applyFont="1" applyFill="1" applyBorder="1" applyAlignment="1">
      <alignment horizontal="center"/>
    </xf>
    <xf numFmtId="172" fontId="3" fillId="9" borderId="35" xfId="0" applyNumberFormat="1" applyFont="1" applyFill="1" applyBorder="1" applyAlignment="1">
      <alignment horizontal="center"/>
    </xf>
    <xf numFmtId="0" fontId="39" fillId="9" borderId="42" xfId="7" applyFont="1" applyFill="1" applyBorder="1" applyAlignment="1">
      <alignment horizontal="left"/>
    </xf>
    <xf numFmtId="0" fontId="39" fillId="9" borderId="27" xfId="7" applyFont="1" applyFill="1" applyBorder="1" applyAlignment="1">
      <alignment horizontal="left"/>
    </xf>
    <xf numFmtId="0" fontId="54" fillId="11" borderId="0" xfId="7" applyFont="1" applyFill="1" applyAlignment="1">
      <alignment horizontal="center"/>
    </xf>
    <xf numFmtId="176" fontId="52" fillId="10" borderId="31" xfId="7" applyNumberFormat="1" applyFont="1" applyFill="1" applyBorder="1" applyAlignment="1">
      <alignment horizontal="center"/>
    </xf>
    <xf numFmtId="176" fontId="52" fillId="10" borderId="24" xfId="7" applyNumberFormat="1" applyFont="1" applyFill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4" fillId="0" borderId="33" xfId="7" applyFont="1" applyBorder="1" applyAlignment="1">
      <alignment horizontal="center"/>
    </xf>
    <xf numFmtId="177" fontId="4" fillId="9" borderId="27" xfId="7" applyNumberFormat="1" applyFont="1" applyFill="1" applyBorder="1" applyAlignment="1">
      <alignment horizontal="center"/>
    </xf>
    <xf numFmtId="177" fontId="4" fillId="9" borderId="33" xfId="7" applyNumberFormat="1" applyFont="1" applyFill="1" applyBorder="1" applyAlignment="1">
      <alignment horizontal="center"/>
    </xf>
    <xf numFmtId="0" fontId="20" fillId="8" borderId="30" xfId="7" applyFont="1" applyFill="1" applyBorder="1" applyAlignment="1">
      <alignment horizontal="center"/>
    </xf>
    <xf numFmtId="0" fontId="20" fillId="8" borderId="31" xfId="7" applyFont="1" applyFill="1" applyBorder="1" applyAlignment="1">
      <alignment horizontal="center"/>
    </xf>
    <xf numFmtId="0" fontId="20" fillId="8" borderId="24" xfId="7" applyFont="1" applyFill="1" applyBorder="1" applyAlignment="1">
      <alignment horizontal="center"/>
    </xf>
    <xf numFmtId="0" fontId="1" fillId="2" borderId="49" xfId="7" applyFont="1" applyFill="1" applyBorder="1" applyAlignment="1">
      <alignment horizontal="left"/>
    </xf>
    <xf numFmtId="0" fontId="1" fillId="2" borderId="50" xfId="7" applyFont="1" applyFill="1" applyBorder="1" applyAlignment="1">
      <alignment horizontal="left"/>
    </xf>
    <xf numFmtId="0" fontId="1" fillId="2" borderId="51" xfId="7" applyFont="1" applyFill="1" applyBorder="1" applyAlignment="1">
      <alignment horizontal="left"/>
    </xf>
    <xf numFmtId="2" fontId="20" fillId="8" borderId="30" xfId="7" applyNumberFormat="1" applyFont="1" applyFill="1" applyBorder="1" applyAlignment="1">
      <alignment horizontal="center"/>
    </xf>
    <xf numFmtId="2" fontId="20" fillId="8" borderId="31" xfId="7" applyNumberFormat="1" applyFont="1" applyFill="1" applyBorder="1" applyAlignment="1">
      <alignment horizontal="center"/>
    </xf>
    <xf numFmtId="2" fontId="20" fillId="8" borderId="24" xfId="7" applyNumberFormat="1" applyFont="1" applyFill="1" applyBorder="1" applyAlignment="1">
      <alignment horizontal="center"/>
    </xf>
    <xf numFmtId="3" fontId="20" fillId="8" borderId="31" xfId="7" applyNumberFormat="1" applyFont="1" applyFill="1" applyBorder="1" applyAlignment="1">
      <alignment horizontal="center"/>
    </xf>
    <xf numFmtId="3" fontId="20" fillId="8" borderId="24" xfId="7" applyNumberFormat="1" applyFont="1" applyFill="1" applyBorder="1" applyAlignment="1">
      <alignment horizontal="center"/>
    </xf>
    <xf numFmtId="0" fontId="1" fillId="8" borderId="30" xfId="7" applyFont="1" applyFill="1" applyBorder="1" applyAlignment="1">
      <alignment horizontal="left"/>
    </xf>
    <xf numFmtId="0" fontId="1" fillId="8" borderId="31" xfId="7" applyFont="1" applyFill="1" applyBorder="1" applyAlignment="1">
      <alignment horizontal="left"/>
    </xf>
    <xf numFmtId="0" fontId="1" fillId="8" borderId="40" xfId="7" applyFont="1" applyFill="1" applyBorder="1" applyAlignment="1">
      <alignment horizontal="left"/>
    </xf>
    <xf numFmtId="0" fontId="20" fillId="8" borderId="30" xfId="7" applyFont="1" applyFill="1" applyBorder="1" applyAlignment="1">
      <alignment horizontal="left"/>
    </xf>
    <xf numFmtId="0" fontId="20" fillId="8" borderId="31" xfId="7" applyFont="1" applyFill="1" applyBorder="1" applyAlignment="1">
      <alignment horizontal="left"/>
    </xf>
    <xf numFmtId="0" fontId="20" fillId="8" borderId="40" xfId="7" applyFont="1" applyFill="1" applyBorder="1" applyAlignment="1">
      <alignment horizontal="left"/>
    </xf>
    <xf numFmtId="2" fontId="66" fillId="5" borderId="58" xfId="7" applyNumberFormat="1" applyFont="1" applyFill="1" applyBorder="1" applyAlignment="1">
      <alignment horizontal="center"/>
    </xf>
    <xf numFmtId="2" fontId="66" fillId="5" borderId="59" xfId="7" applyNumberFormat="1" applyFont="1" applyFill="1" applyBorder="1" applyAlignment="1">
      <alignment horizontal="center"/>
    </xf>
    <xf numFmtId="44" fontId="50" fillId="5" borderId="58" xfId="5" applyFont="1" applyFill="1" applyBorder="1" applyAlignment="1"/>
    <xf numFmtId="44" fontId="50" fillId="5" borderId="59" xfId="5" applyFont="1" applyFill="1" applyBorder="1" applyAlignment="1"/>
    <xf numFmtId="44" fontId="50" fillId="5" borderId="60" xfId="5" applyFont="1" applyFill="1" applyBorder="1" applyAlignment="1"/>
    <xf numFmtId="2" fontId="65" fillId="5" borderId="35" xfId="7" applyNumberFormat="1" applyFont="1" applyFill="1" applyBorder="1" applyAlignment="1">
      <alignment horizontal="center"/>
    </xf>
    <xf numFmtId="2" fontId="65" fillId="5" borderId="46" xfId="7" applyNumberFormat="1" applyFont="1" applyFill="1" applyBorder="1" applyAlignment="1">
      <alignment horizontal="center"/>
    </xf>
    <xf numFmtId="0" fontId="39" fillId="2" borderId="49" xfId="7" applyFont="1" applyFill="1" applyBorder="1" applyAlignment="1">
      <alignment horizontal="left"/>
    </xf>
    <xf numFmtId="0" fontId="39" fillId="2" borderId="50" xfId="7" applyFont="1" applyFill="1" applyBorder="1" applyAlignment="1">
      <alignment horizontal="left"/>
    </xf>
    <xf numFmtId="0" fontId="39" fillId="2" borderId="51" xfId="7" applyFont="1" applyFill="1" applyBorder="1" applyAlignment="1">
      <alignment horizontal="left"/>
    </xf>
    <xf numFmtId="4" fontId="20" fillId="8" borderId="31" xfId="7" applyNumberFormat="1" applyFont="1" applyFill="1" applyBorder="1" applyAlignment="1">
      <alignment horizontal="center"/>
    </xf>
    <xf numFmtId="0" fontId="63" fillId="2" borderId="49" xfId="3" applyFont="1" applyFill="1" applyBorder="1" applyAlignment="1" applyProtection="1">
      <alignment horizontal="left"/>
    </xf>
    <xf numFmtId="0" fontId="63" fillId="2" borderId="50" xfId="3" applyFont="1" applyFill="1" applyBorder="1" applyAlignment="1" applyProtection="1">
      <alignment horizontal="left"/>
    </xf>
    <xf numFmtId="0" fontId="63" fillId="2" borderId="51" xfId="3" applyFont="1" applyFill="1" applyBorder="1" applyAlignment="1" applyProtection="1">
      <alignment horizontal="left"/>
    </xf>
    <xf numFmtId="44" fontId="50" fillId="5" borderId="73" xfId="5" applyFont="1" applyFill="1" applyBorder="1" applyAlignment="1"/>
    <xf numFmtId="2" fontId="65" fillId="5" borderId="0" xfId="7" applyNumberFormat="1" applyFont="1" applyFill="1" applyBorder="1" applyAlignment="1">
      <alignment horizontal="center"/>
    </xf>
    <xf numFmtId="2" fontId="65" fillId="5" borderId="22" xfId="7" applyNumberFormat="1" applyFont="1" applyFill="1" applyBorder="1" applyAlignment="1">
      <alignment horizontal="center"/>
    </xf>
    <xf numFmtId="2" fontId="68" fillId="5" borderId="0" xfId="7" applyNumberFormat="1" applyFont="1" applyFill="1" applyBorder="1" applyAlignment="1">
      <alignment horizontal="center"/>
    </xf>
    <xf numFmtId="2" fontId="68" fillId="5" borderId="22" xfId="7" applyNumberFormat="1" applyFont="1" applyFill="1" applyBorder="1" applyAlignment="1">
      <alignment horizontal="center"/>
    </xf>
    <xf numFmtId="2" fontId="70" fillId="5" borderId="0" xfId="7" applyNumberFormat="1" applyFont="1" applyFill="1" applyBorder="1" applyAlignment="1">
      <alignment horizontal="center"/>
    </xf>
    <xf numFmtId="2" fontId="70" fillId="5" borderId="22" xfId="7" applyNumberFormat="1" applyFont="1" applyFill="1" applyBorder="1" applyAlignment="1">
      <alignment horizontal="center"/>
    </xf>
    <xf numFmtId="44" fontId="50" fillId="5" borderId="58" xfId="5" applyFont="1" applyFill="1" applyBorder="1" applyAlignment="1">
      <alignment horizontal="center"/>
    </xf>
    <xf numFmtId="44" fontId="50" fillId="5" borderId="59" xfId="5" applyFont="1" applyFill="1" applyBorder="1" applyAlignment="1">
      <alignment horizontal="center"/>
    </xf>
    <xf numFmtId="44" fontId="50" fillId="5" borderId="73" xfId="5" applyFont="1" applyFill="1" applyBorder="1" applyAlignment="1">
      <alignment horizontal="center"/>
    </xf>
    <xf numFmtId="0" fontId="3" fillId="0" borderId="42" xfId="7" applyFont="1" applyFill="1" applyBorder="1" applyAlignment="1">
      <alignment horizontal="center"/>
    </xf>
    <xf numFmtId="0" fontId="3" fillId="0" borderId="27" xfId="7" applyFont="1" applyFill="1" applyBorder="1" applyAlignment="1">
      <alignment horizontal="center"/>
    </xf>
    <xf numFmtId="0" fontId="3" fillId="0" borderId="33" xfId="7" applyFont="1" applyFill="1" applyBorder="1" applyAlignment="1">
      <alignment horizontal="center"/>
    </xf>
    <xf numFmtId="2" fontId="68" fillId="5" borderId="14" xfId="7" applyNumberFormat="1" applyFont="1" applyFill="1" applyBorder="1" applyAlignment="1">
      <alignment horizontal="center"/>
    </xf>
    <xf numFmtId="2" fontId="68" fillId="5" borderId="21" xfId="7" applyNumberFormat="1" applyFont="1" applyFill="1" applyBorder="1" applyAlignment="1">
      <alignment horizontal="center"/>
    </xf>
    <xf numFmtId="0" fontId="4" fillId="0" borderId="36" xfId="7" applyFont="1" applyBorder="1" applyAlignment="1">
      <alignment horizontal="center"/>
    </xf>
    <xf numFmtId="0" fontId="4" fillId="0" borderId="37" xfId="7" applyFont="1" applyBorder="1" applyAlignment="1">
      <alignment horizontal="center"/>
    </xf>
  </cellXfs>
  <cellStyles count="12">
    <cellStyle name="Euro" xfId="1"/>
    <cellStyle name="Euro 2" xfId="2"/>
    <cellStyle name="Lien hypertexte" xfId="3" builtinId="8"/>
    <cellStyle name="Monétaire" xfId="4" builtinId="4"/>
    <cellStyle name="Monétaire 2" xfId="5"/>
    <cellStyle name="Monétaire 3" xfId="6"/>
    <cellStyle name="Normal" xfId="0" builtinId="0"/>
    <cellStyle name="Normal 2" xfId="7"/>
    <cellStyle name="Normal 3" xfId="8"/>
    <cellStyle name="Pourcentage" xfId="9" builtinId="5"/>
    <cellStyle name="Pourcentage 2" xfId="10"/>
    <cellStyle name="Pourcentage 3" xfId="11"/>
  </cellStyles>
  <dxfs count="57">
    <dxf>
      <font>
        <b/>
        <i val="0"/>
        <condense val="0"/>
        <extend val="0"/>
        <color indexed="60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58"/>
      </font>
      <fill>
        <patternFill>
          <bgColor indexed="11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63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63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0"/>
        </patternFill>
      </fill>
    </dxf>
    <dxf>
      <font>
        <b/>
        <i val="0"/>
        <condense val="0"/>
        <extend val="0"/>
        <color indexed="58"/>
      </font>
      <fill>
        <patternFill>
          <bgColor indexed="1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41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6536934074662436E-2"/>
          <c:y val="8.6206896551724227E-2"/>
          <c:w val="0.818109610802224"/>
          <c:h val="0.7724137931034486"/>
        </c:manualLayout>
      </c:layout>
      <c:scatterChart>
        <c:scatterStyle val="lineMarker"/>
        <c:ser>
          <c:idx val="0"/>
          <c:order val="0"/>
          <c:tx>
            <c:v>Couverture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'Tarif pose'!$E$4:$AH$4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</c:numCache>
            </c:numRef>
          </c:xVal>
          <c:yVal>
            <c:numRef>
              <c:f>'Tarif pose'!$E$6:$AH$6</c:f>
              <c:numCache>
                <c:formatCode>0.00</c:formatCode>
                <c:ptCount val="30"/>
                <c:pt idx="0">
                  <c:v>2.613131313131313</c:v>
                </c:pt>
                <c:pt idx="1">
                  <c:v>2.5077967223022677</c:v>
                </c:pt>
                <c:pt idx="2">
                  <c:v>2.4461799366384698</c:v>
                </c:pt>
                <c:pt idx="3">
                  <c:v>2.4024621314732229</c:v>
                </c:pt>
                <c:pt idx="4">
                  <c:v>2.368551967321888</c:v>
                </c:pt>
                <c:pt idx="5">
                  <c:v>2.3408453458094249</c:v>
                </c:pt>
                <c:pt idx="6">
                  <c:v>2.3174197311044691</c:v>
                </c:pt>
                <c:pt idx="7">
                  <c:v>2.2971275406441776</c:v>
                </c:pt>
                <c:pt idx="8">
                  <c:v>2.2792285601456266</c:v>
                </c:pt>
                <c:pt idx="9">
                  <c:v>2.2632173764928432</c:v>
                </c:pt>
                <c:pt idx="10">
                  <c:v>2.2487334990810921</c:v>
                </c:pt>
                <c:pt idx="11">
                  <c:v>2.2355107549803797</c:v>
                </c:pt>
                <c:pt idx="12">
                  <c:v>2.2233470095333736</c:v>
                </c:pt>
                <c:pt idx="13">
                  <c:v>2.2120851402754238</c:v>
                </c:pt>
                <c:pt idx="14">
                  <c:v>2.2016005908290452</c:v>
                </c:pt>
                <c:pt idx="15">
                  <c:v>2.1917929498151327</c:v>
                </c:pt>
                <c:pt idx="16">
                  <c:v>2.1825800872192822</c:v>
                </c:pt>
                <c:pt idx="17">
                  <c:v>2.1738939693165813</c:v>
                </c:pt>
                <c:pt idx="18">
                  <c:v>2.1656776066312897</c:v>
                </c:pt>
                <c:pt idx="19">
                  <c:v>2.1578827856637979</c:v>
                </c:pt>
                <c:pt idx="20">
                  <c:v>2.1504683546116254</c:v>
                </c:pt>
                <c:pt idx="21">
                  <c:v>2.1433989082520464</c:v>
                </c:pt>
                <c:pt idx="22">
                  <c:v>2.1366437654002124</c:v>
                </c:pt>
                <c:pt idx="23">
                  <c:v>2.1301761641513339</c:v>
                </c:pt>
                <c:pt idx="24">
                  <c:v>2.123972621512463</c:v>
                </c:pt>
                <c:pt idx="25">
                  <c:v>2.1180124187043283</c:v>
                </c:pt>
                <c:pt idx="26">
                  <c:v>2.1122771836527829</c:v>
                </c:pt>
                <c:pt idx="27">
                  <c:v>2.106750549446379</c:v>
                </c:pt>
                <c:pt idx="28">
                  <c:v>2.1014178727542725</c:v>
                </c:pt>
                <c:pt idx="29">
                  <c:v>2.096266</c:v>
                </c:pt>
              </c:numCache>
            </c:numRef>
          </c:y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'Tarif pose'!$E$4:$AH$4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</c:numCache>
            </c:numRef>
          </c:xVal>
          <c:yVal>
            <c:numRef>
              <c:f>'Tarif pose'!$E$10:$AH$10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2.1738939693165813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</c:ser>
        <c:ser>
          <c:idx val="2"/>
          <c:order val="2"/>
          <c:tx>
            <c:v>Tôlerie</c:v>
          </c:tx>
          <c:xVal>
            <c:numRef>
              <c:f>'Tarif pose'!$E$4:$AH$4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</c:numCache>
            </c:numRef>
          </c:xVal>
          <c:yVal>
            <c:numRef>
              <c:f>'Tarif pose'!$E$7:$AH$7</c:f>
              <c:numCache>
                <c:formatCode>0.00</c:formatCode>
                <c:ptCount val="30"/>
                <c:pt idx="0">
                  <c:v>2.0436262626262627</c:v>
                </c:pt>
                <c:pt idx="1">
                  <c:v>1.9612482607633264</c:v>
                </c:pt>
                <c:pt idx="2">
                  <c:v>1.9130602187891714</c:v>
                </c:pt>
                <c:pt idx="3">
                  <c:v>1.8788702589003901</c:v>
                </c:pt>
                <c:pt idx="4">
                  <c:v>1.8523504657000274</c:v>
                </c:pt>
                <c:pt idx="5">
                  <c:v>1.8306822169262351</c:v>
                </c:pt>
                <c:pt idx="6">
                  <c:v>1.8123619736270782</c:v>
                </c:pt>
                <c:pt idx="7">
                  <c:v>1.796492257037454</c:v>
                </c:pt>
                <c:pt idx="8">
                  <c:v>1.7824941749520797</c:v>
                </c:pt>
                <c:pt idx="9">
                  <c:v>1.7699724638370913</c:v>
                </c:pt>
                <c:pt idx="10">
                  <c:v>1.758645198301459</c:v>
                </c:pt>
                <c:pt idx="11">
                  <c:v>1.7483042150632988</c:v>
                </c:pt>
                <c:pt idx="12">
                  <c:v>1.7387914326315526</c:v>
                </c:pt>
                <c:pt idx="13">
                  <c:v>1.7299839717641419</c:v>
                </c:pt>
                <c:pt idx="14">
                  <c:v>1.7217844218629361</c:v>
                </c:pt>
                <c:pt idx="15">
                  <c:v>1.7141142551745181</c:v>
                </c:pt>
                <c:pt idx="16">
                  <c:v>1.7069092410750599</c:v>
                </c:pt>
                <c:pt idx="17">
                  <c:v>1.7001161730891434</c:v>
                </c:pt>
                <c:pt idx="18">
                  <c:v>1.6936904820101888</c:v>
                </c:pt>
                <c:pt idx="19">
                  <c:v>1.687594461974155</c:v>
                </c:pt>
                <c:pt idx="20">
                  <c:v>1.6817959297899865</c:v>
                </c:pt>
                <c:pt idx="21">
                  <c:v>1.6762671964385225</c:v>
                </c:pt>
                <c:pt idx="22">
                  <c:v>1.6709842673830906</c:v>
                </c:pt>
                <c:pt idx="23">
                  <c:v>1.6659262132003623</c:v>
                </c:pt>
                <c:pt idx="24">
                  <c:v>1.6610746687737923</c:v>
                </c:pt>
                <c:pt idx="25">
                  <c:v>1.6564134307686162</c:v>
                </c:pt>
                <c:pt idx="26">
                  <c:v>1.651928131114988</c:v>
                </c:pt>
                <c:pt idx="27">
                  <c:v>1.6476059699012058</c:v>
                </c:pt>
                <c:pt idx="28">
                  <c:v>1.6434354951595347</c:v>
                </c:pt>
                <c:pt idx="29">
                  <c:v>1.6394064199999998</c:v>
                </c:pt>
              </c:numCache>
            </c:numRef>
          </c:yVal>
        </c:ser>
        <c:ser>
          <c:idx val="3"/>
          <c:order val="3"/>
          <c:tx>
            <c:v>Rails Platines</c:v>
          </c:tx>
          <c:xVal>
            <c:numRef>
              <c:f>'Tarif pose'!$E$4:$AH$4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</c:numCache>
            </c:numRef>
          </c:xVal>
          <c:yVal>
            <c:numRef>
              <c:f>'Tarif pose'!$E$8:$AH$8</c:f>
              <c:numCache>
                <c:formatCode>0.00</c:formatCode>
                <c:ptCount val="3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</c:numCache>
            </c:numRef>
          </c:yVal>
        </c:ser>
        <c:ser>
          <c:idx val="4"/>
          <c:order val="4"/>
          <c:tx>
            <c:v>Panneaux PHQ</c:v>
          </c:tx>
          <c:xVal>
            <c:numRef>
              <c:f>'Tarif pose'!$E$4:$AH$4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</c:numCache>
            </c:numRef>
          </c:xVal>
          <c:yVal>
            <c:numRef>
              <c:f>'Tarif pose'!$E$9:$AH$9</c:f>
              <c:numCache>
                <c:formatCode>0.00</c:formatCode>
                <c:ptCount val="3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</c:numCache>
            </c:numRef>
          </c:yVal>
        </c:ser>
        <c:axId val="46654976"/>
        <c:axId val="46656896"/>
      </c:scatterChart>
      <c:valAx>
        <c:axId val="46654976"/>
        <c:scaling>
          <c:orientation val="minMax"/>
          <c:max val="3000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6656896"/>
        <c:crosses val="autoZero"/>
        <c:crossBetween val="midCat"/>
        <c:majorUnit val="250"/>
      </c:valAx>
      <c:valAx>
        <c:axId val="46656896"/>
        <c:scaling>
          <c:orientation val="minMax"/>
          <c:min val="1.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665497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1421765852936099"/>
          <c:y val="0.43448275862068964"/>
          <c:w val="0.99059701001324685"/>
          <c:h val="0.7301312335958004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394" footer="0.4921259845000039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114300</xdr:colOff>
      <xdr:row>4</xdr:row>
      <xdr:rowOff>19050</xdr:rowOff>
    </xdr:from>
    <xdr:to>
      <xdr:col>33</xdr:col>
      <xdr:colOff>228600</xdr:colOff>
      <xdr:row>9</xdr:row>
      <xdr:rowOff>85725</xdr:rowOff>
    </xdr:to>
    <xdr:sp macro="[0]!imprime_Pdf" textlink="">
      <xdr:nvSpPr>
        <xdr:cNvPr id="4245" name="Text Box 149"/>
        <xdr:cNvSpPr txBox="1">
          <a:spLocks noChangeArrowheads="1"/>
        </xdr:cNvSpPr>
      </xdr:nvSpPr>
      <xdr:spPr bwMode="auto">
        <a:xfrm>
          <a:off x="15020925" y="790575"/>
          <a:ext cx="1866900" cy="10287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fr-FR" sz="3600" b="0" i="0" u="none" strike="noStrike" baseline="0">
              <a:solidFill>
                <a:srgbClr val="FF0000"/>
              </a:solidFill>
              <a:latin typeface="Arial"/>
              <a:cs typeface="Arial"/>
            </a:rPr>
            <a:t>Imprime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11</xdr:row>
      <xdr:rowOff>9525</xdr:rowOff>
    </xdr:from>
    <xdr:to>
      <xdr:col>39</xdr:col>
      <xdr:colOff>133350</xdr:colOff>
      <xdr:row>28</xdr:row>
      <xdr:rowOff>19050</xdr:rowOff>
    </xdr:to>
    <xdr:graphicFrame macro="">
      <xdr:nvGraphicFramePr>
        <xdr:cNvPr id="163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E%20DEVIS%2012.02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evis\MODELE%20DEVIS%2012.02.xlt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.signorelli/Application%20Data/Microsoft/Excel/MODELE%20DEVIS%2012.02.xlt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1"/>
      <sheetName val="Calculs"/>
      <sheetName val="CGV"/>
      <sheetName val="Tarif"/>
      <sheetName val="Surf. Pign.+LPan"/>
      <sheetName val="Neige NV65"/>
      <sheetName val="Vent NV65"/>
      <sheetName val="Couverture"/>
      <sheetName val="Zinguerie"/>
      <sheetName val="Bardage"/>
      <sheetName val="PxBardage"/>
      <sheetName val="Pose"/>
      <sheetName val="Tarif pose"/>
      <sheetName val="Pare-bot"/>
      <sheetName val="Plancher"/>
      <sheetName val="Largeurs"/>
      <sheetName val="Rein&amp;PB"/>
      <sheetName val="Versions"/>
    </sheetNames>
    <sheetDataSet>
      <sheetData sheetId="0">
        <row r="14">
          <cell r="Q14">
            <v>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  <cell r="F21">
            <v>0</v>
          </cell>
        </row>
        <row r="34">
          <cell r="D34">
            <v>0</v>
          </cell>
        </row>
        <row r="35">
          <cell r="Q35">
            <v>1</v>
          </cell>
        </row>
        <row r="41">
          <cell r="L41">
            <v>0</v>
          </cell>
        </row>
        <row r="53">
          <cell r="P53" t="str">
            <v>o</v>
          </cell>
        </row>
        <row r="54">
          <cell r="P54" t="str">
            <v>n</v>
          </cell>
        </row>
      </sheetData>
      <sheetData sheetId="1">
        <row r="3">
          <cell r="O3">
            <v>0</v>
          </cell>
          <cell r="P3">
            <v>0</v>
          </cell>
        </row>
        <row r="78">
          <cell r="D7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9">
          <cell r="B9" t="str">
            <v>Bac acier 75 / 100ème laqué PAB Agriconfort**</v>
          </cell>
        </row>
        <row r="10">
          <cell r="B10" t="str">
            <v>Bac acier 75/100éme avec régulateur **</v>
          </cell>
        </row>
        <row r="11">
          <cell r="B11" t="str">
            <v>Bac acier 75/100éme Eco Therm **</v>
          </cell>
        </row>
        <row r="12">
          <cell r="B12" t="str">
            <v>Bac Acier 75/100éme Noir avec régulateur **</v>
          </cell>
        </row>
        <row r="13">
          <cell r="B13" t="str">
            <v>Bac acier isolé 100mm 0,5/0,5 **</v>
          </cell>
        </row>
        <row r="14">
          <cell r="B14" t="str">
            <v>Bac Acier isolé 40mm 0,5/0,5 RAL 5008**</v>
          </cell>
        </row>
        <row r="15">
          <cell r="B15" t="str">
            <v>Bac Acier isolé 60mm 0,5/0,5 **</v>
          </cell>
        </row>
        <row r="16">
          <cell r="B16" t="str">
            <v>Bac acier isolé Eco 30 simple peau**</v>
          </cell>
        </row>
        <row r="17">
          <cell r="B17" t="str">
            <v xml:space="preserve">Fibrociment teinté </v>
          </cell>
        </row>
        <row r="18">
          <cell r="B18" t="str">
            <v>Fibrociment teinte naturelle</v>
          </cell>
        </row>
        <row r="24">
          <cell r="B24" t="str">
            <v>Translucide Pollycarbonate Tetratherm 100mm</v>
          </cell>
        </row>
        <row r="25">
          <cell r="B25" t="str">
            <v>Translucide polycarbonate</v>
          </cell>
        </row>
        <row r="26">
          <cell r="B26" t="str">
            <v>Translucide polyester cl. 3</v>
          </cell>
        </row>
        <row r="27">
          <cell r="B27" t="str">
            <v>Translucide polyester cl.4</v>
          </cell>
        </row>
        <row r="29">
          <cell r="B29" t="str">
            <v>zéro (sans)</v>
          </cell>
        </row>
        <row r="37">
          <cell r="B37" t="str">
            <v>Faîtière à boudins crantées</v>
          </cell>
        </row>
        <row r="38">
          <cell r="B38" t="str">
            <v>Fibro à charnière ondulée, teinte naturelle</v>
          </cell>
        </row>
        <row r="39">
          <cell r="B39" t="str">
            <v xml:space="preserve">Fibro à charnière ondulée, teintée </v>
          </cell>
        </row>
        <row r="40">
          <cell r="B40" t="str">
            <v>Fibro ITEB (ouverte, avec pare-vent double) teintée</v>
          </cell>
        </row>
        <row r="41">
          <cell r="B41" t="str">
            <v>Fibro ITEB (ouverte, avec pare-vent double) TN</v>
          </cell>
        </row>
        <row r="42">
          <cell r="B42" t="str">
            <v>Tôle Plane</v>
          </cell>
        </row>
        <row r="43">
          <cell r="B43" t="str">
            <v>zéro (sans)</v>
          </cell>
        </row>
        <row r="51">
          <cell r="B51" t="str">
            <v>Bac Acier Simple</v>
          </cell>
        </row>
        <row r="52">
          <cell r="B52" t="str">
            <v>Tôle Plane</v>
          </cell>
        </row>
        <row r="59">
          <cell r="B59" t="str">
            <v>Raccord de mur</v>
          </cell>
        </row>
        <row r="60">
          <cell r="B60" t="str">
            <v>Raccord de Shed</v>
          </cell>
        </row>
        <row r="61">
          <cell r="B61" t="str">
            <v>Tôle</v>
          </cell>
        </row>
        <row r="62">
          <cell r="B62" t="str">
            <v>zéro (sans)</v>
          </cell>
        </row>
      </sheetData>
      <sheetData sheetId="8">
        <row r="9">
          <cell r="B9" t="str">
            <v>Chéneaux galva 2mm - Dev. 1000mm</v>
          </cell>
        </row>
        <row r="10">
          <cell r="B10" t="str">
            <v>Chéneaux galva 2mm - Dev. 500mm</v>
          </cell>
        </row>
        <row r="11">
          <cell r="B11" t="str">
            <v>Gouttière DAL'ALU G400</v>
          </cell>
        </row>
        <row r="12">
          <cell r="B12" t="str">
            <v>Gouttière galva 13/33</v>
          </cell>
        </row>
        <row r="19">
          <cell r="B19" t="str">
            <v>Descentes Galva diam. 100</v>
          </cell>
        </row>
        <row r="20">
          <cell r="B20" t="str">
            <v>Descentes PVC diam. 100</v>
          </cell>
        </row>
        <row r="21">
          <cell r="B21" t="str">
            <v>Descentes PVC diam. 125</v>
          </cell>
        </row>
        <row r="22">
          <cell r="B22" t="str">
            <v>Descentes PVC diam. 160</v>
          </cell>
        </row>
      </sheetData>
      <sheetData sheetId="9">
        <row r="9">
          <cell r="B9" t="str">
            <v>(sans)</v>
          </cell>
        </row>
        <row r="10">
          <cell r="B10" t="str">
            <v>Bac acier 63 / 100ème laqué **</v>
          </cell>
        </row>
        <row r="11">
          <cell r="B11" t="str">
            <v>Bac acier 63 / 100ème laqué à ventelles **</v>
          </cell>
        </row>
        <row r="12">
          <cell r="B12" t="str">
            <v>Bac acier isolé 100mm 0,5/0,5 **</v>
          </cell>
        </row>
        <row r="13">
          <cell r="B13" t="str">
            <v>Bac acier panneau sandwich 50/100ème 50mm **</v>
          </cell>
        </row>
        <row r="14">
          <cell r="B14" t="str">
            <v>Bac acier panneau sandwich 50/100ème 50mm RAL 9006 **</v>
          </cell>
        </row>
        <row r="15">
          <cell r="B15" t="str">
            <v>Clin 21 x 132 Mélèze Thermohuilé Incolore (P. Galva)</v>
          </cell>
        </row>
        <row r="16">
          <cell r="B16" t="str">
            <v>Clin 21 x 132 Mélèze Thermohuilé Incolore (P. Inox)</v>
          </cell>
        </row>
        <row r="17">
          <cell r="B17" t="str">
            <v>Clin 21 x 135 Mélèze (P. Galva)</v>
          </cell>
        </row>
        <row r="18">
          <cell r="B18" t="str">
            <v>Clin 21 x 135 Mélèze (P. Inox)</v>
          </cell>
        </row>
        <row r="19">
          <cell r="B19" t="str">
            <v>Clin 21 x 135 Mélèze Aqua-Protect (P. Galva)</v>
          </cell>
        </row>
        <row r="20">
          <cell r="B20" t="str">
            <v>Clin 21 x 135 Mélèze Aqua-Protect (P. Inox)</v>
          </cell>
        </row>
        <row r="21">
          <cell r="B21" t="str">
            <v>Clin 22 x 135 Douglas raboté Autoclave Cl.3 (P. Galva)</v>
          </cell>
        </row>
        <row r="22">
          <cell r="B22" t="str">
            <v>Clin 22 x 135 Douglas raboté Autoclave Cl.3 (P. Inox)</v>
          </cell>
        </row>
        <row r="23">
          <cell r="B23" t="str">
            <v>Clin 22 x 135 Sapin raboté Autoclave Cl.3 (P. Galva)</v>
          </cell>
        </row>
        <row r="24">
          <cell r="B24" t="str">
            <v>Clin 22 x 135 Sapin raboté Autoclave Cl.3 (P. Inox)</v>
          </cell>
        </row>
        <row r="25">
          <cell r="B25" t="str">
            <v>Clin 45 x 135 Douglas Autoclave Cl.3</v>
          </cell>
        </row>
        <row r="26">
          <cell r="B26" t="str">
            <v>Clin 45 x 135 Sapin Autoclave Cl.3</v>
          </cell>
        </row>
        <row r="27">
          <cell r="B27" t="str">
            <v>Planches 22 x 145 Trait. Cl.3 Bord à Bord (P. Galva)</v>
          </cell>
        </row>
        <row r="28">
          <cell r="B28" t="str">
            <v>Planches 22 x 145 Trait. Cl.3 Bord à Bord (P. Inox)</v>
          </cell>
        </row>
        <row r="29">
          <cell r="B29" t="str">
            <v>Planches 22 x 145 Trait. Cl.3 Claire-voie (P. Galva)</v>
          </cell>
        </row>
        <row r="30">
          <cell r="B30" t="str">
            <v>Planches 22 x 145 Trait. Cl.3 Claire-voie (P. Inox)</v>
          </cell>
        </row>
        <row r="31">
          <cell r="B31" t="str">
            <v>Planches 22 x 145 Trait. Cl.3 Pose Suédoise (P. Galva)</v>
          </cell>
        </row>
        <row r="32">
          <cell r="B32" t="str">
            <v>Planches 22 x 145 Trait. Cl.3 Pose Suédoise (P. Inox)</v>
          </cell>
        </row>
        <row r="33">
          <cell r="B33" t="str">
            <v>Translucide Polycarbonate</v>
          </cell>
        </row>
        <row r="34">
          <cell r="B34" t="str">
            <v>Translucide Polycarbonate isolé 40mm</v>
          </cell>
        </row>
        <row r="36">
          <cell r="B36" t="str">
            <v>zéro (sans)</v>
          </cell>
        </row>
        <row r="55">
          <cell r="B55" t="str">
            <v>Bavette d'angle bac acier **</v>
          </cell>
        </row>
        <row r="56">
          <cell r="B56" t="str">
            <v>Larmier bas de mur pour bac acier **</v>
          </cell>
        </row>
        <row r="63">
          <cell r="B63" t="str">
            <v>Isolant fibre de Bois type STEICO Flex 200mm</v>
          </cell>
        </row>
        <row r="64">
          <cell r="B64" t="str">
            <v>Isolant Laine de Verre 200mm (avec pare vapeur)</v>
          </cell>
        </row>
        <row r="65">
          <cell r="B65" t="str">
            <v>Panneaux OSB 10mm</v>
          </cell>
        </row>
        <row r="66">
          <cell r="B66" t="str">
            <v>Pare Pluie</v>
          </cell>
        </row>
        <row r="67">
          <cell r="B67" t="str">
            <v>Pare Vapeur</v>
          </cell>
        </row>
      </sheetData>
      <sheetData sheetId="10" refreshError="1"/>
      <sheetData sheetId="11" refreshError="1"/>
      <sheetData sheetId="12" refreshError="1"/>
      <sheetData sheetId="13">
        <row r="4">
          <cell r="B4" t="str">
            <v>Kerto T 27 mm traité classe 3</v>
          </cell>
        </row>
        <row r="5">
          <cell r="B5" t="str">
            <v>OSB</v>
          </cell>
        </row>
        <row r="6">
          <cell r="B6" t="str">
            <v>planche 35 x 150 sapin rabotée classe 2</v>
          </cell>
        </row>
        <row r="7">
          <cell r="B7" t="str">
            <v>planche 35 x 150 sapin traité classe 2</v>
          </cell>
        </row>
        <row r="8">
          <cell r="B8" t="str">
            <v>planche 35 x 150 sapin traité classe 3</v>
          </cell>
        </row>
        <row r="9">
          <cell r="B9" t="str">
            <v>zéro (sans)</v>
          </cell>
        </row>
        <row r="28">
          <cell r="B28" t="str">
            <v>Basse cadre acier 2 m</v>
          </cell>
        </row>
        <row r="29">
          <cell r="B29" t="str">
            <v>Basse cadre acier 4 m x 1.50 m (passage 3,3 m)</v>
          </cell>
        </row>
        <row r="30">
          <cell r="B30" t="str">
            <v>Basse cadre acier 4,6 m x 1.50 m (passage 4 m)</v>
          </cell>
        </row>
        <row r="31">
          <cell r="B31" t="str">
            <v>Cadre bois 2 m</v>
          </cell>
        </row>
        <row r="32">
          <cell r="B32" t="str">
            <v>Cadre bois 4 m</v>
          </cell>
        </row>
        <row r="33">
          <cell r="B33" t="str">
            <v>Haute cadre acier 4 m x 4 m + pare-botte</v>
          </cell>
        </row>
        <row r="34">
          <cell r="B34" t="str">
            <v>Porte 2 panneaux rabattable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 1"/>
      <sheetName val="Calculs"/>
      <sheetName val="CGV"/>
      <sheetName val="Tarif"/>
      <sheetName val="Surf. Pign.+LPan"/>
      <sheetName val="Neige NV65"/>
      <sheetName val="Vent NV65"/>
      <sheetName val="Couverture"/>
      <sheetName val="Zinguerie"/>
      <sheetName val="Bardage"/>
      <sheetName val="PxBardage"/>
      <sheetName val="Pose"/>
      <sheetName val="Tarif pose"/>
      <sheetName val="Pare-bot"/>
      <sheetName val="Plancher"/>
      <sheetName val="Largeurs"/>
      <sheetName val="Rein&amp;PB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4">
          <cell r="B24" t="str">
            <v>Translucide Pollycarbonate Tetratherm 100mm</v>
          </cell>
        </row>
        <row r="25">
          <cell r="B25" t="str">
            <v>Translucide polycarbonate</v>
          </cell>
        </row>
        <row r="26">
          <cell r="B26" t="str">
            <v>Translucide polyester cl. 3</v>
          </cell>
        </row>
        <row r="27">
          <cell r="B27" t="str">
            <v>Translucide polyester cl.4</v>
          </cell>
        </row>
        <row r="51">
          <cell r="B51" t="str">
            <v>Bac Acier Simple</v>
          </cell>
        </row>
        <row r="52">
          <cell r="B52" t="str">
            <v>Tôle Plane</v>
          </cell>
        </row>
      </sheetData>
      <sheetData sheetId="8">
        <row r="19">
          <cell r="B19" t="str">
            <v>Descentes Galva diam. 100</v>
          </cell>
        </row>
        <row r="20">
          <cell r="B20" t="str">
            <v>Descentes PVC diam. 100</v>
          </cell>
        </row>
        <row r="21">
          <cell r="B21" t="str">
            <v>Descentes PVC diam. 125</v>
          </cell>
        </row>
        <row r="22">
          <cell r="B22" t="str">
            <v>Descentes PVC diam. 160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ge 1"/>
      <sheetName val="Calculs"/>
      <sheetName val="CGV"/>
      <sheetName val="Tarif"/>
      <sheetName val="Surf. Pign.+LPan"/>
      <sheetName val="Neige NV65"/>
      <sheetName val="Vent NV65"/>
      <sheetName val="Couverture"/>
      <sheetName val="Zinguerie"/>
      <sheetName val="Bardage"/>
      <sheetName val="PxBardage"/>
      <sheetName val="Fibro6ondes"/>
      <sheetName val="Fibro5ondes"/>
      <sheetName val="Pose"/>
      <sheetName val="Tarif pose"/>
      <sheetName val="Pare-bot"/>
      <sheetName val="Plancher"/>
      <sheetName val="Largeurs"/>
      <sheetName val="Rein&amp;PB"/>
      <sheetName val="Vers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B9" t="str">
            <v>Chéneaux galva 2mm - Dev. 1000mm</v>
          </cell>
          <cell r="H9">
            <v>0</v>
          </cell>
          <cell r="N9">
            <v>0</v>
          </cell>
          <cell r="O9">
            <v>33.799999999999997</v>
          </cell>
          <cell r="P9">
            <v>0</v>
          </cell>
          <cell r="Q9">
            <v>40269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1.5</v>
          </cell>
        </row>
        <row r="10">
          <cell r="B10" t="str">
            <v>Chéneaux galva 2mm - Dev. 500mm</v>
          </cell>
          <cell r="H10">
            <v>0</v>
          </cell>
          <cell r="N10">
            <v>0</v>
          </cell>
          <cell r="O10">
            <v>18.21</v>
          </cell>
          <cell r="P10">
            <v>0</v>
          </cell>
          <cell r="Q10">
            <v>40269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1.5</v>
          </cell>
        </row>
        <row r="11">
          <cell r="B11" t="str">
            <v>Gouttière ALU</v>
          </cell>
          <cell r="H11">
            <v>0</v>
          </cell>
          <cell r="N11">
            <v>0</v>
          </cell>
          <cell r="O11">
            <v>27</v>
          </cell>
          <cell r="P11">
            <v>0</v>
          </cell>
          <cell r="Q11">
            <v>40269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1.5</v>
          </cell>
        </row>
        <row r="12">
          <cell r="B12" t="str">
            <v>Gouttière galva Dev.33</v>
          </cell>
          <cell r="H12" t="str">
            <v>Crochets, naissance &amp; fond de goutières</v>
          </cell>
          <cell r="N12">
            <v>0</v>
          </cell>
          <cell r="O12">
            <v>2.4</v>
          </cell>
          <cell r="P12">
            <v>0</v>
          </cell>
          <cell r="Q12">
            <v>40569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1.5</v>
          </cell>
        </row>
        <row r="13">
          <cell r="B13">
            <v>0</v>
          </cell>
          <cell r="H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B14" t="str">
            <v>zéro (sans)</v>
          </cell>
          <cell r="H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H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9">
          <cell r="B19" t="str">
            <v>Descentes Galva diam. 100</v>
          </cell>
          <cell r="H19" t="str">
            <v>Colliers &amp; coudes</v>
          </cell>
          <cell r="N19">
            <v>0</v>
          </cell>
          <cell r="O19">
            <v>3.72</v>
          </cell>
          <cell r="P19">
            <v>0</v>
          </cell>
          <cell r="Q19">
            <v>40269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1.5</v>
          </cell>
        </row>
        <row r="20">
          <cell r="B20" t="str">
            <v>Descentes PVC diam. 100</v>
          </cell>
          <cell r="H20" t="str">
            <v>Colliers &amp; coudes</v>
          </cell>
          <cell r="N20">
            <v>0</v>
          </cell>
          <cell r="O20">
            <v>1.55</v>
          </cell>
          <cell r="P20">
            <v>0</v>
          </cell>
          <cell r="Q20">
            <v>40544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1.5</v>
          </cell>
        </row>
        <row r="21">
          <cell r="B21" t="str">
            <v>Descentes PVC diam. 125</v>
          </cell>
          <cell r="H21" t="str">
            <v>Colliers &amp; coudes</v>
          </cell>
          <cell r="N21">
            <v>0</v>
          </cell>
          <cell r="O21">
            <v>2.25</v>
          </cell>
          <cell r="P21">
            <v>0</v>
          </cell>
          <cell r="Q21">
            <v>40299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1.5</v>
          </cell>
        </row>
        <row r="22">
          <cell r="B22" t="str">
            <v>Descentes PVC diam. 160</v>
          </cell>
          <cell r="H22" t="str">
            <v>Colliers &amp; coudes</v>
          </cell>
          <cell r="N22">
            <v>0</v>
          </cell>
          <cell r="O22">
            <v>2.83</v>
          </cell>
          <cell r="P22">
            <v>0</v>
          </cell>
          <cell r="Q22">
            <v>40299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1.5</v>
          </cell>
        </row>
        <row r="23">
          <cell r="B23">
            <v>0</v>
          </cell>
          <cell r="H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 t="str">
            <v>zéro (sans)</v>
          </cell>
          <cell r="H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  <cell r="H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</row>
        <row r="30">
          <cell r="B30" t="str">
            <v>Fond de goutières</v>
          </cell>
          <cell r="H30">
            <v>0</v>
          </cell>
          <cell r="N30">
            <v>0.66</v>
          </cell>
          <cell r="O30">
            <v>0</v>
          </cell>
          <cell r="P30">
            <v>0</v>
          </cell>
          <cell r="Q30">
            <v>40544</v>
          </cell>
          <cell r="R30" t="str">
            <v>BigMat</v>
          </cell>
          <cell r="S30">
            <v>0</v>
          </cell>
          <cell r="T30">
            <v>0</v>
          </cell>
          <cell r="U30">
            <v>0</v>
          </cell>
          <cell r="V30">
            <v>0.99</v>
          </cell>
          <cell r="W30">
            <v>0.99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2</v>
          </cell>
          <cell r="AC30">
            <v>1.98</v>
          </cell>
        </row>
        <row r="31">
          <cell r="B31" t="str">
            <v>Naissance 33/100</v>
          </cell>
          <cell r="H31">
            <v>0</v>
          </cell>
          <cell r="N31">
            <v>3.36</v>
          </cell>
          <cell r="O31">
            <v>0</v>
          </cell>
          <cell r="P31">
            <v>0</v>
          </cell>
          <cell r="Q31">
            <v>40544</v>
          </cell>
          <cell r="R31" t="str">
            <v>BigMat</v>
          </cell>
          <cell r="S31">
            <v>0</v>
          </cell>
          <cell r="T31">
            <v>0</v>
          </cell>
          <cell r="U31">
            <v>0</v>
          </cell>
          <cell r="V31">
            <v>6.04</v>
          </cell>
          <cell r="W31">
            <v>5.04</v>
          </cell>
          <cell r="X31">
            <v>0</v>
          </cell>
          <cell r="Y31">
            <v>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</row>
        <row r="32">
          <cell r="B32" t="str">
            <v>Crochets Galva Dev.33</v>
          </cell>
          <cell r="H32">
            <v>0</v>
          </cell>
          <cell r="N32">
            <v>1.53</v>
          </cell>
          <cell r="O32">
            <v>0</v>
          </cell>
          <cell r="P32">
            <v>0</v>
          </cell>
          <cell r="Q32">
            <v>40239</v>
          </cell>
          <cell r="R32" t="str">
            <v>BigMat</v>
          </cell>
          <cell r="S32">
            <v>0</v>
          </cell>
          <cell r="T32">
            <v>0</v>
          </cell>
          <cell r="U32">
            <v>0</v>
          </cell>
          <cell r="V32">
            <v>2.2949999999999999</v>
          </cell>
          <cell r="W32">
            <v>2.2949999999999999</v>
          </cell>
          <cell r="X32">
            <v>0</v>
          </cell>
          <cell r="Y32">
            <v>0</v>
          </cell>
          <cell r="Z32">
            <v>0</v>
          </cell>
          <cell r="AA32">
            <v>2</v>
          </cell>
          <cell r="AB32">
            <v>0</v>
          </cell>
          <cell r="AC32">
            <v>0</v>
          </cell>
        </row>
        <row r="33">
          <cell r="B33" t="str">
            <v>Collier Bride Æ 100</v>
          </cell>
          <cell r="H33">
            <v>0</v>
          </cell>
          <cell r="N33">
            <v>1.3</v>
          </cell>
          <cell r="O33">
            <v>0</v>
          </cell>
          <cell r="P33">
            <v>0</v>
          </cell>
          <cell r="Q33">
            <v>40483</v>
          </cell>
          <cell r="R33" t="str">
            <v>BigMat</v>
          </cell>
          <cell r="S33">
            <v>0</v>
          </cell>
          <cell r="T33">
            <v>0</v>
          </cell>
          <cell r="U33">
            <v>0</v>
          </cell>
          <cell r="V33">
            <v>1.9500000000000002</v>
          </cell>
          <cell r="W33">
            <v>1.9500000000000002</v>
          </cell>
          <cell r="X33">
            <v>1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</row>
        <row r="34">
          <cell r="B34" t="str">
            <v>Coude PVC CT8 Æ 100</v>
          </cell>
          <cell r="H34">
            <v>0</v>
          </cell>
          <cell r="N34">
            <v>2.71</v>
          </cell>
          <cell r="O34">
            <v>0</v>
          </cell>
          <cell r="P34">
            <v>0</v>
          </cell>
          <cell r="Q34">
            <v>40544</v>
          </cell>
          <cell r="R34" t="str">
            <v>BigMat</v>
          </cell>
          <cell r="S34">
            <v>0</v>
          </cell>
          <cell r="T34">
            <v>0</v>
          </cell>
          <cell r="U34">
            <v>0</v>
          </cell>
          <cell r="V34">
            <v>6.0649999999999995</v>
          </cell>
          <cell r="W34">
            <v>4.0649999999999995</v>
          </cell>
          <cell r="X34">
            <v>0</v>
          </cell>
          <cell r="Y34">
            <v>2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</row>
        <row r="35">
          <cell r="B35" t="str">
            <v>Contre crochet galva 33</v>
          </cell>
          <cell r="H35">
            <v>0</v>
          </cell>
          <cell r="N35">
            <v>0.47</v>
          </cell>
          <cell r="O35">
            <v>0</v>
          </cell>
          <cell r="P35">
            <v>0</v>
          </cell>
          <cell r="Q35">
            <v>40544</v>
          </cell>
          <cell r="R35" t="str">
            <v>BigMat</v>
          </cell>
          <cell r="S35">
            <v>0</v>
          </cell>
          <cell r="T35">
            <v>0</v>
          </cell>
          <cell r="U35">
            <v>0</v>
          </cell>
          <cell r="V35">
            <v>0.70499999999999996</v>
          </cell>
          <cell r="W35">
            <v>0.70499999999999996</v>
          </cell>
          <cell r="X35">
            <v>0</v>
          </cell>
          <cell r="Y35">
            <v>0</v>
          </cell>
          <cell r="Z35">
            <v>0</v>
          </cell>
          <cell r="AA35">
            <v>1</v>
          </cell>
          <cell r="AB35">
            <v>0</v>
          </cell>
          <cell r="AC35">
            <v>0</v>
          </cell>
        </row>
        <row r="36">
          <cell r="B36">
            <v>0</v>
          </cell>
          <cell r="H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 t="str">
            <v>TOTAL</v>
          </cell>
          <cell r="W36">
            <v>0</v>
          </cell>
          <cell r="X36" t="str">
            <v>0 €</v>
          </cell>
          <cell r="Y36">
            <v>0</v>
          </cell>
          <cell r="Z36">
            <v>0</v>
          </cell>
          <cell r="AA36">
            <v>1.98</v>
          </cell>
          <cell r="AB36">
            <v>0</v>
          </cell>
          <cell r="AC36">
            <v>0</v>
          </cell>
        </row>
        <row r="37">
          <cell r="B37">
            <v>0</v>
          </cell>
          <cell r="H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</row>
        <row r="38">
          <cell r="B38" t="str">
            <v>Fond de goutières</v>
          </cell>
          <cell r="H38">
            <v>0</v>
          </cell>
          <cell r="N38">
            <v>0.66</v>
          </cell>
          <cell r="O38">
            <v>0</v>
          </cell>
          <cell r="P38">
            <v>0</v>
          </cell>
          <cell r="Q38">
            <v>40544</v>
          </cell>
          <cell r="R38" t="str">
            <v>BigMat</v>
          </cell>
          <cell r="S38">
            <v>0</v>
          </cell>
          <cell r="T38">
            <v>0</v>
          </cell>
          <cell r="U38">
            <v>0</v>
          </cell>
          <cell r="V38">
            <v>0.99</v>
          </cell>
          <cell r="W38">
            <v>0.99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2</v>
          </cell>
          <cell r="AC38">
            <v>1.98</v>
          </cell>
        </row>
        <row r="39">
          <cell r="B39" t="str">
            <v>Naissance 33/125</v>
          </cell>
          <cell r="H39">
            <v>0</v>
          </cell>
          <cell r="N39">
            <v>3.56</v>
          </cell>
          <cell r="O39">
            <v>0</v>
          </cell>
          <cell r="P39">
            <v>0</v>
          </cell>
          <cell r="Q39">
            <v>40238</v>
          </cell>
          <cell r="R39" t="str">
            <v>BigMat</v>
          </cell>
          <cell r="S39">
            <v>0</v>
          </cell>
          <cell r="T39">
            <v>0</v>
          </cell>
          <cell r="U39">
            <v>0</v>
          </cell>
          <cell r="V39">
            <v>6.34</v>
          </cell>
          <cell r="W39">
            <v>5.34</v>
          </cell>
          <cell r="X39">
            <v>0</v>
          </cell>
          <cell r="Y39">
            <v>1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</row>
        <row r="40">
          <cell r="B40" t="str">
            <v>Crochets Galva Dev.33</v>
          </cell>
          <cell r="H40">
            <v>0</v>
          </cell>
          <cell r="N40">
            <v>1.53</v>
          </cell>
          <cell r="O40">
            <v>0</v>
          </cell>
          <cell r="P40">
            <v>0</v>
          </cell>
          <cell r="Q40">
            <v>40239</v>
          </cell>
          <cell r="R40" t="str">
            <v>BigMat</v>
          </cell>
          <cell r="S40">
            <v>0</v>
          </cell>
          <cell r="T40">
            <v>0</v>
          </cell>
          <cell r="U40">
            <v>0</v>
          </cell>
          <cell r="V40">
            <v>2.2949999999999999</v>
          </cell>
          <cell r="W40">
            <v>2.2949999999999999</v>
          </cell>
          <cell r="X40">
            <v>0</v>
          </cell>
          <cell r="Y40">
            <v>0</v>
          </cell>
          <cell r="Z40">
            <v>0</v>
          </cell>
          <cell r="AA40">
            <v>2</v>
          </cell>
          <cell r="AB40">
            <v>0</v>
          </cell>
          <cell r="AC40">
            <v>0</v>
          </cell>
        </row>
        <row r="41">
          <cell r="B41" t="str">
            <v>Collier Bride Æ 125</v>
          </cell>
          <cell r="H41">
            <v>0</v>
          </cell>
          <cell r="N41">
            <v>1.3</v>
          </cell>
          <cell r="O41">
            <v>0</v>
          </cell>
          <cell r="P41">
            <v>0</v>
          </cell>
          <cell r="Q41">
            <v>40240</v>
          </cell>
          <cell r="R41" t="str">
            <v>BigMat</v>
          </cell>
          <cell r="S41">
            <v>0</v>
          </cell>
          <cell r="T41">
            <v>0</v>
          </cell>
          <cell r="U41">
            <v>0</v>
          </cell>
          <cell r="V41">
            <v>1.9500000000000002</v>
          </cell>
          <cell r="W41">
            <v>1.9500000000000002</v>
          </cell>
          <cell r="X41">
            <v>1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</row>
        <row r="42">
          <cell r="B42" t="str">
            <v>Coude PVC CT8 Æ 125</v>
          </cell>
          <cell r="H42">
            <v>0</v>
          </cell>
          <cell r="N42">
            <v>3.05</v>
          </cell>
          <cell r="O42">
            <v>0</v>
          </cell>
          <cell r="P42">
            <v>0</v>
          </cell>
          <cell r="Q42">
            <v>40241</v>
          </cell>
          <cell r="R42" t="str">
            <v>BigMat</v>
          </cell>
          <cell r="S42">
            <v>0</v>
          </cell>
          <cell r="T42">
            <v>0</v>
          </cell>
          <cell r="U42">
            <v>0</v>
          </cell>
          <cell r="V42">
            <v>6.5749999999999993</v>
          </cell>
          <cell r="W42">
            <v>4.5749999999999993</v>
          </cell>
          <cell r="X42">
            <v>0</v>
          </cell>
          <cell r="Y42">
            <v>2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</row>
        <row r="43">
          <cell r="B43" t="str">
            <v>Contre crochet galva 33</v>
          </cell>
          <cell r="H43">
            <v>0</v>
          </cell>
          <cell r="N43">
            <v>0.47</v>
          </cell>
          <cell r="O43">
            <v>0</v>
          </cell>
          <cell r="P43">
            <v>0</v>
          </cell>
          <cell r="Q43">
            <v>40544</v>
          </cell>
          <cell r="R43" t="str">
            <v>BigMat</v>
          </cell>
          <cell r="S43">
            <v>0</v>
          </cell>
          <cell r="T43">
            <v>0</v>
          </cell>
          <cell r="U43">
            <v>0</v>
          </cell>
          <cell r="V43">
            <v>0.70499999999999996</v>
          </cell>
          <cell r="W43">
            <v>0.70499999999999996</v>
          </cell>
          <cell r="X43">
            <v>0</v>
          </cell>
          <cell r="Y43">
            <v>0</v>
          </cell>
          <cell r="Z43">
            <v>0</v>
          </cell>
          <cell r="AA43">
            <v>1</v>
          </cell>
          <cell r="AB43">
            <v>0</v>
          </cell>
          <cell r="AC43">
            <v>0</v>
          </cell>
        </row>
        <row r="44">
          <cell r="B44">
            <v>0</v>
          </cell>
          <cell r="H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 t="str">
            <v>TOTAL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1.98</v>
          </cell>
          <cell r="AB44">
            <v>0</v>
          </cell>
          <cell r="AC44">
            <v>0</v>
          </cell>
        </row>
        <row r="45">
          <cell r="B45">
            <v>0</v>
          </cell>
          <cell r="H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</row>
        <row r="46">
          <cell r="B46" t="str">
            <v>Fond de goutières</v>
          </cell>
          <cell r="H46">
            <v>0</v>
          </cell>
          <cell r="N46">
            <v>0.66</v>
          </cell>
          <cell r="O46">
            <v>0</v>
          </cell>
          <cell r="P46">
            <v>0</v>
          </cell>
          <cell r="Q46">
            <v>40544</v>
          </cell>
          <cell r="R46" t="str">
            <v>BigMat</v>
          </cell>
          <cell r="S46">
            <v>0</v>
          </cell>
          <cell r="T46">
            <v>0</v>
          </cell>
          <cell r="U46">
            <v>0</v>
          </cell>
          <cell r="V46">
            <v>0.99</v>
          </cell>
          <cell r="W46">
            <v>0.99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2</v>
          </cell>
          <cell r="AC46">
            <v>1.98</v>
          </cell>
        </row>
        <row r="47">
          <cell r="B47" t="str">
            <v>Naissance 33/160</v>
          </cell>
          <cell r="H47">
            <v>0</v>
          </cell>
          <cell r="N47">
            <v>3.96</v>
          </cell>
          <cell r="O47">
            <v>0</v>
          </cell>
          <cell r="P47">
            <v>0</v>
          </cell>
          <cell r="Q47">
            <v>40238</v>
          </cell>
          <cell r="R47" t="str">
            <v>BigMat</v>
          </cell>
          <cell r="S47">
            <v>0</v>
          </cell>
          <cell r="T47">
            <v>0</v>
          </cell>
          <cell r="U47">
            <v>0</v>
          </cell>
          <cell r="V47">
            <v>6.9399999999999995</v>
          </cell>
          <cell r="W47">
            <v>5.9399999999999995</v>
          </cell>
          <cell r="X47">
            <v>0</v>
          </cell>
          <cell r="Y47">
            <v>1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</row>
        <row r="48">
          <cell r="B48" t="str">
            <v>Crochets Galva Dev.33</v>
          </cell>
          <cell r="H48">
            <v>0</v>
          </cell>
          <cell r="N48">
            <v>1.53</v>
          </cell>
          <cell r="O48">
            <v>0</v>
          </cell>
          <cell r="P48">
            <v>0</v>
          </cell>
          <cell r="Q48">
            <v>40239</v>
          </cell>
          <cell r="R48" t="str">
            <v>BigMat</v>
          </cell>
          <cell r="S48">
            <v>0</v>
          </cell>
          <cell r="T48">
            <v>0</v>
          </cell>
          <cell r="U48">
            <v>0</v>
          </cell>
          <cell r="V48">
            <v>2.2949999999999999</v>
          </cell>
          <cell r="W48">
            <v>2.2949999999999999</v>
          </cell>
          <cell r="X48">
            <v>0</v>
          </cell>
          <cell r="Y48">
            <v>0</v>
          </cell>
          <cell r="Z48">
            <v>0</v>
          </cell>
          <cell r="AA48">
            <v>2</v>
          </cell>
          <cell r="AB48">
            <v>0</v>
          </cell>
          <cell r="AC48">
            <v>0</v>
          </cell>
        </row>
        <row r="49">
          <cell r="B49" t="str">
            <v>Collier Bride Æ 160</v>
          </cell>
          <cell r="H49">
            <v>0</v>
          </cell>
          <cell r="N49">
            <v>3.51</v>
          </cell>
          <cell r="O49">
            <v>0</v>
          </cell>
          <cell r="P49">
            <v>0</v>
          </cell>
          <cell r="Q49">
            <v>40240</v>
          </cell>
          <cell r="R49" t="str">
            <v>BigMat</v>
          </cell>
          <cell r="S49">
            <v>0</v>
          </cell>
          <cell r="T49">
            <v>0</v>
          </cell>
          <cell r="U49">
            <v>0</v>
          </cell>
          <cell r="V49">
            <v>5.2649999999999997</v>
          </cell>
          <cell r="W49">
            <v>5.2649999999999997</v>
          </cell>
          <cell r="X49">
            <v>1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</row>
        <row r="50">
          <cell r="B50" t="str">
            <v>Coude PVC CT8 Æ 160</v>
          </cell>
          <cell r="H50">
            <v>0</v>
          </cell>
          <cell r="N50">
            <v>4.53</v>
          </cell>
          <cell r="O50">
            <v>0</v>
          </cell>
          <cell r="P50">
            <v>0</v>
          </cell>
          <cell r="Q50">
            <v>40241</v>
          </cell>
          <cell r="R50" t="str">
            <v>BigMat</v>
          </cell>
          <cell r="S50">
            <v>0</v>
          </cell>
          <cell r="T50">
            <v>0</v>
          </cell>
          <cell r="U50">
            <v>0</v>
          </cell>
          <cell r="V50">
            <v>8.7949999999999999</v>
          </cell>
          <cell r="W50">
            <v>6.7949999999999999</v>
          </cell>
          <cell r="X50">
            <v>0</v>
          </cell>
          <cell r="Y50">
            <v>2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</row>
        <row r="51">
          <cell r="B51" t="str">
            <v>Contre crochet galva 33</v>
          </cell>
          <cell r="H51">
            <v>0</v>
          </cell>
          <cell r="N51">
            <v>0.47</v>
          </cell>
          <cell r="O51">
            <v>0</v>
          </cell>
          <cell r="P51">
            <v>0</v>
          </cell>
          <cell r="Q51">
            <v>40544</v>
          </cell>
          <cell r="R51" t="str">
            <v>BigMat</v>
          </cell>
          <cell r="S51">
            <v>0</v>
          </cell>
          <cell r="T51">
            <v>0</v>
          </cell>
          <cell r="U51">
            <v>0</v>
          </cell>
          <cell r="V51">
            <v>0.70499999999999996</v>
          </cell>
          <cell r="W51">
            <v>0.70499999999999996</v>
          </cell>
          <cell r="X51">
            <v>0</v>
          </cell>
          <cell r="Y51">
            <v>0</v>
          </cell>
          <cell r="Z51">
            <v>0</v>
          </cell>
          <cell r="AA51">
            <v>1</v>
          </cell>
          <cell r="AB51">
            <v>0</v>
          </cell>
          <cell r="AC51">
            <v>0</v>
          </cell>
        </row>
        <row r="52">
          <cell r="B52">
            <v>0</v>
          </cell>
          <cell r="H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 t="str">
            <v>TOTAL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1.98</v>
          </cell>
          <cell r="AB52">
            <v>0</v>
          </cell>
          <cell r="AC52">
            <v>0</v>
          </cell>
        </row>
        <row r="53">
          <cell r="B53">
            <v>0</v>
          </cell>
          <cell r="H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</row>
        <row r="54">
          <cell r="B54">
            <v>0</v>
          </cell>
          <cell r="H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</row>
        <row r="55">
          <cell r="B55" t="str">
            <v>zéro (sans)</v>
          </cell>
          <cell r="H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</row>
        <row r="56">
          <cell r="B56">
            <v>0</v>
          </cell>
          <cell r="H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inverser-la-valeur-numero-de-couleur-de-la-police-t24470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</sheetPr>
  <dimension ref="A1:W28"/>
  <sheetViews>
    <sheetView zoomScale="85" workbookViewId="0">
      <selection activeCell="E2" sqref="E2"/>
    </sheetView>
  </sheetViews>
  <sheetFormatPr baseColWidth="10" defaultRowHeight="12.75"/>
  <cols>
    <col min="1" max="1" width="23" style="20" bestFit="1" customWidth="1"/>
    <col min="2" max="2" width="12.85546875" style="1" customWidth="1"/>
    <col min="3" max="3" width="12.85546875" bestFit="1" customWidth="1"/>
    <col min="4" max="4" width="9.85546875" bestFit="1" customWidth="1"/>
    <col min="5" max="5" width="13.5703125" bestFit="1" customWidth="1"/>
    <col min="10" max="10" width="9.42578125" style="72" bestFit="1" customWidth="1"/>
  </cols>
  <sheetData>
    <row r="1" spans="1:23" ht="13.5" thickBot="1">
      <c r="A1" s="2" t="s">
        <v>34</v>
      </c>
      <c r="E1" s="36" t="s">
        <v>21</v>
      </c>
      <c r="F1" s="37" t="s">
        <v>22</v>
      </c>
      <c r="J1" s="72" t="s">
        <v>21</v>
      </c>
    </row>
    <row r="2" spans="1:23" ht="13.5" thickBot="1">
      <c r="A2" s="29" t="s">
        <v>262</v>
      </c>
      <c r="B2" s="28" t="s">
        <v>19</v>
      </c>
      <c r="C2" s="33"/>
      <c r="D2" s="72" t="b">
        <v>1</v>
      </c>
      <c r="E2" s="34">
        <v>24.88</v>
      </c>
      <c r="F2" s="38">
        <f>IF(D2=FALSE,0,B6-E2)</f>
        <v>15.870000000000001</v>
      </c>
      <c r="I2" t="s">
        <v>15</v>
      </c>
      <c r="J2" s="72" t="s">
        <v>31</v>
      </c>
    </row>
    <row r="3" spans="1:23" ht="13.5" thickBot="1">
      <c r="A3" s="29"/>
      <c r="B3" s="28" t="s">
        <v>35</v>
      </c>
      <c r="C3" s="73"/>
      <c r="D3" s="72" t="b">
        <v>0</v>
      </c>
      <c r="E3" s="35">
        <f>IF(D2=FALSE,"",E2/B6)</f>
        <v>0.61055214723926376</v>
      </c>
      <c r="F3" s="39">
        <f>IF(D2=FALSE,"",1-E3)</f>
        <v>0.38944785276073624</v>
      </c>
      <c r="G3" s="989" t="str">
        <f>IF(D2=TRUE,IF(E2&lt;F2,"RAMPANT SUD PLUS PETIT QUE NORD",""),"")</f>
        <v/>
      </c>
      <c r="H3" s="990"/>
      <c r="I3" s="990"/>
      <c r="J3" s="990"/>
    </row>
    <row r="4" spans="1:23">
      <c r="A4" s="29"/>
      <c r="B4" s="28" t="s">
        <v>30</v>
      </c>
      <c r="C4" s="53" t="s">
        <v>21</v>
      </c>
      <c r="D4" s="30"/>
      <c r="G4" s="991" t="str">
        <f ca="1">IF(B17&gt;0,IF(_xlnm.Extract="Est-Ouest","PAS DE SHED EN EXPO EST-OUEST",""),"")</f>
        <v/>
      </c>
      <c r="H4" s="991"/>
      <c r="I4" s="991"/>
      <c r="J4" s="991"/>
    </row>
    <row r="5" spans="1:23" ht="13.5" thickBot="1">
      <c r="A5" s="2" t="s">
        <v>8</v>
      </c>
      <c r="B5" s="28"/>
      <c r="C5" s="70" t="s">
        <v>1</v>
      </c>
      <c r="D5" s="71" t="s">
        <v>18</v>
      </c>
      <c r="E5" s="70" t="s">
        <v>20</v>
      </c>
      <c r="G5" s="991" t="str">
        <f ca="1">IF(D2=TRUE,IF(_xlnm.Extract="Est-Ouest","PAS DE DECENTRE EN EXPO EST-OUEST",""),"")</f>
        <v/>
      </c>
      <c r="H5" s="991"/>
      <c r="I5" s="991"/>
      <c r="J5" s="991"/>
      <c r="W5">
        <v>1</v>
      </c>
    </row>
    <row r="6" spans="1:23">
      <c r="A6" s="53" t="s">
        <v>11</v>
      </c>
      <c r="B6" s="58">
        <v>40.75</v>
      </c>
      <c r="C6" s="982">
        <v>70</v>
      </c>
      <c r="D6" s="54">
        <f>IF(B6=0,0,B6*C6)</f>
        <v>2852.5</v>
      </c>
      <c r="E6" s="67">
        <f>IF(C6=0,0,IF(D3=TRUE,D6,IF(D2=TRUE,E2*C6,B6/2*C6)))</f>
        <v>1741.6</v>
      </c>
      <c r="G6" s="991" t="str">
        <f ca="1">IF(D3=TRUE,IF(_xlnm.Extract="Est-Ouest","PAS DE MONOPENTE EN EXPO EST-OUEST",""),"")</f>
        <v/>
      </c>
      <c r="H6" s="991"/>
      <c r="I6" s="991"/>
      <c r="J6" s="991"/>
    </row>
    <row r="7" spans="1:23">
      <c r="A7" s="53" t="s">
        <v>12</v>
      </c>
      <c r="B7" s="59">
        <v>6</v>
      </c>
      <c r="C7" s="64"/>
      <c r="D7" s="55"/>
      <c r="E7" s="68"/>
      <c r="G7" s="991" t="str">
        <f>IF(D2=TRUE,IF(D3=TRUE,"PAS DE MONOPENTE DECENTRE",""),"")</f>
        <v/>
      </c>
      <c r="H7" s="991"/>
      <c r="I7" s="991"/>
      <c r="J7" s="991"/>
    </row>
    <row r="8" spans="1:23">
      <c r="A8" s="53" t="s">
        <v>17</v>
      </c>
      <c r="B8" s="60">
        <v>12</v>
      </c>
      <c r="C8" s="64"/>
      <c r="D8" s="55"/>
      <c r="E8" s="68"/>
    </row>
    <row r="9" spans="1:23">
      <c r="A9" s="53" t="str">
        <f ca="1">IF(_xlnm.Extract="Sud","Appentis Sud 1","Appentis Est 1")</f>
        <v>Appentis Sud 1</v>
      </c>
      <c r="B9" s="61">
        <v>0</v>
      </c>
      <c r="C9" s="64">
        <f t="shared" ref="C9:C16" si="0">IF(B9=0,0,$C$6)</f>
        <v>0</v>
      </c>
      <c r="D9" s="55">
        <f t="shared" ref="D9:D17" si="1">IF(B9=0,0,C9*B9)</f>
        <v>0</v>
      </c>
      <c r="E9" s="68">
        <f>IF(B9=0,0,C9*B9)</f>
        <v>0</v>
      </c>
      <c r="G9" s="18"/>
      <c r="I9" t="s">
        <v>15</v>
      </c>
    </row>
    <row r="10" spans="1:23">
      <c r="A10" s="53" t="str">
        <f ca="1">IF(_xlnm.Extract="Sud","Appentis Sud 2","Appentis Est 1")</f>
        <v>Appentis Sud 2</v>
      </c>
      <c r="B10" s="61">
        <v>0</v>
      </c>
      <c r="C10" s="64">
        <f t="shared" si="0"/>
        <v>0</v>
      </c>
      <c r="D10" s="55">
        <f t="shared" si="1"/>
        <v>0</v>
      </c>
      <c r="E10" s="68">
        <f>IF(B10=0,0,C10*B10)</f>
        <v>0</v>
      </c>
    </row>
    <row r="11" spans="1:23">
      <c r="A11" s="53" t="str">
        <f ca="1">IF(_xlnm.Extract="Sud","Auvent Sud 1","Auvent Est 1")</f>
        <v>Auvent Sud 1</v>
      </c>
      <c r="B11" s="61">
        <v>0</v>
      </c>
      <c r="C11" s="64">
        <f t="shared" si="0"/>
        <v>0</v>
      </c>
      <c r="D11" s="55">
        <f t="shared" si="1"/>
        <v>0</v>
      </c>
      <c r="E11" s="68">
        <f>IF(B11=0,0,C11*B11)</f>
        <v>0</v>
      </c>
    </row>
    <row r="12" spans="1:23">
      <c r="A12" s="53" t="str">
        <f ca="1">IF(_xlnm.Extract="Sud","Auvent Sud 2","Auvent Est 2")</f>
        <v>Auvent Sud 2</v>
      </c>
      <c r="B12" s="61">
        <v>0</v>
      </c>
      <c r="C12" s="64">
        <f t="shared" si="0"/>
        <v>0</v>
      </c>
      <c r="D12" s="55">
        <f t="shared" si="1"/>
        <v>0</v>
      </c>
      <c r="E12" s="68">
        <f>IF(B12=0,0,C12*B12)</f>
        <v>0</v>
      </c>
      <c r="G12" s="18"/>
    </row>
    <row r="13" spans="1:23">
      <c r="A13" s="53" t="str">
        <f ca="1">IF(_xlnm.Extract="Sud","Appentis Nord 1","Appentis Ouest 1")</f>
        <v>Appentis Nord 1</v>
      </c>
      <c r="B13" s="61">
        <v>0</v>
      </c>
      <c r="C13" s="64">
        <f t="shared" si="0"/>
        <v>0</v>
      </c>
      <c r="D13" s="55">
        <f t="shared" si="1"/>
        <v>0</v>
      </c>
      <c r="E13" s="68">
        <f>IF($C$4="Sud",0,C13*B13)</f>
        <v>0</v>
      </c>
      <c r="G13" s="18"/>
      <c r="I13" t="s">
        <v>15</v>
      </c>
    </row>
    <row r="14" spans="1:23">
      <c r="A14" s="53" t="str">
        <f ca="1">IF(_xlnm.Extract="Sud","Appentis Nord 2","Appentis Ouest 1")</f>
        <v>Appentis Nord 2</v>
      </c>
      <c r="B14" s="61">
        <v>0</v>
      </c>
      <c r="C14" s="64">
        <f t="shared" si="0"/>
        <v>0</v>
      </c>
      <c r="D14" s="55">
        <f t="shared" si="1"/>
        <v>0</v>
      </c>
      <c r="E14" s="68">
        <f>IF($C$4="Sud",0,C14*B14)</f>
        <v>0</v>
      </c>
    </row>
    <row r="15" spans="1:23">
      <c r="A15" s="53" t="str">
        <f ca="1">IF(_xlnm.Extract="Sud","Auvent Nord 1","Auvent Ouest 1")</f>
        <v>Auvent Nord 1</v>
      </c>
      <c r="B15" s="61">
        <v>0</v>
      </c>
      <c r="C15" s="64">
        <f t="shared" si="0"/>
        <v>0</v>
      </c>
      <c r="D15" s="55">
        <f t="shared" si="1"/>
        <v>0</v>
      </c>
      <c r="E15" s="68">
        <f>IF($C$4="Sud",0,C15*B15)</f>
        <v>0</v>
      </c>
    </row>
    <row r="16" spans="1:23">
      <c r="A16" s="53" t="str">
        <f ca="1">IF(_xlnm.Extract="Sud","Auvent Nord 2","Auvent Ouest 2")</f>
        <v>Auvent Nord 2</v>
      </c>
      <c r="B16" s="61">
        <v>0</v>
      </c>
      <c r="C16" s="64">
        <f t="shared" si="0"/>
        <v>0</v>
      </c>
      <c r="D16" s="55">
        <f t="shared" si="1"/>
        <v>0</v>
      </c>
      <c r="E16" s="68">
        <f>IF($C$4="Sud",0,C16*B16)</f>
        <v>0</v>
      </c>
      <c r="G16" s="41"/>
    </row>
    <row r="17" spans="1:9" ht="13.5" thickBot="1">
      <c r="A17" s="53" t="s">
        <v>16</v>
      </c>
      <c r="B17" s="62">
        <v>0</v>
      </c>
      <c r="C17" s="65">
        <f>IF(B17=0,0,C6)</f>
        <v>0</v>
      </c>
      <c r="D17" s="56">
        <f t="shared" si="1"/>
        <v>0</v>
      </c>
      <c r="E17" s="68">
        <f ca="1">IF(C17=0,0,IF(_xlnm.Extract="Sud",C17*B17,0))</f>
        <v>0</v>
      </c>
      <c r="G17" s="42" t="s">
        <v>26</v>
      </c>
    </row>
    <row r="18" spans="1:9" ht="13.5" thickBot="1">
      <c r="A18" s="53" t="s">
        <v>23</v>
      </c>
      <c r="B18" s="63">
        <v>0.26</v>
      </c>
      <c r="C18" s="66" t="s">
        <v>25</v>
      </c>
      <c r="D18" s="57">
        <f>SUM(D6:D17)</f>
        <v>2852.5</v>
      </c>
      <c r="E18" s="69">
        <f>SUM(E6:E17)</f>
        <v>1741.6</v>
      </c>
      <c r="G18" s="43">
        <f>ATAN(B18)</f>
        <v>0.25436805855326594</v>
      </c>
    </row>
    <row r="19" spans="1:9" ht="13.5" thickBot="1">
      <c r="B19" s="992" t="s">
        <v>24</v>
      </c>
      <c r="C19" s="993"/>
      <c r="D19" s="57">
        <f>D18/G19</f>
        <v>2947.3379467750215</v>
      </c>
      <c r="E19" s="981">
        <v>1815</v>
      </c>
      <c r="G19" s="43">
        <f>COS(G18)</f>
        <v>0.96782250678827197</v>
      </c>
      <c r="I19" t="s">
        <v>15</v>
      </c>
    </row>
    <row r="20" spans="1:9">
      <c r="B20" s="27"/>
    </row>
    <row r="21" spans="1:9">
      <c r="B21" s="27"/>
    </row>
    <row r="22" spans="1:9">
      <c r="A22" s="2" t="s">
        <v>13</v>
      </c>
      <c r="B22" s="1" t="e">
        <f>#REF!</f>
        <v>#REF!</v>
      </c>
    </row>
    <row r="23" spans="1:9">
      <c r="B23" s="27"/>
    </row>
    <row r="24" spans="1:9">
      <c r="B24" s="27"/>
    </row>
    <row r="25" spans="1:9">
      <c r="B25" s="27"/>
    </row>
    <row r="26" spans="1:9">
      <c r="B26" s="27"/>
      <c r="E26" t="s">
        <v>15</v>
      </c>
    </row>
    <row r="27" spans="1:9">
      <c r="B27" s="27"/>
    </row>
    <row r="28" spans="1:9">
      <c r="B28" s="27"/>
    </row>
  </sheetData>
  <dataConsolidate/>
  <mergeCells count="6">
    <mergeCell ref="G3:J3"/>
    <mergeCell ref="G7:J7"/>
    <mergeCell ref="G6:J6"/>
    <mergeCell ref="B19:C19"/>
    <mergeCell ref="G5:J5"/>
    <mergeCell ref="G4:J4"/>
  </mergeCells>
  <phoneticPr fontId="3" type="noConversion"/>
  <conditionalFormatting sqref="G3">
    <cfRule type="expression" dxfId="56" priority="1" stopIfTrue="1">
      <formula>IF(D2=TRUE,IF(E2&lt;F2,TRUE,FALSE),FALSE)</formula>
    </cfRule>
  </conditionalFormatting>
  <conditionalFormatting sqref="G5">
    <cfRule type="expression" dxfId="55" priority="2" stopIfTrue="1">
      <formula>IF(D2=TRUE,IF(_xlnm.Extract="Est-Ouest",TRUE,FALSE),FALSE)</formula>
    </cfRule>
  </conditionalFormatting>
  <conditionalFormatting sqref="G6">
    <cfRule type="expression" dxfId="54" priority="5" stopIfTrue="1">
      <formula>IF(D3=TRUE,IF(_xlnm.Extract="Est-Ouest",TRUE,FALSE),FALSE)</formula>
    </cfRule>
  </conditionalFormatting>
  <conditionalFormatting sqref="G7:J7">
    <cfRule type="expression" dxfId="53" priority="6" stopIfTrue="1">
      <formula>IF(D2=TRUE,IF(D3=TRUE,TRUE,FALSE),FALSE)</formula>
    </cfRule>
  </conditionalFormatting>
  <conditionalFormatting sqref="C6:E17">
    <cfRule type="cellIs" dxfId="52" priority="8" stopIfTrue="1" operator="equal">
      <formula>0</formula>
    </cfRule>
  </conditionalFormatting>
  <conditionalFormatting sqref="F2:F3 E3">
    <cfRule type="expression" dxfId="51" priority="9" stopIfTrue="1">
      <formula>IF($E$2=0,TRUE,FALSE)</formula>
    </cfRule>
  </conditionalFormatting>
  <conditionalFormatting sqref="G4">
    <cfRule type="expression" dxfId="50" priority="10" stopIfTrue="1">
      <formula>IF($B$17&gt;0,IF($C$4="Est-Ouest",TRUE,FALSE),FALSE)</formula>
    </cfRule>
  </conditionalFormatting>
  <conditionalFormatting sqref="A2">
    <cfRule type="cellIs" dxfId="49" priority="14" stopIfTrue="1" operator="equal">
      <formula>0</formula>
    </cfRule>
  </conditionalFormatting>
  <dataValidations count="1">
    <dataValidation type="list" allowBlank="1" showInputMessage="1" showErrorMessage="1" sqref="C4">
      <formula1>$J$1:$J$2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3:F3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2"/>
  </sheetPr>
  <dimension ref="A1:AC61"/>
  <sheetViews>
    <sheetView tabSelected="1" zoomScale="85" zoomScaleNormal="85" workbookViewId="0">
      <selection activeCell="Y1" sqref="Y1"/>
    </sheetView>
  </sheetViews>
  <sheetFormatPr baseColWidth="10" defaultRowHeight="14.25"/>
  <cols>
    <col min="1" max="1" width="6.5703125" customWidth="1"/>
    <col min="2" max="2" width="26.140625" customWidth="1"/>
    <col min="3" max="3" width="14.140625" customWidth="1"/>
    <col min="4" max="4" width="17.140625" customWidth="1"/>
    <col min="5" max="5" width="11.5703125" bestFit="1" customWidth="1"/>
    <col min="6" max="6" width="6.85546875" bestFit="1" customWidth="1"/>
    <col min="7" max="7" width="12.85546875" customWidth="1"/>
    <col min="8" max="9" width="6.7109375" customWidth="1"/>
    <col min="10" max="10" width="5.28515625" style="593" customWidth="1"/>
    <col min="11" max="18" width="5.5703125" style="593" customWidth="1"/>
    <col min="19" max="19" width="7.42578125" style="593" customWidth="1"/>
    <col min="20" max="23" width="5.5703125" style="593" customWidth="1"/>
    <col min="24" max="24" width="4.7109375" style="593" customWidth="1"/>
    <col min="25" max="25" width="18.28515625" style="593" bestFit="1" customWidth="1"/>
    <col min="26" max="26" width="5.5703125" style="593" customWidth="1"/>
    <col min="27" max="27" width="6.7109375" style="593" customWidth="1"/>
    <col min="28" max="31" width="4.7109375" customWidth="1"/>
    <col min="32" max="32" width="2.85546875" bestFit="1" customWidth="1"/>
    <col min="33" max="33" width="4.5703125" bestFit="1" customWidth="1"/>
    <col min="35" max="35" width="2" bestFit="1" customWidth="1"/>
    <col min="36" max="36" width="17.28515625" bestFit="1" customWidth="1"/>
    <col min="37" max="37" width="2.7109375" bestFit="1" customWidth="1"/>
    <col min="38" max="38" width="11.28515625" bestFit="1" customWidth="1"/>
  </cols>
  <sheetData>
    <row r="1" spans="1:29">
      <c r="B1" s="4"/>
      <c r="C1" s="4"/>
      <c r="D1" s="4"/>
      <c r="E1" s="4"/>
      <c r="F1" s="4"/>
      <c r="G1" s="4"/>
      <c r="H1" s="994" t="s">
        <v>33</v>
      </c>
      <c r="I1" s="995"/>
      <c r="J1" s="1009" t="s">
        <v>14</v>
      </c>
      <c r="K1" s="1010"/>
      <c r="L1" s="1011"/>
      <c r="M1" s="105">
        <v>1</v>
      </c>
      <c r="N1" s="99" t="s">
        <v>40</v>
      </c>
      <c r="O1" s="76">
        <v>1</v>
      </c>
      <c r="P1" s="77" t="s">
        <v>270</v>
      </c>
      <c r="Q1" s="77" t="s">
        <v>46</v>
      </c>
      <c r="R1" s="986" t="s">
        <v>276</v>
      </c>
      <c r="S1" s="102" t="s">
        <v>52</v>
      </c>
      <c r="T1" s="88" t="s">
        <v>53</v>
      </c>
      <c r="U1" s="91"/>
      <c r="V1" s="591"/>
      <c r="W1" s="591"/>
      <c r="X1" s="591"/>
      <c r="Y1" s="988" t="s">
        <v>277</v>
      </c>
      <c r="AA1" s="591"/>
      <c r="AB1" s="5"/>
      <c r="AC1" s="22"/>
    </row>
    <row r="2" spans="1:29" ht="15.75" thickBot="1">
      <c r="B2" s="4"/>
      <c r="C2" s="4"/>
      <c r="D2" s="4"/>
      <c r="E2" s="4"/>
      <c r="F2" s="4"/>
      <c r="G2" s="4"/>
      <c r="H2" s="996" t="s">
        <v>256</v>
      </c>
      <c r="I2" s="997"/>
      <c r="J2" s="109"/>
      <c r="K2" s="104"/>
      <c r="L2" s="110"/>
      <c r="M2" s="106">
        <v>2</v>
      </c>
      <c r="N2" s="101" t="s">
        <v>41</v>
      </c>
      <c r="O2" s="78">
        <v>2</v>
      </c>
      <c r="P2" s="79" t="s">
        <v>271</v>
      </c>
      <c r="Q2" s="79" t="s">
        <v>47</v>
      </c>
      <c r="R2" s="987" t="s">
        <v>276</v>
      </c>
      <c r="S2" s="103">
        <v>2</v>
      </c>
      <c r="T2" s="89" t="s">
        <v>54</v>
      </c>
      <c r="U2" s="92"/>
      <c r="V2" s="594"/>
      <c r="W2" s="594"/>
      <c r="X2" s="594"/>
      <c r="AA2" s="594"/>
      <c r="AB2" s="5"/>
      <c r="AC2" s="22"/>
    </row>
    <row r="3" spans="1:29" ht="15" thickBot="1">
      <c r="B3" s="4"/>
      <c r="C3" s="4"/>
      <c r="D3" s="74"/>
      <c r="E3" s="74"/>
      <c r="F3" s="998">
        <v>40735</v>
      </c>
      <c r="G3" s="998"/>
      <c r="H3" s="1035"/>
      <c r="I3" s="1036"/>
      <c r="J3" s="109"/>
      <c r="K3" s="104"/>
      <c r="L3" s="110"/>
      <c r="M3" s="106"/>
      <c r="N3" s="101" t="s">
        <v>42</v>
      </c>
      <c r="O3" s="78">
        <v>3</v>
      </c>
      <c r="P3" s="79" t="s">
        <v>272</v>
      </c>
      <c r="Q3" s="79" t="s">
        <v>48</v>
      </c>
      <c r="R3" s="987" t="s">
        <v>276</v>
      </c>
      <c r="S3" s="84" t="str">
        <f>LOOKUP(S2,O1:O7,Q1:Q7)</f>
        <v>M</v>
      </c>
      <c r="T3" s="90" t="s">
        <v>55</v>
      </c>
      <c r="U3" s="93"/>
      <c r="V3" s="621"/>
      <c r="W3" s="591"/>
      <c r="X3" s="591"/>
      <c r="AA3" s="591"/>
      <c r="AB3" s="5"/>
      <c r="AC3" s="22"/>
    </row>
    <row r="4" spans="1:29" ht="15.75" thickBot="1">
      <c r="B4" s="4"/>
      <c r="C4" s="4"/>
      <c r="D4" s="4"/>
      <c r="E4" s="4"/>
      <c r="F4" s="4"/>
      <c r="G4" s="4"/>
      <c r="H4" s="4"/>
      <c r="I4" s="6"/>
      <c r="J4" s="89">
        <f>YEAR(F3)</f>
        <v>2011</v>
      </c>
      <c r="K4" s="83">
        <f>MONTH(F3)</f>
        <v>7</v>
      </c>
      <c r="L4" s="111">
        <f>DAY(F3)</f>
        <v>11</v>
      </c>
      <c r="M4" s="107"/>
      <c r="N4" s="101" t="s">
        <v>43</v>
      </c>
      <c r="O4" s="78">
        <v>4</v>
      </c>
      <c r="P4" s="79" t="s">
        <v>273</v>
      </c>
      <c r="Q4" s="79" t="s">
        <v>49</v>
      </c>
      <c r="R4" s="987" t="s">
        <v>276</v>
      </c>
      <c r="S4" s="85" t="str">
        <f>LEFT(E13,1)</f>
        <v>M</v>
      </c>
      <c r="T4"/>
      <c r="U4"/>
      <c r="V4" s="688"/>
      <c r="W4" s="596"/>
      <c r="X4" s="597"/>
      <c r="AB4" s="5"/>
      <c r="AC4" s="5"/>
    </row>
    <row r="5" spans="1:29" ht="15">
      <c r="B5" s="4"/>
      <c r="C5" s="94" t="s">
        <v>37</v>
      </c>
      <c r="D5" s="1003"/>
      <c r="E5" s="1004"/>
      <c r="F5" s="1004"/>
      <c r="G5" s="1005"/>
      <c r="H5" s="999" t="s">
        <v>39</v>
      </c>
      <c r="I5" s="1000"/>
      <c r="J5" s="89">
        <f>J4-2000</f>
        <v>11</v>
      </c>
      <c r="K5" s="108" t="str">
        <f>FIXED(K4,0,TRUE)</f>
        <v>7</v>
      </c>
      <c r="L5" s="112" t="str">
        <f>FIXED(L4,0,TRUE)</f>
        <v>11</v>
      </c>
      <c r="M5" s="159" t="s">
        <v>104</v>
      </c>
      <c r="N5" s="101" t="s">
        <v>44</v>
      </c>
      <c r="O5" s="78">
        <v>5</v>
      </c>
      <c r="P5" s="79" t="s">
        <v>274</v>
      </c>
      <c r="Q5" s="79" t="s">
        <v>50</v>
      </c>
      <c r="R5" s="987" t="s">
        <v>276</v>
      </c>
      <c r="S5"/>
      <c r="T5"/>
      <c r="U5"/>
      <c r="AC5" s="22"/>
    </row>
    <row r="6" spans="1:29" ht="15.75" thickBot="1">
      <c r="B6" s="4"/>
      <c r="C6" s="95"/>
      <c r="D6" s="1006"/>
      <c r="E6" s="1007"/>
      <c r="F6" s="1007"/>
      <c r="G6" s="1008"/>
      <c r="H6" s="1001" t="s">
        <v>41</v>
      </c>
      <c r="I6" s="1002"/>
      <c r="J6" s="113" t="str">
        <f>FIXED(J5,0,TRUE)</f>
        <v>11</v>
      </c>
      <c r="K6" s="114" t="str">
        <f>IF(K4&lt;10,CONCATENATE("0",K5),K5)</f>
        <v>07</v>
      </c>
      <c r="L6" s="115" t="str">
        <f>IF(L4&lt;10,CONCATENATE("0",L5),L5)</f>
        <v>11</v>
      </c>
      <c r="M6" s="160" t="s">
        <v>171</v>
      </c>
      <c r="N6" s="101" t="s">
        <v>45</v>
      </c>
      <c r="O6" s="78">
        <v>6</v>
      </c>
      <c r="P6" s="79" t="s">
        <v>275</v>
      </c>
      <c r="Q6" s="79" t="s">
        <v>51</v>
      </c>
      <c r="R6" s="987" t="s">
        <v>276</v>
      </c>
      <c r="S6"/>
      <c r="T6"/>
      <c r="U6"/>
      <c r="AB6" s="5"/>
      <c r="AC6" s="5"/>
    </row>
    <row r="7" spans="1:29" ht="15">
      <c r="B7" s="4"/>
      <c r="C7" s="95"/>
      <c r="D7" s="1006"/>
      <c r="E7" s="1007"/>
      <c r="F7" s="1007"/>
      <c r="G7" s="1008"/>
      <c r="H7" s="17"/>
      <c r="I7" s="6"/>
      <c r="J7"/>
      <c r="K7"/>
      <c r="L7"/>
      <c r="M7"/>
      <c r="N7" s="100"/>
      <c r="O7" s="80">
        <v>7</v>
      </c>
      <c r="P7" s="81"/>
      <c r="Q7" s="81"/>
      <c r="R7" s="82"/>
      <c r="S7"/>
      <c r="T7"/>
      <c r="U7"/>
      <c r="AB7" s="5"/>
      <c r="AC7" s="5"/>
    </row>
    <row r="8" spans="1:29" ht="15">
      <c r="A8" s="1037" t="str">
        <f xml:space="preserve"> "Affaire suivie par : "&amp;LOOKUP(S2,O1:O7,P1:P7)</f>
        <v xml:space="preserve">Affaire suivie par : Michel </v>
      </c>
      <c r="B8" s="1037"/>
      <c r="C8" s="96"/>
      <c r="D8" s="1006"/>
      <c r="E8" s="1007"/>
      <c r="F8" s="1007"/>
      <c r="G8" s="1008"/>
      <c r="H8" s="17"/>
      <c r="I8" s="6"/>
      <c r="J8"/>
      <c r="K8"/>
      <c r="L8"/>
      <c r="M8"/>
      <c r="N8" s="84"/>
      <c r="O8"/>
      <c r="P8"/>
      <c r="Q8"/>
      <c r="R8"/>
      <c r="S8"/>
      <c r="T8"/>
      <c r="U8"/>
      <c r="AB8" s="5"/>
      <c r="AC8" s="5"/>
    </row>
    <row r="9" spans="1:29" ht="15" customHeight="1">
      <c r="A9" s="7" t="str">
        <f>" tél. "&amp;LOOKUP(S2,O1:O7,R1:R7)</f>
        <v xml:space="preserve"> tél. 06</v>
      </c>
      <c r="C9" s="97" t="s">
        <v>38</v>
      </c>
      <c r="D9" s="1043"/>
      <c r="E9" s="1044"/>
      <c r="F9" s="1044"/>
      <c r="G9" s="1045"/>
      <c r="H9" s="17"/>
      <c r="I9" s="4"/>
      <c r="J9"/>
      <c r="K9"/>
      <c r="L9"/>
      <c r="M9"/>
      <c r="N9" s="85"/>
      <c r="O9"/>
      <c r="P9"/>
      <c r="Q9"/>
      <c r="R9"/>
      <c r="S9"/>
      <c r="T9"/>
      <c r="U9"/>
      <c r="AB9" s="5"/>
      <c r="AC9" s="5"/>
    </row>
    <row r="10" spans="1:29" ht="15" customHeight="1">
      <c r="C10" s="75"/>
      <c r="D10" s="1039"/>
      <c r="E10" s="1040"/>
      <c r="F10" s="1040"/>
      <c r="G10" s="1041"/>
      <c r="H10" s="4"/>
      <c r="I10" s="6"/>
      <c r="AB10" s="5"/>
      <c r="AC10" s="5"/>
    </row>
    <row r="11" spans="1:29" ht="15.75" customHeight="1" thickBot="1">
      <c r="B11" s="4"/>
      <c r="D11" s="1042" t="str">
        <f>IF(H6="","Saisir le rédacteur du devis","")</f>
        <v/>
      </c>
      <c r="E11" s="1042"/>
      <c r="F11" s="1042"/>
      <c r="G11" s="1042"/>
      <c r="H11" s="86"/>
      <c r="I11" s="6"/>
      <c r="AB11" s="5"/>
      <c r="AC11" s="5"/>
    </row>
    <row r="12" spans="1:29" ht="15">
      <c r="B12" s="4"/>
      <c r="D12" s="1038" t="str">
        <f>IF(S4="X"," ",IF(S4&lt;&gt;S3,"Vérifier le commercial"," "))</f>
        <v xml:space="preserve"> </v>
      </c>
      <c r="E12" s="1038"/>
      <c r="F12" s="1038"/>
      <c r="G12" s="1038"/>
      <c r="H12" s="4"/>
      <c r="I12" s="6"/>
      <c r="L12" s="1025" t="s">
        <v>257</v>
      </c>
      <c r="M12" s="1026"/>
      <c r="N12" s="1026"/>
      <c r="O12" s="1026"/>
      <c r="P12" s="1026"/>
      <c r="Q12" s="1026"/>
      <c r="R12" s="1027"/>
      <c r="AB12" s="5"/>
      <c r="AC12" s="22"/>
    </row>
    <row r="13" spans="1:29" ht="15" customHeight="1">
      <c r="A13" s="19"/>
      <c r="C13" s="9" t="s">
        <v>53</v>
      </c>
      <c r="D13" s="26" t="str">
        <f>CONCATENATE(J6,K6,L6,"-")</f>
        <v>110711-</v>
      </c>
      <c r="E13" s="87" t="s">
        <v>263</v>
      </c>
      <c r="F13" s="10" t="s">
        <v>36</v>
      </c>
      <c r="G13" s="4"/>
      <c r="H13" s="11"/>
      <c r="I13" s="6"/>
      <c r="L13" s="974" t="s">
        <v>198</v>
      </c>
      <c r="M13" s="975"/>
      <c r="N13" s="975"/>
      <c r="O13" s="975"/>
      <c r="P13" s="1012">
        <f ca="1">Pose!H36</f>
        <v>9986.9117600000009</v>
      </c>
      <c r="Q13" s="1012"/>
      <c r="R13" s="1013"/>
      <c r="AB13" s="5"/>
      <c r="AC13" s="5"/>
    </row>
    <row r="14" spans="1:29" ht="15" customHeight="1">
      <c r="B14" s="12"/>
      <c r="C14" s="75" t="str">
        <f>IF(LEFT(C13,1)="C","selon devis n°"," ")</f>
        <v xml:space="preserve"> </v>
      </c>
      <c r="D14" s="75"/>
      <c r="E14" s="11"/>
      <c r="F14" s="11"/>
      <c r="G14" s="11"/>
      <c r="H14" s="14"/>
      <c r="I14" s="6"/>
      <c r="L14" s="974" t="s">
        <v>199</v>
      </c>
      <c r="M14" s="975"/>
      <c r="N14" s="975"/>
      <c r="O14" s="975"/>
      <c r="P14" s="1012">
        <f>P13</f>
        <v>9986.9117600000009</v>
      </c>
      <c r="Q14" s="1012"/>
      <c r="R14" s="1013"/>
      <c r="AB14" s="5"/>
      <c r="AC14" s="5"/>
    </row>
    <row r="15" spans="1:29" ht="14.25" customHeight="1" thickBot="1">
      <c r="A15" s="15" t="str">
        <f ca="1">"Dimensions : "&amp;Params!A2&amp;IF(Params!D3=TRUE," Monopente","")</f>
        <v>Dimensions : Manège équestre</v>
      </c>
      <c r="C15" s="8"/>
      <c r="D15" s="4"/>
      <c r="E15" s="13"/>
      <c r="F15" s="13"/>
      <c r="G15" s="13"/>
      <c r="H15" s="14"/>
      <c r="I15" s="16"/>
      <c r="L15" s="974" t="s">
        <v>169</v>
      </c>
      <c r="M15" s="975"/>
      <c r="N15" s="975"/>
      <c r="O15" s="975"/>
      <c r="P15" s="1012">
        <f>Z32+Z35+Z37+Z39</f>
        <v>0</v>
      </c>
      <c r="Q15" s="1012"/>
      <c r="R15" s="1013"/>
      <c r="AB15" s="5"/>
      <c r="AC15" s="5"/>
    </row>
    <row r="16" spans="1:29" ht="15" customHeight="1">
      <c r="A16" s="8" t="s">
        <v>92</v>
      </c>
      <c r="C16" s="21">
        <f ca="1">Params!B6</f>
        <v>40.75</v>
      </c>
      <c r="D16" s="4" t="s">
        <v>0</v>
      </c>
      <c r="E16" s="4" t="str">
        <f ca="1">IF(Params!D2=FALSE,"","Faîtage décentré ("&amp;Params!E2&amp;" m + "&amp;Params!F2&amp;" m)")</f>
        <v>Faîtage décentré (24,88 m + 15,87 m)</v>
      </c>
      <c r="F16" s="13"/>
      <c r="G16" s="13"/>
      <c r="H16" s="4"/>
      <c r="I16" s="4"/>
      <c r="L16" s="974" t="s">
        <v>200</v>
      </c>
      <c r="M16" s="975"/>
      <c r="N16" s="975"/>
      <c r="O16" s="975"/>
      <c r="P16" s="1012">
        <f>P14+P13</f>
        <v>19973.823520000002</v>
      </c>
      <c r="Q16" s="1012"/>
      <c r="R16" s="1013"/>
      <c r="Y16" s="727" t="s">
        <v>189</v>
      </c>
      <c r="Z16" s="724" t="s">
        <v>194</v>
      </c>
      <c r="AA16" s="715" t="s">
        <v>195</v>
      </c>
      <c r="AB16" s="21"/>
      <c r="AC16" s="5"/>
    </row>
    <row r="17" spans="1:29" ht="14.25" customHeight="1" thickBot="1">
      <c r="A17" s="8" t="s">
        <v>93</v>
      </c>
      <c r="C17" s="21">
        <v>70</v>
      </c>
      <c r="D17" s="4" t="s">
        <v>0</v>
      </c>
      <c r="E17" s="13"/>
      <c r="F17" s="13"/>
      <c r="G17" s="13"/>
      <c r="H17" s="98" t="s">
        <v>15</v>
      </c>
      <c r="I17" s="98"/>
      <c r="L17" s="976" t="s">
        <v>201</v>
      </c>
      <c r="M17" s="977"/>
      <c r="N17" s="977"/>
      <c r="O17" s="977"/>
      <c r="P17" s="1021">
        <f>G41-P16</f>
        <v>11962.539439999997</v>
      </c>
      <c r="Q17" s="1021"/>
      <c r="R17" s="1022"/>
      <c r="Y17" s="728" t="s">
        <v>259</v>
      </c>
      <c r="Z17" s="725">
        <v>1</v>
      </c>
      <c r="AA17" s="713">
        <v>1</v>
      </c>
      <c r="AB17" s="21"/>
      <c r="AC17" s="5"/>
    </row>
    <row r="18" spans="1:29" ht="14.25" customHeight="1" thickBot="1">
      <c r="A18" s="8" t="s">
        <v>27</v>
      </c>
      <c r="C18" s="40">
        <f ca="1">Params!B18</f>
        <v>0.26</v>
      </c>
      <c r="D18" s="32" t="s">
        <v>10</v>
      </c>
      <c r="E18" s="44" t="str">
        <f ca="1">ROUND(ATAN(C18)*180/3.1416,2)&amp;"°"</f>
        <v>14,57°</v>
      </c>
      <c r="F18" s="31" t="str">
        <f>IF(H18&lt;&gt;0,"pan sud et"," ")</f>
        <v xml:space="preserve"> </v>
      </c>
      <c r="G18" s="31"/>
      <c r="H18" s="45"/>
      <c r="I18" s="46"/>
      <c r="L18" s="976" t="s">
        <v>255</v>
      </c>
      <c r="M18" s="977"/>
      <c r="N18" s="977"/>
      <c r="O18" s="977"/>
      <c r="P18" s="1023">
        <f>IF(G41=0,0,P17/G41)</f>
        <v>0.37457425740629791</v>
      </c>
      <c r="Q18" s="1023"/>
      <c r="R18" s="1024">
        <f>IF(G41=0,0,P17/G41)</f>
        <v>0.37457425740629791</v>
      </c>
      <c r="Y18" s="728" t="s">
        <v>258</v>
      </c>
      <c r="Z18" s="725">
        <v>1.5</v>
      </c>
      <c r="AA18" s="713">
        <v>1.0349999999999999</v>
      </c>
      <c r="AB18" s="21"/>
      <c r="AC18" s="5"/>
    </row>
    <row r="19" spans="1:29" ht="15" customHeight="1">
      <c r="A19" s="8" t="s">
        <v>2</v>
      </c>
      <c r="C19" s="52">
        <f ca="1">Params!D18</f>
        <v>2852.5</v>
      </c>
      <c r="D19" s="49"/>
      <c r="E19" s="24"/>
      <c r="G19" s="24"/>
      <c r="H19" s="24"/>
      <c r="I19" s="47"/>
      <c r="Y19" s="728" t="s">
        <v>190</v>
      </c>
      <c r="Z19" s="725">
        <v>2</v>
      </c>
      <c r="AA19" s="713">
        <v>1.0549999999999999</v>
      </c>
      <c r="AB19" s="47"/>
    </row>
    <row r="20" spans="1:29">
      <c r="A20" s="8" t="s">
        <v>28</v>
      </c>
      <c r="C20" s="52">
        <f ca="1">Params!D19</f>
        <v>2947.3379467750215</v>
      </c>
      <c r="D20" s="50"/>
      <c r="E20" s="4"/>
      <c r="G20" s="4"/>
      <c r="H20" s="4"/>
      <c r="I20" s="21"/>
      <c r="Y20" s="728" t="s">
        <v>191</v>
      </c>
      <c r="Z20" s="725">
        <v>2.5</v>
      </c>
      <c r="AA20" s="713">
        <v>1.071</v>
      </c>
      <c r="AB20" s="21"/>
    </row>
    <row r="21" spans="1:29" ht="15.75" thickBot="1">
      <c r="A21" s="24" t="s">
        <v>29</v>
      </c>
      <c r="C21" s="51">
        <f ca="1">Params!E19</f>
        <v>1815</v>
      </c>
      <c r="D21" s="24" t="s">
        <v>32</v>
      </c>
      <c r="E21" s="24"/>
      <c r="F21" s="24"/>
      <c r="G21" s="47"/>
      <c r="H21" s="21"/>
      <c r="Y21" s="729" t="s">
        <v>192</v>
      </c>
      <c r="Z21" s="726">
        <v>3</v>
      </c>
      <c r="AA21" s="714">
        <v>1.0900000000000001</v>
      </c>
    </row>
    <row r="22" spans="1:29" ht="5.0999999999999996" customHeight="1">
      <c r="B22" s="48"/>
      <c r="C22" s="48"/>
      <c r="D22" s="48"/>
      <c r="E22" s="48"/>
      <c r="F22" s="48"/>
      <c r="G22" s="48"/>
      <c r="I22" s="3"/>
    </row>
    <row r="23" spans="1:29">
      <c r="A23" s="15" t="s">
        <v>3</v>
      </c>
      <c r="B23" s="15" t="s">
        <v>4</v>
      </c>
      <c r="E23" s="23" t="s">
        <v>9</v>
      </c>
      <c r="F23" s="23" t="s">
        <v>168</v>
      </c>
      <c r="G23" s="23" t="s">
        <v>184</v>
      </c>
      <c r="H23" s="4"/>
    </row>
    <row r="24" spans="1:29" ht="5.0999999999999996" customHeight="1" thickBot="1">
      <c r="B24" s="15"/>
      <c r="C24" s="15"/>
      <c r="D24" s="23"/>
      <c r="F24" s="25"/>
      <c r="G24" s="23"/>
      <c r="H24" s="4"/>
      <c r="I24" s="4"/>
    </row>
    <row r="25" spans="1:29" ht="15">
      <c r="A25" s="700">
        <v>1000</v>
      </c>
      <c r="B25" s="678" t="str">
        <f>"   "&amp;V25&amp;" : "&amp;I25&amp;IF(Q25="n"," (Toutes fournitures non comprises)","")</f>
        <v xml:space="preserve">   Pose  : Modules Photovoltaïques (Toutes fournitures non comprises)</v>
      </c>
      <c r="C25" s="679"/>
      <c r="D25" s="679"/>
      <c r="E25" s="680"/>
      <c r="F25" s="697"/>
      <c r="G25" s="983"/>
      <c r="I25" s="599" t="s">
        <v>180</v>
      </c>
      <c r="J25" s="600"/>
      <c r="K25" s="600"/>
      <c r="L25" s="600"/>
      <c r="M25" s="600"/>
      <c r="N25" s="601"/>
      <c r="O25" s="602" t="s">
        <v>169</v>
      </c>
      <c r="P25" s="590"/>
      <c r="Q25" s="603" t="s">
        <v>171</v>
      </c>
      <c r="R25" s="604" t="s">
        <v>170</v>
      </c>
      <c r="S25" s="605" t="s">
        <v>89</v>
      </c>
      <c r="T25" s="606"/>
      <c r="U25" s="607" t="s">
        <v>104</v>
      </c>
      <c r="V25" s="1016" t="str">
        <f>IF(AND(Q25="o",U25="o"),"Fourniture et Pose",IF(Q25="o","Fourniture ",IF(U25="o","Pose ","Sans objet ")))</f>
        <v xml:space="preserve">Pose </v>
      </c>
      <c r="W25" s="1017"/>
      <c r="X25" s="1018"/>
    </row>
    <row r="26" spans="1:29">
      <c r="A26" s="701"/>
      <c r="B26" s="668" t="s">
        <v>181</v>
      </c>
      <c r="C26" s="18"/>
      <c r="D26" s="18"/>
      <c r="E26" s="670">
        <f>ROUNDUP(K26,0)</f>
        <v>1815</v>
      </c>
      <c r="F26" s="671" t="s">
        <v>68</v>
      </c>
      <c r="G26" s="978">
        <f>S27+S28</f>
        <v>19057.5</v>
      </c>
      <c r="H26" s="689">
        <f>IF(E26=0,0,G26/E26)</f>
        <v>10.5</v>
      </c>
      <c r="I26" s="608" t="s">
        <v>172</v>
      </c>
      <c r="J26" s="609"/>
      <c r="K26" s="677">
        <f ca="1">Calculs!C21</f>
        <v>1815</v>
      </c>
      <c r="L26" s="613" t="s">
        <v>68</v>
      </c>
      <c r="M26" s="609"/>
      <c r="N26" s="661" t="s">
        <v>188</v>
      </c>
      <c r="O26" s="661"/>
      <c r="P26" s="661"/>
      <c r="Q26" s="610">
        <v>1</v>
      </c>
      <c r="R26" s="730">
        <v>5.25</v>
      </c>
      <c r="S26" s="611"/>
      <c r="T26" s="611"/>
      <c r="U26" s="612"/>
      <c r="V26" s="611"/>
      <c r="W26" s="609"/>
      <c r="X26" s="611"/>
    </row>
    <row r="27" spans="1:29" ht="15">
      <c r="A27" s="701"/>
      <c r="B27" s="668" t="str">
        <f>IF(Q27="o","   "&amp;O27&amp;" : "&amp;I27,"")</f>
        <v xml:space="preserve">   Pose : Rails</v>
      </c>
      <c r="C27" s="18"/>
      <c r="D27" s="18"/>
      <c r="E27" s="667"/>
      <c r="F27" s="698"/>
      <c r="G27" s="978"/>
      <c r="I27" s="664" t="s">
        <v>197</v>
      </c>
      <c r="J27" s="676"/>
      <c r="K27" s="597"/>
      <c r="L27" s="597"/>
      <c r="M27" s="677"/>
      <c r="N27" s="597"/>
      <c r="O27" s="659" t="s">
        <v>89</v>
      </c>
      <c r="P27" s="635"/>
      <c r="Q27" s="614" t="s">
        <v>104</v>
      </c>
      <c r="R27" s="730">
        <f>R26</f>
        <v>5.25</v>
      </c>
      <c r="S27" s="1019">
        <f>X27*K26*R27</f>
        <v>19057.5</v>
      </c>
      <c r="T27" s="1019"/>
      <c r="U27" s="1020"/>
      <c r="V27" s="705">
        <f>X27*R27</f>
        <v>10.5</v>
      </c>
      <c r="W27" s="609"/>
      <c r="X27" s="705">
        <f ca="1">Pose!G33</f>
        <v>2</v>
      </c>
      <c r="Z27" s="731" t="s">
        <v>197</v>
      </c>
      <c r="AA27" s="731" t="s">
        <v>196</v>
      </c>
      <c r="AB27" s="20" t="s">
        <v>15</v>
      </c>
    </row>
    <row r="28" spans="1:29" ht="15" hidden="1">
      <c r="A28" s="701"/>
      <c r="B28" s="668" t="str">
        <f>IF(Q28="o","   "&amp;O28&amp;" : "&amp;I28,"")</f>
        <v/>
      </c>
      <c r="C28" s="18"/>
      <c r="D28" s="18"/>
      <c r="E28" s="667"/>
      <c r="F28" s="698"/>
      <c r="G28" s="978"/>
      <c r="I28" s="664" t="s">
        <v>183</v>
      </c>
      <c r="J28" s="597"/>
      <c r="K28" s="597"/>
      <c r="L28" s="597"/>
      <c r="M28" s="677"/>
      <c r="N28" s="613"/>
      <c r="O28" s="659" t="s">
        <v>89</v>
      </c>
      <c r="P28" s="635"/>
      <c r="Q28" s="614" t="s">
        <v>171</v>
      </c>
      <c r="R28" s="730">
        <v>0</v>
      </c>
      <c r="S28" s="1019">
        <f>X28*K26*R28</f>
        <v>0</v>
      </c>
      <c r="T28" s="1019"/>
      <c r="U28" s="1020"/>
      <c r="V28" s="705">
        <f>X28*R28</f>
        <v>0</v>
      </c>
      <c r="W28" s="609"/>
      <c r="X28" s="705">
        <f ca="1">Pose!G32</f>
        <v>3</v>
      </c>
    </row>
    <row r="29" spans="1:29" ht="15">
      <c r="A29" s="701"/>
      <c r="B29" s="669" t="str">
        <f>IF(Q29="o","    Mise en place de la sécurité","")</f>
        <v xml:space="preserve">    Mise en place de la sécurité</v>
      </c>
      <c r="C29" s="18"/>
      <c r="D29" s="18"/>
      <c r="E29" s="667"/>
      <c r="F29" s="698"/>
      <c r="G29" s="978"/>
      <c r="I29" s="664" t="s">
        <v>186</v>
      </c>
      <c r="J29" s="597"/>
      <c r="K29" s="597"/>
      <c r="L29" s="597"/>
      <c r="M29" s="675"/>
      <c r="N29" s="613"/>
      <c r="O29" s="674"/>
      <c r="P29" s="674"/>
      <c r="Q29" s="614" t="s">
        <v>104</v>
      </c>
      <c r="R29" s="597"/>
      <c r="S29" s="597"/>
      <c r="T29" s="597"/>
      <c r="U29" s="624"/>
      <c r="V29" s="609"/>
      <c r="W29" s="609"/>
      <c r="X29" s="609"/>
    </row>
    <row r="30" spans="1:29" ht="15.75" thickBot="1">
      <c r="A30" s="702"/>
      <c r="B30" s="681" t="str">
        <f>IF(Q30="o","   Location des engins","")</f>
        <v xml:space="preserve">   Location des engins</v>
      </c>
      <c r="C30" s="682"/>
      <c r="D30" s="682"/>
      <c r="E30" s="683"/>
      <c r="F30" s="699"/>
      <c r="G30" s="984"/>
      <c r="I30" s="691" t="s">
        <v>187</v>
      </c>
      <c r="J30" s="617"/>
      <c r="K30" s="716"/>
      <c r="L30" s="717"/>
      <c r="M30" s="717"/>
      <c r="N30" s="718"/>
      <c r="O30" s="719"/>
      <c r="P30" s="719"/>
      <c r="Q30" s="720" t="s">
        <v>104</v>
      </c>
      <c r="R30" s="617"/>
      <c r="S30" s="617"/>
      <c r="T30" s="617"/>
      <c r="U30" s="721"/>
      <c r="V30" s="609"/>
      <c r="W30" s="609"/>
      <c r="X30" s="609"/>
    </row>
    <row r="31" spans="1:29" ht="15">
      <c r="A31" s="700">
        <v>2000</v>
      </c>
      <c r="B31" s="678" t="str">
        <f>"   "&amp;V31&amp;" : "&amp;IF((LEFT(I31,3))="Bac", " Bac Acier"," Fibrociment")</f>
        <v xml:space="preserve">   Pose  :  Bac Acier</v>
      </c>
      <c r="C31" s="679"/>
      <c r="D31" s="679"/>
      <c r="E31" s="684"/>
      <c r="F31" s="697"/>
      <c r="G31" s="985"/>
      <c r="I31" s="1014" t="s">
        <v>204</v>
      </c>
      <c r="J31" s="1015"/>
      <c r="K31" s="1015"/>
      <c r="L31" s="1015"/>
      <c r="M31" s="1015"/>
      <c r="N31" s="1015"/>
      <c r="O31" s="602" t="s">
        <v>169</v>
      </c>
      <c r="P31" s="590"/>
      <c r="Q31" s="603" t="s">
        <v>171</v>
      </c>
      <c r="R31" s="604" t="s">
        <v>170</v>
      </c>
      <c r="S31" s="605" t="s">
        <v>89</v>
      </c>
      <c r="T31" s="606"/>
      <c r="U31" s="607" t="s">
        <v>104</v>
      </c>
      <c r="V31" s="1016" t="str">
        <f>IF(AND(Q31="o",U31="o"),"Fourniture et Pose",IF(Q31="o","Fourniture ",IF(U31="o","Pose ","Sans objet ")))</f>
        <v xml:space="preserve">Pose </v>
      </c>
      <c r="W31" s="1017"/>
      <c r="X31" s="1018"/>
      <c r="Z31" s="973" t="s">
        <v>169</v>
      </c>
    </row>
    <row r="32" spans="1:29" ht="15" thickBot="1">
      <c r="A32" s="702"/>
      <c r="B32" s="681" t="str">
        <f>I31</f>
        <v>Bac acier 75/100éme **</v>
      </c>
      <c r="C32" s="682"/>
      <c r="D32" s="682"/>
      <c r="E32" s="685">
        <f>E26</f>
        <v>1815</v>
      </c>
      <c r="F32" s="686" t="s">
        <v>68</v>
      </c>
      <c r="G32" s="979">
        <f>E32*S32*R32</f>
        <v>11837.43</v>
      </c>
      <c r="H32" s="689">
        <f>IF(E32=0,0,G32/E32)</f>
        <v>6.5220000000000002</v>
      </c>
      <c r="I32" s="695"/>
      <c r="J32" s="692"/>
      <c r="K32" s="692"/>
      <c r="L32" s="692"/>
      <c r="M32" s="696"/>
      <c r="N32" s="722" t="s">
        <v>188</v>
      </c>
      <c r="O32" s="722"/>
      <c r="P32" s="722"/>
      <c r="Q32" s="723">
        <f>IF(C18&gt;=46.64%,AA21,IF(AND(46.63%&gt;=C18,C18&gt;40.4%),AA20,IF(AND(40.4%&gt;=C18,C18&gt;36.4%),AA19,IF(AND(36.4%&gt;=C18,C18&gt;26%),AA18,IF(C18&lt;=26%,AA17,0)))))</f>
        <v>1</v>
      </c>
      <c r="R32" s="618">
        <v>1</v>
      </c>
      <c r="S32" s="1030">
        <f>IF(AND(Q31="o",U31="o"),V32,IF(Q31="o",W32,IF(U31="o",X32,0)))</f>
        <v>6.5220000000000002</v>
      </c>
      <c r="T32" s="1030"/>
      <c r="U32" s="1031"/>
      <c r="V32" s="615">
        <f ca="1">VLOOKUP($I$31,Couverture!$B$9:$AG$30,22)</f>
        <v>20.848389999999998</v>
      </c>
      <c r="W32" s="616">
        <f ca="1">VLOOKUP($I$31,Couverture!$B$9:$AG$30,23)</f>
        <v>14.326389999999998</v>
      </c>
      <c r="X32" s="625">
        <f ca="1">VLOOKUP($I$31,Couverture!$B$9:$AG$30,32)</f>
        <v>6.5220000000000002</v>
      </c>
      <c r="Z32" s="973">
        <f ca="1">IF(E32=0,0,IF(Q31="n",0,(VLOOKUP($I$31,Couverture!$B$9:$AG$30,14))+(VLOOKUP($I$31,Couverture!$B$9:$AG$30,16))))</f>
        <v>0</v>
      </c>
    </row>
    <row r="33" spans="1:28" ht="15.75" thickBot="1">
      <c r="A33" s="700">
        <v>3000</v>
      </c>
      <c r="B33" s="678" t="str">
        <f>"   "&amp;I33</f>
        <v xml:space="preserve">   Tôlerie</v>
      </c>
      <c r="C33" s="679"/>
      <c r="D33" s="679"/>
      <c r="E33" s="684"/>
      <c r="F33" s="697"/>
      <c r="G33" s="985"/>
      <c r="I33" s="691" t="s">
        <v>71</v>
      </c>
      <c r="J33" s="692"/>
      <c r="K33" s="692"/>
      <c r="L33" s="617"/>
      <c r="M33" s="693"/>
      <c r="N33" s="693"/>
      <c r="O33" s="693"/>
      <c r="P33" s="693"/>
      <c r="Q33" s="693"/>
      <c r="R33" s="693"/>
      <c r="S33" s="693"/>
      <c r="T33" s="693"/>
      <c r="U33" s="694"/>
      <c r="V33" s="609"/>
      <c r="W33" s="609"/>
      <c r="X33" s="609"/>
    </row>
    <row r="34" spans="1:28" ht="15">
      <c r="A34" s="701">
        <v>3100</v>
      </c>
      <c r="B34" s="668" t="str">
        <f>"   "&amp;V34&amp;" : "&amp;I34&amp;IF(Q34="n"," (Toutes fournitures non comprises)","")</f>
        <v xml:space="preserve">   Pose  : Rives (Toutes fournitures non comprises)</v>
      </c>
      <c r="C34" s="18"/>
      <c r="D34" s="18"/>
      <c r="E34" s="611"/>
      <c r="F34" s="698"/>
      <c r="G34" s="978"/>
      <c r="I34" s="599" t="s">
        <v>70</v>
      </c>
      <c r="J34" s="620"/>
      <c r="K34" s="603" t="s">
        <v>104</v>
      </c>
      <c r="L34" s="622"/>
      <c r="M34" s="622"/>
      <c r="N34" s="622"/>
      <c r="O34" s="602" t="s">
        <v>169</v>
      </c>
      <c r="P34" s="590"/>
      <c r="Q34" s="603" t="s">
        <v>171</v>
      </c>
      <c r="R34" s="604" t="s">
        <v>170</v>
      </c>
      <c r="S34" s="605" t="s">
        <v>89</v>
      </c>
      <c r="T34" s="606"/>
      <c r="U34" s="607" t="str">
        <f>IF(K34="n","n","o")</f>
        <v>o</v>
      </c>
      <c r="V34" s="1017" t="str">
        <f ca="1">IF(AND(Q34="o",U34="o"),"Fourniture et Pose",IF(Q34="o","Fourniture ",IF(U34="o","Pose ","Sans objet ")))</f>
        <v xml:space="preserve">Pose </v>
      </c>
      <c r="W34" s="1017"/>
      <c r="X34" s="1018"/>
      <c r="AB34" s="18"/>
    </row>
    <row r="35" spans="1:28" ht="15" thickBot="1">
      <c r="A35" s="703">
        <v>3150</v>
      </c>
      <c r="B35" s="669" t="s">
        <v>264</v>
      </c>
      <c r="C35" s="18"/>
      <c r="D35" s="18"/>
      <c r="E35" s="672">
        <f ca="1">Params!E2*2</f>
        <v>49.76</v>
      </c>
      <c r="F35" s="698" t="s">
        <v>69</v>
      </c>
      <c r="G35" s="980">
        <f>E35*S35*R35</f>
        <v>432.71295999999995</v>
      </c>
      <c r="H35" s="689">
        <f>IF(E35=0,0,G35/E35)</f>
        <v>8.6959999999999997</v>
      </c>
      <c r="I35" s="1028" t="s">
        <v>251</v>
      </c>
      <c r="J35" s="1029"/>
      <c r="K35" s="1029"/>
      <c r="L35" s="1029"/>
      <c r="M35" s="1029"/>
      <c r="N35" s="1029"/>
      <c r="O35" s="690"/>
      <c r="P35" s="673"/>
      <c r="Q35" s="673"/>
      <c r="R35" s="618">
        <v>1</v>
      </c>
      <c r="S35" s="1030">
        <f>IF(AND(Q$34="o",U$34="o"),V35,IF(Q$34="o",W35,IF(U$34="o",X35,0)))</f>
        <v>8.6959999999999997</v>
      </c>
      <c r="T35" s="1030"/>
      <c r="U35" s="1031"/>
      <c r="V35" s="616">
        <f ca="1">VLOOKUP($I$35,Couverture!$B$63:$AG$67,22)</f>
        <v>25.934000000000005</v>
      </c>
      <c r="W35" s="616">
        <f ca="1">VLOOKUP($I$35,Couverture!$B$63:$AG$67,23)</f>
        <v>17.238000000000003</v>
      </c>
      <c r="X35" s="625">
        <f ca="1">VLOOKUP($I$35,Couverture!$B$63:$AG$67,32)</f>
        <v>8.6959999999999997</v>
      </c>
      <c r="Z35" s="973">
        <f ca="1">IF(E35=0,0,IF(Q34="n",0,(VLOOKUP($I$35,Couverture!$B$63:$AG$67,14)+(VLOOKUP($I$35,Couverture!$B$63:$AG$67,16)))))</f>
        <v>0</v>
      </c>
    </row>
    <row r="36" spans="1:28" ht="15" hidden="1">
      <c r="A36" s="701">
        <v>3200</v>
      </c>
      <c r="B36" s="668" t="s">
        <v>265</v>
      </c>
      <c r="C36" s="18"/>
      <c r="D36" s="18"/>
      <c r="E36" s="611"/>
      <c r="F36" s="698"/>
      <c r="G36" s="978"/>
      <c r="I36" s="599" t="s">
        <v>98</v>
      </c>
      <c r="J36" s="620"/>
      <c r="K36" s="614" t="s">
        <v>104</v>
      </c>
      <c r="L36" s="622"/>
      <c r="M36" s="622"/>
      <c r="N36" s="622"/>
      <c r="O36" s="602" t="s">
        <v>169</v>
      </c>
      <c r="P36" s="590"/>
      <c r="Q36" s="614" t="s">
        <v>171</v>
      </c>
      <c r="R36" s="604" t="s">
        <v>170</v>
      </c>
      <c r="S36" s="605" t="s">
        <v>89</v>
      </c>
      <c r="T36" s="606"/>
      <c r="U36" s="660" t="str">
        <f>IF(K36="n","n","o")</f>
        <v>o</v>
      </c>
      <c r="V36" s="1017" t="str">
        <f ca="1">IF(AND(Q36="o",U36="o"),"Fourniture et Pose",IF(Q36="o","Fourniture ",IF(U36="o","Pose ","Sans objet ")))</f>
        <v xml:space="preserve">Pose </v>
      </c>
      <c r="W36" s="1017"/>
      <c r="X36" s="1018"/>
    </row>
    <row r="37" spans="1:28" ht="15" hidden="1" thickBot="1">
      <c r="A37" s="703">
        <v>3250</v>
      </c>
      <c r="B37" s="669" t="s">
        <v>266</v>
      </c>
      <c r="C37" s="18"/>
      <c r="D37" s="18"/>
      <c r="E37" s="672">
        <v>0</v>
      </c>
      <c r="F37" s="698" t="s">
        <v>69</v>
      </c>
      <c r="G37" s="980">
        <f>E37*S37*R37</f>
        <v>0</v>
      </c>
      <c r="H37" s="689">
        <f>IF(E37=0,0,G37/E37)</f>
        <v>0</v>
      </c>
      <c r="I37" s="1028" t="s">
        <v>182</v>
      </c>
      <c r="J37" s="1029"/>
      <c r="K37" s="1029"/>
      <c r="L37" s="1029"/>
      <c r="M37" s="1029"/>
      <c r="N37" s="1029"/>
      <c r="O37" s="690"/>
      <c r="P37" s="673"/>
      <c r="Q37" s="673"/>
      <c r="R37" s="618">
        <v>1</v>
      </c>
      <c r="S37" s="1030">
        <f>IF(AND(Q$36="o",U$36="o"),V37,IF(Q$36="o",W37,IF(U$36="o",X37,0)))</f>
        <v>8.6959999999999997</v>
      </c>
      <c r="T37" s="1030"/>
      <c r="U37" s="1031"/>
      <c r="V37" s="616">
        <f ca="1">VLOOKUP($I$37,Couverture!$B$63:$AG$67,22)</f>
        <v>25.934000000000005</v>
      </c>
      <c r="W37" s="616">
        <f ca="1">VLOOKUP($I$37,Couverture!$B$63:$AG$67,23)</f>
        <v>17.238000000000003</v>
      </c>
      <c r="X37" s="625">
        <f ca="1">VLOOKUP($I$37,Couverture!$B$63:$AG$67,32)</f>
        <v>8.6959999999999997</v>
      </c>
      <c r="Z37" s="973">
        <f ca="1">IF(E37=0,0,IF(Q36="n",0,(VLOOKUP($I$37,Couverture!$B$63:$AG$67,14)+(VLOOKUP($I$37,Couverture!$B$63:$AG$67,16)))))</f>
        <v>0</v>
      </c>
    </row>
    <row r="38" spans="1:28" ht="15">
      <c r="A38" s="701">
        <v>3300</v>
      </c>
      <c r="B38" s="668" t="s">
        <v>267</v>
      </c>
      <c r="C38" s="18"/>
      <c r="D38" s="18"/>
      <c r="E38" s="611"/>
      <c r="F38" s="698"/>
      <c r="G38" s="978"/>
      <c r="I38" s="599" t="s">
        <v>99</v>
      </c>
      <c r="J38" s="620"/>
      <c r="K38" s="614" t="s">
        <v>104</v>
      </c>
      <c r="L38" s="622"/>
      <c r="M38" s="622"/>
      <c r="N38" s="622"/>
      <c r="O38" s="602" t="s">
        <v>169</v>
      </c>
      <c r="P38" s="590"/>
      <c r="Q38" s="614" t="s">
        <v>171</v>
      </c>
      <c r="R38" s="604" t="s">
        <v>170</v>
      </c>
      <c r="S38" s="605" t="s">
        <v>89</v>
      </c>
      <c r="T38" s="606"/>
      <c r="U38" s="660" t="str">
        <f>IF(K38="n","n","o")</f>
        <v>o</v>
      </c>
      <c r="V38" s="1017" t="str">
        <f ca="1">IF(AND(Q38="o",U38="o"),"Fourniture et Pose",IF(Q38="o","Fourniture ",IF(U38="o","Pose ","Sans objet ")))</f>
        <v xml:space="preserve">Pose </v>
      </c>
      <c r="W38" s="1017"/>
      <c r="X38" s="1018"/>
    </row>
    <row r="39" spans="1:28" ht="15" thickBot="1">
      <c r="A39" s="704">
        <v>3350</v>
      </c>
      <c r="B39" s="681" t="str">
        <f>CONCATENATE("   ",I39)</f>
        <v xml:space="preserve">   Faitière à boudin crantée RAL Standard</v>
      </c>
      <c r="C39" s="682"/>
      <c r="D39" s="682"/>
      <c r="E39" s="687">
        <f>C17</f>
        <v>70</v>
      </c>
      <c r="F39" s="699" t="s">
        <v>69</v>
      </c>
      <c r="G39" s="979">
        <f>E39*S39*R39</f>
        <v>608.72</v>
      </c>
      <c r="H39" s="689">
        <f>IF(E39=0,0,G39/E39)</f>
        <v>8.6959999999999997</v>
      </c>
      <c r="I39" s="1028" t="s">
        <v>229</v>
      </c>
      <c r="J39" s="1029"/>
      <c r="K39" s="1029"/>
      <c r="L39" s="1029"/>
      <c r="M39" s="1029"/>
      <c r="N39" s="1029"/>
      <c r="O39" s="690"/>
      <c r="P39" s="673"/>
      <c r="Q39" s="673"/>
      <c r="R39" s="618">
        <v>1</v>
      </c>
      <c r="S39" s="1030">
        <f>IF(AND(Q$38="o",U$38="o"),V39,IF(Q$38="o",W39,IF(U$38="o",X39,0)))</f>
        <v>8.6959999999999997</v>
      </c>
      <c r="T39" s="1030"/>
      <c r="U39" s="1031"/>
      <c r="V39" s="616">
        <f ca="1">VLOOKUP($I$39,Couverture!$B$37:$AG$59,22)</f>
        <v>19.2</v>
      </c>
      <c r="W39" s="616">
        <f ca="1">VLOOKUP($I$39,Couverture!$B$37:$AG$59,23)</f>
        <v>10.504</v>
      </c>
      <c r="X39" s="625">
        <f ca="1">VLOOKUP($I$39,Couverture!$B$37:$AG$59,32)</f>
        <v>8.6959999999999997</v>
      </c>
      <c r="Z39" s="973">
        <f ca="1">IF(E39=0,0,IF(Q38="n",0,(VLOOKUP($I$39,Couverture!$B$37:$AG$59,14)+(VLOOKUP($I$39,Couverture!$B$37:$AG$59,16)))))</f>
        <v>0</v>
      </c>
    </row>
    <row r="40" spans="1:28" ht="5.0999999999999996" customHeight="1" thickBot="1">
      <c r="A40" s="597"/>
      <c r="B40" s="619"/>
      <c r="E40" s="597"/>
      <c r="F40" s="597"/>
      <c r="G40" s="597"/>
      <c r="I40" s="623"/>
      <c r="J40" s="623"/>
      <c r="K40" s="623"/>
      <c r="L40" s="623"/>
      <c r="M40" s="623"/>
      <c r="N40" s="623"/>
      <c r="O40" s="623"/>
      <c r="P40" s="623"/>
      <c r="Q40" s="623"/>
      <c r="R40" s="623"/>
      <c r="S40" s="623"/>
      <c r="T40" s="623"/>
      <c r="U40" s="623"/>
      <c r="V40" s="665"/>
      <c r="W40" s="665"/>
      <c r="X40" s="623"/>
      <c r="Y40" s="623"/>
      <c r="Z40" s="623"/>
    </row>
    <row r="41" spans="1:28">
      <c r="A41" s="593"/>
      <c r="B41" s="626" t="e">
        <v>#REF!</v>
      </c>
      <c r="E41" s="595" t="s">
        <v>5</v>
      </c>
      <c r="F41" s="627"/>
      <c r="G41" s="592">
        <f>SUM(G26:G30)+SUM(G32)+SUM(G34:G39)</f>
        <v>31936.362959999999</v>
      </c>
      <c r="H41" s="689">
        <f>IF(E26=0,0,G41/E26)</f>
        <v>17.595792264462808</v>
      </c>
      <c r="I41" s="593"/>
      <c r="L41" s="1052">
        <v>2200</v>
      </c>
      <c r="M41" s="1053"/>
      <c r="N41" s="1054"/>
      <c r="O41" s="628" t="s">
        <v>173</v>
      </c>
      <c r="P41" s="628"/>
      <c r="Q41" s="628"/>
      <c r="R41" s="628"/>
      <c r="S41" s="628"/>
      <c r="T41" s="629"/>
      <c r="V41" s="666"/>
      <c r="W41" s="666"/>
      <c r="X41" s="630"/>
      <c r="Z41" s="591"/>
    </row>
    <row r="42" spans="1:28" ht="15" hidden="1" customHeight="1">
      <c r="A42" s="593"/>
      <c r="B42" s="593"/>
      <c r="E42" s="631" t="s">
        <v>174</v>
      </c>
      <c r="F42" s="632"/>
      <c r="G42" s="633">
        <v>0</v>
      </c>
      <c r="I42" s="593"/>
      <c r="L42" s="634"/>
      <c r="M42" s="635"/>
      <c r="N42" s="635"/>
      <c r="O42" s="635"/>
      <c r="P42" s="635"/>
      <c r="Q42" s="635"/>
      <c r="R42" s="635"/>
      <c r="S42" s="635"/>
      <c r="T42" s="636"/>
      <c r="V42" s="630"/>
      <c r="W42" s="630"/>
      <c r="X42" s="630"/>
      <c r="Z42" s="591"/>
    </row>
    <row r="43" spans="1:28">
      <c r="A43" s="593"/>
      <c r="B43" s="595" t="str">
        <f>IF((LEFT(C13,1))="c","Date approximative de début des travaux","")</f>
        <v/>
      </c>
      <c r="E43" s="595" t="s">
        <v>6</v>
      </c>
      <c r="F43" s="627"/>
      <c r="G43" s="592">
        <f>IF(G42=0,G41*0.196,G42*0.196)</f>
        <v>6259.5271401600003</v>
      </c>
      <c r="I43" s="637"/>
      <c r="J43" s="637"/>
      <c r="K43" s="637"/>
      <c r="L43" s="1049">
        <f>L41-I21</f>
        <v>2200</v>
      </c>
      <c r="M43" s="1050"/>
      <c r="N43" s="1051"/>
      <c r="O43" s="630" t="s">
        <v>175</v>
      </c>
      <c r="P43" s="630"/>
      <c r="Q43" s="630"/>
      <c r="R43" s="630"/>
      <c r="S43" s="630"/>
      <c r="T43" s="638"/>
      <c r="X43" s="630"/>
      <c r="Z43" s="592"/>
    </row>
    <row r="44" spans="1:28" ht="15.75" thickBot="1">
      <c r="A44" s="593"/>
      <c r="B44" s="593"/>
      <c r="E44" s="595" t="s">
        <v>7</v>
      </c>
      <c r="F44" s="627"/>
      <c r="G44" s="639">
        <f>G43+G41</f>
        <v>38195.890100160002</v>
      </c>
      <c r="I44" s="640"/>
      <c r="J44" s="640"/>
      <c r="K44" s="640"/>
      <c r="L44" s="1046">
        <f>L43/L41</f>
        <v>1</v>
      </c>
      <c r="M44" s="1047"/>
      <c r="N44" s="1048"/>
      <c r="O44" s="641" t="s">
        <v>176</v>
      </c>
      <c r="P44" s="641"/>
      <c r="Q44" s="641"/>
      <c r="R44" s="641"/>
      <c r="S44" s="641"/>
      <c r="T44" s="642"/>
      <c r="V44" s="630"/>
      <c r="W44" s="630"/>
      <c r="X44" s="630"/>
      <c r="Z44" s="591"/>
    </row>
    <row r="45" spans="1:28" ht="15">
      <c r="A45" s="593"/>
      <c r="B45" s="643" t="s">
        <v>61</v>
      </c>
      <c r="E45" s="593"/>
      <c r="F45" s="593"/>
      <c r="G45" s="593"/>
      <c r="H45" s="644">
        <v>2</v>
      </c>
      <c r="I45" s="645" t="s">
        <v>59</v>
      </c>
      <c r="J45" s="646"/>
      <c r="K45" s="647"/>
      <c r="P45" s="589"/>
      <c r="Q45" s="589"/>
      <c r="R45" s="589"/>
      <c r="S45" s="589"/>
      <c r="T45" s="589"/>
      <c r="U45" s="589"/>
      <c r="V45" s="589"/>
      <c r="W45" s="598"/>
      <c r="X45" s="598"/>
      <c r="Y45" s="598"/>
      <c r="Z45" s="591"/>
    </row>
    <row r="46" spans="1:28" ht="15.75" thickBot="1">
      <c r="A46" s="593"/>
      <c r="B46" s="593" t="str">
        <f>IF(H$45=1,B56,IF(H$45=2,B59,""))</f>
        <v>15968,19 €HT à la commande</v>
      </c>
      <c r="D46" s="593" t="str">
        <f>IF(LEFT(C13,1)="c","","Prix ferme pendant "&amp;H46&amp;" mois")</f>
        <v>Prix ferme pendant 2 mois</v>
      </c>
      <c r="E46" s="593"/>
      <c r="F46" s="593"/>
      <c r="G46" s="593"/>
      <c r="H46" s="648">
        <v>2</v>
      </c>
      <c r="I46" s="649" t="s">
        <v>60</v>
      </c>
      <c r="J46" s="650"/>
      <c r="K46" s="651"/>
      <c r="P46" s="652"/>
      <c r="Q46" s="652"/>
      <c r="R46" s="652"/>
      <c r="S46" s="652"/>
      <c r="T46" s="652"/>
      <c r="U46" s="652"/>
      <c r="V46" s="652"/>
      <c r="W46" s="652"/>
      <c r="X46" s="652"/>
    </row>
    <row r="47" spans="1:28">
      <c r="A47" s="593"/>
      <c r="B47" s="593" t="str">
        <f>IF(H$45=1,B57,IF(H$45=2,B60,""))</f>
        <v>7984,1 €HT en fin de pose des Rails</v>
      </c>
      <c r="E47" s="593"/>
      <c r="F47" s="593"/>
    </row>
    <row r="48" spans="1:28">
      <c r="A48" s="593"/>
      <c r="B48" s="593" t="str">
        <f>IF(H$45=1,B58,IF(H$45=2,B61,""))</f>
        <v>7984,1 €HT à reception de chantier</v>
      </c>
      <c r="E48" s="593"/>
      <c r="F48" s="593"/>
      <c r="G48" s="593"/>
    </row>
    <row r="49" spans="1:23" ht="14.25" customHeight="1">
      <c r="A49" s="593"/>
      <c r="B49" s="593"/>
      <c r="F49" s="593"/>
      <c r="G49" s="593"/>
    </row>
    <row r="50" spans="1:23" ht="14.25" customHeight="1">
      <c r="A50" s="593"/>
      <c r="B50" s="593"/>
      <c r="F50" s="593"/>
      <c r="G50" s="593"/>
    </row>
    <row r="51" spans="1:23">
      <c r="A51" s="593"/>
      <c r="B51" s="595" t="s">
        <v>268</v>
      </c>
      <c r="D51" s="593" t="s">
        <v>177</v>
      </c>
      <c r="F51" s="593"/>
      <c r="G51" s="712" t="str">
        <f>LEFT(H6,2)&amp;" "&amp;H2</f>
        <v>Mi 4.00</v>
      </c>
    </row>
    <row r="52" spans="1:23">
      <c r="A52" s="593"/>
      <c r="B52" s="595"/>
      <c r="D52" s="593" t="s">
        <v>178</v>
      </c>
      <c r="F52" s="593"/>
      <c r="P52" s="597"/>
      <c r="Q52" s="597"/>
      <c r="R52" s="597"/>
      <c r="S52" s="597"/>
      <c r="T52" s="597"/>
      <c r="U52" s="597"/>
      <c r="V52" s="662"/>
      <c r="W52" s="662"/>
    </row>
    <row r="53" spans="1:23" ht="15">
      <c r="J53" s="653"/>
      <c r="K53" s="653"/>
      <c r="L53" s="653"/>
      <c r="M53" s="653"/>
      <c r="N53" s="653"/>
      <c r="O53" s="653"/>
      <c r="P53" s="662"/>
      <c r="Q53" s="662"/>
      <c r="R53" s="662"/>
      <c r="S53" s="662"/>
      <c r="T53" s="662"/>
      <c r="U53" s="662"/>
      <c r="V53" s="662"/>
      <c r="W53" s="662"/>
    </row>
    <row r="54" spans="1:23">
      <c r="A54" s="711"/>
      <c r="B54" s="711"/>
      <c r="C54" s="711"/>
      <c r="D54" s="711"/>
      <c r="E54" s="711"/>
      <c r="F54" s="711"/>
      <c r="G54" s="711"/>
      <c r="P54" s="662"/>
      <c r="Q54" s="662"/>
      <c r="R54" s="662"/>
      <c r="S54" s="662"/>
      <c r="T54" s="662"/>
      <c r="U54" s="662"/>
      <c r="V54" s="662"/>
      <c r="W54" s="662"/>
    </row>
    <row r="55" spans="1:23" ht="15" thickBot="1"/>
    <row r="56" spans="1:23" ht="14.25" customHeight="1">
      <c r="A56" s="1032">
        <v>1</v>
      </c>
      <c r="B56" s="654" t="s">
        <v>58</v>
      </c>
      <c r="C56" s="655" t="s">
        <v>179</v>
      </c>
      <c r="D56" s="593"/>
      <c r="E56" s="593"/>
    </row>
    <row r="57" spans="1:23" ht="14.25" customHeight="1">
      <c r="A57" s="1033"/>
      <c r="B57" s="656" t="s">
        <v>56</v>
      </c>
      <c r="C57" s="657">
        <f>G44*6.56</f>
        <v>250565.03905704961</v>
      </c>
      <c r="D57" s="593"/>
      <c r="E57" s="593"/>
    </row>
    <row r="58" spans="1:23" ht="15" customHeight="1" thickBot="1">
      <c r="A58" s="1034"/>
      <c r="B58" s="658" t="s">
        <v>57</v>
      </c>
      <c r="C58" s="593"/>
      <c r="D58" s="593"/>
      <c r="E58" s="593"/>
    </row>
    <row r="59" spans="1:23" ht="15" customHeight="1">
      <c r="A59" s="1032">
        <v>2</v>
      </c>
      <c r="B59" s="654" t="str">
        <f>(ROUNDUP((G41*50%),2))&amp;" €HT à la commande"</f>
        <v>15968,19 €HT à la commande</v>
      </c>
      <c r="C59" s="593"/>
      <c r="D59" s="593"/>
      <c r="E59" s="593"/>
    </row>
    <row r="60" spans="1:23" ht="14.25" customHeight="1">
      <c r="A60" s="1033"/>
      <c r="B60" s="656" t="str">
        <f>(ROUNDUP((G41*25%),2))&amp;" €HT en fin de pose des "&amp;I27</f>
        <v>7984,1 €HT en fin de pose des Rails</v>
      </c>
      <c r="C60" s="593"/>
      <c r="D60" s="593"/>
      <c r="E60" s="593"/>
    </row>
    <row r="61" spans="1:23" ht="15" customHeight="1" thickBot="1">
      <c r="A61" s="1034"/>
      <c r="B61" s="658" t="str">
        <f>(ROUNDUP((G41*25%),2))&amp;" €HT à reception de chantier"</f>
        <v>7984,1 €HT à reception de chantier</v>
      </c>
      <c r="C61" s="593"/>
      <c r="D61" s="593"/>
      <c r="E61" s="593"/>
    </row>
  </sheetData>
  <mergeCells count="43">
    <mergeCell ref="L44:N44"/>
    <mergeCell ref="L43:N43"/>
    <mergeCell ref="L41:N41"/>
    <mergeCell ref="A56:A58"/>
    <mergeCell ref="A59:A61"/>
    <mergeCell ref="H3:I3"/>
    <mergeCell ref="S39:U39"/>
    <mergeCell ref="I39:N39"/>
    <mergeCell ref="A8:B8"/>
    <mergeCell ref="D12:G12"/>
    <mergeCell ref="D10:G10"/>
    <mergeCell ref="D11:G11"/>
    <mergeCell ref="D8:G8"/>
    <mergeCell ref="D9:G9"/>
    <mergeCell ref="I35:N35"/>
    <mergeCell ref="I37:N37"/>
    <mergeCell ref="V38:X38"/>
    <mergeCell ref="V36:X36"/>
    <mergeCell ref="S35:U35"/>
    <mergeCell ref="S27:U27"/>
    <mergeCell ref="S37:U37"/>
    <mergeCell ref="V34:X34"/>
    <mergeCell ref="S32:U32"/>
    <mergeCell ref="D7:G7"/>
    <mergeCell ref="S28:U28"/>
    <mergeCell ref="P17:R17"/>
    <mergeCell ref="P18:R18"/>
    <mergeCell ref="P16:R16"/>
    <mergeCell ref="L12:R12"/>
    <mergeCell ref="J1:L1"/>
    <mergeCell ref="P15:R15"/>
    <mergeCell ref="P13:R13"/>
    <mergeCell ref="P14:R14"/>
    <mergeCell ref="I31:N31"/>
    <mergeCell ref="V31:X31"/>
    <mergeCell ref="V25:X25"/>
    <mergeCell ref="H1:I1"/>
    <mergeCell ref="H2:I2"/>
    <mergeCell ref="F3:G3"/>
    <mergeCell ref="H5:I5"/>
    <mergeCell ref="H6:I6"/>
    <mergeCell ref="D5:G5"/>
    <mergeCell ref="D6:G6"/>
  </mergeCells>
  <phoneticPr fontId="3" type="noConversion"/>
  <conditionalFormatting sqref="F3:G3">
    <cfRule type="cellIs" dxfId="48" priority="53" stopIfTrue="1" operator="equal">
      <formula>0</formula>
    </cfRule>
  </conditionalFormatting>
  <conditionalFormatting sqref="H6:I6">
    <cfRule type="cellIs" dxfId="47" priority="49" stopIfTrue="1" operator="equal">
      <formula>""</formula>
    </cfRule>
  </conditionalFormatting>
  <conditionalFormatting sqref="D11:G11">
    <cfRule type="expression" dxfId="46" priority="48" stopIfTrue="1">
      <formula>$H$6=0</formula>
    </cfRule>
  </conditionalFormatting>
  <conditionalFormatting sqref="D12:G12">
    <cfRule type="cellIs" dxfId="45" priority="47" operator="equal">
      <formula>"Vérifier le commercial"</formula>
    </cfRule>
  </conditionalFormatting>
  <conditionalFormatting sqref="H17:I17">
    <cfRule type="expression" dxfId="44" priority="59" stopIfTrue="1">
      <formula>AND(#REF!&lt;1,#REF!&lt;&gt;0)</formula>
    </cfRule>
  </conditionalFormatting>
  <conditionalFormatting sqref="Q25 U25 U31 Q34 U34 K34 K36 K38 Q27:Q31 Q36 U36 Q38 U38">
    <cfRule type="cellIs" dxfId="43" priority="26" stopIfTrue="1" operator="equal">
      <formula>"o"</formula>
    </cfRule>
    <cfRule type="cellIs" dxfId="42" priority="27" stopIfTrue="1" operator="equal">
      <formula>"n"</formula>
    </cfRule>
  </conditionalFormatting>
  <conditionalFormatting sqref="B41 V4">
    <cfRule type="cellIs" dxfId="41" priority="26" stopIfTrue="1" operator="notEqual">
      <formula>0</formula>
    </cfRule>
  </conditionalFormatting>
  <conditionalFormatting sqref="E42:G42">
    <cfRule type="expression" dxfId="40" priority="15" stopIfTrue="1">
      <formula>$E$1="D"</formula>
    </cfRule>
  </conditionalFormatting>
  <conditionalFormatting sqref="A25:A30">
    <cfRule type="expression" dxfId="39" priority="10">
      <formula>IF($G$26=0,TRUE,FALSE)</formula>
    </cfRule>
  </conditionalFormatting>
  <conditionalFormatting sqref="A27">
    <cfRule type="expression" dxfId="38" priority="9">
      <formula>IF($Q$27="n",TRUE,FALSE)</formula>
    </cfRule>
  </conditionalFormatting>
  <conditionalFormatting sqref="A28">
    <cfRule type="expression" dxfId="37" priority="8">
      <formula>IF($Q$28="n",TRUE,FALSE)</formula>
    </cfRule>
  </conditionalFormatting>
  <conditionalFormatting sqref="A29">
    <cfRule type="expression" dxfId="36" priority="7">
      <formula>IF($Q$29="n",TRUE,FALSE)</formula>
    </cfRule>
  </conditionalFormatting>
  <conditionalFormatting sqref="A30">
    <cfRule type="expression" dxfId="35" priority="6">
      <formula>IF($Q$30="n",TRUE,FALSE)</formula>
    </cfRule>
  </conditionalFormatting>
  <conditionalFormatting sqref="A31:A32">
    <cfRule type="expression" dxfId="34" priority="5">
      <formula>IF($G$32=0,TRUE,FALSE)</formula>
    </cfRule>
  </conditionalFormatting>
  <conditionalFormatting sqref="A33:A39">
    <cfRule type="expression" dxfId="33" priority="4">
      <formula>IF(SUM($G$33:$G$39)=0,TRUE,FALSE)</formula>
    </cfRule>
  </conditionalFormatting>
  <conditionalFormatting sqref="A34:A35">
    <cfRule type="expression" dxfId="32" priority="3">
      <formula>IF($G$35=0,TRUE,FALSE)</formula>
    </cfRule>
  </conditionalFormatting>
  <conditionalFormatting sqref="A36:A37">
    <cfRule type="expression" dxfId="31" priority="2">
      <formula>IF($G$37=0,TRUE,FALSE)</formula>
    </cfRule>
  </conditionalFormatting>
  <conditionalFormatting sqref="A38:A39">
    <cfRule type="expression" dxfId="30" priority="1">
      <formula>IF($G$39=0,TRUE,FALSE)</formula>
    </cfRule>
  </conditionalFormatting>
  <dataValidations count="9">
    <dataValidation type="list" allowBlank="1" showInputMessage="1" showErrorMessage="1" sqref="U34 Q34 Q25 Q36 Q38 U36 K38 K36 K34 U31 Q27:Q31 U25 U38">
      <formula1>ouinon</formula1>
    </dataValidation>
    <dataValidation type="list" allowBlank="1" showInputMessage="1" showErrorMessage="1" sqref="I39:N39">
      <formula1>Faîtière</formula1>
    </dataValidation>
    <dataValidation type="list" allowBlank="1" showInputMessage="1" showErrorMessage="1" sqref="H45">
      <formula1>$M$1:$M$4</formula1>
    </dataValidation>
    <dataValidation type="list" allowBlank="1" showInputMessage="1" showErrorMessage="1" sqref="I31:N31">
      <formula1>Couverture</formula1>
    </dataValidation>
    <dataValidation type="list" allowBlank="1" showInputMessage="1" showErrorMessage="1" sqref="I35:N35 I37:N37">
      <formula1>Rive</formula1>
    </dataValidation>
    <dataValidation type="list" allowBlank="1" showInputMessage="1" showErrorMessage="1" sqref="C13">
      <formula1>$T$1:$T$3</formula1>
    </dataValidation>
    <dataValidation type="list" allowBlank="1" showInputMessage="1" sqref="C16">
      <formula1>#REF!</formula1>
    </dataValidation>
    <dataValidation type="list" allowBlank="1" showInputMessage="1" showErrorMessage="1" sqref="H6:I6">
      <formula1>$N$2:$N$9</formula1>
    </dataValidation>
    <dataValidation type="list" allowBlank="1" showInputMessage="1" showErrorMessage="1" sqref="I27">
      <formula1>$Z$27:$AA$27</formula1>
    </dataValidation>
  </dataValidations>
  <hyperlinks>
    <hyperlink ref="Y1" r:id="rId1"/>
  </hyperlinks>
  <printOptions horizontalCentered="1" verticalCentered="1"/>
  <pageMargins left="0.47244094488188981" right="0.35433070866141736" top="0.70866141732283472" bottom="0.98425196850393704" header="0.31496062992125984" footer="0.51181102362204722"/>
  <pageSetup paperSize="9" orientation="portrait" r:id="rId2"/>
  <headerFooter alignWithMargins="0">
    <oddHeader>&amp;RBATIMENTS AGRICOLES
BATIMENTS INDUSTRIELS
BATIMENTS EQUESTRES</oddHeader>
  </headerFooter>
  <ignoredErrors>
    <ignoredError sqref="V35:X37" formula="1"/>
  </ignoredErrors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indexed="14"/>
  </sheetPr>
  <dimension ref="A1:M67"/>
  <sheetViews>
    <sheetView topLeftCell="A22" zoomScale="85" workbookViewId="0">
      <selection activeCell="A65" sqref="A65"/>
    </sheetView>
  </sheetViews>
  <sheetFormatPr baseColWidth="10" defaultRowHeight="12.75"/>
  <cols>
    <col min="1" max="1" width="8.7109375" style="116" customWidth="1"/>
    <col min="2" max="2" width="7.7109375" style="116" customWidth="1"/>
    <col min="3" max="3" width="9" style="116" customWidth="1"/>
    <col min="4" max="4" width="5" style="116" customWidth="1"/>
    <col min="5" max="5" width="2.140625" style="116" customWidth="1"/>
    <col min="6" max="6" width="12.7109375" style="116" customWidth="1"/>
    <col min="7" max="7" width="16" style="116" customWidth="1"/>
    <col min="8" max="8" width="11.7109375" style="116" customWidth="1"/>
    <col min="9" max="9" width="17.85546875" style="116" customWidth="1"/>
    <col min="10" max="10" width="8.7109375" style="116" customWidth="1"/>
    <col min="11" max="11" width="15" style="116" customWidth="1"/>
    <col min="12" max="16384" width="11.42578125" style="116"/>
  </cols>
  <sheetData>
    <row r="1" spans="1:13" ht="15">
      <c r="A1" s="1059" t="s">
        <v>62</v>
      </c>
      <c r="B1" s="1059"/>
      <c r="C1" s="1059"/>
      <c r="D1" s="1059"/>
      <c r="E1" s="1059"/>
      <c r="F1" s="1059"/>
      <c r="G1" s="1059"/>
      <c r="H1" s="1059"/>
      <c r="I1" s="1059"/>
      <c r="J1" s="186"/>
    </row>
    <row r="2" spans="1:13" ht="3" customHeight="1"/>
    <row r="3" spans="1:13">
      <c r="A3" s="119" t="s">
        <v>64</v>
      </c>
      <c r="B3" s="119"/>
      <c r="C3" s="119"/>
      <c r="D3" s="119"/>
      <c r="E3" s="119"/>
      <c r="F3" s="119"/>
      <c r="G3" s="120"/>
    </row>
    <row r="4" spans="1:13" ht="3" customHeight="1" thickBot="1"/>
    <row r="5" spans="1:13">
      <c r="E5" s="126" t="s">
        <v>106</v>
      </c>
      <c r="F5" s="123">
        <f ca="1">Calculs!D5</f>
        <v>0</v>
      </c>
      <c r="G5" s="123"/>
      <c r="H5" s="123"/>
      <c r="K5" s="158" t="s">
        <v>63</v>
      </c>
    </row>
    <row r="6" spans="1:13" ht="13.5" thickBot="1">
      <c r="B6" s="121"/>
      <c r="E6" s="123"/>
      <c r="F6" s="123">
        <f ca="1">IF(Calculs!D9="",Calculs!D6,Calculs!D9)</f>
        <v>0</v>
      </c>
      <c r="G6" s="123"/>
      <c r="H6" s="123"/>
      <c r="K6" s="157">
        <f>ROUNDDOWN(H15,-2)</f>
        <v>1800</v>
      </c>
    </row>
    <row r="7" spans="1:13">
      <c r="B7" s="168"/>
      <c r="E7" s="123"/>
      <c r="F7" s="123">
        <f ca="1">IF(Calculs!D10="",Calculs!D7,Calculs!D10)</f>
        <v>0</v>
      </c>
      <c r="G7" s="123"/>
      <c r="H7" s="123"/>
    </row>
    <row r="8" spans="1:13">
      <c r="B8" s="168"/>
      <c r="C8" s="131"/>
      <c r="D8" s="131"/>
      <c r="E8" s="134"/>
      <c r="F8" s="123"/>
      <c r="G8" s="134"/>
      <c r="H8" s="134"/>
      <c r="I8" s="131"/>
      <c r="J8" s="131"/>
    </row>
    <row r="9" spans="1:13" ht="3" customHeight="1" thickBot="1">
      <c r="B9" s="168"/>
      <c r="C9" s="168"/>
      <c r="D9" s="168"/>
      <c r="E9" s="168"/>
      <c r="F9" s="123" t="str">
        <f ca="1">IF(Calculs!D12="",Calculs!D9,Calculs!D12)</f>
        <v xml:space="preserve"> </v>
      </c>
      <c r="G9" s="131"/>
      <c r="H9" s="131"/>
      <c r="I9" s="131"/>
      <c r="J9" s="131"/>
    </row>
    <row r="10" spans="1:13">
      <c r="B10" s="131"/>
      <c r="C10" s="168"/>
      <c r="D10" s="168"/>
      <c r="E10" s="169" t="s">
        <v>105</v>
      </c>
      <c r="F10" s="168"/>
      <c r="G10" s="131"/>
      <c r="H10" s="131"/>
      <c r="I10" s="131"/>
      <c r="J10" s="131"/>
      <c r="K10" s="158" t="s">
        <v>193</v>
      </c>
      <c r="L10" s="131"/>
      <c r="M10" s="131"/>
    </row>
    <row r="11" spans="1:13" ht="13.5" thickBot="1">
      <c r="A11" s="124"/>
      <c r="B11" s="168"/>
      <c r="C11" s="131"/>
      <c r="D11" s="131"/>
      <c r="E11" s="131"/>
      <c r="F11" s="170" t="s">
        <v>65</v>
      </c>
      <c r="G11" s="131"/>
      <c r="H11" s="171">
        <f ca="1">Calculs!C16</f>
        <v>40.75</v>
      </c>
      <c r="I11" s="185"/>
      <c r="J11" s="185"/>
      <c r="K11" s="706" t="e">
        <f>AVERAGE(#REF!)</f>
        <v>#REF!</v>
      </c>
      <c r="L11" s="131"/>
    </row>
    <row r="12" spans="1:13" s="118" customFormat="1">
      <c r="A12" s="124"/>
      <c r="B12" s="168"/>
      <c r="C12" s="133"/>
      <c r="D12" s="131"/>
      <c r="E12" s="131"/>
      <c r="F12" s="170" t="s">
        <v>66</v>
      </c>
      <c r="G12" s="131"/>
      <c r="H12" s="171">
        <f ca="1">Calculs!C17</f>
        <v>70</v>
      </c>
      <c r="I12" s="185"/>
      <c r="J12" s="185"/>
      <c r="K12" s="131"/>
      <c r="L12" s="131"/>
    </row>
    <row r="13" spans="1:13" s="118" customFormat="1">
      <c r="A13" s="124"/>
      <c r="B13" s="168"/>
      <c r="C13" s="133"/>
      <c r="D13" s="131"/>
      <c r="E13" s="131"/>
      <c r="F13" s="170" t="s">
        <v>67</v>
      </c>
      <c r="G13" s="131"/>
      <c r="H13" s="172">
        <f ca="1">Calculs!C18</f>
        <v>0.26</v>
      </c>
      <c r="I13" s="131"/>
      <c r="J13" s="131"/>
      <c r="K13" s="131"/>
      <c r="L13" s="131"/>
    </row>
    <row r="14" spans="1:13" s="118" customFormat="1">
      <c r="A14" s="124"/>
      <c r="B14" s="168"/>
      <c r="C14" s="133"/>
      <c r="D14" s="131"/>
      <c r="E14" s="131"/>
      <c r="F14" s="170" t="s">
        <v>94</v>
      </c>
      <c r="G14" s="131"/>
      <c r="H14" s="173">
        <f ca="1">H11*H12</f>
        <v>2852.5</v>
      </c>
      <c r="I14" s="131"/>
      <c r="J14" s="131"/>
      <c r="K14" s="131"/>
      <c r="L14" s="131"/>
    </row>
    <row r="15" spans="1:13" s="118" customFormat="1">
      <c r="A15" s="124"/>
      <c r="B15" s="168"/>
      <c r="C15" s="133"/>
      <c r="D15" s="131"/>
      <c r="E15" s="131"/>
      <c r="F15" s="170" t="s">
        <v>95</v>
      </c>
      <c r="G15" s="131"/>
      <c r="H15" s="174">
        <f ca="1">Calculs!C21</f>
        <v>1815</v>
      </c>
      <c r="I15" s="131"/>
      <c r="J15" s="131"/>
      <c r="K15" s="131"/>
      <c r="L15" s="131"/>
    </row>
    <row r="16" spans="1:13" s="118" customFormat="1" ht="3" customHeight="1">
      <c r="A16" s="124"/>
      <c r="B16" s="168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1:13" s="118" customFormat="1">
      <c r="A17" s="124"/>
      <c r="B17" s="133"/>
      <c r="C17" s="168"/>
      <c r="D17" s="168"/>
      <c r="E17" s="169" t="s">
        <v>96</v>
      </c>
      <c r="F17" s="168"/>
      <c r="G17" s="131"/>
      <c r="H17" s="131"/>
      <c r="I17" s="131"/>
      <c r="J17" s="131"/>
      <c r="K17" s="131"/>
      <c r="L17" s="131"/>
    </row>
    <row r="18" spans="1:13" s="118" customFormat="1">
      <c r="A18" s="124"/>
      <c r="B18" s="168"/>
      <c r="C18" s="133"/>
      <c r="D18" s="131"/>
      <c r="E18" s="131"/>
      <c r="F18" s="175" t="s">
        <v>97</v>
      </c>
      <c r="G18" s="131"/>
      <c r="H18" s="176">
        <f ca="1">IF(Calculs!U31="o",Calculs!E32,0)</f>
        <v>1815</v>
      </c>
      <c r="I18" s="131"/>
      <c r="J18" s="131"/>
      <c r="K18" s="116"/>
      <c r="L18" s="116"/>
    </row>
    <row r="19" spans="1:13" s="118" customFormat="1">
      <c r="A19" s="124"/>
      <c r="B19" s="168"/>
      <c r="C19" s="133"/>
      <c r="D19" s="168"/>
      <c r="E19" s="168"/>
      <c r="F19" s="175" t="s">
        <v>70</v>
      </c>
      <c r="G19" s="131"/>
      <c r="H19" s="177">
        <f ca="1">IF(Calculs!U34="o",Calculs!E35,0)</f>
        <v>49.76</v>
      </c>
      <c r="I19" s="131"/>
      <c r="J19" s="131"/>
      <c r="K19" s="116"/>
      <c r="L19" s="116"/>
    </row>
    <row r="20" spans="1:13" s="118" customFormat="1">
      <c r="A20" s="124"/>
      <c r="B20" s="168"/>
      <c r="C20" s="133"/>
      <c r="D20" s="131"/>
      <c r="E20" s="131"/>
      <c r="F20" s="175" t="s">
        <v>98</v>
      </c>
      <c r="G20" s="178"/>
      <c r="H20" s="177">
        <f ca="1">IF(Calculs!U36="o",Calculs!E37,0)</f>
        <v>0</v>
      </c>
      <c r="I20" s="131"/>
      <c r="J20" s="131"/>
      <c r="K20" s="116"/>
      <c r="L20" s="116"/>
    </row>
    <row r="21" spans="1:13" s="118" customFormat="1">
      <c r="A21" s="124"/>
      <c r="B21" s="168"/>
      <c r="C21" s="133"/>
      <c r="D21" s="131"/>
      <c r="E21" s="131"/>
      <c r="F21" s="175" t="s">
        <v>99</v>
      </c>
      <c r="G21" s="178"/>
      <c r="H21" s="177">
        <f ca="1">IF(Calculs!U38="o",Calculs!E39,0)</f>
        <v>70</v>
      </c>
      <c r="I21" s="131"/>
      <c r="J21" s="131"/>
      <c r="K21" s="116"/>
      <c r="L21" s="116"/>
    </row>
    <row r="22" spans="1:13" s="118" customFormat="1">
      <c r="A22" s="124"/>
      <c r="B22" s="168"/>
      <c r="C22" s="133"/>
      <c r="D22" s="168"/>
      <c r="E22" s="168"/>
      <c r="F22" s="175" t="str">
        <f ca="1">Calculs!I27</f>
        <v>Rails</v>
      </c>
      <c r="G22" s="131"/>
      <c r="H22" s="176">
        <f ca="1">IF(Calculs!Q27="o",Calculs!E26,0)</f>
        <v>1815</v>
      </c>
      <c r="I22" s="131"/>
      <c r="J22" s="131"/>
      <c r="K22" s="116"/>
      <c r="L22" s="116"/>
    </row>
    <row r="23" spans="1:13" s="118" customFormat="1">
      <c r="A23" s="124"/>
      <c r="B23" s="168"/>
      <c r="C23" s="133"/>
      <c r="D23" s="131"/>
      <c r="E23" s="131"/>
      <c r="F23" s="175" t="s">
        <v>100</v>
      </c>
      <c r="G23" s="131"/>
      <c r="H23" s="176">
        <f ca="1">IF(Calculs!Q28="o",Calculs!E26,0)</f>
        <v>0</v>
      </c>
      <c r="I23" s="131"/>
      <c r="J23" s="131"/>
      <c r="K23" s="116"/>
      <c r="L23" s="116"/>
      <c r="M23" s="116"/>
    </row>
    <row r="24" spans="1:13" s="118" customFormat="1">
      <c r="A24" s="124"/>
      <c r="B24" s="168"/>
      <c r="C24" s="133"/>
      <c r="D24" s="131"/>
      <c r="E24" s="131"/>
      <c r="F24" s="175" t="s">
        <v>261</v>
      </c>
      <c r="G24" s="131"/>
      <c r="H24" s="177">
        <f>H12+H19</f>
        <v>119.75999999999999</v>
      </c>
      <c r="I24" s="131"/>
      <c r="J24" s="131"/>
      <c r="K24" s="116"/>
      <c r="L24" s="116"/>
      <c r="M24" s="116"/>
    </row>
    <row r="25" spans="1:13" ht="3" customHeight="1">
      <c r="A25" s="124"/>
      <c r="B25" s="168"/>
      <c r="C25" s="131"/>
      <c r="D25" s="131"/>
      <c r="E25" s="131"/>
      <c r="F25" s="131"/>
      <c r="G25" s="131"/>
      <c r="H25" s="131"/>
      <c r="I25" s="131"/>
      <c r="J25" s="131"/>
    </row>
    <row r="26" spans="1:13">
      <c r="A26" s="124"/>
      <c r="B26" s="131"/>
      <c r="C26" s="169" t="s">
        <v>96</v>
      </c>
      <c r="D26" s="135"/>
      <c r="E26" s="131"/>
      <c r="F26" s="135"/>
      <c r="G26" s="131"/>
      <c r="H26" s="131"/>
      <c r="I26" s="131"/>
      <c r="J26" s="131"/>
      <c r="K26" s="127"/>
      <c r="L26" s="128"/>
    </row>
    <row r="27" spans="1:13" ht="3" customHeight="1">
      <c r="A27" s="124"/>
      <c r="B27" s="168"/>
      <c r="C27" s="131"/>
      <c r="D27" s="131"/>
      <c r="E27" s="131"/>
      <c r="F27" s="179"/>
      <c r="G27" s="131"/>
      <c r="H27" s="179"/>
      <c r="I27" s="131"/>
      <c r="J27" s="131"/>
      <c r="K27" s="127"/>
      <c r="L27" s="129"/>
    </row>
    <row r="28" spans="1:13">
      <c r="A28" s="124"/>
      <c r="B28" s="168"/>
      <c r="C28" s="175" t="str">
        <f t="shared" ref="C28:C34" si="0">F18</f>
        <v>Bac Acier</v>
      </c>
      <c r="D28" s="135"/>
      <c r="E28" s="131"/>
      <c r="F28" s="170" t="str">
        <f t="shared" ref="F28:F34" si="1">ROUNDUP(H18,0)&amp;" x"</f>
        <v>1815 x</v>
      </c>
      <c r="G28" s="180">
        <f ca="1">IF(H18=0,0,ROUNDUP((HLOOKUP($K$6,'Tarif pose'!$E$4:$AH$9,3)),3))</f>
        <v>2.1739999999999999</v>
      </c>
      <c r="H28" s="181">
        <f t="shared" ref="H28:H34" si="2">H18*G28</f>
        <v>3945.81</v>
      </c>
      <c r="I28" s="131"/>
      <c r="J28" s="131"/>
      <c r="K28" s="127"/>
      <c r="L28" s="128"/>
    </row>
    <row r="29" spans="1:13">
      <c r="A29" s="124"/>
      <c r="B29" s="168"/>
      <c r="C29" s="175" t="str">
        <f t="shared" si="0"/>
        <v>Rives</v>
      </c>
      <c r="D29" s="182"/>
      <c r="E29" s="131"/>
      <c r="F29" s="170" t="str">
        <f t="shared" si="1"/>
        <v>50 x</v>
      </c>
      <c r="G29" s="180">
        <f ca="1">IF(H19=0,0,ROUNDUP((HLOOKUP($K$6,'Tarif pose'!$E$4:$AH$9,4)),3))</f>
        <v>1.7009999999999998</v>
      </c>
      <c r="H29" s="181">
        <f t="shared" si="2"/>
        <v>84.641759999999991</v>
      </c>
      <c r="I29" s="131"/>
      <c r="J29" s="131"/>
      <c r="K29" s="127"/>
      <c r="L29" s="129"/>
    </row>
    <row r="30" spans="1:13">
      <c r="A30" s="124"/>
      <c r="B30" s="168"/>
      <c r="C30" s="175" t="str">
        <f t="shared" si="0"/>
        <v>Couvertines</v>
      </c>
      <c r="D30" s="135"/>
      <c r="E30" s="131"/>
      <c r="F30" s="170" t="str">
        <f t="shared" si="1"/>
        <v>0 x</v>
      </c>
      <c r="G30" s="180">
        <f ca="1">IF(H20=0,0,ROUNDUP((HLOOKUP($K$6,'Tarif pose'!$E$4:$AH$9,4)),3))</f>
        <v>0</v>
      </c>
      <c r="H30" s="181">
        <f t="shared" si="2"/>
        <v>0</v>
      </c>
      <c r="I30" s="131"/>
      <c r="J30" s="131"/>
      <c r="K30" s="127"/>
      <c r="L30" s="128"/>
    </row>
    <row r="31" spans="1:13">
      <c r="A31" s="124"/>
      <c r="B31" s="168"/>
      <c r="C31" s="175" t="str">
        <f t="shared" si="0"/>
        <v>Faîtières</v>
      </c>
      <c r="D31" s="134"/>
      <c r="E31" s="131"/>
      <c r="F31" s="170" t="str">
        <f t="shared" si="1"/>
        <v>70 x</v>
      </c>
      <c r="G31" s="180">
        <f ca="1">IF(H21=0,0,ROUNDUP((HLOOKUP($K$6,'Tarif pose'!$E$4:$AH$9,3)),3))</f>
        <v>2.1739999999999999</v>
      </c>
      <c r="H31" s="181">
        <f t="shared" si="2"/>
        <v>152.18</v>
      </c>
      <c r="I31" s="131"/>
      <c r="J31" s="131"/>
      <c r="K31" s="127"/>
      <c r="L31" s="128"/>
    </row>
    <row r="32" spans="1:13">
      <c r="A32" s="124"/>
      <c r="B32" s="168"/>
      <c r="C32" s="175" t="str">
        <f t="shared" si="0"/>
        <v>Rails</v>
      </c>
      <c r="D32" s="135"/>
      <c r="E32" s="131"/>
      <c r="F32" s="170" t="str">
        <f t="shared" si="1"/>
        <v>1815 x</v>
      </c>
      <c r="G32" s="180">
        <f ca="1">'Tarif pose'!E9</f>
        <v>3</v>
      </c>
      <c r="H32" s="181">
        <f t="shared" si="2"/>
        <v>5445</v>
      </c>
      <c r="I32" s="131"/>
      <c r="J32" s="131"/>
      <c r="K32" s="127"/>
      <c r="L32" s="128"/>
    </row>
    <row r="33" spans="1:13">
      <c r="A33" s="124"/>
      <c r="B33" s="168"/>
      <c r="C33" s="175" t="str">
        <f t="shared" si="0"/>
        <v>Panneaux PHV</v>
      </c>
      <c r="D33" s="134"/>
      <c r="E33" s="131"/>
      <c r="F33" s="170" t="str">
        <f t="shared" si="1"/>
        <v>0 x</v>
      </c>
      <c r="G33" s="180">
        <f ca="1">'Tarif pose'!E8</f>
        <v>2</v>
      </c>
      <c r="H33" s="181">
        <f t="shared" si="2"/>
        <v>0</v>
      </c>
      <c r="I33" s="131"/>
      <c r="J33" s="131"/>
      <c r="K33" s="127"/>
      <c r="L33" s="128"/>
    </row>
    <row r="34" spans="1:13">
      <c r="A34" s="124"/>
      <c r="B34" s="168"/>
      <c r="C34" s="175" t="str">
        <f t="shared" si="0"/>
        <v>Mise en Sécurité</v>
      </c>
      <c r="D34" s="134"/>
      <c r="E34" s="131"/>
      <c r="F34" s="170" t="str">
        <f t="shared" si="1"/>
        <v>120 x</v>
      </c>
      <c r="G34" s="180">
        <v>3</v>
      </c>
      <c r="H34" s="181">
        <f t="shared" si="2"/>
        <v>359.28</v>
      </c>
      <c r="I34" s="131"/>
      <c r="J34" s="131"/>
      <c r="K34" s="127"/>
      <c r="L34" s="128"/>
    </row>
    <row r="35" spans="1:13" ht="3" customHeight="1">
      <c r="A35" s="123"/>
      <c r="B35" s="135"/>
      <c r="C35" s="135"/>
      <c r="D35" s="135"/>
      <c r="E35" s="135"/>
      <c r="F35" s="135"/>
      <c r="G35" s="131"/>
      <c r="H35" s="131"/>
      <c r="I35" s="131"/>
      <c r="J35" s="131"/>
    </row>
    <row r="36" spans="1:13" s="122" customFormat="1">
      <c r="B36" s="184"/>
      <c r="C36" s="183" t="s">
        <v>72</v>
      </c>
      <c r="D36" s="183"/>
      <c r="E36" s="183"/>
      <c r="F36" s="183"/>
      <c r="G36" s="184"/>
      <c r="H36" s="188">
        <f>SUM(H27:H35)</f>
        <v>9986.9117600000009</v>
      </c>
      <c r="I36" s="183" t="s">
        <v>73</v>
      </c>
      <c r="J36" s="183"/>
    </row>
    <row r="37" spans="1:13" ht="3" customHeight="1">
      <c r="A37" s="123"/>
      <c r="B37" s="135"/>
      <c r="C37" s="135"/>
      <c r="D37" s="135"/>
      <c r="E37" s="135"/>
      <c r="F37" s="135"/>
      <c r="G37" s="131"/>
      <c r="H37" s="131"/>
      <c r="I37" s="131"/>
      <c r="J37" s="131"/>
    </row>
    <row r="38" spans="1:13" ht="13.5" thickBot="1">
      <c r="A38" s="119" t="s">
        <v>74</v>
      </c>
      <c r="B38" s="135"/>
      <c r="C38" s="135"/>
      <c r="D38" s="135"/>
      <c r="E38" s="135"/>
      <c r="F38" s="135"/>
      <c r="G38" s="131"/>
      <c r="H38" s="131"/>
      <c r="I38" s="131"/>
    </row>
    <row r="39" spans="1:13" ht="13.5" thickBot="1">
      <c r="B39" s="183" t="e">
        <f>"La durée du chantier est estimée à : "&amp;M39&amp;IF(M39&lt;=1," jour ouvrable"," jours ouvrables")</f>
        <v>#REF!</v>
      </c>
      <c r="C39" s="131"/>
      <c r="D39" s="135"/>
      <c r="E39" s="135"/>
      <c r="F39" s="189"/>
      <c r="G39" s="131"/>
      <c r="H39" s="131"/>
      <c r="I39" s="131"/>
      <c r="K39" s="1055" t="s">
        <v>107</v>
      </c>
      <c r="L39" s="1056"/>
      <c r="M39" s="707" t="e">
        <f>ROUNDUP((H15/K11)/L47,0)</f>
        <v>#REF!</v>
      </c>
    </row>
    <row r="40" spans="1:13" ht="3" customHeight="1"/>
    <row r="41" spans="1:13" ht="13.5" thickBot="1">
      <c r="A41" s="119" t="s">
        <v>75</v>
      </c>
    </row>
    <row r="42" spans="1:13" ht="13.5" thickBot="1">
      <c r="B42" s="130" t="str">
        <f>"Une avance de "&amp;L42&amp;" % sera versé à la signature du contrat soit : "&amp;(ROUNDUP((H36*L42/100),2))&amp;" €"</f>
        <v>Une avance de 30 % sera versé à la signature du contrat soit : 2996,08 €</v>
      </c>
      <c r="C42" s="122"/>
      <c r="D42" s="162"/>
      <c r="E42" s="164"/>
      <c r="F42" s="164"/>
      <c r="G42" s="164"/>
      <c r="H42" s="164"/>
      <c r="I42" s="163"/>
      <c r="J42" s="163"/>
      <c r="K42" s="708" t="s">
        <v>108</v>
      </c>
      <c r="L42" s="709">
        <v>30</v>
      </c>
    </row>
    <row r="43" spans="1:13">
      <c r="B43" s="1057" t="str">
        <f>"Le solde du contrat, soit : "&amp;(ROUNDUP((H36-(H36*L42/100)),2))&amp;" € sera intégralement payé dans les trente jours suivant la réception du chantier sans réserves par le client."</f>
        <v>Le solde du contrat, soit : 6990,84 € sera intégralement payé dans les trente jours suivant la réception du chantier sans réserves par le client.</v>
      </c>
      <c r="C43" s="1058"/>
      <c r="D43" s="1058"/>
      <c r="E43" s="1058"/>
      <c r="F43" s="1058"/>
      <c r="G43" s="1058"/>
      <c r="H43" s="1058"/>
      <c r="I43" s="1058"/>
      <c r="J43" s="187"/>
    </row>
    <row r="44" spans="1:13">
      <c r="B44" s="1058"/>
      <c r="C44" s="1058"/>
      <c r="D44" s="1058"/>
      <c r="E44" s="1058"/>
      <c r="F44" s="1058"/>
      <c r="G44" s="1058"/>
      <c r="H44" s="1058"/>
      <c r="I44" s="1058"/>
      <c r="J44" s="187"/>
    </row>
    <row r="45" spans="1:13" ht="3" customHeight="1">
      <c r="A45" s="123"/>
    </row>
    <row r="46" spans="1:13" ht="13.5" thickBot="1">
      <c r="A46" s="119" t="s">
        <v>76</v>
      </c>
    </row>
    <row r="47" spans="1:13" ht="13.5" thickBot="1">
      <c r="B47" s="123" t="str">
        <f>"L'équipe de pose sera composée de "&amp;L47&amp;IF(L47=1," personne"," personnes")</f>
        <v>L'équipe de pose sera composée de 3 personnes</v>
      </c>
      <c r="G47" s="161"/>
      <c r="K47" s="710" t="s">
        <v>109</v>
      </c>
      <c r="L47" s="707">
        <v>3</v>
      </c>
    </row>
    <row r="48" spans="1:13">
      <c r="B48" s="123" t="s">
        <v>77</v>
      </c>
    </row>
    <row r="49" spans="1:3" ht="3" customHeight="1">
      <c r="B49" s="123"/>
    </row>
    <row r="50" spans="1:3">
      <c r="A50" s="119" t="s">
        <v>78</v>
      </c>
    </row>
    <row r="51" spans="1:3">
      <c r="B51" s="123" t="s">
        <v>79</v>
      </c>
    </row>
    <row r="52" spans="1:3">
      <c r="B52" s="123" t="s">
        <v>80</v>
      </c>
    </row>
    <row r="53" spans="1:3">
      <c r="B53" s="123" t="s">
        <v>269</v>
      </c>
    </row>
    <row r="54" spans="1:3">
      <c r="B54" s="123" t="s">
        <v>81</v>
      </c>
    </row>
    <row r="55" spans="1:3" ht="3" customHeight="1">
      <c r="A55" s="123"/>
    </row>
    <row r="56" spans="1:3">
      <c r="A56" s="119" t="s">
        <v>82</v>
      </c>
    </row>
    <row r="57" spans="1:3">
      <c r="B57" s="123" t="s">
        <v>83</v>
      </c>
    </row>
    <row r="58" spans="1:3">
      <c r="C58" s="123" t="s">
        <v>84</v>
      </c>
    </row>
    <row r="59" spans="1:3">
      <c r="C59" s="123" t="s">
        <v>85</v>
      </c>
    </row>
    <row r="60" spans="1:3">
      <c r="C60" s="123" t="s">
        <v>86</v>
      </c>
    </row>
    <row r="61" spans="1:3">
      <c r="B61" s="123" t="s">
        <v>87</v>
      </c>
    </row>
    <row r="62" spans="1:3" s="131" customFormat="1" ht="3" customHeight="1"/>
    <row r="63" spans="1:3" s="135" customFormat="1">
      <c r="A63" s="134"/>
      <c r="B63" s="134"/>
    </row>
    <row r="64" spans="1:3" s="135" customFormat="1" ht="3" customHeight="1">
      <c r="A64" s="134"/>
      <c r="B64" s="134"/>
    </row>
    <row r="65" spans="1:8" s="135" customFormat="1">
      <c r="A65" s="134"/>
      <c r="H65" s="134"/>
    </row>
    <row r="66" spans="1:8" s="135" customFormat="1">
      <c r="A66" s="134"/>
      <c r="H66" s="134"/>
    </row>
    <row r="67" spans="1:8" s="135" customFormat="1">
      <c r="A67" s="134"/>
    </row>
  </sheetData>
  <mergeCells count="3">
    <mergeCell ref="K39:L39"/>
    <mergeCell ref="B43:I44"/>
    <mergeCell ref="A1:I1"/>
  </mergeCells>
  <phoneticPr fontId="0" type="noConversion"/>
  <conditionalFormatting sqref="K39:M39">
    <cfRule type="expression" dxfId="29" priority="16">
      <formula>IF($M$39=0,TRUE,FALSE)</formula>
    </cfRule>
  </conditionalFormatting>
  <conditionalFormatting sqref="K42:L42">
    <cfRule type="expression" dxfId="28" priority="15">
      <formula>IF($L$42=0,TRUE,FALSE)</formula>
    </cfRule>
  </conditionalFormatting>
  <conditionalFormatting sqref="K47:L47">
    <cfRule type="expression" dxfId="27" priority="14">
      <formula>IF(OR($L$47="",$L$47=0),TRUE,FALSE)</formula>
    </cfRule>
  </conditionalFormatting>
  <conditionalFormatting sqref="A11">
    <cfRule type="expression" dxfId="26" priority="12">
      <formula>IF($H$11=0,TRUE,FALSE)</formula>
    </cfRule>
  </conditionalFormatting>
  <conditionalFormatting sqref="A12">
    <cfRule type="expression" dxfId="25" priority="11">
      <formula>IF($H$12=0,TRUE,FALSE)</formula>
    </cfRule>
  </conditionalFormatting>
  <conditionalFormatting sqref="A13">
    <cfRule type="expression" dxfId="24" priority="10">
      <formula>IF($H$13=0,TRUE,FALSE)</formula>
    </cfRule>
  </conditionalFormatting>
  <conditionalFormatting sqref="A14">
    <cfRule type="expression" dxfId="23" priority="9">
      <formula>IF($H$14=0,TRUE,FALSE)</formula>
    </cfRule>
  </conditionalFormatting>
  <conditionalFormatting sqref="A15">
    <cfRule type="expression" dxfId="22" priority="8">
      <formula>IF($H$15=0,TRUE,FALSE)</formula>
    </cfRule>
  </conditionalFormatting>
  <conditionalFormatting sqref="A18">
    <cfRule type="expression" dxfId="21" priority="7">
      <formula>IF($H$18=0,TRUE,FALSE)</formula>
    </cfRule>
  </conditionalFormatting>
  <conditionalFormatting sqref="A19">
    <cfRule type="expression" dxfId="20" priority="6">
      <formula>IF($H$19=0,TRUE,FALSE)</formula>
    </cfRule>
  </conditionalFormatting>
  <conditionalFormatting sqref="A20">
    <cfRule type="expression" dxfId="19" priority="5">
      <formula>IF($H$20=0,TRUE,FALSE)</formula>
    </cfRule>
  </conditionalFormatting>
  <conditionalFormatting sqref="A21">
    <cfRule type="expression" dxfId="18" priority="4">
      <formula>IF($H$21=0,TRUE,FALSE)</formula>
    </cfRule>
  </conditionalFormatting>
  <conditionalFormatting sqref="A22">
    <cfRule type="expression" dxfId="17" priority="3">
      <formula>IF($H$22=0,TRUE,FALSE)</formula>
    </cfRule>
  </conditionalFormatting>
  <conditionalFormatting sqref="A23:A24">
    <cfRule type="expression" dxfId="16" priority="2">
      <formula>IF($H$23=0,TRUE,FALSE)</formula>
    </cfRule>
  </conditionalFormatting>
  <conditionalFormatting sqref="A28:A34">
    <cfRule type="expression" dxfId="15" priority="1">
      <formula>IF(H28=0,TRUE,FALSE)</formula>
    </cfRule>
  </conditionalFormatting>
  <pageMargins left="0.24" right="0.25" top="0.82" bottom="0.984251969" header="0.38" footer="0.4921259845"/>
  <pageSetup paperSize="9" orientation="portrait" horizontalDpi="4294967294" verticalDpi="1200" r:id="rId1"/>
  <headerFooter alignWithMargins="0">
    <oddHeader>&amp;R fait le : &amp;D</oddHeader>
    <oddFooter>&amp;C&amp;9Page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indexed="33"/>
    <pageSetUpPr fitToPage="1"/>
  </sheetPr>
  <dimension ref="A1:BB16"/>
  <sheetViews>
    <sheetView workbookViewId="0">
      <selection activeCell="E4" sqref="E4"/>
    </sheetView>
  </sheetViews>
  <sheetFormatPr baseColWidth="10" defaultRowHeight="12.75"/>
  <cols>
    <col min="1" max="1" width="12.42578125" style="116" bestFit="1" customWidth="1"/>
    <col min="2" max="2" width="5.28515625" style="116" hidden="1" customWidth="1"/>
    <col min="3" max="3" width="5.42578125" style="116" hidden="1" customWidth="1"/>
    <col min="4" max="4" width="4.85546875" style="116" hidden="1" customWidth="1"/>
    <col min="5" max="5" width="4.85546875" style="150" bestFit="1" customWidth="1"/>
    <col min="6" max="8" width="5.140625" style="150" bestFit="1" customWidth="1"/>
    <col min="9" max="16" width="4.85546875" style="150" bestFit="1" customWidth="1"/>
    <col min="17" max="17" width="5" style="150" bestFit="1" customWidth="1"/>
    <col min="18" max="34" width="4.85546875" style="150" bestFit="1" customWidth="1"/>
    <col min="35" max="42" width="4.85546875" style="127" bestFit="1" customWidth="1"/>
    <col min="43" max="46" width="4.85546875" style="116" bestFit="1" customWidth="1"/>
    <col min="47" max="16384" width="11.42578125" style="116"/>
  </cols>
  <sheetData>
    <row r="1" spans="1:54" ht="13.5" thickBot="1">
      <c r="E1" s="136"/>
      <c r="F1" s="1060" t="s">
        <v>88</v>
      </c>
      <c r="G1" s="1061"/>
      <c r="H1" s="1061"/>
      <c r="I1" s="137">
        <f ca="1">IF(Pose!K6&gt;AH4,AH4,Pose!K6)</f>
        <v>1800</v>
      </c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54"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</row>
    <row r="3" spans="1:54">
      <c r="E3" s="138">
        <v>1</v>
      </c>
      <c r="F3" s="138">
        <v>2</v>
      </c>
      <c r="G3" s="138">
        <v>3</v>
      </c>
      <c r="H3" s="138">
        <v>4</v>
      </c>
      <c r="I3" s="138">
        <v>5</v>
      </c>
      <c r="J3" s="138">
        <v>6</v>
      </c>
      <c r="K3" s="138">
        <v>7</v>
      </c>
      <c r="L3" s="138">
        <v>8</v>
      </c>
      <c r="M3" s="138">
        <v>9</v>
      </c>
      <c r="N3" s="138">
        <v>10</v>
      </c>
      <c r="O3" s="138">
        <v>11</v>
      </c>
      <c r="P3" s="138">
        <v>12</v>
      </c>
      <c r="Q3" s="138">
        <v>13</v>
      </c>
      <c r="R3" s="138">
        <v>14</v>
      </c>
      <c r="S3" s="138">
        <v>15</v>
      </c>
      <c r="T3" s="138">
        <v>16</v>
      </c>
      <c r="U3" s="138">
        <v>17</v>
      </c>
      <c r="V3" s="138">
        <v>18</v>
      </c>
      <c r="W3" s="138">
        <v>19</v>
      </c>
      <c r="X3" s="138">
        <v>20</v>
      </c>
      <c r="Y3" s="138">
        <v>21</v>
      </c>
      <c r="Z3" s="138">
        <v>22</v>
      </c>
      <c r="AA3" s="138">
        <v>23</v>
      </c>
      <c r="AB3" s="138">
        <v>24</v>
      </c>
      <c r="AC3" s="138">
        <v>25</v>
      </c>
      <c r="AD3" s="138">
        <v>26</v>
      </c>
      <c r="AE3" s="138">
        <v>27</v>
      </c>
      <c r="AF3" s="138">
        <v>28</v>
      </c>
      <c r="AG3" s="138">
        <v>29</v>
      </c>
      <c r="AH3" s="138">
        <v>30</v>
      </c>
    </row>
    <row r="4" spans="1:54">
      <c r="B4" s="156" t="s">
        <v>103</v>
      </c>
      <c r="C4" s="156" t="s">
        <v>89</v>
      </c>
      <c r="D4" s="139"/>
      <c r="E4" s="140">
        <v>100</v>
      </c>
      <c r="F4" s="141">
        <v>200</v>
      </c>
      <c r="G4" s="141">
        <v>300</v>
      </c>
      <c r="H4" s="141">
        <v>400</v>
      </c>
      <c r="I4" s="140">
        <v>500</v>
      </c>
      <c r="J4" s="141">
        <v>600</v>
      </c>
      <c r="K4" s="141">
        <v>700</v>
      </c>
      <c r="L4" s="141">
        <v>800</v>
      </c>
      <c r="M4" s="141">
        <v>900</v>
      </c>
      <c r="N4" s="140">
        <v>1000</v>
      </c>
      <c r="O4" s="141">
        <v>1100</v>
      </c>
      <c r="P4" s="141">
        <v>1200</v>
      </c>
      <c r="Q4" s="141">
        <v>1300</v>
      </c>
      <c r="R4" s="141">
        <v>1400</v>
      </c>
      <c r="S4" s="140">
        <v>1500</v>
      </c>
      <c r="T4" s="141">
        <v>1600</v>
      </c>
      <c r="U4" s="141">
        <v>1700</v>
      </c>
      <c r="V4" s="141">
        <v>1800</v>
      </c>
      <c r="W4" s="141">
        <v>1900</v>
      </c>
      <c r="X4" s="140">
        <v>2000</v>
      </c>
      <c r="Y4" s="141">
        <v>2100</v>
      </c>
      <c r="Z4" s="141">
        <v>2200</v>
      </c>
      <c r="AA4" s="141">
        <v>2300</v>
      </c>
      <c r="AB4" s="141">
        <v>2400</v>
      </c>
      <c r="AC4" s="140">
        <v>2500</v>
      </c>
      <c r="AD4" s="141">
        <v>2600</v>
      </c>
      <c r="AE4" s="141">
        <v>2700</v>
      </c>
      <c r="AF4" s="141">
        <v>2800</v>
      </c>
      <c r="AG4" s="141">
        <v>2900</v>
      </c>
      <c r="AH4" s="140">
        <v>3000</v>
      </c>
      <c r="AJ4" s="165">
        <v>1</v>
      </c>
      <c r="AQ4" s="127"/>
      <c r="AR4" s="127"/>
      <c r="AS4" s="127"/>
      <c r="AT4" s="127"/>
    </row>
    <row r="5" spans="1:54">
      <c r="A5" s="142"/>
      <c r="B5" s="143"/>
      <c r="C5" s="143"/>
      <c r="D5" s="144"/>
      <c r="E5" s="146">
        <v>0.31313131313131315</v>
      </c>
      <c r="F5" s="146">
        <v>0.26019935794083815</v>
      </c>
      <c r="G5" s="146">
        <v>0.2292361490645578</v>
      </c>
      <c r="H5" s="146">
        <v>0.20726740275036315</v>
      </c>
      <c r="I5" s="146">
        <v>0.19022711925723024</v>
      </c>
      <c r="J5" s="146">
        <v>0.1763041938740828</v>
      </c>
      <c r="K5" s="146">
        <v>0.16453252819320063</v>
      </c>
      <c r="L5" s="146">
        <v>0.15433544755988815</v>
      </c>
      <c r="M5" s="146">
        <v>0.14534098499780224</v>
      </c>
      <c r="N5" s="146">
        <v>0.13729516406675524</v>
      </c>
      <c r="O5" s="146">
        <v>0.13001683370909145</v>
      </c>
      <c r="P5" s="146">
        <v>0.1233722386836078</v>
      </c>
      <c r="Q5" s="146">
        <v>0.11725980378561496</v>
      </c>
      <c r="R5" s="146">
        <v>0.11160057300272563</v>
      </c>
      <c r="S5" s="146">
        <v>0.10633195519047489</v>
      </c>
      <c r="T5" s="146">
        <v>0.10140349236941337</v>
      </c>
      <c r="U5" s="146">
        <v>9.6773913175518755E-2</v>
      </c>
      <c r="V5" s="146">
        <v>9.2409029807327236E-2</v>
      </c>
      <c r="W5" s="146">
        <v>8.8280204337331414E-2</v>
      </c>
      <c r="X5" s="146">
        <v>8.4363208876280238E-2</v>
      </c>
      <c r="Y5" s="146">
        <v>8.0637364126445066E-2</v>
      </c>
      <c r="Z5" s="146">
        <v>7.7084878518616229E-2</v>
      </c>
      <c r="AA5" s="146">
        <v>7.3690334371965927E-2</v>
      </c>
      <c r="AB5" s="146">
        <v>7.0440283493132583E-2</v>
      </c>
      <c r="AC5" s="146">
        <v>6.7322925383147325E-2</v>
      </c>
      <c r="AD5" s="146">
        <v>6.4327848595139958E-2</v>
      </c>
      <c r="AE5" s="146">
        <v>6.1445820931046669E-2</v>
      </c>
      <c r="AF5" s="146">
        <v>5.8668617812250634E-2</v>
      </c>
      <c r="AG5" s="146">
        <v>5.5988880781041361E-2</v>
      </c>
      <c r="AH5" s="146">
        <v>5.3399999999999892E-2</v>
      </c>
      <c r="AI5" s="143"/>
      <c r="AJ5" s="165">
        <v>2</v>
      </c>
      <c r="AK5" s="143"/>
      <c r="AL5" s="143"/>
      <c r="AU5" s="127"/>
      <c r="AV5" s="127"/>
      <c r="AW5" s="127"/>
      <c r="AX5" s="127"/>
      <c r="AY5" s="127"/>
      <c r="AZ5" s="127"/>
      <c r="BA5" s="127"/>
      <c r="BB5" s="127"/>
    </row>
    <row r="6" spans="1:54">
      <c r="A6" s="142" t="s">
        <v>90</v>
      </c>
      <c r="B6" s="143">
        <v>0.34</v>
      </c>
      <c r="C6" s="143">
        <v>1.65</v>
      </c>
      <c r="D6" s="144">
        <f>B6+C6</f>
        <v>1.99</v>
      </c>
      <c r="E6" s="145">
        <f ca="1">$D6+($D6*E$5)*Calculs!$Q$32</f>
        <v>2.613131313131313</v>
      </c>
      <c r="F6" s="145">
        <f ca="1">$D6+($D6*F$5)*Calculs!$Q$32</f>
        <v>2.5077967223022677</v>
      </c>
      <c r="G6" s="145">
        <f ca="1">$D6+($D6*G$5)*Calculs!$Q$32</f>
        <v>2.4461799366384698</v>
      </c>
      <c r="H6" s="145">
        <f ca="1">$D6+($D6*H$5)*Calculs!$Q$32</f>
        <v>2.4024621314732229</v>
      </c>
      <c r="I6" s="145">
        <f ca="1">$D6+($D6*I$5)*Calculs!$Q$32</f>
        <v>2.368551967321888</v>
      </c>
      <c r="J6" s="145">
        <f ca="1">$D6+($D6*J$5)*Calculs!$Q$32</f>
        <v>2.3408453458094249</v>
      </c>
      <c r="K6" s="145">
        <f ca="1">$D6+($D6*K$5)*Calculs!$Q$32</f>
        <v>2.3174197311044691</v>
      </c>
      <c r="L6" s="145">
        <f ca="1">$D6+($D6*L$5)*Calculs!$Q$32</f>
        <v>2.2971275406441776</v>
      </c>
      <c r="M6" s="145">
        <f ca="1">$D6+($D6*M$5)*Calculs!$Q$32</f>
        <v>2.2792285601456266</v>
      </c>
      <c r="N6" s="145">
        <f ca="1">$D6+($D6*N$5)*Calculs!$Q$32</f>
        <v>2.2632173764928432</v>
      </c>
      <c r="O6" s="145">
        <f ca="1">$D6+($D6*O$5)*Calculs!$Q$32</f>
        <v>2.2487334990810921</v>
      </c>
      <c r="P6" s="145">
        <f ca="1">$D6+($D6*P$5)*Calculs!$Q$32</f>
        <v>2.2355107549803797</v>
      </c>
      <c r="Q6" s="145">
        <f ca="1">$D6+($D6*Q$5)*Calculs!$Q$32</f>
        <v>2.2233470095333736</v>
      </c>
      <c r="R6" s="145">
        <f ca="1">$D6+($D6*R$5)*Calculs!$Q$32</f>
        <v>2.2120851402754238</v>
      </c>
      <c r="S6" s="145">
        <f ca="1">$D6+($D6*S$5)*Calculs!$Q$32</f>
        <v>2.2016005908290452</v>
      </c>
      <c r="T6" s="145">
        <f ca="1">$D6+($D6*T$5)*Calculs!$Q$32</f>
        <v>2.1917929498151327</v>
      </c>
      <c r="U6" s="145">
        <f ca="1">$D6+($D6*U$5)*Calculs!$Q$32</f>
        <v>2.1825800872192822</v>
      </c>
      <c r="V6" s="145">
        <f ca="1">$D6+($D6*V$5)*Calculs!$Q$32</f>
        <v>2.1738939693165813</v>
      </c>
      <c r="W6" s="145">
        <f ca="1">$D6+($D6*W$5)*Calculs!$Q$32</f>
        <v>2.1656776066312897</v>
      </c>
      <c r="X6" s="145">
        <f ca="1">$D6+($D6*X$5)*Calculs!$Q$32</f>
        <v>2.1578827856637979</v>
      </c>
      <c r="Y6" s="145">
        <f ca="1">$D6+($D6*Y$5)*Calculs!$Q$32</f>
        <v>2.1504683546116254</v>
      </c>
      <c r="Z6" s="145">
        <f ca="1">$D6+($D6*Z$5)*Calculs!$Q$32</f>
        <v>2.1433989082520464</v>
      </c>
      <c r="AA6" s="145">
        <f ca="1">$D6+($D6*AA$5)*Calculs!$Q$32</f>
        <v>2.1366437654002124</v>
      </c>
      <c r="AB6" s="145">
        <f ca="1">$D6+($D6*AB$5)*Calculs!$Q$32</f>
        <v>2.1301761641513339</v>
      </c>
      <c r="AC6" s="145">
        <f ca="1">$D6+($D6*AC$5)*Calculs!$Q$32</f>
        <v>2.123972621512463</v>
      </c>
      <c r="AD6" s="145">
        <f ca="1">$D6+($D6*AD$5)*Calculs!$Q$32</f>
        <v>2.1180124187043283</v>
      </c>
      <c r="AE6" s="145">
        <f ca="1">$D6+($D6*AE$5)*Calculs!$Q$32</f>
        <v>2.1122771836527829</v>
      </c>
      <c r="AF6" s="145">
        <f ca="1">$D6+($D6*AF$5)*Calculs!$Q$32</f>
        <v>2.106750549446379</v>
      </c>
      <c r="AG6" s="145">
        <f ca="1">$D6+($D6*AG$5)*Calculs!$Q$32</f>
        <v>2.1014178727542725</v>
      </c>
      <c r="AH6" s="145">
        <f ca="1">$D6+($D6*AH$5)*Calculs!$Q$32</f>
        <v>2.096266</v>
      </c>
      <c r="AI6" s="143"/>
      <c r="AJ6" s="165">
        <v>3</v>
      </c>
      <c r="AK6" s="143"/>
      <c r="AL6" s="143"/>
      <c r="AU6" s="127"/>
      <c r="AV6" s="127"/>
      <c r="AW6" s="127"/>
      <c r="AX6" s="127"/>
      <c r="AY6" s="127"/>
      <c r="AZ6" s="127"/>
      <c r="BA6" s="127"/>
      <c r="BB6" s="127"/>
    </row>
    <row r="7" spans="1:54" s="155" customFormat="1">
      <c r="A7" s="151" t="s">
        <v>71</v>
      </c>
      <c r="B7" s="152">
        <v>0.33</v>
      </c>
      <c r="C7" s="152">
        <v>1.77</v>
      </c>
      <c r="D7" s="153">
        <v>1.5563</v>
      </c>
      <c r="E7" s="145">
        <f ca="1">$D$7+($D$7*E5)</f>
        <v>2.0436262626262627</v>
      </c>
      <c r="F7" s="145">
        <f t="shared" ref="F7:AH7" si="0">$D$7+($D$7*F5)</f>
        <v>1.9612482607633264</v>
      </c>
      <c r="G7" s="145">
        <f t="shared" si="0"/>
        <v>1.9130602187891714</v>
      </c>
      <c r="H7" s="145">
        <f t="shared" si="0"/>
        <v>1.8788702589003901</v>
      </c>
      <c r="I7" s="145">
        <f t="shared" si="0"/>
        <v>1.8523504657000274</v>
      </c>
      <c r="J7" s="145">
        <f t="shared" si="0"/>
        <v>1.8306822169262351</v>
      </c>
      <c r="K7" s="145">
        <f t="shared" si="0"/>
        <v>1.8123619736270782</v>
      </c>
      <c r="L7" s="145">
        <f t="shared" si="0"/>
        <v>1.796492257037454</v>
      </c>
      <c r="M7" s="145">
        <f t="shared" si="0"/>
        <v>1.7824941749520797</v>
      </c>
      <c r="N7" s="145">
        <f t="shared" si="0"/>
        <v>1.7699724638370913</v>
      </c>
      <c r="O7" s="145">
        <f t="shared" si="0"/>
        <v>1.758645198301459</v>
      </c>
      <c r="P7" s="145">
        <f t="shared" si="0"/>
        <v>1.7483042150632988</v>
      </c>
      <c r="Q7" s="145">
        <f t="shared" si="0"/>
        <v>1.7387914326315526</v>
      </c>
      <c r="R7" s="145">
        <f t="shared" si="0"/>
        <v>1.7299839717641419</v>
      </c>
      <c r="S7" s="145">
        <f t="shared" si="0"/>
        <v>1.7217844218629361</v>
      </c>
      <c r="T7" s="145">
        <f t="shared" si="0"/>
        <v>1.7141142551745181</v>
      </c>
      <c r="U7" s="145">
        <f t="shared" si="0"/>
        <v>1.7069092410750599</v>
      </c>
      <c r="V7" s="145">
        <f t="shared" si="0"/>
        <v>1.7001161730891434</v>
      </c>
      <c r="W7" s="145">
        <f t="shared" si="0"/>
        <v>1.6936904820101888</v>
      </c>
      <c r="X7" s="145">
        <f t="shared" si="0"/>
        <v>1.687594461974155</v>
      </c>
      <c r="Y7" s="145">
        <f t="shared" si="0"/>
        <v>1.6817959297899865</v>
      </c>
      <c r="Z7" s="145">
        <f t="shared" si="0"/>
        <v>1.6762671964385225</v>
      </c>
      <c r="AA7" s="145">
        <f t="shared" si="0"/>
        <v>1.6709842673830906</v>
      </c>
      <c r="AB7" s="145">
        <f t="shared" si="0"/>
        <v>1.6659262132003623</v>
      </c>
      <c r="AC7" s="145">
        <f t="shared" si="0"/>
        <v>1.6610746687737923</v>
      </c>
      <c r="AD7" s="145">
        <f t="shared" si="0"/>
        <v>1.6564134307686162</v>
      </c>
      <c r="AE7" s="145">
        <f t="shared" si="0"/>
        <v>1.651928131114988</v>
      </c>
      <c r="AF7" s="145">
        <f t="shared" si="0"/>
        <v>1.6476059699012058</v>
      </c>
      <c r="AG7" s="145">
        <f t="shared" si="0"/>
        <v>1.6434354951595347</v>
      </c>
      <c r="AH7" s="145">
        <f t="shared" si="0"/>
        <v>1.6394064199999998</v>
      </c>
      <c r="AI7" s="152"/>
      <c r="AJ7" s="166">
        <v>4</v>
      </c>
      <c r="AK7" s="152"/>
      <c r="AL7" s="152"/>
      <c r="AM7" s="154"/>
      <c r="AN7" s="154"/>
      <c r="AO7" s="154"/>
      <c r="AP7" s="154"/>
      <c r="AU7" s="154"/>
      <c r="AV7" s="154"/>
      <c r="AW7" s="154"/>
      <c r="AX7" s="154"/>
      <c r="AY7" s="154"/>
      <c r="AZ7" s="154"/>
      <c r="BA7" s="154"/>
      <c r="BB7" s="154"/>
    </row>
    <row r="8" spans="1:54">
      <c r="A8" s="142" t="s">
        <v>102</v>
      </c>
      <c r="B8" s="143"/>
      <c r="C8" s="143">
        <v>1</v>
      </c>
      <c r="D8" s="144">
        <v>2</v>
      </c>
      <c r="E8" s="145">
        <f ca="1">D8*Calculs!$Q$26</f>
        <v>2</v>
      </c>
      <c r="F8" s="145">
        <f t="shared" ref="F8:T8" si="1">E8</f>
        <v>2</v>
      </c>
      <c r="G8" s="145">
        <f t="shared" si="1"/>
        <v>2</v>
      </c>
      <c r="H8" s="145">
        <f t="shared" si="1"/>
        <v>2</v>
      </c>
      <c r="I8" s="145">
        <f t="shared" si="1"/>
        <v>2</v>
      </c>
      <c r="J8" s="145">
        <f t="shared" si="1"/>
        <v>2</v>
      </c>
      <c r="K8" s="145">
        <f t="shared" si="1"/>
        <v>2</v>
      </c>
      <c r="L8" s="145">
        <f t="shared" si="1"/>
        <v>2</v>
      </c>
      <c r="M8" s="145">
        <f t="shared" si="1"/>
        <v>2</v>
      </c>
      <c r="N8" s="145">
        <f t="shared" si="1"/>
        <v>2</v>
      </c>
      <c r="O8" s="145">
        <f t="shared" si="1"/>
        <v>2</v>
      </c>
      <c r="P8" s="145">
        <f t="shared" si="1"/>
        <v>2</v>
      </c>
      <c r="Q8" s="145">
        <f t="shared" si="1"/>
        <v>2</v>
      </c>
      <c r="R8" s="145">
        <f t="shared" si="1"/>
        <v>2</v>
      </c>
      <c r="S8" s="145">
        <f t="shared" si="1"/>
        <v>2</v>
      </c>
      <c r="T8" s="145">
        <f t="shared" si="1"/>
        <v>2</v>
      </c>
      <c r="U8" s="145">
        <f t="shared" ref="F8:AH9" si="2">T8</f>
        <v>2</v>
      </c>
      <c r="V8" s="145">
        <f t="shared" si="2"/>
        <v>2</v>
      </c>
      <c r="W8" s="145">
        <f t="shared" si="2"/>
        <v>2</v>
      </c>
      <c r="X8" s="145">
        <f t="shared" si="2"/>
        <v>2</v>
      </c>
      <c r="Y8" s="145">
        <f t="shared" si="2"/>
        <v>2</v>
      </c>
      <c r="Z8" s="145">
        <f t="shared" si="2"/>
        <v>2</v>
      </c>
      <c r="AA8" s="145">
        <f t="shared" si="2"/>
        <v>2</v>
      </c>
      <c r="AB8" s="145">
        <f t="shared" si="2"/>
        <v>2</v>
      </c>
      <c r="AC8" s="145">
        <f t="shared" si="2"/>
        <v>2</v>
      </c>
      <c r="AD8" s="145">
        <f t="shared" si="2"/>
        <v>2</v>
      </c>
      <c r="AE8" s="145">
        <f t="shared" si="2"/>
        <v>2</v>
      </c>
      <c r="AF8" s="145">
        <f t="shared" si="2"/>
        <v>2</v>
      </c>
      <c r="AG8" s="145">
        <f t="shared" si="2"/>
        <v>2</v>
      </c>
      <c r="AH8" s="145">
        <f t="shared" si="2"/>
        <v>2</v>
      </c>
      <c r="AI8" s="143"/>
      <c r="AJ8" s="165">
        <v>5</v>
      </c>
      <c r="AK8" s="143"/>
      <c r="AL8" s="143"/>
      <c r="AU8" s="127"/>
      <c r="AV8" s="127"/>
      <c r="AW8" s="127"/>
      <c r="AX8" s="127"/>
      <c r="AY8" s="127"/>
      <c r="AZ8" s="127"/>
      <c r="BA8" s="127"/>
      <c r="BB8" s="127"/>
    </row>
    <row r="9" spans="1:54">
      <c r="A9" s="142" t="s">
        <v>101</v>
      </c>
      <c r="B9" s="143"/>
      <c r="C9" s="143">
        <v>3.75</v>
      </c>
      <c r="D9" s="144">
        <v>3</v>
      </c>
      <c r="E9" s="145">
        <f ca="1">D9*Calculs!$Q$26</f>
        <v>3</v>
      </c>
      <c r="F9" s="145">
        <f t="shared" si="2"/>
        <v>3</v>
      </c>
      <c r="G9" s="145">
        <f t="shared" si="2"/>
        <v>3</v>
      </c>
      <c r="H9" s="145">
        <f t="shared" si="2"/>
        <v>3</v>
      </c>
      <c r="I9" s="145">
        <f t="shared" si="2"/>
        <v>3</v>
      </c>
      <c r="J9" s="145">
        <f t="shared" si="2"/>
        <v>3</v>
      </c>
      <c r="K9" s="145">
        <f t="shared" si="2"/>
        <v>3</v>
      </c>
      <c r="L9" s="145">
        <f t="shared" si="2"/>
        <v>3</v>
      </c>
      <c r="M9" s="145">
        <f t="shared" si="2"/>
        <v>3</v>
      </c>
      <c r="N9" s="145">
        <f t="shared" si="2"/>
        <v>3</v>
      </c>
      <c r="O9" s="145">
        <f t="shared" si="2"/>
        <v>3</v>
      </c>
      <c r="P9" s="145">
        <f t="shared" si="2"/>
        <v>3</v>
      </c>
      <c r="Q9" s="145">
        <f t="shared" si="2"/>
        <v>3</v>
      </c>
      <c r="R9" s="145">
        <f t="shared" si="2"/>
        <v>3</v>
      </c>
      <c r="S9" s="145">
        <f t="shared" si="2"/>
        <v>3</v>
      </c>
      <c r="T9" s="145">
        <f t="shared" si="2"/>
        <v>3</v>
      </c>
      <c r="U9" s="145">
        <f t="shared" si="2"/>
        <v>3</v>
      </c>
      <c r="V9" s="145">
        <f t="shared" si="2"/>
        <v>3</v>
      </c>
      <c r="W9" s="145">
        <f t="shared" si="2"/>
        <v>3</v>
      </c>
      <c r="X9" s="145">
        <f t="shared" si="2"/>
        <v>3</v>
      </c>
      <c r="Y9" s="145">
        <f t="shared" si="2"/>
        <v>3</v>
      </c>
      <c r="Z9" s="145">
        <f t="shared" si="2"/>
        <v>3</v>
      </c>
      <c r="AA9" s="145">
        <f t="shared" si="2"/>
        <v>3</v>
      </c>
      <c r="AB9" s="145">
        <f t="shared" si="2"/>
        <v>3</v>
      </c>
      <c r="AC9" s="145">
        <f t="shared" si="2"/>
        <v>3</v>
      </c>
      <c r="AD9" s="145">
        <f t="shared" si="2"/>
        <v>3</v>
      </c>
      <c r="AE9" s="145">
        <f t="shared" si="2"/>
        <v>3</v>
      </c>
      <c r="AF9" s="145">
        <f t="shared" si="2"/>
        <v>3</v>
      </c>
      <c r="AG9" s="145">
        <f t="shared" si="2"/>
        <v>3</v>
      </c>
      <c r="AH9" s="145">
        <f t="shared" si="2"/>
        <v>3</v>
      </c>
      <c r="AI9" s="143"/>
      <c r="AJ9" s="165">
        <v>6</v>
      </c>
      <c r="AK9" s="143"/>
      <c r="AL9" s="143"/>
      <c r="AU9" s="127"/>
      <c r="AV9" s="127"/>
      <c r="AW9" s="127"/>
      <c r="AX9" s="127"/>
      <c r="AY9" s="127"/>
      <c r="AZ9" s="127"/>
      <c r="BA9" s="127"/>
      <c r="BB9" s="127"/>
    </row>
    <row r="10" spans="1:54" s="148" customFormat="1">
      <c r="A10" s="147" t="s">
        <v>91</v>
      </c>
      <c r="E10" s="149">
        <f>IF(E4=$I$1,E6,0)</f>
        <v>0</v>
      </c>
      <c r="F10" s="149">
        <f t="shared" ref="F10:AH10" si="3">IF(F4=$I$1,F6,0)</f>
        <v>0</v>
      </c>
      <c r="G10" s="149">
        <f t="shared" si="3"/>
        <v>0</v>
      </c>
      <c r="H10" s="149">
        <f t="shared" si="3"/>
        <v>0</v>
      </c>
      <c r="I10" s="149">
        <f t="shared" si="3"/>
        <v>0</v>
      </c>
      <c r="J10" s="149">
        <f t="shared" si="3"/>
        <v>0</v>
      </c>
      <c r="K10" s="149">
        <f t="shared" si="3"/>
        <v>0</v>
      </c>
      <c r="L10" s="149">
        <f t="shared" si="3"/>
        <v>0</v>
      </c>
      <c r="M10" s="149">
        <f t="shared" si="3"/>
        <v>0</v>
      </c>
      <c r="N10" s="149">
        <f t="shared" si="3"/>
        <v>0</v>
      </c>
      <c r="O10" s="149">
        <f t="shared" si="3"/>
        <v>0</v>
      </c>
      <c r="P10" s="149">
        <f t="shared" si="3"/>
        <v>0</v>
      </c>
      <c r="Q10" s="149">
        <f t="shared" si="3"/>
        <v>0</v>
      </c>
      <c r="R10" s="149">
        <f t="shared" si="3"/>
        <v>0</v>
      </c>
      <c r="S10" s="149">
        <f t="shared" si="3"/>
        <v>0</v>
      </c>
      <c r="T10" s="149">
        <f t="shared" si="3"/>
        <v>0</v>
      </c>
      <c r="U10" s="149">
        <f t="shared" si="3"/>
        <v>0</v>
      </c>
      <c r="V10" s="149">
        <f t="shared" si="3"/>
        <v>2.1738939693165813</v>
      </c>
      <c r="W10" s="149">
        <f t="shared" si="3"/>
        <v>0</v>
      </c>
      <c r="X10" s="149">
        <f t="shared" si="3"/>
        <v>0</v>
      </c>
      <c r="Y10" s="149">
        <f t="shared" si="3"/>
        <v>0</v>
      </c>
      <c r="Z10" s="149">
        <f t="shared" si="3"/>
        <v>0</v>
      </c>
      <c r="AA10" s="149">
        <f t="shared" si="3"/>
        <v>0</v>
      </c>
      <c r="AB10" s="149">
        <f t="shared" si="3"/>
        <v>0</v>
      </c>
      <c r="AC10" s="149">
        <f t="shared" si="3"/>
        <v>0</v>
      </c>
      <c r="AD10" s="149">
        <f t="shared" si="3"/>
        <v>0</v>
      </c>
      <c r="AE10" s="149">
        <f t="shared" si="3"/>
        <v>0</v>
      </c>
      <c r="AF10" s="149">
        <f t="shared" si="3"/>
        <v>0</v>
      </c>
      <c r="AG10" s="149">
        <f t="shared" si="3"/>
        <v>0</v>
      </c>
      <c r="AH10" s="149">
        <f t="shared" si="3"/>
        <v>0</v>
      </c>
      <c r="AI10" s="147"/>
      <c r="AJ10" s="147"/>
      <c r="AK10" s="147"/>
      <c r="AL10" s="147"/>
      <c r="AM10" s="147"/>
      <c r="AN10" s="147"/>
      <c r="AO10" s="147"/>
      <c r="AP10" s="147"/>
    </row>
    <row r="16" spans="1:54" s="150" customFormat="1">
      <c r="A16" s="116"/>
      <c r="B16" s="116"/>
      <c r="C16" s="116"/>
      <c r="D16" s="116"/>
      <c r="H16" s="141"/>
      <c r="AI16" s="127"/>
      <c r="AJ16" s="127"/>
      <c r="AK16" s="127"/>
      <c r="AL16" s="127"/>
      <c r="AM16" s="127"/>
      <c r="AN16" s="127"/>
      <c r="AO16" s="127"/>
      <c r="AP16" s="127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</row>
  </sheetData>
  <mergeCells count="1">
    <mergeCell ref="F1:H1"/>
  </mergeCells>
  <phoneticPr fontId="0" type="noConversion"/>
  <conditionalFormatting sqref="E5:AH9">
    <cfRule type="expression" dxfId="14" priority="2" stopIfTrue="1">
      <formula>$I$1=E$4</formula>
    </cfRule>
  </conditionalFormatting>
  <conditionalFormatting sqref="E4:AH4">
    <cfRule type="expression" dxfId="13" priority="1" stopIfTrue="1">
      <formula>$I$1=E$4</formula>
    </cfRule>
  </conditionalFormatting>
  <pageMargins left="0.12" right="0.2" top="0.984251969" bottom="0.984251969" header="0.45" footer="0.4921259845"/>
  <pageSetup paperSize="9" scale="79" orientation="landscape" horizontalDpi="4294967293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indexed="13"/>
  </sheetPr>
  <dimension ref="A1:AM85"/>
  <sheetViews>
    <sheetView showZeros="0" zoomScale="85" workbookViewId="0">
      <selection activeCell="S71" sqref="S71:S73"/>
    </sheetView>
  </sheetViews>
  <sheetFormatPr baseColWidth="10" defaultRowHeight="12.75"/>
  <cols>
    <col min="1" max="1" width="3.7109375" style="117" customWidth="1"/>
    <col min="2" max="6" width="5.7109375" style="116" customWidth="1"/>
    <col min="7" max="7" width="7.140625" style="116" customWidth="1"/>
    <col min="8" max="14" width="5.7109375" style="116" customWidth="1"/>
    <col min="15" max="16" width="5.7109375" style="127" customWidth="1"/>
    <col min="17" max="17" width="6.28515625" style="116" customWidth="1"/>
    <col min="18" max="18" width="7.140625" style="127" customWidth="1"/>
    <col min="19" max="22" width="5.7109375" style="127" customWidth="1"/>
    <col min="23" max="23" width="5.7109375" style="150" customWidth="1"/>
    <col min="24" max="24" width="5.7109375" style="117" customWidth="1"/>
    <col min="25" max="25" width="5.7109375" style="279" customWidth="1"/>
    <col min="26" max="26" width="5.7109375" style="127" customWidth="1"/>
    <col min="27" max="27" width="5.7109375" style="150" customWidth="1"/>
    <col min="28" max="28" width="5.7109375" style="127" customWidth="1"/>
    <col min="29" max="30" width="5.7109375" style="150" customWidth="1"/>
    <col min="31" max="31" width="5.7109375" style="127" customWidth="1"/>
    <col min="32" max="32" width="5.7109375" style="150" customWidth="1"/>
    <col min="33" max="33" width="5.7109375" style="127" customWidth="1"/>
    <col min="34" max="61" width="5.7109375" style="116" customWidth="1"/>
    <col min="62" max="16384" width="11.42578125" style="116"/>
  </cols>
  <sheetData>
    <row r="1" spans="1:39" s="190" customFormat="1" ht="11.1" customHeight="1" thickBot="1">
      <c r="B1" s="190">
        <v>1</v>
      </c>
      <c r="C1" s="190">
        <v>2</v>
      </c>
      <c r="D1" s="190">
        <v>3</v>
      </c>
      <c r="E1" s="190">
        <v>4</v>
      </c>
      <c r="F1" s="190">
        <v>5</v>
      </c>
      <c r="G1" s="190">
        <v>6</v>
      </c>
      <c r="H1" s="190">
        <v>7</v>
      </c>
      <c r="I1" s="190">
        <v>8</v>
      </c>
      <c r="J1" s="190">
        <v>9</v>
      </c>
      <c r="K1" s="190">
        <v>10</v>
      </c>
      <c r="L1" s="190">
        <v>11</v>
      </c>
      <c r="M1" s="190">
        <v>12</v>
      </c>
      <c r="N1" s="190">
        <v>13</v>
      </c>
      <c r="O1" s="190">
        <v>14</v>
      </c>
      <c r="P1" s="190">
        <v>15</v>
      </c>
      <c r="Q1" s="190">
        <v>16</v>
      </c>
      <c r="R1" s="190">
        <v>17</v>
      </c>
      <c r="S1" s="190">
        <v>18</v>
      </c>
      <c r="T1" s="190">
        <v>19</v>
      </c>
      <c r="U1" s="190">
        <v>20</v>
      </c>
      <c r="V1" s="190">
        <v>21</v>
      </c>
      <c r="W1" s="190">
        <v>22</v>
      </c>
      <c r="X1" s="190">
        <v>23</v>
      </c>
      <c r="Y1" s="190">
        <v>24</v>
      </c>
      <c r="Z1" s="190">
        <v>25</v>
      </c>
      <c r="AA1" s="190">
        <v>26</v>
      </c>
      <c r="AB1" s="190">
        <v>27</v>
      </c>
      <c r="AC1" s="190">
        <v>28</v>
      </c>
      <c r="AD1" s="190">
        <v>29</v>
      </c>
      <c r="AE1" s="190">
        <v>30</v>
      </c>
      <c r="AF1" s="190">
        <v>31</v>
      </c>
      <c r="AG1" s="190">
        <v>32</v>
      </c>
    </row>
    <row r="2" spans="1:39" ht="11.1" customHeight="1" thickBot="1">
      <c r="B2" s="191" t="s">
        <v>110</v>
      </c>
      <c r="C2" s="192"/>
      <c r="D2" s="192"/>
      <c r="E2" s="192"/>
      <c r="F2" s="192"/>
      <c r="G2" s="417">
        <v>6.8514920194309497</v>
      </c>
      <c r="I2" s="193" t="s">
        <v>111</v>
      </c>
      <c r="J2" s="194"/>
      <c r="K2" s="194"/>
      <c r="L2" s="194"/>
      <c r="M2" s="194"/>
      <c r="N2" s="194"/>
      <c r="O2" s="195"/>
      <c r="P2" s="196"/>
      <c r="S2" s="1073" t="s">
        <v>112</v>
      </c>
      <c r="T2" s="1074"/>
      <c r="U2" s="197">
        <v>1.25</v>
      </c>
      <c r="V2" s="198">
        <f>(U2-0.205)*1.048</f>
        <v>1.0951599999999999</v>
      </c>
      <c r="W2" s="199" t="s">
        <v>68</v>
      </c>
      <c r="X2" s="200" t="s">
        <v>113</v>
      </c>
      <c r="Y2" s="201"/>
      <c r="Z2" s="201"/>
      <c r="AA2" s="201"/>
      <c r="AB2" s="202"/>
      <c r="AH2" s="1075" t="s">
        <v>114</v>
      </c>
      <c r="AI2" s="1075"/>
      <c r="AJ2" s="1075"/>
      <c r="AK2" s="1075"/>
      <c r="AL2" s="1075"/>
      <c r="AM2" s="1075"/>
    </row>
    <row r="3" spans="1:39" ht="11.1" customHeight="1" thickBot="1">
      <c r="B3" s="203" t="s">
        <v>115</v>
      </c>
      <c r="C3" s="204"/>
      <c r="D3" s="204"/>
      <c r="E3" s="204"/>
      <c r="F3" s="204"/>
      <c r="G3" s="418">
        <v>9.1063202637057596</v>
      </c>
      <c r="I3" s="193" t="s">
        <v>116</v>
      </c>
      <c r="J3" s="194"/>
      <c r="K3" s="194"/>
      <c r="L3" s="194"/>
      <c r="M3" s="194"/>
      <c r="N3" s="194"/>
      <c r="O3" s="419">
        <v>24.5</v>
      </c>
      <c r="P3" s="205"/>
      <c r="R3" s="206"/>
      <c r="S3" s="207" t="s">
        <v>117</v>
      </c>
      <c r="T3" s="208"/>
      <c r="U3" s="209">
        <v>1.58</v>
      </c>
      <c r="V3" s="210">
        <f>(U3-0.205)*1.048</f>
        <v>1.4410000000000001</v>
      </c>
      <c r="W3" s="211" t="s">
        <v>68</v>
      </c>
      <c r="X3" s="212"/>
      <c r="Y3" s="213"/>
      <c r="Z3" s="213"/>
      <c r="AA3" s="213"/>
      <c r="AB3" s="214"/>
      <c r="AD3" s="215" t="s">
        <v>118</v>
      </c>
      <c r="AE3" s="1076">
        <f ca="1">TODAY()</f>
        <v>40735</v>
      </c>
      <c r="AF3" s="1077"/>
      <c r="AH3" s="216" t="s">
        <v>119</v>
      </c>
      <c r="AI3" s="216">
        <v>12.5</v>
      </c>
      <c r="AJ3" s="216" t="s">
        <v>120</v>
      </c>
      <c r="AK3" s="216">
        <v>14.9</v>
      </c>
      <c r="AL3" s="216" t="s">
        <v>121</v>
      </c>
      <c r="AM3" s="216"/>
    </row>
    <row r="4" spans="1:39" ht="11.1" customHeight="1" thickBot="1">
      <c r="B4" s="217" t="s">
        <v>122</v>
      </c>
      <c r="M4" s="218"/>
      <c r="N4" s="219"/>
      <c r="O4" s="219"/>
      <c r="P4" s="219"/>
      <c r="R4" s="206"/>
      <c r="S4" s="220" t="s">
        <v>123</v>
      </c>
      <c r="T4" s="208"/>
      <c r="U4" s="221">
        <v>1.75</v>
      </c>
      <c r="V4" s="222">
        <f>(U4-0.205)*1.048</f>
        <v>1.6191599999999999</v>
      </c>
      <c r="W4" s="223" t="s">
        <v>68</v>
      </c>
      <c r="X4" s="212"/>
      <c r="Y4" s="213"/>
      <c r="Z4" s="213"/>
      <c r="AA4" s="213"/>
      <c r="AB4" s="214"/>
      <c r="AH4" s="216" t="s">
        <v>124</v>
      </c>
      <c r="AI4" s="216">
        <v>15.2</v>
      </c>
      <c r="AJ4" s="216" t="s">
        <v>125</v>
      </c>
      <c r="AK4" s="216">
        <v>19.600000000000001</v>
      </c>
      <c r="AL4" s="216" t="s">
        <v>126</v>
      </c>
      <c r="AM4" s="216">
        <v>22</v>
      </c>
    </row>
    <row r="5" spans="1:39" ht="11.1" customHeight="1" thickBot="1">
      <c r="B5" s="193" t="s">
        <v>127</v>
      </c>
      <c r="C5" s="194"/>
      <c r="D5" s="194"/>
      <c r="E5" s="194"/>
      <c r="F5" s="194"/>
      <c r="G5" s="419">
        <v>18.39</v>
      </c>
      <c r="M5" s="218"/>
      <c r="N5" s="219"/>
      <c r="O5" s="219"/>
      <c r="P5" s="219"/>
      <c r="R5" s="206"/>
      <c r="S5" s="207"/>
      <c r="T5" s="208"/>
      <c r="U5" s="221">
        <v>2</v>
      </c>
      <c r="V5" s="222">
        <f>(U5-0.205)*1.048</f>
        <v>1.8811599999999999</v>
      </c>
      <c r="W5" s="223" t="s">
        <v>68</v>
      </c>
      <c r="X5" s="224" t="s">
        <v>128</v>
      </c>
      <c r="Y5" s="213"/>
      <c r="Z5" s="213"/>
      <c r="AA5" s="213"/>
      <c r="AB5" s="214"/>
    </row>
    <row r="6" spans="1:39" ht="11.1" customHeight="1" thickBot="1">
      <c r="D6" s="225"/>
      <c r="M6" s="218"/>
      <c r="N6" s="218"/>
      <c r="O6" s="219"/>
      <c r="P6" s="219"/>
      <c r="Q6" s="219"/>
      <c r="R6" s="226"/>
      <c r="S6" s="203"/>
      <c r="T6" s="227"/>
      <c r="U6" s="228">
        <v>2.5</v>
      </c>
      <c r="V6" s="229">
        <f>(U6-0.205)*1.048</f>
        <v>2.40516</v>
      </c>
      <c r="W6" s="230" t="s">
        <v>68</v>
      </c>
      <c r="X6" s="231" t="s">
        <v>129</v>
      </c>
      <c r="Y6" s="232"/>
      <c r="Z6" s="232"/>
      <c r="AA6" s="232"/>
      <c r="AB6" s="233"/>
      <c r="AE6" s="218"/>
      <c r="AF6" s="234"/>
      <c r="AG6" s="218"/>
    </row>
    <row r="7" spans="1:39" ht="11.1" customHeight="1" thickBot="1">
      <c r="A7" s="132"/>
      <c r="B7" s="235"/>
      <c r="C7" s="235"/>
      <c r="D7" s="235"/>
      <c r="E7" s="235"/>
      <c r="F7" s="235"/>
      <c r="G7" s="235"/>
      <c r="H7" s="205"/>
      <c r="M7" s="218"/>
      <c r="N7" s="1078" t="s">
        <v>130</v>
      </c>
      <c r="O7" s="1079"/>
      <c r="P7" s="236"/>
      <c r="Q7" s="219"/>
      <c r="R7" s="226"/>
      <c r="S7" s="226"/>
      <c r="T7" s="226"/>
      <c r="U7" s="226"/>
      <c r="V7" s="226"/>
      <c r="X7" s="314">
        <v>1.3</v>
      </c>
      <c r="Y7" s="366" t="s">
        <v>131</v>
      </c>
      <c r="Z7" s="315"/>
      <c r="AA7" s="316"/>
      <c r="AB7" s="317"/>
      <c r="AC7" s="255"/>
      <c r="AD7" s="255"/>
      <c r="AE7" s="318"/>
      <c r="AF7" s="257" t="s">
        <v>89</v>
      </c>
      <c r="AG7" s="408">
        <v>2</v>
      </c>
    </row>
    <row r="8" spans="1:39">
      <c r="B8" s="243" t="s">
        <v>132</v>
      </c>
      <c r="C8" s="244"/>
      <c r="D8" s="244"/>
      <c r="E8" s="244"/>
      <c r="F8" s="245"/>
      <c r="G8" s="167"/>
      <c r="H8" s="1062" t="s">
        <v>134</v>
      </c>
      <c r="I8" s="1063"/>
      <c r="J8" s="1063"/>
      <c r="K8" s="1063"/>
      <c r="L8" s="1063"/>
      <c r="M8" s="1064"/>
      <c r="N8" s="250" t="s">
        <v>135</v>
      </c>
      <c r="O8" s="319" t="s">
        <v>68</v>
      </c>
      <c r="P8" s="319" t="s">
        <v>136</v>
      </c>
      <c r="Q8" s="249" t="s">
        <v>137</v>
      </c>
      <c r="R8" s="250" t="s">
        <v>118</v>
      </c>
      <c r="S8" s="244" t="s">
        <v>138</v>
      </c>
      <c r="T8" s="251"/>
      <c r="U8" s="251"/>
      <c r="V8" s="252"/>
      <c r="W8" s="253" t="s">
        <v>139</v>
      </c>
      <c r="X8" s="253" t="s">
        <v>140</v>
      </c>
      <c r="Y8" s="254" t="s">
        <v>141</v>
      </c>
      <c r="Z8" s="255" t="s">
        <v>142</v>
      </c>
      <c r="AA8" s="256" t="s">
        <v>143</v>
      </c>
      <c r="AB8" s="257" t="s">
        <v>144</v>
      </c>
      <c r="AC8" s="256" t="s">
        <v>143</v>
      </c>
      <c r="AD8" s="257" t="s">
        <v>145</v>
      </c>
      <c r="AE8" s="256" t="s">
        <v>143</v>
      </c>
      <c r="AF8" s="258">
        <f ca="1">IF(Pose!G28=0,'Tarif pose'!E6,Pose!G28)</f>
        <v>2.1739999999999999</v>
      </c>
      <c r="AG8" s="259"/>
    </row>
    <row r="9" spans="1:39" ht="14.25">
      <c r="A9" s="150">
        <v>1</v>
      </c>
      <c r="B9" s="736" t="s">
        <v>202</v>
      </c>
      <c r="C9" s="737"/>
      <c r="D9" s="738"/>
      <c r="E9" s="738"/>
      <c r="F9" s="738"/>
      <c r="G9" s="739"/>
      <c r="H9" s="734" t="str">
        <f ca="1">IF(R9="","",IF((R9+120)&lt;$AE$3,"ATTENTION TARIF ACHAT",""))</f>
        <v>ATTENTION TARIF ACHAT</v>
      </c>
      <c r="I9" s="748"/>
      <c r="J9" s="748"/>
      <c r="K9" s="748"/>
      <c r="L9" s="748"/>
      <c r="M9" s="749"/>
      <c r="N9" s="750"/>
      <c r="O9" s="751">
        <v>11.34</v>
      </c>
      <c r="P9" s="751">
        <v>1.3</v>
      </c>
      <c r="Q9" s="752">
        <f>(Z9/100*AA9)+(AB9/100*AC9)</f>
        <v>1.2303000000000002</v>
      </c>
      <c r="R9" s="732">
        <v>40575</v>
      </c>
      <c r="S9" s="734" t="s">
        <v>220</v>
      </c>
      <c r="T9" s="748"/>
      <c r="U9" s="748"/>
      <c r="V9" s="749"/>
      <c r="W9" s="753">
        <f>X9+AG9</f>
        <v>22.863390000000003</v>
      </c>
      <c r="X9" s="752">
        <f>(O9*P9)+((AA9*Z9/100+AC9*AB9/100+AE9*AD9/100)*$X$7)</f>
        <v>16.341390000000001</v>
      </c>
      <c r="Y9" s="754" t="s">
        <v>223</v>
      </c>
      <c r="Z9" s="755">
        <v>29.01</v>
      </c>
      <c r="AA9" s="756">
        <v>3</v>
      </c>
      <c r="AB9" s="757">
        <v>12</v>
      </c>
      <c r="AC9" s="758">
        <v>3</v>
      </c>
      <c r="AD9" s="759">
        <v>0</v>
      </c>
      <c r="AE9" s="760">
        <v>0</v>
      </c>
      <c r="AF9" s="757">
        <v>1.5</v>
      </c>
      <c r="AG9" s="761">
        <f>$AF$8*AF9*$AG$7</f>
        <v>6.5220000000000002</v>
      </c>
    </row>
    <row r="10" spans="1:39" s="264" customFormat="1">
      <c r="A10" s="150">
        <v>2</v>
      </c>
      <c r="B10" s="740" t="s">
        <v>203</v>
      </c>
      <c r="C10" s="741"/>
      <c r="D10" s="742"/>
      <c r="E10" s="742"/>
      <c r="F10" s="742"/>
      <c r="G10" s="743"/>
      <c r="H10" s="762"/>
      <c r="I10" s="741"/>
      <c r="J10" s="741"/>
      <c r="K10" s="741"/>
      <c r="L10" s="741"/>
      <c r="M10" s="760"/>
      <c r="N10" s="757"/>
      <c r="O10" s="763">
        <v>12.68</v>
      </c>
      <c r="P10" s="763">
        <v>1.3</v>
      </c>
      <c r="Q10" s="752">
        <f t="shared" ref="Q10:Q27" si="0">(Z10/100*AA10)+(AB10/100*AC10)</f>
        <v>1.2303000000000002</v>
      </c>
      <c r="R10" s="733">
        <v>40575</v>
      </c>
      <c r="S10" s="735" t="s">
        <v>220</v>
      </c>
      <c r="T10" s="764"/>
      <c r="U10" s="764"/>
      <c r="V10" s="765"/>
      <c r="W10" s="753">
        <f t="shared" ref="W10:W27" si="1">X10+AG10</f>
        <v>24.60539</v>
      </c>
      <c r="X10" s="752">
        <f t="shared" ref="X10:X27" si="2">(O10*P10)+((AA10*Z10/100+AC10*AB10/100+AE10*AD10/100)*$X$7)</f>
        <v>18.083390000000001</v>
      </c>
      <c r="Y10" s="754" t="s">
        <v>223</v>
      </c>
      <c r="Z10" s="755">
        <v>29.01</v>
      </c>
      <c r="AA10" s="756">
        <v>3</v>
      </c>
      <c r="AB10" s="757">
        <v>12</v>
      </c>
      <c r="AC10" s="758">
        <v>3</v>
      </c>
      <c r="AD10" s="759">
        <v>0</v>
      </c>
      <c r="AE10" s="760">
        <v>0</v>
      </c>
      <c r="AF10" s="757">
        <v>1.5</v>
      </c>
      <c r="AG10" s="761">
        <f t="shared" ref="AG10:AG27" si="3">$AF$8*AF10*$AG$7</f>
        <v>6.5220000000000002</v>
      </c>
    </row>
    <row r="11" spans="1:39" s="264" customFormat="1">
      <c r="A11" s="150">
        <v>3</v>
      </c>
      <c r="B11" s="740" t="s">
        <v>204</v>
      </c>
      <c r="C11" s="744"/>
      <c r="D11" s="744"/>
      <c r="E11" s="742"/>
      <c r="F11" s="742"/>
      <c r="G11" s="743"/>
      <c r="H11" s="735" t="str">
        <f ca="1">IF(R11="","",IF((R11+120)&lt;$AE$3,"ATTENTION TARIF ACHAT",""))</f>
        <v>ATTENTION TARIF ACHAT</v>
      </c>
      <c r="I11" s="764"/>
      <c r="J11" s="764"/>
      <c r="K11" s="764"/>
      <c r="L11" s="764"/>
      <c r="M11" s="765"/>
      <c r="N11" s="757"/>
      <c r="O11" s="763">
        <v>9.7899999999999991</v>
      </c>
      <c r="P11" s="763">
        <v>1.3</v>
      </c>
      <c r="Q11" s="752">
        <f t="shared" si="0"/>
        <v>1.2303000000000002</v>
      </c>
      <c r="R11" s="733">
        <v>40483</v>
      </c>
      <c r="S11" s="735" t="s">
        <v>221</v>
      </c>
      <c r="T11" s="764"/>
      <c r="U11" s="764"/>
      <c r="V11" s="765"/>
      <c r="W11" s="753">
        <f t="shared" si="1"/>
        <v>20.848389999999998</v>
      </c>
      <c r="X11" s="752">
        <f t="shared" si="2"/>
        <v>14.326389999999998</v>
      </c>
      <c r="Y11" s="754" t="s">
        <v>223</v>
      </c>
      <c r="Z11" s="755">
        <v>29.01</v>
      </c>
      <c r="AA11" s="756">
        <v>3</v>
      </c>
      <c r="AB11" s="757">
        <v>12</v>
      </c>
      <c r="AC11" s="758">
        <v>3</v>
      </c>
      <c r="AD11" s="759">
        <v>0</v>
      </c>
      <c r="AE11" s="760">
        <v>0</v>
      </c>
      <c r="AF11" s="757">
        <v>1.5</v>
      </c>
      <c r="AG11" s="761">
        <f t="shared" si="3"/>
        <v>6.5220000000000002</v>
      </c>
    </row>
    <row r="12" spans="1:39">
      <c r="A12" s="150">
        <v>4</v>
      </c>
      <c r="B12" s="740" t="s">
        <v>185</v>
      </c>
      <c r="C12" s="744"/>
      <c r="D12" s="744"/>
      <c r="E12" s="742"/>
      <c r="F12" s="742"/>
      <c r="G12" s="743"/>
      <c r="H12" s="735" t="str">
        <f ca="1">IF(R12="","",IF((R12+120)&lt;$AE$3,"ATTENTION TARIF ACHAT",""))</f>
        <v>ATTENTION TARIF ACHAT</v>
      </c>
      <c r="I12" s="764"/>
      <c r="J12" s="764"/>
      <c r="K12" s="764"/>
      <c r="L12" s="764"/>
      <c r="M12" s="765"/>
      <c r="N12" s="757"/>
      <c r="O12" s="763">
        <v>11.96</v>
      </c>
      <c r="P12" s="763">
        <v>1.3</v>
      </c>
      <c r="Q12" s="752">
        <f t="shared" si="0"/>
        <v>1.2303000000000002</v>
      </c>
      <c r="R12" s="733">
        <v>40483</v>
      </c>
      <c r="S12" s="735" t="s">
        <v>221</v>
      </c>
      <c r="T12" s="764"/>
      <c r="U12" s="764"/>
      <c r="V12" s="765"/>
      <c r="W12" s="753">
        <f t="shared" si="1"/>
        <v>23.66939</v>
      </c>
      <c r="X12" s="752">
        <f t="shared" si="2"/>
        <v>17.147390000000001</v>
      </c>
      <c r="Y12" s="754" t="s">
        <v>223</v>
      </c>
      <c r="Z12" s="755">
        <v>29.01</v>
      </c>
      <c r="AA12" s="756">
        <v>3</v>
      </c>
      <c r="AB12" s="757">
        <v>12</v>
      </c>
      <c r="AC12" s="758">
        <v>3</v>
      </c>
      <c r="AD12" s="759">
        <v>0</v>
      </c>
      <c r="AE12" s="760">
        <v>0</v>
      </c>
      <c r="AF12" s="757">
        <v>1.5</v>
      </c>
      <c r="AG12" s="761">
        <f t="shared" si="3"/>
        <v>6.5220000000000002</v>
      </c>
    </row>
    <row r="13" spans="1:39" s="264" customFormat="1">
      <c r="A13" s="150">
        <v>5</v>
      </c>
      <c r="B13" s="740" t="s">
        <v>205</v>
      </c>
      <c r="C13" s="741"/>
      <c r="D13" s="742"/>
      <c r="E13" s="742"/>
      <c r="F13" s="742"/>
      <c r="G13" s="743"/>
      <c r="H13" s="735" t="str">
        <f ca="1">IF(R13="","",IF((R13+120)&lt;$AE$3,"ATTENTION TARIF ACHAT","Classement au feu M0"))</f>
        <v>ATTENTION TARIF ACHAT</v>
      </c>
      <c r="I13" s="764"/>
      <c r="J13" s="764"/>
      <c r="K13" s="764"/>
      <c r="L13" s="764"/>
      <c r="M13" s="765"/>
      <c r="N13" s="757"/>
      <c r="O13" s="763">
        <v>26.65</v>
      </c>
      <c r="P13" s="763">
        <v>1.3</v>
      </c>
      <c r="Q13" s="752">
        <f t="shared" si="0"/>
        <v>2.0364</v>
      </c>
      <c r="R13" s="733">
        <v>40483</v>
      </c>
      <c r="S13" s="735" t="s">
        <v>221</v>
      </c>
      <c r="T13" s="764"/>
      <c r="U13" s="764"/>
      <c r="V13" s="765"/>
      <c r="W13" s="753">
        <f t="shared" si="1"/>
        <v>43.814319999999995</v>
      </c>
      <c r="X13" s="752">
        <f t="shared" si="2"/>
        <v>37.292319999999997</v>
      </c>
      <c r="Y13" s="754" t="s">
        <v>224</v>
      </c>
      <c r="Z13" s="755">
        <v>55.88</v>
      </c>
      <c r="AA13" s="756">
        <v>3</v>
      </c>
      <c r="AB13" s="757">
        <v>12</v>
      </c>
      <c r="AC13" s="758">
        <v>3</v>
      </c>
      <c r="AD13" s="759">
        <v>0</v>
      </c>
      <c r="AE13" s="760">
        <v>0</v>
      </c>
      <c r="AF13" s="757">
        <v>1.5</v>
      </c>
      <c r="AG13" s="761">
        <f t="shared" si="3"/>
        <v>6.5220000000000002</v>
      </c>
    </row>
    <row r="14" spans="1:39">
      <c r="A14" s="150">
        <v>6</v>
      </c>
      <c r="B14" s="740" t="s">
        <v>206</v>
      </c>
      <c r="C14" s="741"/>
      <c r="D14" s="742"/>
      <c r="E14" s="742"/>
      <c r="F14" s="742"/>
      <c r="G14" s="743"/>
      <c r="H14" s="735" t="str">
        <f ca="1">IF(R14="","",IF((R14+120)&lt;$AE$3,"ATTENTION TARIF ACHAT",""))</f>
        <v>ATTENTION TARIF ACHAT</v>
      </c>
      <c r="I14" s="764"/>
      <c r="J14" s="764"/>
      <c r="K14" s="764"/>
      <c r="L14" s="764"/>
      <c r="M14" s="765"/>
      <c r="N14" s="757"/>
      <c r="O14" s="763">
        <v>19.03</v>
      </c>
      <c r="P14" s="763">
        <v>1.2</v>
      </c>
      <c r="Q14" s="752">
        <f t="shared" si="0"/>
        <v>2.0364</v>
      </c>
      <c r="R14" s="733">
        <v>40483</v>
      </c>
      <c r="S14" s="735" t="s">
        <v>221</v>
      </c>
      <c r="T14" s="764"/>
      <c r="U14" s="764"/>
      <c r="V14" s="765"/>
      <c r="W14" s="753">
        <f t="shared" si="1"/>
        <v>32.005320000000005</v>
      </c>
      <c r="X14" s="752">
        <f t="shared" si="2"/>
        <v>25.483320000000003</v>
      </c>
      <c r="Y14" s="754" t="s">
        <v>225</v>
      </c>
      <c r="Z14" s="755">
        <v>55.88</v>
      </c>
      <c r="AA14" s="756">
        <v>3</v>
      </c>
      <c r="AB14" s="757">
        <v>12</v>
      </c>
      <c r="AC14" s="758">
        <v>3</v>
      </c>
      <c r="AD14" s="759">
        <v>0</v>
      </c>
      <c r="AE14" s="760">
        <v>0</v>
      </c>
      <c r="AF14" s="757">
        <v>1.5</v>
      </c>
      <c r="AG14" s="761">
        <f t="shared" si="3"/>
        <v>6.5220000000000002</v>
      </c>
    </row>
    <row r="15" spans="1:39">
      <c r="A15" s="150">
        <v>6</v>
      </c>
      <c r="B15" s="740" t="s">
        <v>207</v>
      </c>
      <c r="C15" s="741"/>
      <c r="D15" s="742"/>
      <c r="E15" s="742"/>
      <c r="F15" s="742"/>
      <c r="G15" s="743"/>
      <c r="H15" s="735" t="str">
        <f ca="1">IF(R15="","",IF((R15+120)&lt;$AE$3,"ATTENTION TARIF ACHAT",""))</f>
        <v>ATTENTION TARIF ACHAT</v>
      </c>
      <c r="I15" s="764"/>
      <c r="J15" s="764"/>
      <c r="K15" s="764"/>
      <c r="L15" s="764"/>
      <c r="M15" s="765"/>
      <c r="N15" s="757"/>
      <c r="O15" s="763">
        <v>21.2</v>
      </c>
      <c r="P15" s="763">
        <v>1.3</v>
      </c>
      <c r="Q15" s="752">
        <f t="shared" si="0"/>
        <v>2.0364</v>
      </c>
      <c r="R15" s="733">
        <v>40483</v>
      </c>
      <c r="S15" s="735" t="s">
        <v>221</v>
      </c>
      <c r="T15" s="764"/>
      <c r="U15" s="764"/>
      <c r="V15" s="765"/>
      <c r="W15" s="753">
        <f t="shared" si="1"/>
        <v>36.729320000000001</v>
      </c>
      <c r="X15" s="752">
        <f t="shared" si="2"/>
        <v>30.207319999999999</v>
      </c>
      <c r="Y15" s="754" t="s">
        <v>225</v>
      </c>
      <c r="Z15" s="755">
        <v>55.88</v>
      </c>
      <c r="AA15" s="756">
        <v>3</v>
      </c>
      <c r="AB15" s="757">
        <v>12</v>
      </c>
      <c r="AC15" s="758">
        <v>3</v>
      </c>
      <c r="AD15" s="759">
        <v>0</v>
      </c>
      <c r="AE15" s="760">
        <v>0</v>
      </c>
      <c r="AF15" s="757">
        <v>1.5</v>
      </c>
      <c r="AG15" s="761">
        <f t="shared" si="3"/>
        <v>6.5220000000000002</v>
      </c>
    </row>
    <row r="16" spans="1:39">
      <c r="A16" s="150">
        <v>7</v>
      </c>
      <c r="B16" s="740" t="s">
        <v>208</v>
      </c>
      <c r="C16" s="741"/>
      <c r="D16" s="742"/>
      <c r="E16" s="742"/>
      <c r="F16" s="742"/>
      <c r="G16" s="743"/>
      <c r="H16" s="735" t="str">
        <f ca="1">IF(R16="","",IF((R16+120)&lt;$AE$3,"ATTENTION TARIF ACHAT",""))</f>
        <v>ATTENTION TARIF ACHAT</v>
      </c>
      <c r="I16" s="764"/>
      <c r="J16" s="764"/>
      <c r="K16" s="764"/>
      <c r="L16" s="764"/>
      <c r="M16" s="765"/>
      <c r="N16" s="757"/>
      <c r="O16" s="763">
        <v>23.4</v>
      </c>
      <c r="P16" s="763">
        <v>1.3</v>
      </c>
      <c r="Q16" s="752">
        <f>(Z16/100*AA16)+(AB16/100*AC16)</f>
        <v>2.0364</v>
      </c>
      <c r="R16" s="733">
        <v>40483</v>
      </c>
      <c r="S16" s="735" t="s">
        <v>221</v>
      </c>
      <c r="T16" s="764"/>
      <c r="U16" s="764"/>
      <c r="V16" s="765"/>
      <c r="W16" s="753">
        <f t="shared" si="1"/>
        <v>39.589319999999994</v>
      </c>
      <c r="X16" s="752">
        <f t="shared" si="2"/>
        <v>33.067319999999995</v>
      </c>
      <c r="Y16" s="754" t="s">
        <v>225</v>
      </c>
      <c r="Z16" s="755">
        <v>55.88</v>
      </c>
      <c r="AA16" s="756">
        <v>3</v>
      </c>
      <c r="AB16" s="757">
        <v>12</v>
      </c>
      <c r="AC16" s="758">
        <v>3</v>
      </c>
      <c r="AD16" s="759">
        <v>0</v>
      </c>
      <c r="AE16" s="760">
        <v>0</v>
      </c>
      <c r="AF16" s="757">
        <v>1.5</v>
      </c>
      <c r="AG16" s="761">
        <f t="shared" si="3"/>
        <v>6.5220000000000002</v>
      </c>
    </row>
    <row r="17" spans="1:33">
      <c r="A17" s="150">
        <v>8</v>
      </c>
      <c r="B17" s="740" t="s">
        <v>209</v>
      </c>
      <c r="C17" s="741"/>
      <c r="D17" s="742"/>
      <c r="E17" s="742"/>
      <c r="F17" s="742"/>
      <c r="G17" s="743"/>
      <c r="H17" s="735" t="str">
        <f ca="1">IF(R17="","",IF((R17+120)&lt;$AE$3,"ATTENTION TARIF ACHAT",""))</f>
        <v>ATTENTION TARIF ACHAT</v>
      </c>
      <c r="I17" s="764"/>
      <c r="J17" s="764"/>
      <c r="K17" s="764"/>
      <c r="L17" s="764"/>
      <c r="M17" s="765"/>
      <c r="N17" s="757"/>
      <c r="O17" s="763">
        <v>18.850000000000001</v>
      </c>
      <c r="P17" s="763">
        <v>1.1499999999999999</v>
      </c>
      <c r="Q17" s="752">
        <f t="shared" si="0"/>
        <v>1.6625999999999999</v>
      </c>
      <c r="R17" s="733">
        <v>40483</v>
      </c>
      <c r="S17" s="735" t="s">
        <v>221</v>
      </c>
      <c r="T17" s="764"/>
      <c r="U17" s="764"/>
      <c r="V17" s="765"/>
      <c r="W17" s="753">
        <f t="shared" si="1"/>
        <v>30.360880000000002</v>
      </c>
      <c r="X17" s="752">
        <f t="shared" si="2"/>
        <v>23.83888</v>
      </c>
      <c r="Y17" s="754" t="s">
        <v>226</v>
      </c>
      <c r="Z17" s="755">
        <v>43.42</v>
      </c>
      <c r="AA17" s="756">
        <v>3</v>
      </c>
      <c r="AB17" s="757">
        <v>12</v>
      </c>
      <c r="AC17" s="758">
        <v>3</v>
      </c>
      <c r="AD17" s="759">
        <v>0</v>
      </c>
      <c r="AE17" s="760">
        <v>0</v>
      </c>
      <c r="AF17" s="757">
        <v>1.5</v>
      </c>
      <c r="AG17" s="761">
        <f t="shared" si="3"/>
        <v>6.5220000000000002</v>
      </c>
    </row>
    <row r="18" spans="1:33" s="125" customFormat="1">
      <c r="A18" s="150">
        <v>9</v>
      </c>
      <c r="B18" s="740" t="s">
        <v>210</v>
      </c>
      <c r="C18" s="741"/>
      <c r="D18" s="742"/>
      <c r="E18" s="742"/>
      <c r="F18" s="742"/>
      <c r="G18" s="743"/>
      <c r="H18" s="735" t="str">
        <f ca="1">IF(R18="","",IF((R18+120)&lt;$AE$3,"ATTENTION TARIF ACHAT",""))</f>
        <v>ATTENTION TARIF ACHAT</v>
      </c>
      <c r="I18" s="764"/>
      <c r="J18" s="764"/>
      <c r="K18" s="764"/>
      <c r="L18" s="764"/>
      <c r="M18" s="765"/>
      <c r="N18" s="757"/>
      <c r="O18" s="763">
        <v>23.68</v>
      </c>
      <c r="P18" s="763">
        <v>1.3</v>
      </c>
      <c r="Q18" s="752">
        <f t="shared" si="0"/>
        <v>3.8940000000000001</v>
      </c>
      <c r="R18" s="733">
        <v>40513</v>
      </c>
      <c r="S18" s="735" t="s">
        <v>222</v>
      </c>
      <c r="T18" s="764"/>
      <c r="U18" s="764"/>
      <c r="V18" s="765"/>
      <c r="W18" s="753">
        <f t="shared" si="1"/>
        <v>42.368199999999995</v>
      </c>
      <c r="X18" s="752">
        <f t="shared" si="2"/>
        <v>35.846199999999996</v>
      </c>
      <c r="Y18" s="754" t="s">
        <v>227</v>
      </c>
      <c r="Z18" s="755">
        <v>117.2</v>
      </c>
      <c r="AA18" s="756">
        <v>3</v>
      </c>
      <c r="AB18" s="757">
        <v>12.6</v>
      </c>
      <c r="AC18" s="758">
        <v>3</v>
      </c>
      <c r="AD18" s="759">
        <v>0</v>
      </c>
      <c r="AE18" s="760">
        <v>0</v>
      </c>
      <c r="AF18" s="757">
        <v>1.5</v>
      </c>
      <c r="AG18" s="761">
        <f t="shared" si="3"/>
        <v>6.5220000000000002</v>
      </c>
    </row>
    <row r="19" spans="1:33">
      <c r="A19" s="150">
        <v>10</v>
      </c>
      <c r="B19" s="740" t="s">
        <v>211</v>
      </c>
      <c r="C19" s="745"/>
      <c r="D19" s="746"/>
      <c r="E19" s="746"/>
      <c r="F19" s="746"/>
      <c r="G19" s="747"/>
      <c r="H19" s="735" t="str">
        <f t="shared" ref="H19:H24" ca="1" si="4">IF(R19="","",IF((R19+180)&lt;$AE$3,"ATTENTION TARIF ACHAT","renforcé 600 joules, 2 tire-fonds par plaque"))</f>
        <v>ATTENTION TARIF ACHAT</v>
      </c>
      <c r="I19" s="745"/>
      <c r="J19" s="745"/>
      <c r="K19" s="745"/>
      <c r="L19" s="745"/>
      <c r="M19" s="766"/>
      <c r="N19" s="767"/>
      <c r="O19" s="763">
        <v>9.0660151693010462</v>
      </c>
      <c r="P19" s="763">
        <v>1.3</v>
      </c>
      <c r="Q19" s="752">
        <f t="shared" si="0"/>
        <v>0.57500000000000007</v>
      </c>
      <c r="R19" s="733">
        <v>40548</v>
      </c>
      <c r="S19" s="735" t="s">
        <v>221</v>
      </c>
      <c r="T19" s="768"/>
      <c r="U19" s="768"/>
      <c r="V19" s="769"/>
      <c r="W19" s="753">
        <f t="shared" si="1"/>
        <v>19.055319720091362</v>
      </c>
      <c r="X19" s="752">
        <f t="shared" si="2"/>
        <v>12.533319720091361</v>
      </c>
      <c r="Y19" s="754" t="s">
        <v>228</v>
      </c>
      <c r="Z19" s="755">
        <v>23</v>
      </c>
      <c r="AA19" s="756">
        <v>2.5</v>
      </c>
      <c r="AB19" s="770"/>
      <c r="AC19" s="771"/>
      <c r="AD19" s="772">
        <v>0</v>
      </c>
      <c r="AE19" s="766">
        <v>0</v>
      </c>
      <c r="AF19" s="757">
        <v>1.5</v>
      </c>
      <c r="AG19" s="761">
        <f t="shared" si="3"/>
        <v>6.5220000000000002</v>
      </c>
    </row>
    <row r="20" spans="1:33">
      <c r="A20" s="150">
        <v>11</v>
      </c>
      <c r="B20" s="740" t="s">
        <v>212</v>
      </c>
      <c r="C20" s="741"/>
      <c r="D20" s="742"/>
      <c r="E20" s="742"/>
      <c r="F20" s="742"/>
      <c r="G20" s="743"/>
      <c r="H20" s="735" t="str">
        <f t="shared" ca="1" si="4"/>
        <v>ATTENTION TARIF ACHAT</v>
      </c>
      <c r="I20" s="764"/>
      <c r="J20" s="764"/>
      <c r="K20" s="764"/>
      <c r="L20" s="764"/>
      <c r="M20" s="765"/>
      <c r="N20" s="757"/>
      <c r="O20" s="763">
        <v>9.9262898208782495</v>
      </c>
      <c r="P20" s="763">
        <v>1.3</v>
      </c>
      <c r="Q20" s="752">
        <f t="shared" si="0"/>
        <v>0.57500000000000007</v>
      </c>
      <c r="R20" s="733">
        <v>40547</v>
      </c>
      <c r="S20" s="735" t="s">
        <v>221</v>
      </c>
      <c r="T20" s="764"/>
      <c r="U20" s="764"/>
      <c r="V20" s="765"/>
      <c r="W20" s="753">
        <f t="shared" si="1"/>
        <v>20.173676767141725</v>
      </c>
      <c r="X20" s="752">
        <f t="shared" si="2"/>
        <v>13.651676767141725</v>
      </c>
      <c r="Y20" s="754" t="s">
        <v>228</v>
      </c>
      <c r="Z20" s="755">
        <v>23</v>
      </c>
      <c r="AA20" s="756">
        <v>2.5</v>
      </c>
      <c r="AB20" s="773"/>
      <c r="AC20" s="758"/>
      <c r="AD20" s="759">
        <v>0</v>
      </c>
      <c r="AE20" s="760">
        <v>0</v>
      </c>
      <c r="AF20" s="757">
        <v>1.5</v>
      </c>
      <c r="AG20" s="761">
        <f t="shared" si="3"/>
        <v>6.5220000000000002</v>
      </c>
    </row>
    <row r="21" spans="1:33">
      <c r="A21" s="150">
        <v>12</v>
      </c>
      <c r="B21" s="740" t="s">
        <v>213</v>
      </c>
      <c r="C21" s="741"/>
      <c r="D21" s="742"/>
      <c r="E21" s="742"/>
      <c r="F21" s="742"/>
      <c r="G21" s="743"/>
      <c r="H21" s="735" t="str">
        <f t="shared" ca="1" si="4"/>
        <v>ATTENTION TARIF ACHAT</v>
      </c>
      <c r="I21" s="764"/>
      <c r="J21" s="764"/>
      <c r="K21" s="764"/>
      <c r="L21" s="764"/>
      <c r="M21" s="765"/>
      <c r="N21" s="757"/>
      <c r="O21" s="763">
        <v>7.289350588036779</v>
      </c>
      <c r="P21" s="763">
        <v>1.3</v>
      </c>
      <c r="Q21" s="752">
        <f t="shared" si="0"/>
        <v>0.57500000000000007</v>
      </c>
      <c r="R21" s="733">
        <v>40546</v>
      </c>
      <c r="S21" s="735" t="s">
        <v>221</v>
      </c>
      <c r="T21" s="764"/>
      <c r="U21" s="764"/>
      <c r="V21" s="765"/>
      <c r="W21" s="753">
        <f t="shared" si="1"/>
        <v>16.745655764447815</v>
      </c>
      <c r="X21" s="752">
        <f t="shared" si="2"/>
        <v>10.223655764447814</v>
      </c>
      <c r="Y21" s="754" t="s">
        <v>228</v>
      </c>
      <c r="Z21" s="755">
        <v>23</v>
      </c>
      <c r="AA21" s="756">
        <v>2.5</v>
      </c>
      <c r="AB21" s="773"/>
      <c r="AC21" s="758"/>
      <c r="AD21" s="759">
        <v>0</v>
      </c>
      <c r="AE21" s="760">
        <v>0</v>
      </c>
      <c r="AF21" s="757">
        <v>1.5</v>
      </c>
      <c r="AG21" s="761">
        <f t="shared" si="3"/>
        <v>6.5220000000000002</v>
      </c>
    </row>
    <row r="22" spans="1:33">
      <c r="A22" s="150">
        <v>13</v>
      </c>
      <c r="B22" s="740" t="s">
        <v>214</v>
      </c>
      <c r="C22" s="741"/>
      <c r="D22" s="742"/>
      <c r="E22" s="742"/>
      <c r="F22" s="742"/>
      <c r="G22" s="743"/>
      <c r="H22" s="735" t="str">
        <f t="shared" ca="1" si="4"/>
        <v>ATTENTION TARIF ACHAT</v>
      </c>
      <c r="I22" s="741"/>
      <c r="J22" s="741"/>
      <c r="K22" s="741"/>
      <c r="L22" s="741"/>
      <c r="M22" s="760"/>
      <c r="N22" s="757"/>
      <c r="O22" s="763">
        <v>8.1504609410686264</v>
      </c>
      <c r="P22" s="763">
        <v>1.2</v>
      </c>
      <c r="Q22" s="752">
        <f t="shared" si="0"/>
        <v>0.57500000000000007</v>
      </c>
      <c r="R22" s="733">
        <v>40545</v>
      </c>
      <c r="S22" s="735" t="s">
        <v>221</v>
      </c>
      <c r="T22" s="764"/>
      <c r="U22" s="764"/>
      <c r="V22" s="765"/>
      <c r="W22" s="753">
        <f t="shared" si="1"/>
        <v>17.050053129282354</v>
      </c>
      <c r="X22" s="752">
        <f t="shared" si="2"/>
        <v>10.528053129282352</v>
      </c>
      <c r="Y22" s="754" t="s">
        <v>228</v>
      </c>
      <c r="Z22" s="755">
        <v>23</v>
      </c>
      <c r="AA22" s="756">
        <v>2.5</v>
      </c>
      <c r="AB22" s="773"/>
      <c r="AC22" s="758"/>
      <c r="AD22" s="759">
        <v>0</v>
      </c>
      <c r="AE22" s="760">
        <v>0</v>
      </c>
      <c r="AF22" s="757">
        <v>1.5</v>
      </c>
      <c r="AG22" s="761">
        <f>$AF$8*AF22*$AG$7</f>
        <v>6.5220000000000002</v>
      </c>
    </row>
    <row r="23" spans="1:33">
      <c r="A23" s="150">
        <v>14</v>
      </c>
      <c r="B23" s="740" t="s">
        <v>215</v>
      </c>
      <c r="C23" s="741"/>
      <c r="D23" s="742"/>
      <c r="E23" s="742"/>
      <c r="F23" s="742"/>
      <c r="G23" s="743"/>
      <c r="H23" s="735" t="str">
        <f t="shared" ca="1" si="4"/>
        <v>ATTENTION TARIF ACHAT</v>
      </c>
      <c r="I23" s="764"/>
      <c r="J23" s="764"/>
      <c r="K23" s="764"/>
      <c r="L23" s="764"/>
      <c r="M23" s="765"/>
      <c r="N23" s="757"/>
      <c r="O23" s="763">
        <v>9.0233620448534388</v>
      </c>
      <c r="P23" s="763">
        <v>1.2</v>
      </c>
      <c r="Q23" s="752">
        <f t="shared" si="0"/>
        <v>0.57500000000000007</v>
      </c>
      <c r="R23" s="733">
        <v>40544</v>
      </c>
      <c r="S23" s="735" t="s">
        <v>221</v>
      </c>
      <c r="T23" s="764"/>
      <c r="U23" s="764"/>
      <c r="V23" s="765"/>
      <c r="W23" s="753">
        <f t="shared" si="1"/>
        <v>18.097534453824125</v>
      </c>
      <c r="X23" s="752">
        <f t="shared" si="2"/>
        <v>11.575534453824126</v>
      </c>
      <c r="Y23" s="754" t="s">
        <v>228</v>
      </c>
      <c r="Z23" s="755">
        <v>23</v>
      </c>
      <c r="AA23" s="756">
        <v>2.5</v>
      </c>
      <c r="AB23" s="773"/>
      <c r="AC23" s="758"/>
      <c r="AD23" s="759">
        <v>0</v>
      </c>
      <c r="AE23" s="760">
        <v>0</v>
      </c>
      <c r="AF23" s="757">
        <v>1.5</v>
      </c>
      <c r="AG23" s="761">
        <f t="shared" si="3"/>
        <v>6.5220000000000002</v>
      </c>
    </row>
    <row r="24" spans="1:33">
      <c r="A24" s="150">
        <v>15</v>
      </c>
      <c r="B24" s="740" t="s">
        <v>216</v>
      </c>
      <c r="C24" s="741"/>
      <c r="D24" s="742"/>
      <c r="E24" s="742"/>
      <c r="F24" s="742"/>
      <c r="G24" s="743"/>
      <c r="H24" s="735" t="str">
        <f t="shared" ca="1" si="4"/>
        <v>ATTENTION TARIF ACHAT</v>
      </c>
      <c r="I24" s="764"/>
      <c r="J24" s="764"/>
      <c r="K24" s="764"/>
      <c r="L24" s="764"/>
      <c r="M24" s="765"/>
      <c r="N24" s="757"/>
      <c r="O24" s="763">
        <v>6.8894355419901352</v>
      </c>
      <c r="P24" s="763">
        <v>1.2</v>
      </c>
      <c r="Q24" s="752">
        <f t="shared" si="0"/>
        <v>0.57500000000000007</v>
      </c>
      <c r="R24" s="733">
        <v>40544</v>
      </c>
      <c r="S24" s="735" t="s">
        <v>221</v>
      </c>
      <c r="T24" s="764"/>
      <c r="U24" s="764"/>
      <c r="V24" s="765"/>
      <c r="W24" s="753">
        <f t="shared" si="1"/>
        <v>15.536822650388162</v>
      </c>
      <c r="X24" s="752">
        <f t="shared" si="2"/>
        <v>9.0148226503881617</v>
      </c>
      <c r="Y24" s="754" t="s">
        <v>228</v>
      </c>
      <c r="Z24" s="755">
        <v>23</v>
      </c>
      <c r="AA24" s="756">
        <v>2.5</v>
      </c>
      <c r="AB24" s="773"/>
      <c r="AC24" s="758"/>
      <c r="AD24" s="759">
        <v>0</v>
      </c>
      <c r="AE24" s="760">
        <v>0</v>
      </c>
      <c r="AF24" s="757">
        <v>1.5</v>
      </c>
      <c r="AG24" s="761">
        <f t="shared" si="3"/>
        <v>6.5220000000000002</v>
      </c>
    </row>
    <row r="25" spans="1:33">
      <c r="A25" s="150">
        <v>16</v>
      </c>
      <c r="B25" s="740" t="s">
        <v>217</v>
      </c>
      <c r="C25" s="741"/>
      <c r="D25" s="742"/>
      <c r="E25" s="742"/>
      <c r="F25" s="742"/>
      <c r="G25" s="743"/>
      <c r="H25" s="735" t="str">
        <f ca="1">IF(R25="","",IF((R25+120)&lt;$AE$3,"ATTENTION TARIF ACHAT",""))</f>
        <v>ATTENTION TARIF ACHAT</v>
      </c>
      <c r="I25" s="741"/>
      <c r="J25" s="741"/>
      <c r="K25" s="741"/>
      <c r="L25" s="741"/>
      <c r="M25" s="760"/>
      <c r="N25" s="757"/>
      <c r="O25" s="763">
        <v>55.4</v>
      </c>
      <c r="P25" s="763">
        <v>1.1399999999999999</v>
      </c>
      <c r="Q25" s="752">
        <f t="shared" si="0"/>
        <v>1.5961138098542678</v>
      </c>
      <c r="R25" s="733">
        <v>40483</v>
      </c>
      <c r="S25" s="735" t="s">
        <v>221</v>
      </c>
      <c r="T25" s="764"/>
      <c r="U25" s="764"/>
      <c r="V25" s="765"/>
      <c r="W25" s="753">
        <f t="shared" si="1"/>
        <v>71.752947952810544</v>
      </c>
      <c r="X25" s="752">
        <f t="shared" si="2"/>
        <v>65.230947952810538</v>
      </c>
      <c r="Y25" s="754"/>
      <c r="Z25" s="755">
        <v>23</v>
      </c>
      <c r="AA25" s="756">
        <f>10/$V$3</f>
        <v>6.9396252602359469</v>
      </c>
      <c r="AB25" s="773"/>
      <c r="AC25" s="758"/>
      <c r="AD25" s="759">
        <v>0</v>
      </c>
      <c r="AE25" s="760">
        <v>0</v>
      </c>
      <c r="AF25" s="757">
        <v>1.5</v>
      </c>
      <c r="AG25" s="761">
        <f t="shared" si="3"/>
        <v>6.5220000000000002</v>
      </c>
    </row>
    <row r="26" spans="1:33" s="264" customFormat="1">
      <c r="A26" s="150">
        <v>17</v>
      </c>
      <c r="B26" s="740" t="s">
        <v>218</v>
      </c>
      <c r="C26" s="741"/>
      <c r="D26" s="742"/>
      <c r="E26" s="742"/>
      <c r="F26" s="742"/>
      <c r="G26" s="743"/>
      <c r="H26" s="735" t="str">
        <f ca="1">IF(R26="","",IF((R26+180)&lt;$AE$3,"ATTENTION TARIF ACHAT",""))</f>
        <v>ATTENTION TARIF ACHAT</v>
      </c>
      <c r="I26" s="764"/>
      <c r="J26" s="764"/>
      <c r="K26" s="764"/>
      <c r="L26" s="764"/>
      <c r="M26" s="765"/>
      <c r="N26" s="757"/>
      <c r="O26" s="774">
        <v>8.9</v>
      </c>
      <c r="P26" s="763">
        <v>1.3</v>
      </c>
      <c r="Q26" s="752">
        <f t="shared" si="0"/>
        <v>1.5961138098542678</v>
      </c>
      <c r="R26" s="733">
        <v>40483</v>
      </c>
      <c r="S26" s="735" t="s">
        <v>221</v>
      </c>
      <c r="T26" s="764"/>
      <c r="U26" s="764"/>
      <c r="V26" s="765"/>
      <c r="W26" s="753">
        <f t="shared" si="1"/>
        <v>20.166947952810549</v>
      </c>
      <c r="X26" s="752">
        <f t="shared" si="2"/>
        <v>13.644947952810549</v>
      </c>
      <c r="Y26" s="754"/>
      <c r="Z26" s="755">
        <v>23</v>
      </c>
      <c r="AA26" s="756">
        <f>10/$V$3</f>
        <v>6.9396252602359469</v>
      </c>
      <c r="AB26" s="773"/>
      <c r="AC26" s="758"/>
      <c r="AD26" s="759">
        <v>0</v>
      </c>
      <c r="AE26" s="760">
        <v>0</v>
      </c>
      <c r="AF26" s="757">
        <v>1.5</v>
      </c>
      <c r="AG26" s="761">
        <f>$AF$8*AF26*$AG$7</f>
        <v>6.5220000000000002</v>
      </c>
    </row>
    <row r="27" spans="1:33" s="264" customFormat="1">
      <c r="A27" s="150">
        <v>18</v>
      </c>
      <c r="B27" s="740" t="s">
        <v>219</v>
      </c>
      <c r="C27" s="741"/>
      <c r="D27" s="742"/>
      <c r="E27" s="742"/>
      <c r="F27" s="742"/>
      <c r="G27" s="743"/>
      <c r="H27" s="735" t="str">
        <f ca="1">IF(R27="","",IF((R27+180)&lt;$AE$3,"ATTENTION TARIF ACHAT","résistance 1200 joules"))</f>
        <v>ATTENTION TARIF ACHAT</v>
      </c>
      <c r="I27" s="764"/>
      <c r="J27" s="764"/>
      <c r="K27" s="764"/>
      <c r="L27" s="764"/>
      <c r="M27" s="765"/>
      <c r="N27" s="757"/>
      <c r="O27" s="774">
        <v>6.28</v>
      </c>
      <c r="P27" s="763">
        <v>1.3</v>
      </c>
      <c r="Q27" s="752">
        <f t="shared" si="0"/>
        <v>1.5961138098542678</v>
      </c>
      <c r="R27" s="733">
        <v>40452</v>
      </c>
      <c r="S27" s="735" t="s">
        <v>221</v>
      </c>
      <c r="T27" s="764"/>
      <c r="U27" s="764"/>
      <c r="V27" s="765"/>
      <c r="W27" s="753">
        <f t="shared" si="1"/>
        <v>16.76094795281055</v>
      </c>
      <c r="X27" s="752">
        <f t="shared" si="2"/>
        <v>10.23894795281055</v>
      </c>
      <c r="Y27" s="754"/>
      <c r="Z27" s="755">
        <v>23</v>
      </c>
      <c r="AA27" s="756">
        <f>10/$V$3</f>
        <v>6.9396252602359469</v>
      </c>
      <c r="AB27" s="773"/>
      <c r="AC27" s="758"/>
      <c r="AD27" s="759">
        <v>0</v>
      </c>
      <c r="AE27" s="760">
        <v>0</v>
      </c>
      <c r="AF27" s="757">
        <v>1.5</v>
      </c>
      <c r="AG27" s="761">
        <f t="shared" si="3"/>
        <v>6.5220000000000002</v>
      </c>
    </row>
    <row r="28" spans="1:33" s="264" customFormat="1">
      <c r="A28" s="150">
        <v>19</v>
      </c>
      <c r="B28" s="260"/>
      <c r="C28" s="265"/>
      <c r="D28" s="261"/>
      <c r="E28" s="261"/>
      <c r="F28" s="261"/>
      <c r="G28" s="262"/>
      <c r="H28" s="266"/>
      <c r="I28" s="265"/>
      <c r="J28" s="265"/>
      <c r="K28" s="265"/>
      <c r="L28" s="265"/>
      <c r="M28" s="263"/>
      <c r="N28" s="372"/>
      <c r="O28" s="402"/>
      <c r="P28" s="402"/>
      <c r="Q28" s="371">
        <f>(Z28/100*AA28)+(AB28/100*AC28)</f>
        <v>0</v>
      </c>
      <c r="R28" s="383">
        <v>0</v>
      </c>
      <c r="S28" s="384">
        <v>0</v>
      </c>
      <c r="T28" s="385"/>
      <c r="U28" s="385"/>
      <c r="V28" s="386"/>
      <c r="W28" s="387">
        <f>X28+AG28</f>
        <v>0</v>
      </c>
      <c r="X28" s="388">
        <f>(O28*P28)+((AA28*Z28/100+AC28*AB28/100+AE28*AD28/100)*$X$7)</f>
        <v>0</v>
      </c>
      <c r="Y28" s="369">
        <v>0</v>
      </c>
      <c r="Z28" s="370">
        <v>0</v>
      </c>
      <c r="AA28" s="371">
        <v>0</v>
      </c>
      <c r="AB28" s="372">
        <v>0</v>
      </c>
      <c r="AC28" s="371">
        <v>0</v>
      </c>
      <c r="AD28" s="389">
        <v>0</v>
      </c>
      <c r="AE28" s="390">
        <v>0</v>
      </c>
      <c r="AF28" s="372">
        <v>0</v>
      </c>
      <c r="AG28" s="405"/>
    </row>
    <row r="29" spans="1:33">
      <c r="A29" s="150">
        <v>20</v>
      </c>
      <c r="B29" s="267" t="s">
        <v>260</v>
      </c>
      <c r="C29" s="268"/>
      <c r="D29" s="269"/>
      <c r="E29" s="269"/>
      <c r="F29" s="269"/>
      <c r="G29" s="270"/>
      <c r="H29" s="271"/>
      <c r="I29" s="268"/>
      <c r="J29" s="268"/>
      <c r="K29" s="268"/>
      <c r="L29" s="268"/>
      <c r="M29" s="272"/>
      <c r="N29" s="372"/>
      <c r="O29" s="402"/>
      <c r="P29" s="402"/>
      <c r="Q29" s="371">
        <v>0</v>
      </c>
      <c r="R29" s="391">
        <v>0</v>
      </c>
      <c r="S29" s="384">
        <v>0</v>
      </c>
      <c r="T29" s="385"/>
      <c r="U29" s="385"/>
      <c r="V29" s="386"/>
      <c r="W29" s="387">
        <f>X29+AG29</f>
        <v>0</v>
      </c>
      <c r="X29" s="388">
        <f>(O29*P29)+((AA29*Z29/100+AC29*AB29/100+AE29*AD29/100)*$X$7)</f>
        <v>0</v>
      </c>
      <c r="Y29" s="369">
        <v>0</v>
      </c>
      <c r="Z29" s="373">
        <v>0</v>
      </c>
      <c r="AA29" s="374">
        <v>0</v>
      </c>
      <c r="AB29" s="375">
        <v>0</v>
      </c>
      <c r="AC29" s="374">
        <v>0</v>
      </c>
      <c r="AD29" s="389">
        <v>0</v>
      </c>
      <c r="AE29" s="390">
        <v>0</v>
      </c>
      <c r="AF29" s="389">
        <v>0</v>
      </c>
      <c r="AG29" s="406"/>
    </row>
    <row r="30" spans="1:33" ht="13.5" thickBot="1">
      <c r="A30" s="150">
        <v>27</v>
      </c>
      <c r="B30" s="273">
        <v>0</v>
      </c>
      <c r="C30" s="274"/>
      <c r="D30" s="275"/>
      <c r="E30" s="275"/>
      <c r="F30" s="275"/>
      <c r="G30" s="276"/>
      <c r="H30" s="277">
        <v>0</v>
      </c>
      <c r="I30" s="274"/>
      <c r="J30" s="274"/>
      <c r="K30" s="274"/>
      <c r="L30" s="274"/>
      <c r="M30" s="278"/>
      <c r="N30" s="404">
        <v>0</v>
      </c>
      <c r="O30" s="399">
        <v>0</v>
      </c>
      <c r="P30" s="403">
        <v>0</v>
      </c>
      <c r="Q30" s="393">
        <v>0</v>
      </c>
      <c r="R30" s="394">
        <v>0</v>
      </c>
      <c r="S30" s="395">
        <v>0</v>
      </c>
      <c r="T30" s="396"/>
      <c r="U30" s="396"/>
      <c r="V30" s="397"/>
      <c r="W30" s="398"/>
      <c r="X30" s="399"/>
      <c r="Y30" s="376">
        <v>0</v>
      </c>
      <c r="Z30" s="377">
        <v>0</v>
      </c>
      <c r="AA30" s="378">
        <v>0</v>
      </c>
      <c r="AB30" s="379">
        <v>0</v>
      </c>
      <c r="AC30" s="378">
        <v>0</v>
      </c>
      <c r="AD30" s="400">
        <v>0</v>
      </c>
      <c r="AE30" s="401">
        <v>0</v>
      </c>
      <c r="AF30" s="400">
        <v>0</v>
      </c>
      <c r="AG30" s="407">
        <v>0</v>
      </c>
    </row>
    <row r="31" spans="1:33">
      <c r="F31" s="131"/>
      <c r="G31" s="131"/>
      <c r="H31" s="131"/>
      <c r="I31" s="131"/>
      <c r="J31" s="131"/>
      <c r="K31" s="131"/>
      <c r="L31" s="131"/>
      <c r="M31" s="131"/>
      <c r="N31" s="131"/>
    </row>
    <row r="32" spans="1:33" s="281" customFormat="1" ht="9" thickBot="1">
      <c r="A32" s="280"/>
      <c r="B32" s="280">
        <v>1</v>
      </c>
      <c r="C32" s="280">
        <v>2</v>
      </c>
      <c r="D32" s="280">
        <v>3</v>
      </c>
      <c r="E32" s="280">
        <v>4</v>
      </c>
      <c r="F32" s="280">
        <v>5</v>
      </c>
      <c r="G32" s="280">
        <v>6</v>
      </c>
      <c r="H32" s="280">
        <v>7</v>
      </c>
      <c r="I32" s="280">
        <v>8</v>
      </c>
      <c r="J32" s="280">
        <v>9</v>
      </c>
      <c r="K32" s="280">
        <v>10</v>
      </c>
      <c r="L32" s="280">
        <v>11</v>
      </c>
      <c r="M32" s="280">
        <v>12</v>
      </c>
      <c r="N32" s="280">
        <v>13</v>
      </c>
      <c r="O32" s="280">
        <v>14</v>
      </c>
      <c r="P32" s="280">
        <v>15</v>
      </c>
      <c r="Q32" s="280">
        <v>16</v>
      </c>
      <c r="R32" s="280">
        <v>17</v>
      </c>
      <c r="S32" s="280">
        <v>18</v>
      </c>
      <c r="T32" s="280">
        <v>19</v>
      </c>
      <c r="U32" s="280">
        <v>20</v>
      </c>
      <c r="V32" s="280">
        <v>21</v>
      </c>
      <c r="W32" s="280">
        <v>22</v>
      </c>
      <c r="X32" s="280">
        <v>23</v>
      </c>
      <c r="Y32" s="280">
        <v>24</v>
      </c>
      <c r="Z32" s="280">
        <v>25</v>
      </c>
      <c r="AA32" s="280">
        <v>26</v>
      </c>
      <c r="AB32" s="280">
        <v>27</v>
      </c>
      <c r="AC32" s="280">
        <v>28</v>
      </c>
      <c r="AD32" s="280">
        <v>29</v>
      </c>
      <c r="AE32" s="280">
        <v>30</v>
      </c>
      <c r="AF32" s="280">
        <v>31</v>
      </c>
      <c r="AG32" s="280">
        <v>32</v>
      </c>
    </row>
    <row r="33" spans="1:33">
      <c r="B33" s="235"/>
      <c r="C33" s="235"/>
      <c r="D33" s="235"/>
      <c r="E33" s="235"/>
      <c r="F33" s="235"/>
      <c r="G33" s="205"/>
      <c r="N33" s="117"/>
      <c r="S33" s="282" t="s">
        <v>146</v>
      </c>
      <c r="T33" s="283"/>
      <c r="U33" s="284"/>
      <c r="V33" s="1080">
        <v>1.048</v>
      </c>
      <c r="W33" s="1081"/>
      <c r="X33" s="1067">
        <v>1.5</v>
      </c>
      <c r="Y33" s="1068"/>
      <c r="Z33" s="1069">
        <v>0.873</v>
      </c>
      <c r="AA33" s="1068"/>
    </row>
    <row r="34" spans="1:33" ht="13.5" thickBot="1">
      <c r="B34" s="235"/>
      <c r="C34" s="235"/>
      <c r="D34" s="235"/>
      <c r="E34" s="235"/>
      <c r="F34" s="235"/>
      <c r="G34" s="205"/>
      <c r="N34" s="117"/>
      <c r="S34" s="285" t="s">
        <v>147</v>
      </c>
      <c r="T34" s="286"/>
      <c r="U34" s="287"/>
      <c r="V34" s="287"/>
      <c r="W34" s="288"/>
      <c r="X34" s="1070" t="s">
        <v>249</v>
      </c>
      <c r="Y34" s="1071"/>
      <c r="Z34" s="1072" t="s">
        <v>250</v>
      </c>
      <c r="AA34" s="1071"/>
    </row>
    <row r="35" spans="1:33" ht="13.5" thickBot="1">
      <c r="B35" s="235"/>
      <c r="C35" s="235"/>
      <c r="D35" s="235"/>
      <c r="E35" s="235"/>
      <c r="F35" s="235"/>
      <c r="G35" s="235"/>
      <c r="H35" s="205"/>
      <c r="M35" s="218"/>
      <c r="N35" s="1065" t="s">
        <v>130</v>
      </c>
      <c r="O35" s="1066"/>
      <c r="P35" s="236"/>
      <c r="Q35" s="219"/>
      <c r="R35" s="226"/>
      <c r="S35" s="226"/>
      <c r="T35" s="226"/>
      <c r="U35" s="226"/>
      <c r="V35" s="226"/>
      <c r="X35" s="460">
        <f>$X$7</f>
        <v>1.3</v>
      </c>
      <c r="Y35" s="289" t="s">
        <v>131</v>
      </c>
      <c r="Z35" s="237"/>
      <c r="AA35" s="238"/>
      <c r="AB35" s="239"/>
      <c r="AC35" s="240"/>
      <c r="AD35" s="240"/>
      <c r="AE35" s="241"/>
      <c r="AF35" s="242" t="s">
        <v>89</v>
      </c>
      <c r="AG35" s="460">
        <f>AG7</f>
        <v>2</v>
      </c>
    </row>
    <row r="36" spans="1:33">
      <c r="B36" s="243" t="s">
        <v>148</v>
      </c>
      <c r="C36" s="244"/>
      <c r="D36" s="244"/>
      <c r="E36" s="244"/>
      <c r="F36" s="245"/>
      <c r="G36" s="167"/>
      <c r="H36" s="1062" t="s">
        <v>134</v>
      </c>
      <c r="I36" s="1063"/>
      <c r="J36" s="1063"/>
      <c r="K36" s="1063"/>
      <c r="L36" s="1063"/>
      <c r="M36" s="1064"/>
      <c r="N36" s="246" t="s">
        <v>149</v>
      </c>
      <c r="O36" s="247" t="s">
        <v>69</v>
      </c>
      <c r="P36" s="248" t="s">
        <v>136</v>
      </c>
      <c r="Q36" s="249" t="s">
        <v>137</v>
      </c>
      <c r="R36" s="250" t="s">
        <v>118</v>
      </c>
      <c r="S36" s="244" t="s">
        <v>138</v>
      </c>
      <c r="T36" s="251"/>
      <c r="U36" s="251"/>
      <c r="V36" s="252"/>
      <c r="W36" s="253" t="s">
        <v>139</v>
      </c>
      <c r="X36" s="253" t="s">
        <v>140</v>
      </c>
      <c r="Y36" s="254" t="s">
        <v>141</v>
      </c>
      <c r="Z36" s="255" t="s">
        <v>142</v>
      </c>
      <c r="AA36" s="256" t="s">
        <v>150</v>
      </c>
      <c r="AB36" s="257" t="s">
        <v>144</v>
      </c>
      <c r="AC36" s="256" t="s">
        <v>150</v>
      </c>
      <c r="AD36" s="257" t="s">
        <v>145</v>
      </c>
      <c r="AE36" s="256" t="s">
        <v>150</v>
      </c>
      <c r="AF36" s="258">
        <f ca="1">IF(Pose!G31=0,'Tarif pose'!E7,Pose!G31)</f>
        <v>2.1739999999999999</v>
      </c>
      <c r="AG36" s="259"/>
    </row>
    <row r="37" spans="1:33" s="290" customFormat="1" ht="14.25">
      <c r="A37" s="150">
        <v>1</v>
      </c>
      <c r="B37" s="775" t="s">
        <v>229</v>
      </c>
      <c r="C37" s="776"/>
      <c r="D37" s="777"/>
      <c r="E37" s="777"/>
      <c r="F37" s="777"/>
      <c r="G37" s="778"/>
      <c r="H37" s="779"/>
      <c r="I37" s="780"/>
      <c r="J37" s="777"/>
      <c r="K37" s="780"/>
      <c r="L37" s="780"/>
      <c r="M37" s="781"/>
      <c r="N37" s="782"/>
      <c r="O37" s="791">
        <v>7.16</v>
      </c>
      <c r="P37" s="791">
        <v>1.3</v>
      </c>
      <c r="Q37" s="792">
        <f>(Z37/100*AA37)+(AB37/100*AC37)</f>
        <v>0.92</v>
      </c>
      <c r="R37" s="793">
        <v>40570</v>
      </c>
      <c r="S37" s="794"/>
      <c r="T37" s="795"/>
      <c r="U37" s="795"/>
      <c r="V37" s="796"/>
      <c r="W37" s="797">
        <f>X37+AG37</f>
        <v>19.2</v>
      </c>
      <c r="X37" s="798">
        <f>(O37*P37)+((AA37*Z37/100+AC37*AB37/100+AE37*AD37/100)*$X$35)</f>
        <v>10.504</v>
      </c>
      <c r="Y37" s="799"/>
      <c r="Z37" s="789">
        <v>23</v>
      </c>
      <c r="AA37" s="790">
        <v>4</v>
      </c>
      <c r="AB37" s="783"/>
      <c r="AC37" s="781"/>
      <c r="AD37" s="779"/>
      <c r="AE37" s="783"/>
      <c r="AF37" s="800">
        <v>2</v>
      </c>
      <c r="AG37" s="801">
        <f>$AF$36*$AG$35*AF37</f>
        <v>8.6959999999999997</v>
      </c>
    </row>
    <row r="38" spans="1:33" s="290" customFormat="1">
      <c r="A38" s="150">
        <v>2</v>
      </c>
      <c r="B38" s="775" t="s">
        <v>230</v>
      </c>
      <c r="C38" s="783"/>
      <c r="D38" s="777"/>
      <c r="E38" s="777"/>
      <c r="F38" s="777"/>
      <c r="G38" s="778"/>
      <c r="H38" s="784"/>
      <c r="I38" s="780"/>
      <c r="J38" s="777"/>
      <c r="K38" s="780"/>
      <c r="L38" s="780"/>
      <c r="M38" s="781"/>
      <c r="N38" s="785">
        <v>31.43</v>
      </c>
      <c r="O38" s="797">
        <f t="shared" ref="O38:O44" si="5">N38/$Z$33</f>
        <v>36.002290950744559</v>
      </c>
      <c r="P38" s="791">
        <v>1.3</v>
      </c>
      <c r="Q38" s="802">
        <f>(Z38/100*AA38)+(AB38/100*AC38)</f>
        <v>0.92</v>
      </c>
      <c r="R38" s="793">
        <v>40562</v>
      </c>
      <c r="S38" s="794"/>
      <c r="T38" s="803"/>
      <c r="U38" s="803"/>
      <c r="V38" s="804"/>
      <c r="W38" s="797">
        <f>X38+AG38</f>
        <v>54.520978235967924</v>
      </c>
      <c r="X38" s="798">
        <f>(O38*P38)+((AA38*Z38/100+AC38*AB38/100+AE38*AD38/100)*$X$35)</f>
        <v>47.998978235967925</v>
      </c>
      <c r="Y38" s="799"/>
      <c r="Z38" s="789">
        <v>23</v>
      </c>
      <c r="AA38" s="790">
        <v>4</v>
      </c>
      <c r="AB38" s="783"/>
      <c r="AC38" s="781"/>
      <c r="AD38" s="779"/>
      <c r="AE38" s="783"/>
      <c r="AF38" s="800">
        <v>1.5</v>
      </c>
      <c r="AG38" s="801">
        <f>$AF$36*$AG$35*AF38</f>
        <v>6.5220000000000002</v>
      </c>
    </row>
    <row r="39" spans="1:33" s="290" customFormat="1">
      <c r="A39" s="150">
        <v>3</v>
      </c>
      <c r="B39" s="775" t="s">
        <v>231</v>
      </c>
      <c r="C39" s="783"/>
      <c r="D39" s="777"/>
      <c r="E39" s="777"/>
      <c r="F39" s="777"/>
      <c r="G39" s="778"/>
      <c r="H39" s="784"/>
      <c r="I39" s="780"/>
      <c r="J39" s="777"/>
      <c r="K39" s="780"/>
      <c r="L39" s="780"/>
      <c r="M39" s="781"/>
      <c r="N39" s="785">
        <v>31.43</v>
      </c>
      <c r="O39" s="797">
        <f t="shared" si="5"/>
        <v>36.002290950744559</v>
      </c>
      <c r="P39" s="791">
        <v>1.3</v>
      </c>
      <c r="Q39" s="802">
        <f t="shared" ref="Q39:Q56" si="6">(Z39/100*AA39)+(AB39/100*AC39)</f>
        <v>0.92</v>
      </c>
      <c r="R39" s="793">
        <v>40562</v>
      </c>
      <c r="S39" s="794"/>
      <c r="T39" s="803"/>
      <c r="U39" s="803"/>
      <c r="V39" s="804"/>
      <c r="W39" s="797">
        <f t="shared" ref="W39:W56" si="7">X39+AG39</f>
        <v>54.520978235967924</v>
      </c>
      <c r="X39" s="798">
        <f t="shared" ref="X39:X56" si="8">(O39*P39)+((AA39*Z39/100+AC39*AB39/100+AE39*AD39/100)*$X$35)</f>
        <v>47.998978235967925</v>
      </c>
      <c r="Y39" s="799"/>
      <c r="Z39" s="789">
        <v>23</v>
      </c>
      <c r="AA39" s="790">
        <v>4</v>
      </c>
      <c r="AB39" s="783"/>
      <c r="AC39" s="781"/>
      <c r="AD39" s="779"/>
      <c r="AE39" s="783"/>
      <c r="AF39" s="800">
        <v>1.5</v>
      </c>
      <c r="AG39" s="801">
        <f t="shared" ref="AG39:AG56" si="9">$AF$36*$AG$35*AF39</f>
        <v>6.5220000000000002</v>
      </c>
    </row>
    <row r="40" spans="1:33" s="290" customFormat="1">
      <c r="A40" s="150">
        <v>4</v>
      </c>
      <c r="B40" s="775" t="s">
        <v>232</v>
      </c>
      <c r="C40" s="786"/>
      <c r="D40" s="787"/>
      <c r="E40" s="787"/>
      <c r="F40" s="787"/>
      <c r="G40" s="788"/>
      <c r="H40" s="784"/>
      <c r="I40" s="789"/>
      <c r="J40" s="787"/>
      <c r="K40" s="789"/>
      <c r="L40" s="789"/>
      <c r="M40" s="790"/>
      <c r="N40" s="785">
        <v>20.22</v>
      </c>
      <c r="O40" s="797">
        <f t="shared" si="5"/>
        <v>23.161512027491408</v>
      </c>
      <c r="P40" s="791">
        <v>1.3</v>
      </c>
      <c r="Q40" s="802">
        <f t="shared" si="6"/>
        <v>0.92</v>
      </c>
      <c r="R40" s="793">
        <v>40562</v>
      </c>
      <c r="S40" s="794"/>
      <c r="T40" s="803"/>
      <c r="U40" s="803"/>
      <c r="V40" s="804"/>
      <c r="W40" s="797">
        <f t="shared" si="7"/>
        <v>37.827965635738835</v>
      </c>
      <c r="X40" s="798">
        <f t="shared" si="8"/>
        <v>31.305965635738833</v>
      </c>
      <c r="Y40" s="799"/>
      <c r="Z40" s="789">
        <v>23</v>
      </c>
      <c r="AA40" s="790">
        <v>4</v>
      </c>
      <c r="AB40" s="783"/>
      <c r="AC40" s="781"/>
      <c r="AD40" s="779"/>
      <c r="AE40" s="783"/>
      <c r="AF40" s="800">
        <v>1.5</v>
      </c>
      <c r="AG40" s="801">
        <f t="shared" si="9"/>
        <v>6.5220000000000002</v>
      </c>
    </row>
    <row r="41" spans="1:33" s="290" customFormat="1">
      <c r="A41" s="150">
        <v>5</v>
      </c>
      <c r="B41" s="775" t="s">
        <v>233</v>
      </c>
      <c r="C41" s="783"/>
      <c r="D41" s="777"/>
      <c r="E41" s="777"/>
      <c r="F41" s="777"/>
      <c r="G41" s="778"/>
      <c r="H41" s="779"/>
      <c r="I41" s="780"/>
      <c r="J41" s="777"/>
      <c r="K41" s="780"/>
      <c r="L41" s="780"/>
      <c r="M41" s="781"/>
      <c r="N41" s="785">
        <v>23.47</v>
      </c>
      <c r="O41" s="797">
        <f t="shared" si="5"/>
        <v>26.884306987399771</v>
      </c>
      <c r="P41" s="791">
        <v>1.3</v>
      </c>
      <c r="Q41" s="802">
        <f t="shared" si="6"/>
        <v>0.92</v>
      </c>
      <c r="R41" s="793">
        <v>40562</v>
      </c>
      <c r="S41" s="794"/>
      <c r="T41" s="803"/>
      <c r="U41" s="803"/>
      <c r="V41" s="804"/>
      <c r="W41" s="797">
        <f t="shared" si="7"/>
        <v>42.667599083619699</v>
      </c>
      <c r="X41" s="798">
        <f t="shared" si="8"/>
        <v>36.1455990836197</v>
      </c>
      <c r="Y41" s="799"/>
      <c r="Z41" s="789">
        <v>23</v>
      </c>
      <c r="AA41" s="790">
        <v>4</v>
      </c>
      <c r="AB41" s="783"/>
      <c r="AC41" s="781"/>
      <c r="AD41" s="779"/>
      <c r="AE41" s="783"/>
      <c r="AF41" s="800">
        <v>1.5</v>
      </c>
      <c r="AG41" s="801">
        <f t="shared" si="9"/>
        <v>6.5220000000000002</v>
      </c>
    </row>
    <row r="42" spans="1:33" s="290" customFormat="1">
      <c r="A42" s="150">
        <v>6</v>
      </c>
      <c r="B42" s="775" t="s">
        <v>234</v>
      </c>
      <c r="C42" s="783"/>
      <c r="D42" s="777"/>
      <c r="E42" s="777"/>
      <c r="F42" s="777"/>
      <c r="G42" s="778"/>
      <c r="H42" s="779"/>
      <c r="I42" s="780"/>
      <c r="J42" s="777"/>
      <c r="K42" s="780"/>
      <c r="L42" s="780"/>
      <c r="M42" s="781"/>
      <c r="N42" s="785">
        <v>23.47</v>
      </c>
      <c r="O42" s="797">
        <f t="shared" si="5"/>
        <v>26.884306987399771</v>
      </c>
      <c r="P42" s="791">
        <v>1.3</v>
      </c>
      <c r="Q42" s="802">
        <f t="shared" si="6"/>
        <v>0.92</v>
      </c>
      <c r="R42" s="793">
        <v>40562</v>
      </c>
      <c r="S42" s="794"/>
      <c r="T42" s="803"/>
      <c r="U42" s="803"/>
      <c r="V42" s="804"/>
      <c r="W42" s="797">
        <f t="shared" si="7"/>
        <v>42.667599083619699</v>
      </c>
      <c r="X42" s="798">
        <f t="shared" si="8"/>
        <v>36.1455990836197</v>
      </c>
      <c r="Y42" s="799"/>
      <c r="Z42" s="789">
        <v>23</v>
      </c>
      <c r="AA42" s="790">
        <v>4</v>
      </c>
      <c r="AB42" s="783"/>
      <c r="AC42" s="781"/>
      <c r="AD42" s="779"/>
      <c r="AE42" s="783"/>
      <c r="AF42" s="800">
        <v>1.5</v>
      </c>
      <c r="AG42" s="801">
        <f t="shared" si="9"/>
        <v>6.5220000000000002</v>
      </c>
    </row>
    <row r="43" spans="1:33" s="290" customFormat="1">
      <c r="A43" s="150">
        <v>7</v>
      </c>
      <c r="B43" s="775" t="s">
        <v>235</v>
      </c>
      <c r="C43" s="786"/>
      <c r="D43" s="787"/>
      <c r="E43" s="787"/>
      <c r="F43" s="787"/>
      <c r="G43" s="788"/>
      <c r="H43" s="784"/>
      <c r="I43" s="789"/>
      <c r="J43" s="787"/>
      <c r="K43" s="789"/>
      <c r="L43" s="789"/>
      <c r="M43" s="790"/>
      <c r="N43" s="785">
        <v>54.35</v>
      </c>
      <c r="O43" s="797">
        <f t="shared" si="5"/>
        <v>62.256586483390606</v>
      </c>
      <c r="P43" s="791">
        <v>1.3</v>
      </c>
      <c r="Q43" s="802">
        <f t="shared" si="6"/>
        <v>0.92</v>
      </c>
      <c r="R43" s="793">
        <v>40562</v>
      </c>
      <c r="S43" s="794"/>
      <c r="T43" s="803"/>
      <c r="U43" s="803"/>
      <c r="V43" s="804"/>
      <c r="W43" s="797">
        <f t="shared" si="7"/>
        <v>88.6515624284078</v>
      </c>
      <c r="X43" s="798">
        <f t="shared" si="8"/>
        <v>82.129562428407795</v>
      </c>
      <c r="Y43" s="799"/>
      <c r="Z43" s="789">
        <v>23</v>
      </c>
      <c r="AA43" s="790">
        <v>4</v>
      </c>
      <c r="AB43" s="783"/>
      <c r="AC43" s="781"/>
      <c r="AD43" s="779"/>
      <c r="AE43" s="783"/>
      <c r="AF43" s="800">
        <v>1.5</v>
      </c>
      <c r="AG43" s="801">
        <f t="shared" si="9"/>
        <v>6.5220000000000002</v>
      </c>
    </row>
    <row r="44" spans="1:33" s="290" customFormat="1">
      <c r="A44" s="150">
        <v>8</v>
      </c>
      <c r="B44" s="775" t="s">
        <v>236</v>
      </c>
      <c r="C44" s="783"/>
      <c r="D44" s="777"/>
      <c r="E44" s="777"/>
      <c r="F44" s="777"/>
      <c r="G44" s="778"/>
      <c r="H44" s="779"/>
      <c r="I44" s="780"/>
      <c r="J44" s="777"/>
      <c r="K44" s="780"/>
      <c r="L44" s="780"/>
      <c r="M44" s="781"/>
      <c r="N44" s="785">
        <v>54.35</v>
      </c>
      <c r="O44" s="797">
        <f t="shared" si="5"/>
        <v>62.256586483390606</v>
      </c>
      <c r="P44" s="791">
        <v>1.3</v>
      </c>
      <c r="Q44" s="802">
        <f t="shared" si="6"/>
        <v>0.92</v>
      </c>
      <c r="R44" s="793">
        <v>40562</v>
      </c>
      <c r="S44" s="794"/>
      <c r="T44" s="803"/>
      <c r="U44" s="803"/>
      <c r="V44" s="804"/>
      <c r="W44" s="797">
        <f t="shared" si="7"/>
        <v>88.6515624284078</v>
      </c>
      <c r="X44" s="798">
        <f t="shared" si="8"/>
        <v>82.129562428407795</v>
      </c>
      <c r="Y44" s="799"/>
      <c r="Z44" s="789">
        <v>23</v>
      </c>
      <c r="AA44" s="790">
        <v>4</v>
      </c>
      <c r="AB44" s="783"/>
      <c r="AC44" s="781"/>
      <c r="AD44" s="779"/>
      <c r="AE44" s="783"/>
      <c r="AF44" s="800">
        <v>1.5</v>
      </c>
      <c r="AG44" s="801">
        <f t="shared" si="9"/>
        <v>6.5220000000000002</v>
      </c>
    </row>
    <row r="45" spans="1:33" s="290" customFormat="1">
      <c r="A45" s="150">
        <v>9</v>
      </c>
      <c r="B45" s="775" t="s">
        <v>237</v>
      </c>
      <c r="C45" s="783"/>
      <c r="D45" s="777"/>
      <c r="E45" s="777"/>
      <c r="F45" s="777"/>
      <c r="G45" s="778"/>
      <c r="H45" s="779"/>
      <c r="I45" s="780"/>
      <c r="J45" s="777"/>
      <c r="K45" s="780"/>
      <c r="L45" s="780"/>
      <c r="M45" s="781"/>
      <c r="N45" s="785">
        <v>52</v>
      </c>
      <c r="O45" s="797">
        <f>N45/$X$33</f>
        <v>34.666666666666664</v>
      </c>
      <c r="P45" s="791">
        <v>1.3</v>
      </c>
      <c r="Q45" s="802">
        <f t="shared" si="6"/>
        <v>0.92</v>
      </c>
      <c r="R45" s="793">
        <v>40562</v>
      </c>
      <c r="S45" s="794"/>
      <c r="T45" s="803"/>
      <c r="U45" s="803"/>
      <c r="V45" s="804"/>
      <c r="W45" s="797">
        <f t="shared" si="7"/>
        <v>52.784666666666659</v>
      </c>
      <c r="X45" s="798">
        <f t="shared" si="8"/>
        <v>46.262666666666661</v>
      </c>
      <c r="Y45" s="799"/>
      <c r="Z45" s="789">
        <v>23</v>
      </c>
      <c r="AA45" s="790">
        <v>4</v>
      </c>
      <c r="AB45" s="783"/>
      <c r="AC45" s="781"/>
      <c r="AD45" s="779"/>
      <c r="AE45" s="783"/>
      <c r="AF45" s="800">
        <v>1.5</v>
      </c>
      <c r="AG45" s="801">
        <f t="shared" si="9"/>
        <v>6.5220000000000002</v>
      </c>
    </row>
    <row r="46" spans="1:33" s="290" customFormat="1">
      <c r="A46" s="150">
        <v>10</v>
      </c>
      <c r="B46" s="775" t="s">
        <v>238</v>
      </c>
      <c r="C46" s="783"/>
      <c r="D46" s="777"/>
      <c r="E46" s="777"/>
      <c r="F46" s="777"/>
      <c r="G46" s="778"/>
      <c r="H46" s="784"/>
      <c r="I46" s="780"/>
      <c r="J46" s="777"/>
      <c r="K46" s="780"/>
      <c r="L46" s="780"/>
      <c r="M46" s="781"/>
      <c r="N46" s="785">
        <v>52</v>
      </c>
      <c r="O46" s="797">
        <f>N46/$X$33</f>
        <v>34.666666666666664</v>
      </c>
      <c r="P46" s="791">
        <v>1.3</v>
      </c>
      <c r="Q46" s="802">
        <f t="shared" si="6"/>
        <v>0.92</v>
      </c>
      <c r="R46" s="793">
        <v>40562</v>
      </c>
      <c r="S46" s="794"/>
      <c r="T46" s="803"/>
      <c r="U46" s="803"/>
      <c r="V46" s="804"/>
      <c r="W46" s="797">
        <f t="shared" si="7"/>
        <v>52.784666666666659</v>
      </c>
      <c r="X46" s="798">
        <f t="shared" si="8"/>
        <v>46.262666666666661</v>
      </c>
      <c r="Y46" s="799"/>
      <c r="Z46" s="789">
        <v>23</v>
      </c>
      <c r="AA46" s="790">
        <v>4</v>
      </c>
      <c r="AB46" s="783"/>
      <c r="AC46" s="781"/>
      <c r="AD46" s="779"/>
      <c r="AE46" s="783"/>
      <c r="AF46" s="800">
        <v>1.5</v>
      </c>
      <c r="AG46" s="801">
        <f t="shared" si="9"/>
        <v>6.5220000000000002</v>
      </c>
    </row>
    <row r="47" spans="1:33" s="290" customFormat="1">
      <c r="A47" s="150">
        <v>11</v>
      </c>
      <c r="B47" s="775" t="s">
        <v>239</v>
      </c>
      <c r="C47" s="783"/>
      <c r="D47" s="777"/>
      <c r="E47" s="777"/>
      <c r="F47" s="777"/>
      <c r="G47" s="778"/>
      <c r="H47" s="784"/>
      <c r="I47" s="780"/>
      <c r="J47" s="777"/>
      <c r="K47" s="780"/>
      <c r="L47" s="780"/>
      <c r="M47" s="781"/>
      <c r="N47" s="785">
        <v>35.340000000000003</v>
      </c>
      <c r="O47" s="797">
        <f t="shared" ref="O47:O53" si="10">N47/$V$33</f>
        <v>33.721374045801525</v>
      </c>
      <c r="P47" s="791">
        <v>1.3</v>
      </c>
      <c r="Q47" s="802">
        <f t="shared" si="6"/>
        <v>0.92</v>
      </c>
      <c r="R47" s="793">
        <v>40562</v>
      </c>
      <c r="S47" s="794"/>
      <c r="T47" s="803"/>
      <c r="U47" s="803"/>
      <c r="V47" s="804"/>
      <c r="W47" s="797">
        <f t="shared" si="7"/>
        <v>51.555786259541982</v>
      </c>
      <c r="X47" s="798">
        <f t="shared" si="8"/>
        <v>45.033786259541984</v>
      </c>
      <c r="Y47" s="799"/>
      <c r="Z47" s="789">
        <v>23</v>
      </c>
      <c r="AA47" s="790">
        <v>4</v>
      </c>
      <c r="AB47" s="783"/>
      <c r="AC47" s="781"/>
      <c r="AD47" s="779"/>
      <c r="AE47" s="783"/>
      <c r="AF47" s="800">
        <v>1.5</v>
      </c>
      <c r="AG47" s="801">
        <f t="shared" si="9"/>
        <v>6.5220000000000002</v>
      </c>
    </row>
    <row r="48" spans="1:33" s="290" customFormat="1">
      <c r="A48" s="150">
        <v>12</v>
      </c>
      <c r="B48" s="775" t="s">
        <v>240</v>
      </c>
      <c r="C48" s="783"/>
      <c r="D48" s="777"/>
      <c r="E48" s="777"/>
      <c r="F48" s="777"/>
      <c r="G48" s="778"/>
      <c r="H48" s="784"/>
      <c r="I48" s="780"/>
      <c r="J48" s="777"/>
      <c r="K48" s="780"/>
      <c r="L48" s="780"/>
      <c r="M48" s="781"/>
      <c r="N48" s="785">
        <v>27.55</v>
      </c>
      <c r="O48" s="797">
        <f t="shared" si="10"/>
        <v>26.288167938931299</v>
      </c>
      <c r="P48" s="791">
        <v>1.3</v>
      </c>
      <c r="Q48" s="802">
        <f t="shared" si="6"/>
        <v>0.92</v>
      </c>
      <c r="R48" s="793">
        <v>40562</v>
      </c>
      <c r="S48" s="794"/>
      <c r="T48" s="803"/>
      <c r="U48" s="803"/>
      <c r="V48" s="804"/>
      <c r="W48" s="797">
        <f t="shared" si="7"/>
        <v>41.892618320610687</v>
      </c>
      <c r="X48" s="798">
        <f t="shared" si="8"/>
        <v>35.370618320610689</v>
      </c>
      <c r="Y48" s="799"/>
      <c r="Z48" s="789">
        <v>23</v>
      </c>
      <c r="AA48" s="790">
        <v>4</v>
      </c>
      <c r="AB48" s="783"/>
      <c r="AC48" s="781"/>
      <c r="AD48" s="779"/>
      <c r="AE48" s="783"/>
      <c r="AF48" s="800">
        <v>1.5</v>
      </c>
      <c r="AG48" s="801">
        <f t="shared" si="9"/>
        <v>6.5220000000000002</v>
      </c>
    </row>
    <row r="49" spans="1:33" s="290" customFormat="1">
      <c r="A49" s="150">
        <v>13</v>
      </c>
      <c r="B49" s="775" t="s">
        <v>241</v>
      </c>
      <c r="C49" s="786"/>
      <c r="D49" s="787"/>
      <c r="E49" s="787"/>
      <c r="F49" s="787"/>
      <c r="G49" s="788"/>
      <c r="H49" s="784"/>
      <c r="I49" s="789"/>
      <c r="J49" s="787"/>
      <c r="K49" s="789"/>
      <c r="L49" s="789"/>
      <c r="M49" s="790"/>
      <c r="N49" s="785">
        <v>28.04</v>
      </c>
      <c r="O49" s="797">
        <f t="shared" si="10"/>
        <v>26.755725190839694</v>
      </c>
      <c r="P49" s="791">
        <v>1.3</v>
      </c>
      <c r="Q49" s="802">
        <f t="shared" si="6"/>
        <v>0.92</v>
      </c>
      <c r="R49" s="793">
        <v>40562</v>
      </c>
      <c r="S49" s="794"/>
      <c r="T49" s="803"/>
      <c r="U49" s="803"/>
      <c r="V49" s="804"/>
      <c r="W49" s="797">
        <f t="shared" si="7"/>
        <v>42.500442748091601</v>
      </c>
      <c r="X49" s="798">
        <f t="shared" si="8"/>
        <v>35.978442748091602</v>
      </c>
      <c r="Y49" s="799"/>
      <c r="Z49" s="789">
        <v>23</v>
      </c>
      <c r="AA49" s="790">
        <v>4</v>
      </c>
      <c r="AB49" s="783"/>
      <c r="AC49" s="781"/>
      <c r="AD49" s="779"/>
      <c r="AE49" s="783"/>
      <c r="AF49" s="800">
        <v>1.5</v>
      </c>
      <c r="AG49" s="801">
        <f t="shared" si="9"/>
        <v>6.5220000000000002</v>
      </c>
    </row>
    <row r="50" spans="1:33" s="290" customFormat="1">
      <c r="A50" s="150">
        <v>14</v>
      </c>
      <c r="B50" s="775" t="s">
        <v>242</v>
      </c>
      <c r="C50" s="783"/>
      <c r="D50" s="777"/>
      <c r="E50" s="777"/>
      <c r="F50" s="777"/>
      <c r="G50" s="778"/>
      <c r="H50" s="779"/>
      <c r="I50" s="780"/>
      <c r="J50" s="777"/>
      <c r="K50" s="780"/>
      <c r="L50" s="780"/>
      <c r="M50" s="781"/>
      <c r="N50" s="785">
        <v>21.85</v>
      </c>
      <c r="O50" s="797">
        <f t="shared" si="10"/>
        <v>20.849236641221374</v>
      </c>
      <c r="P50" s="791">
        <v>1.3</v>
      </c>
      <c r="Q50" s="802">
        <f t="shared" si="6"/>
        <v>0.92</v>
      </c>
      <c r="R50" s="793">
        <v>40562</v>
      </c>
      <c r="S50" s="794"/>
      <c r="T50" s="803"/>
      <c r="U50" s="803"/>
      <c r="V50" s="804"/>
      <c r="W50" s="797">
        <f t="shared" si="7"/>
        <v>34.822007633587788</v>
      </c>
      <c r="X50" s="798">
        <f t="shared" si="8"/>
        <v>28.300007633587789</v>
      </c>
      <c r="Y50" s="799"/>
      <c r="Z50" s="789">
        <v>23</v>
      </c>
      <c r="AA50" s="790">
        <v>4</v>
      </c>
      <c r="AB50" s="783"/>
      <c r="AC50" s="781"/>
      <c r="AD50" s="779"/>
      <c r="AE50" s="783"/>
      <c r="AF50" s="800">
        <v>1.5</v>
      </c>
      <c r="AG50" s="801">
        <f t="shared" si="9"/>
        <v>6.5220000000000002</v>
      </c>
    </row>
    <row r="51" spans="1:33" s="290" customFormat="1">
      <c r="A51" s="150">
        <v>15</v>
      </c>
      <c r="B51" s="775" t="s">
        <v>243</v>
      </c>
      <c r="C51" s="783"/>
      <c r="D51" s="777"/>
      <c r="E51" s="777"/>
      <c r="F51" s="777"/>
      <c r="G51" s="778"/>
      <c r="H51" s="779"/>
      <c r="I51" s="780"/>
      <c r="J51" s="777"/>
      <c r="K51" s="780"/>
      <c r="L51" s="780"/>
      <c r="M51" s="781"/>
      <c r="N51" s="785">
        <v>28.04</v>
      </c>
      <c r="O51" s="797">
        <f t="shared" si="10"/>
        <v>26.755725190839694</v>
      </c>
      <c r="P51" s="791">
        <v>1.3</v>
      </c>
      <c r="Q51" s="802">
        <f t="shared" si="6"/>
        <v>0.92</v>
      </c>
      <c r="R51" s="793">
        <v>40562</v>
      </c>
      <c r="S51" s="794"/>
      <c r="T51" s="803"/>
      <c r="U51" s="803"/>
      <c r="V51" s="804"/>
      <c r="W51" s="797">
        <f t="shared" si="7"/>
        <v>42.500442748091601</v>
      </c>
      <c r="X51" s="798">
        <f t="shared" si="8"/>
        <v>35.978442748091602</v>
      </c>
      <c r="Y51" s="799"/>
      <c r="Z51" s="789">
        <v>23</v>
      </c>
      <c r="AA51" s="790">
        <v>4</v>
      </c>
      <c r="AB51" s="783"/>
      <c r="AC51" s="781"/>
      <c r="AD51" s="779"/>
      <c r="AE51" s="783"/>
      <c r="AF51" s="800">
        <v>1.5</v>
      </c>
      <c r="AG51" s="801">
        <f t="shared" si="9"/>
        <v>6.5220000000000002</v>
      </c>
    </row>
    <row r="52" spans="1:33" s="290" customFormat="1">
      <c r="A52" s="150">
        <v>16</v>
      </c>
      <c r="B52" s="775" t="s">
        <v>244</v>
      </c>
      <c r="C52" s="786"/>
      <c r="D52" s="787"/>
      <c r="E52" s="787"/>
      <c r="F52" s="787"/>
      <c r="G52" s="788"/>
      <c r="H52" s="784"/>
      <c r="I52" s="789"/>
      <c r="J52" s="787"/>
      <c r="K52" s="789"/>
      <c r="L52" s="789"/>
      <c r="M52" s="790"/>
      <c r="N52" s="785">
        <v>46.98</v>
      </c>
      <c r="O52" s="797">
        <f t="shared" si="10"/>
        <v>44.828244274809158</v>
      </c>
      <c r="P52" s="791">
        <v>1.3</v>
      </c>
      <c r="Q52" s="802">
        <f t="shared" si="6"/>
        <v>0.92</v>
      </c>
      <c r="R52" s="793">
        <v>40562</v>
      </c>
      <c r="S52" s="794"/>
      <c r="T52" s="803"/>
      <c r="U52" s="803"/>
      <c r="V52" s="804"/>
      <c r="W52" s="797">
        <f t="shared" si="7"/>
        <v>65.994717557251903</v>
      </c>
      <c r="X52" s="798">
        <f t="shared" si="8"/>
        <v>59.472717557251904</v>
      </c>
      <c r="Y52" s="799"/>
      <c r="Z52" s="789">
        <v>23</v>
      </c>
      <c r="AA52" s="790">
        <v>4</v>
      </c>
      <c r="AB52" s="783"/>
      <c r="AC52" s="781"/>
      <c r="AD52" s="779"/>
      <c r="AE52" s="783"/>
      <c r="AF52" s="800">
        <v>1.5</v>
      </c>
      <c r="AG52" s="801">
        <f t="shared" si="9"/>
        <v>6.5220000000000002</v>
      </c>
    </row>
    <row r="53" spans="1:33" s="290" customFormat="1">
      <c r="A53" s="150">
        <v>17</v>
      </c>
      <c r="B53" s="775" t="s">
        <v>245</v>
      </c>
      <c r="C53" s="783"/>
      <c r="D53" s="777"/>
      <c r="E53" s="777"/>
      <c r="F53" s="777"/>
      <c r="G53" s="778"/>
      <c r="H53" s="779"/>
      <c r="I53" s="780"/>
      <c r="J53" s="777"/>
      <c r="K53" s="780"/>
      <c r="L53" s="780"/>
      <c r="M53" s="781"/>
      <c r="N53" s="785">
        <v>60.28</v>
      </c>
      <c r="O53" s="797">
        <f t="shared" si="10"/>
        <v>57.519083969465647</v>
      </c>
      <c r="P53" s="791">
        <v>1.3</v>
      </c>
      <c r="Q53" s="802">
        <f t="shared" si="6"/>
        <v>0.92</v>
      </c>
      <c r="R53" s="793">
        <v>40562</v>
      </c>
      <c r="S53" s="794"/>
      <c r="T53" s="803"/>
      <c r="U53" s="803"/>
      <c r="V53" s="804"/>
      <c r="W53" s="797">
        <f t="shared" si="7"/>
        <v>82.492809160305342</v>
      </c>
      <c r="X53" s="798">
        <f t="shared" si="8"/>
        <v>75.970809160305336</v>
      </c>
      <c r="Y53" s="799"/>
      <c r="Z53" s="789">
        <v>23</v>
      </c>
      <c r="AA53" s="790">
        <v>4</v>
      </c>
      <c r="AB53" s="783"/>
      <c r="AC53" s="781"/>
      <c r="AD53" s="779"/>
      <c r="AE53" s="783"/>
      <c r="AF53" s="800">
        <v>1.5</v>
      </c>
      <c r="AG53" s="801">
        <f t="shared" si="9"/>
        <v>6.5220000000000002</v>
      </c>
    </row>
    <row r="54" spans="1:33" s="290" customFormat="1">
      <c r="A54" s="150">
        <v>18</v>
      </c>
      <c r="B54" s="775" t="s">
        <v>246</v>
      </c>
      <c r="C54" s="783"/>
      <c r="D54" s="777"/>
      <c r="E54" s="777"/>
      <c r="F54" s="777"/>
      <c r="G54" s="778"/>
      <c r="H54" s="779"/>
      <c r="I54" s="780"/>
      <c r="J54" s="777"/>
      <c r="K54" s="780"/>
      <c r="L54" s="780"/>
      <c r="M54" s="781"/>
      <c r="N54" s="785">
        <v>40.520000000000003</v>
      </c>
      <c r="O54" s="797">
        <f>N54/$X$33</f>
        <v>27.013333333333335</v>
      </c>
      <c r="P54" s="791">
        <v>1.3</v>
      </c>
      <c r="Q54" s="802">
        <f t="shared" si="6"/>
        <v>0.92</v>
      </c>
      <c r="R54" s="793">
        <v>40562</v>
      </c>
      <c r="S54" s="794"/>
      <c r="T54" s="803"/>
      <c r="U54" s="803"/>
      <c r="V54" s="804"/>
      <c r="W54" s="797">
        <f t="shared" si="7"/>
        <v>42.835333333333331</v>
      </c>
      <c r="X54" s="798">
        <f t="shared" si="8"/>
        <v>36.313333333333333</v>
      </c>
      <c r="Y54" s="799"/>
      <c r="Z54" s="789">
        <v>23</v>
      </c>
      <c r="AA54" s="790">
        <v>4</v>
      </c>
      <c r="AB54" s="783"/>
      <c r="AC54" s="781"/>
      <c r="AD54" s="779"/>
      <c r="AE54" s="783"/>
      <c r="AF54" s="800">
        <v>1.5</v>
      </c>
      <c r="AG54" s="801">
        <f t="shared" si="9"/>
        <v>6.5220000000000002</v>
      </c>
    </row>
    <row r="55" spans="1:33" s="297" customFormat="1">
      <c r="A55" s="150">
        <v>19</v>
      </c>
      <c r="B55" s="775" t="s">
        <v>247</v>
      </c>
      <c r="C55" s="783"/>
      <c r="D55" s="777"/>
      <c r="E55" s="777"/>
      <c r="F55" s="777"/>
      <c r="G55" s="778"/>
      <c r="H55" s="784"/>
      <c r="I55" s="780"/>
      <c r="J55" s="777"/>
      <c r="K55" s="780"/>
      <c r="L55" s="780"/>
      <c r="M55" s="781"/>
      <c r="N55" s="785">
        <v>52</v>
      </c>
      <c r="O55" s="797">
        <f>N55/$X$33</f>
        <v>34.666666666666664</v>
      </c>
      <c r="P55" s="791">
        <v>1.3</v>
      </c>
      <c r="Q55" s="802">
        <f t="shared" si="6"/>
        <v>0.92</v>
      </c>
      <c r="R55" s="793">
        <v>40562</v>
      </c>
      <c r="S55" s="794"/>
      <c r="T55" s="803"/>
      <c r="U55" s="803"/>
      <c r="V55" s="804"/>
      <c r="W55" s="797">
        <f t="shared" si="7"/>
        <v>52.784666666666659</v>
      </c>
      <c r="X55" s="798">
        <f t="shared" si="8"/>
        <v>46.262666666666661</v>
      </c>
      <c r="Y55" s="799"/>
      <c r="Z55" s="789">
        <v>23</v>
      </c>
      <c r="AA55" s="790">
        <v>4</v>
      </c>
      <c r="AB55" s="783"/>
      <c r="AC55" s="781"/>
      <c r="AD55" s="779"/>
      <c r="AE55" s="783"/>
      <c r="AF55" s="800">
        <v>1.5</v>
      </c>
      <c r="AG55" s="801">
        <f t="shared" si="9"/>
        <v>6.5220000000000002</v>
      </c>
    </row>
    <row r="56" spans="1:33" s="290" customFormat="1" ht="14.25">
      <c r="A56" s="150">
        <v>20</v>
      </c>
      <c r="B56" s="775" t="s">
        <v>248</v>
      </c>
      <c r="C56" s="776"/>
      <c r="D56" s="777"/>
      <c r="E56" s="777"/>
      <c r="F56" s="777"/>
      <c r="G56" s="778"/>
      <c r="H56" s="779"/>
      <c r="I56" s="780"/>
      <c r="J56" s="777"/>
      <c r="K56" s="780"/>
      <c r="L56" s="780"/>
      <c r="M56" s="781"/>
      <c r="N56" s="782"/>
      <c r="O56" s="791">
        <v>7.7</v>
      </c>
      <c r="P56" s="791">
        <v>1.5</v>
      </c>
      <c r="Q56" s="802">
        <f t="shared" si="6"/>
        <v>0.92</v>
      </c>
      <c r="R56" s="793">
        <v>40269</v>
      </c>
      <c r="S56" s="794"/>
      <c r="T56" s="803"/>
      <c r="U56" s="803"/>
      <c r="V56" s="804"/>
      <c r="W56" s="797">
        <f t="shared" si="7"/>
        <v>19.268000000000001</v>
      </c>
      <c r="X56" s="798">
        <f t="shared" si="8"/>
        <v>12.746</v>
      </c>
      <c r="Y56" s="799"/>
      <c r="Z56" s="789">
        <v>23</v>
      </c>
      <c r="AA56" s="790">
        <v>4</v>
      </c>
      <c r="AB56" s="783"/>
      <c r="AC56" s="781"/>
      <c r="AD56" s="779"/>
      <c r="AE56" s="783"/>
      <c r="AF56" s="800">
        <v>1.5</v>
      </c>
      <c r="AG56" s="801">
        <f t="shared" si="9"/>
        <v>6.5220000000000002</v>
      </c>
    </row>
    <row r="57" spans="1:33" s="290" customFormat="1" ht="14.25">
      <c r="A57" s="150">
        <v>21</v>
      </c>
      <c r="B57" s="514"/>
      <c r="C57" s="296"/>
      <c r="D57" s="291"/>
      <c r="E57" s="291"/>
      <c r="F57" s="291"/>
      <c r="G57" s="292"/>
      <c r="H57" s="293"/>
      <c r="I57" s="294"/>
      <c r="J57" s="291"/>
      <c r="K57" s="294"/>
      <c r="L57" s="294"/>
      <c r="M57" s="295"/>
      <c r="N57" s="434"/>
      <c r="O57" s="437"/>
      <c r="P57" s="437"/>
      <c r="Q57" s="434"/>
      <c r="R57" s="438"/>
      <c r="S57" s="439"/>
      <c r="T57" s="435"/>
      <c r="U57" s="435"/>
      <c r="V57" s="436"/>
      <c r="W57" s="437"/>
      <c r="X57" s="440"/>
      <c r="Y57" s="441"/>
      <c r="Z57" s="446"/>
      <c r="AA57" s="443"/>
      <c r="AB57" s="442"/>
      <c r="AC57" s="443"/>
      <c r="AD57" s="444"/>
      <c r="AE57" s="442"/>
      <c r="AF57" s="444"/>
      <c r="AG57" s="445"/>
    </row>
    <row r="58" spans="1:33" s="290" customFormat="1" ht="14.25">
      <c r="A58" s="150">
        <v>10</v>
      </c>
      <c r="B58" s="514"/>
      <c r="C58" s="296"/>
      <c r="D58" s="291"/>
      <c r="E58" s="291"/>
      <c r="F58" s="291"/>
      <c r="G58" s="292"/>
      <c r="H58" s="293"/>
      <c r="I58" s="294"/>
      <c r="J58" s="291"/>
      <c r="K58" s="294"/>
      <c r="L58" s="294"/>
      <c r="M58" s="295"/>
      <c r="N58" s="433"/>
      <c r="O58" s="437"/>
      <c r="P58" s="437"/>
      <c r="Q58" s="434"/>
      <c r="R58" s="438"/>
      <c r="S58" s="439"/>
      <c r="T58" s="435"/>
      <c r="U58" s="435"/>
      <c r="V58" s="436"/>
      <c r="W58" s="437"/>
      <c r="X58" s="440"/>
      <c r="Y58" s="441"/>
      <c r="Z58" s="446"/>
      <c r="AA58" s="443"/>
      <c r="AB58" s="442"/>
      <c r="AC58" s="443"/>
      <c r="AD58" s="444"/>
      <c r="AE58" s="442"/>
      <c r="AF58" s="444"/>
      <c r="AG58" s="445"/>
    </row>
    <row r="59" spans="1:33" ht="15" thickBot="1">
      <c r="A59" s="150">
        <v>11</v>
      </c>
      <c r="B59" s="515"/>
      <c r="C59" s="298"/>
      <c r="D59" s="299"/>
      <c r="E59" s="299"/>
      <c r="F59" s="299"/>
      <c r="G59" s="300"/>
      <c r="H59" s="301"/>
      <c r="I59" s="302"/>
      <c r="J59" s="299"/>
      <c r="K59" s="302"/>
      <c r="L59" s="299"/>
      <c r="M59" s="300"/>
      <c r="N59" s="447"/>
      <c r="O59" s="448"/>
      <c r="P59" s="448"/>
      <c r="Q59" s="447"/>
      <c r="R59" s="449"/>
      <c r="S59" s="450"/>
      <c r="T59" s="451"/>
      <c r="U59" s="451"/>
      <c r="V59" s="452"/>
      <c r="W59" s="453"/>
      <c r="X59" s="454"/>
      <c r="Y59" s="455"/>
      <c r="Z59" s="456"/>
      <c r="AA59" s="457"/>
      <c r="AB59" s="456"/>
      <c r="AC59" s="457"/>
      <c r="AD59" s="458"/>
      <c r="AE59" s="456"/>
      <c r="AF59" s="458"/>
      <c r="AG59" s="459"/>
    </row>
    <row r="60" spans="1:33" ht="13.5" thickBot="1">
      <c r="C60" s="127"/>
      <c r="D60" s="127"/>
      <c r="E60" s="127"/>
      <c r="F60" s="127"/>
      <c r="G60" s="218"/>
      <c r="H60" s="218"/>
      <c r="I60" s="218"/>
      <c r="J60" s="218"/>
      <c r="K60" s="218"/>
      <c r="L60" s="218"/>
      <c r="M60" s="218"/>
      <c r="N60" s="218"/>
      <c r="Q60" s="127"/>
      <c r="X60" s="150"/>
    </row>
    <row r="61" spans="1:33" ht="13.5" thickBot="1">
      <c r="B61" s="235"/>
      <c r="C61" s="235"/>
      <c r="D61" s="235"/>
      <c r="E61" s="235"/>
      <c r="F61" s="235"/>
      <c r="G61" s="235"/>
      <c r="H61" s="205"/>
      <c r="M61" s="218"/>
      <c r="N61" s="1065" t="s">
        <v>130</v>
      </c>
      <c r="O61" s="1066"/>
      <c r="P61" s="236"/>
      <c r="Q61" s="219"/>
      <c r="R61" s="226"/>
      <c r="S61" s="226"/>
      <c r="T61" s="226"/>
      <c r="U61" s="226"/>
      <c r="V61" s="226"/>
      <c r="X61" s="460">
        <f>$X$7</f>
        <v>1.3</v>
      </c>
      <c r="Y61" s="289" t="s">
        <v>131</v>
      </c>
      <c r="Z61" s="237"/>
      <c r="AA61" s="238"/>
      <c r="AB61" s="239"/>
      <c r="AC61" s="240"/>
      <c r="AD61" s="240"/>
      <c r="AE61" s="241"/>
      <c r="AF61" s="242" t="s">
        <v>89</v>
      </c>
      <c r="AG61" s="460">
        <f>$AG$7</f>
        <v>2</v>
      </c>
    </row>
    <row r="62" spans="1:33">
      <c r="B62" s="243" t="s">
        <v>151</v>
      </c>
      <c r="C62" s="244"/>
      <c r="D62" s="244"/>
      <c r="E62" s="244"/>
      <c r="F62" s="245" t="s">
        <v>133</v>
      </c>
      <c r="G62" s="167"/>
      <c r="H62" s="1062" t="s">
        <v>134</v>
      </c>
      <c r="I62" s="1063"/>
      <c r="J62" s="1063"/>
      <c r="K62" s="1063"/>
      <c r="L62" s="1063"/>
      <c r="M62" s="1064"/>
      <c r="N62" s="246" t="s">
        <v>149</v>
      </c>
      <c r="O62" s="247" t="s">
        <v>69</v>
      </c>
      <c r="P62" s="248" t="s">
        <v>136</v>
      </c>
      <c r="Q62" s="249" t="s">
        <v>137</v>
      </c>
      <c r="R62" s="250" t="s">
        <v>118</v>
      </c>
      <c r="S62" s="244" t="s">
        <v>138</v>
      </c>
      <c r="T62" s="251"/>
      <c r="U62" s="251"/>
      <c r="V62" s="252"/>
      <c r="W62" s="253" t="s">
        <v>139</v>
      </c>
      <c r="X62" s="253" t="s">
        <v>140</v>
      </c>
      <c r="Y62" s="254" t="s">
        <v>141</v>
      </c>
      <c r="Z62" s="255" t="s">
        <v>142</v>
      </c>
      <c r="AA62" s="256" t="s">
        <v>150</v>
      </c>
      <c r="AB62" s="257" t="s">
        <v>144</v>
      </c>
      <c r="AC62" s="256" t="s">
        <v>150</v>
      </c>
      <c r="AD62" s="257" t="s">
        <v>145</v>
      </c>
      <c r="AE62" s="256" t="s">
        <v>150</v>
      </c>
      <c r="AF62" s="258">
        <f ca="1">IF(Pose!G31=0,'Tarif pose'!E7,Pose!G31)</f>
        <v>2.1739999999999999</v>
      </c>
      <c r="AG62" s="259"/>
    </row>
    <row r="63" spans="1:33" s="290" customFormat="1">
      <c r="A63" s="150">
        <v>1</v>
      </c>
      <c r="B63" s="805" t="s">
        <v>251</v>
      </c>
      <c r="C63" s="806"/>
      <c r="D63" s="807"/>
      <c r="E63" s="807"/>
      <c r="F63" s="807"/>
      <c r="G63" s="808"/>
      <c r="H63" s="809"/>
      <c r="I63" s="810"/>
      <c r="J63" s="807"/>
      <c r="K63" s="810"/>
      <c r="L63" s="810"/>
      <c r="M63" s="811"/>
      <c r="N63" s="812"/>
      <c r="O63" s="813">
        <v>13</v>
      </c>
      <c r="P63" s="813">
        <v>1.3</v>
      </c>
      <c r="Q63" s="814">
        <f>(Z63*AA63)+(AB63*AC63)</f>
        <v>0.26</v>
      </c>
      <c r="R63" s="815">
        <v>40269</v>
      </c>
      <c r="S63" s="816"/>
      <c r="T63" s="817"/>
      <c r="U63" s="817"/>
      <c r="V63" s="818"/>
      <c r="W63" s="819">
        <f>X63+AG63</f>
        <v>25.934000000000005</v>
      </c>
      <c r="X63" s="820">
        <f>(O63*P63)+((AA63*Z63+AC63*AB63+AE63*AD63)*$X$61)</f>
        <v>17.238000000000003</v>
      </c>
      <c r="Y63" s="821"/>
      <c r="Z63" s="822">
        <v>0.13</v>
      </c>
      <c r="AA63" s="823">
        <v>2</v>
      </c>
      <c r="AB63" s="824"/>
      <c r="AC63" s="810"/>
      <c r="AD63" s="809"/>
      <c r="AE63" s="825"/>
      <c r="AF63" s="826">
        <v>2</v>
      </c>
      <c r="AG63" s="827">
        <f>$AG$61*$AF$62*AF63</f>
        <v>8.6959999999999997</v>
      </c>
    </row>
    <row r="64" spans="1:33" s="290" customFormat="1">
      <c r="A64" s="150">
        <v>2</v>
      </c>
      <c r="B64" s="828" t="s">
        <v>248</v>
      </c>
      <c r="C64" s="829"/>
      <c r="D64" s="830"/>
      <c r="E64" s="830"/>
      <c r="F64" s="830"/>
      <c r="G64" s="831"/>
      <c r="H64" s="832"/>
      <c r="I64" s="833"/>
      <c r="J64" s="830"/>
      <c r="K64" s="833"/>
      <c r="L64" s="833"/>
      <c r="M64" s="834"/>
      <c r="N64" s="835"/>
      <c r="O64" s="836">
        <v>9.9</v>
      </c>
      <c r="P64" s="837">
        <v>1.2</v>
      </c>
      <c r="Q64" s="838">
        <f>(Z64*AA64)+(AB64*AC64)</f>
        <v>0.26</v>
      </c>
      <c r="R64" s="839">
        <v>40269</v>
      </c>
      <c r="S64" s="840"/>
      <c r="T64" s="841"/>
      <c r="U64" s="841"/>
      <c r="V64" s="842"/>
      <c r="W64" s="836">
        <f>X64+AG64</f>
        <v>20.914000000000001</v>
      </c>
      <c r="X64" s="843">
        <f>(O64*P64)+((AA64*Z64+AC64*AB64+AE64*AD64)*$X$61)</f>
        <v>12.218</v>
      </c>
      <c r="Y64" s="844"/>
      <c r="Z64" s="845">
        <v>0.13</v>
      </c>
      <c r="AA64" s="846">
        <v>2</v>
      </c>
      <c r="AB64" s="847"/>
      <c r="AC64" s="833"/>
      <c r="AD64" s="832"/>
      <c r="AE64" s="848"/>
      <c r="AF64" s="849">
        <v>2</v>
      </c>
      <c r="AG64" s="850">
        <f>$AG$61*$AF$62*AF64</f>
        <v>8.6959999999999997</v>
      </c>
    </row>
    <row r="65" spans="1:33" s="290" customFormat="1" ht="14.25">
      <c r="A65" s="150">
        <v>3</v>
      </c>
      <c r="B65" s="852"/>
      <c r="C65" s="853"/>
      <c r="D65" s="854"/>
      <c r="E65" s="854"/>
      <c r="F65" s="854"/>
      <c r="G65" s="855"/>
      <c r="H65" s="856"/>
      <c r="I65" s="857"/>
      <c r="J65" s="854"/>
      <c r="K65" s="857"/>
      <c r="L65" s="857"/>
      <c r="M65" s="858"/>
      <c r="N65" s="859"/>
      <c r="O65" s="860"/>
      <c r="P65" s="861"/>
      <c r="Q65" s="862"/>
      <c r="R65" s="863"/>
      <c r="S65" s="864"/>
      <c r="T65" s="865"/>
      <c r="U65" s="865"/>
      <c r="V65" s="866"/>
      <c r="W65" s="861"/>
      <c r="X65" s="851"/>
      <c r="Y65" s="867"/>
      <c r="Z65" s="857"/>
      <c r="AA65" s="858"/>
      <c r="AB65" s="868"/>
      <c r="AC65" s="857"/>
      <c r="AD65" s="856"/>
      <c r="AE65" s="869"/>
      <c r="AF65" s="856"/>
      <c r="AG65" s="870"/>
    </row>
    <row r="66" spans="1:33" s="290" customFormat="1" ht="14.25">
      <c r="A66" s="150">
        <v>4</v>
      </c>
      <c r="B66" s="871" t="s">
        <v>260</v>
      </c>
      <c r="C66" s="872"/>
      <c r="D66" s="873"/>
      <c r="E66" s="873"/>
      <c r="F66" s="873"/>
      <c r="G66" s="874"/>
      <c r="H66" s="875"/>
      <c r="I66" s="876">
        <v>0</v>
      </c>
      <c r="J66" s="873"/>
      <c r="K66" s="876"/>
      <c r="L66" s="876"/>
      <c r="M66" s="877"/>
      <c r="N66" s="878">
        <v>0</v>
      </c>
      <c r="O66" s="879">
        <v>0</v>
      </c>
      <c r="P66" s="861">
        <v>0</v>
      </c>
      <c r="Q66" s="862">
        <f>(Z66/100*AA66)+(AB66/100*AC66)</f>
        <v>0</v>
      </c>
      <c r="R66" s="880">
        <v>0</v>
      </c>
      <c r="S66" s="881">
        <v>0</v>
      </c>
      <c r="T66" s="882"/>
      <c r="U66" s="882"/>
      <c r="V66" s="883"/>
      <c r="W66" s="879">
        <f>X66+AG66</f>
        <v>0</v>
      </c>
      <c r="X66" s="884">
        <f>(O66*P66)+((AA66*Z66/100+AC66*AB66/100+AE66*AD66/100)*$X$61)</f>
        <v>0</v>
      </c>
      <c r="Y66" s="885">
        <v>0</v>
      </c>
      <c r="Z66" s="886">
        <v>0</v>
      </c>
      <c r="AA66" s="877">
        <v>0</v>
      </c>
      <c r="AB66" s="887">
        <v>0</v>
      </c>
      <c r="AC66" s="876">
        <v>0</v>
      </c>
      <c r="AD66" s="875">
        <v>0</v>
      </c>
      <c r="AE66" s="888">
        <v>0</v>
      </c>
      <c r="AF66" s="875">
        <v>0</v>
      </c>
      <c r="AG66" s="889">
        <f>$AF$62*AF66*$AG$61</f>
        <v>0</v>
      </c>
    </row>
    <row r="67" spans="1:33" ht="15" thickBot="1">
      <c r="A67" s="150">
        <v>5</v>
      </c>
      <c r="B67" s="890">
        <v>0</v>
      </c>
      <c r="C67" s="891"/>
      <c r="D67" s="892"/>
      <c r="E67" s="892"/>
      <c r="F67" s="892"/>
      <c r="G67" s="893"/>
      <c r="H67" s="894"/>
      <c r="I67" s="895"/>
      <c r="J67" s="892"/>
      <c r="K67" s="895"/>
      <c r="L67" s="892"/>
      <c r="M67" s="893"/>
      <c r="N67" s="896">
        <v>0</v>
      </c>
      <c r="O67" s="897">
        <v>0</v>
      </c>
      <c r="P67" s="898">
        <v>0</v>
      </c>
      <c r="Q67" s="899">
        <f>(Z67/100*AA67)+(AB67/100*AC67)</f>
        <v>0</v>
      </c>
      <c r="R67" s="900">
        <v>0</v>
      </c>
      <c r="S67" s="901">
        <v>0</v>
      </c>
      <c r="T67" s="902"/>
      <c r="U67" s="902"/>
      <c r="V67" s="903"/>
      <c r="W67" s="904">
        <f>X67+AG67</f>
        <v>0</v>
      </c>
      <c r="X67" s="905">
        <f>(O67*P67)+((AA67*Z67/100+AC67*AB67/100+AE67*AD67/100)*$X$61)</f>
        <v>0</v>
      </c>
      <c r="Y67" s="906">
        <v>0</v>
      </c>
      <c r="Z67" s="907">
        <v>0</v>
      </c>
      <c r="AA67" s="908">
        <v>0</v>
      </c>
      <c r="AB67" s="909">
        <v>0</v>
      </c>
      <c r="AC67" s="895">
        <v>0</v>
      </c>
      <c r="AD67" s="894">
        <v>0</v>
      </c>
      <c r="AE67" s="910">
        <v>0</v>
      </c>
      <c r="AF67" s="894">
        <v>0</v>
      </c>
      <c r="AG67" s="911">
        <f>$AF$62*AF67*$AG$61</f>
        <v>0</v>
      </c>
    </row>
    <row r="68" spans="1:33" ht="13.5" thickBot="1">
      <c r="H68" s="131"/>
      <c r="I68" s="131"/>
      <c r="J68" s="131"/>
      <c r="K68" s="131"/>
      <c r="L68" s="131"/>
      <c r="M68" s="131"/>
      <c r="N68" s="131"/>
    </row>
    <row r="69" spans="1:33" ht="13.5" thickBot="1">
      <c r="B69" s="235"/>
      <c r="C69" s="235"/>
      <c r="D69" s="235"/>
      <c r="E69" s="235"/>
      <c r="F69" s="235"/>
      <c r="G69" s="235"/>
      <c r="H69" s="205"/>
      <c r="M69" s="218"/>
      <c r="N69" s="1065" t="s">
        <v>130</v>
      </c>
      <c r="O69" s="1066"/>
      <c r="P69" s="236"/>
      <c r="Q69" s="219"/>
      <c r="R69" s="226"/>
      <c r="S69" s="226"/>
      <c r="T69" s="226"/>
      <c r="U69" s="226"/>
      <c r="V69" s="226"/>
      <c r="X69" s="460">
        <f>$X$7</f>
        <v>1.3</v>
      </c>
      <c r="Y69" s="289" t="s">
        <v>131</v>
      </c>
      <c r="Z69" s="237"/>
      <c r="AA69" s="238"/>
      <c r="AB69" s="239"/>
      <c r="AC69" s="240"/>
      <c r="AD69" s="240"/>
      <c r="AE69" s="241"/>
      <c r="AF69" s="242" t="s">
        <v>89</v>
      </c>
      <c r="AG69" s="460">
        <f>$AG$7</f>
        <v>2</v>
      </c>
    </row>
    <row r="70" spans="1:33">
      <c r="B70" s="243" t="s">
        <v>16</v>
      </c>
      <c r="C70" s="244"/>
      <c r="D70" s="244"/>
      <c r="E70" s="244"/>
      <c r="F70" s="245" t="s">
        <v>133</v>
      </c>
      <c r="G70" s="167"/>
      <c r="H70" s="1062" t="s">
        <v>134</v>
      </c>
      <c r="I70" s="1063"/>
      <c r="J70" s="1063"/>
      <c r="K70" s="1063"/>
      <c r="L70" s="1063"/>
      <c r="M70" s="1064"/>
      <c r="N70" s="246" t="s">
        <v>149</v>
      </c>
      <c r="O70" s="247" t="s">
        <v>69</v>
      </c>
      <c r="P70" s="248" t="s">
        <v>136</v>
      </c>
      <c r="Q70" s="249" t="s">
        <v>137</v>
      </c>
      <c r="R70" s="250" t="s">
        <v>118</v>
      </c>
      <c r="S70" s="244" t="s">
        <v>138</v>
      </c>
      <c r="T70" s="251"/>
      <c r="U70" s="251"/>
      <c r="V70" s="252"/>
      <c r="W70" s="253" t="s">
        <v>139</v>
      </c>
      <c r="X70" s="253" t="s">
        <v>140</v>
      </c>
      <c r="Y70" s="254" t="s">
        <v>141</v>
      </c>
      <c r="Z70" s="255" t="s">
        <v>142</v>
      </c>
      <c r="AA70" s="256" t="s">
        <v>150</v>
      </c>
      <c r="AB70" s="257" t="s">
        <v>144</v>
      </c>
      <c r="AC70" s="256" t="s">
        <v>150</v>
      </c>
      <c r="AD70" s="257" t="s">
        <v>145</v>
      </c>
      <c r="AE70" s="256" t="s">
        <v>150</v>
      </c>
      <c r="AF70" s="258">
        <f ca="1">IF(Pose!G31=0,'Tarif pose'!E7,Pose!G31)</f>
        <v>2.1739999999999999</v>
      </c>
      <c r="AG70" s="259"/>
    </row>
    <row r="71" spans="1:33" s="290" customFormat="1">
      <c r="A71" s="150">
        <v>1</v>
      </c>
      <c r="B71" s="912" t="s">
        <v>252</v>
      </c>
      <c r="C71" s="913"/>
      <c r="D71" s="914"/>
      <c r="E71" s="914"/>
      <c r="F71" s="914"/>
      <c r="G71" s="915"/>
      <c r="H71" s="916"/>
      <c r="I71" s="917"/>
      <c r="J71" s="914"/>
      <c r="K71" s="917"/>
      <c r="L71" s="917"/>
      <c r="M71" s="918"/>
      <c r="N71" s="919"/>
      <c r="O71" s="920">
        <v>9.25</v>
      </c>
      <c r="P71" s="921">
        <v>1.3</v>
      </c>
      <c r="Q71" s="922">
        <f>(Z71/100*AA71)+(AB71/100*AC71)</f>
        <v>0.43930000000000002</v>
      </c>
      <c r="R71" s="923">
        <v>40269</v>
      </c>
      <c r="S71" s="924"/>
      <c r="T71" s="925"/>
      <c r="U71" s="925"/>
      <c r="V71" s="926"/>
      <c r="W71" s="927">
        <f>X71+AG71</f>
        <v>6.5220000000000002</v>
      </c>
      <c r="X71" s="928"/>
      <c r="Y71" s="929"/>
      <c r="Z71" s="930">
        <v>23</v>
      </c>
      <c r="AA71" s="931">
        <v>1.91</v>
      </c>
      <c r="AB71" s="932"/>
      <c r="AC71" s="918"/>
      <c r="AD71" s="916"/>
      <c r="AE71" s="933"/>
      <c r="AF71" s="934">
        <v>1.5</v>
      </c>
      <c r="AG71" s="935">
        <f>$AG$69*$AF$70*AF71</f>
        <v>6.5220000000000002</v>
      </c>
    </row>
    <row r="72" spans="1:33" s="290" customFormat="1" ht="14.25">
      <c r="A72" s="150">
        <v>2</v>
      </c>
      <c r="B72" s="936" t="s">
        <v>253</v>
      </c>
      <c r="C72" s="937"/>
      <c r="D72" s="938"/>
      <c r="E72" s="938"/>
      <c r="F72" s="938"/>
      <c r="G72" s="939"/>
      <c r="H72" s="940"/>
      <c r="I72" s="941"/>
      <c r="J72" s="938"/>
      <c r="K72" s="941"/>
      <c r="L72" s="941"/>
      <c r="M72" s="942"/>
      <c r="N72" s="943"/>
      <c r="O72" s="944">
        <f>O71+O73</f>
        <v>13.1</v>
      </c>
      <c r="P72" s="945">
        <v>1.3</v>
      </c>
      <c r="Q72" s="946">
        <f>(Z72/100*AA72)+(AB72/100*AC72)</f>
        <v>0</v>
      </c>
      <c r="R72" s="947">
        <v>40269</v>
      </c>
      <c r="S72" s="948"/>
      <c r="T72" s="949"/>
      <c r="U72" s="949"/>
      <c r="V72" s="950"/>
      <c r="W72" s="944">
        <f>W71+W73</f>
        <v>18.048999999999999</v>
      </c>
      <c r="X72" s="951">
        <f>(O72*P72)+((AA72*Z72/100+AC72*AB72/100+AE72*AD72/100)*$X$71)</f>
        <v>17.03</v>
      </c>
      <c r="Y72" s="952"/>
      <c r="Z72" s="941"/>
      <c r="AA72" s="942"/>
      <c r="AB72" s="953"/>
      <c r="AC72" s="942"/>
      <c r="AD72" s="940"/>
      <c r="AE72" s="954"/>
      <c r="AF72" s="955">
        <f>AF71*AF73</f>
        <v>2.25</v>
      </c>
      <c r="AG72" s="956">
        <f>$AG$69*$AF$70*AF72</f>
        <v>9.7829999999999995</v>
      </c>
    </row>
    <row r="73" spans="1:33" s="290" customFormat="1">
      <c r="A73" s="150">
        <v>3</v>
      </c>
      <c r="B73" s="936" t="s">
        <v>254</v>
      </c>
      <c r="C73" s="957"/>
      <c r="D73" s="958"/>
      <c r="E73" s="958"/>
      <c r="F73" s="958"/>
      <c r="G73" s="959"/>
      <c r="H73" s="960"/>
      <c r="I73" s="961"/>
      <c r="J73" s="958"/>
      <c r="K73" s="961"/>
      <c r="L73" s="961"/>
      <c r="M73" s="962"/>
      <c r="N73" s="963"/>
      <c r="O73" s="964">
        <v>3.85</v>
      </c>
      <c r="P73" s="945">
        <v>1.3</v>
      </c>
      <c r="Q73" s="965">
        <f>(Z73/100*AA73)+(AB73/100*AC73)</f>
        <v>0.26</v>
      </c>
      <c r="R73" s="947">
        <v>40269</v>
      </c>
      <c r="S73" s="948"/>
      <c r="T73" s="966"/>
      <c r="U73" s="966"/>
      <c r="V73" s="967"/>
      <c r="W73" s="944">
        <f>X73+AG73</f>
        <v>11.527000000000001</v>
      </c>
      <c r="X73" s="951">
        <f>(O73*P73)+((AA73*Z73/100+AC73*AB73/100+AE73*AD73/100)*$X$71)</f>
        <v>5.0049999999999999</v>
      </c>
      <c r="Y73" s="968"/>
      <c r="Z73" s="969">
        <v>13</v>
      </c>
      <c r="AA73" s="970">
        <v>2</v>
      </c>
      <c r="AB73" s="971"/>
      <c r="AC73" s="962"/>
      <c r="AD73" s="960"/>
      <c r="AE73" s="972"/>
      <c r="AF73" s="955">
        <v>1.5</v>
      </c>
      <c r="AG73" s="956">
        <f>$AG$69*$AF$70*AF73</f>
        <v>6.5220000000000002</v>
      </c>
    </row>
    <row r="74" spans="1:33" s="290" customFormat="1" ht="14.25">
      <c r="A74" s="150">
        <v>4</v>
      </c>
      <c r="B74" s="517" t="s">
        <v>260</v>
      </c>
      <c r="C74" s="303"/>
      <c r="D74" s="304"/>
      <c r="E74" s="304"/>
      <c r="F74" s="304"/>
      <c r="G74" s="305"/>
      <c r="H74" s="306"/>
      <c r="I74" s="307">
        <v>0</v>
      </c>
      <c r="J74" s="304"/>
      <c r="K74" s="307"/>
      <c r="L74" s="307"/>
      <c r="M74" s="308"/>
      <c r="N74" s="488">
        <v>0</v>
      </c>
      <c r="O74" s="489">
        <v>0</v>
      </c>
      <c r="P74" s="490">
        <v>0</v>
      </c>
      <c r="Q74" s="472">
        <f>(Z74/100*AA74)+(AB74/100*AC74)</f>
        <v>0</v>
      </c>
      <c r="R74" s="491">
        <v>0</v>
      </c>
      <c r="S74" s="492">
        <v>0</v>
      </c>
      <c r="T74" s="475"/>
      <c r="U74" s="475"/>
      <c r="V74" s="476"/>
      <c r="W74" s="489">
        <f>X74+AG74</f>
        <v>0</v>
      </c>
      <c r="X74" s="470">
        <f>(O74*P74)+((AA74*Z74/100+AC74*AB74/100+AE74*AD74/100)*$X$69)</f>
        <v>0</v>
      </c>
      <c r="Y74" s="478">
        <v>0</v>
      </c>
      <c r="Z74" s="493">
        <v>0</v>
      </c>
      <c r="AA74" s="479">
        <v>0</v>
      </c>
      <c r="AB74" s="494">
        <v>0</v>
      </c>
      <c r="AC74" s="479">
        <v>0</v>
      </c>
      <c r="AD74" s="481">
        <v>0</v>
      </c>
      <c r="AE74" s="482">
        <v>0</v>
      </c>
      <c r="AF74" s="472">
        <v>0</v>
      </c>
      <c r="AG74" s="495">
        <f>$AF$70*AF74*$AG$69</f>
        <v>0</v>
      </c>
    </row>
    <row r="75" spans="1:33" ht="15" thickBot="1">
      <c r="A75" s="150">
        <v>5</v>
      </c>
      <c r="B75" s="518">
        <v>0</v>
      </c>
      <c r="C75" s="309"/>
      <c r="D75" s="310"/>
      <c r="E75" s="310"/>
      <c r="F75" s="310"/>
      <c r="G75" s="311"/>
      <c r="H75" s="312"/>
      <c r="I75" s="313"/>
      <c r="J75" s="310"/>
      <c r="K75" s="313"/>
      <c r="L75" s="310"/>
      <c r="M75" s="311"/>
      <c r="N75" s="496">
        <v>0</v>
      </c>
      <c r="O75" s="497">
        <v>0</v>
      </c>
      <c r="P75" s="498">
        <v>0</v>
      </c>
      <c r="Q75" s="499">
        <f>(Z75/100*AA75)+(AB75/100*AC75)</f>
        <v>0</v>
      </c>
      <c r="R75" s="500">
        <v>0</v>
      </c>
      <c r="S75" s="501">
        <v>0</v>
      </c>
      <c r="T75" s="502"/>
      <c r="U75" s="502"/>
      <c r="V75" s="503"/>
      <c r="W75" s="504">
        <f>X75+AG75</f>
        <v>0</v>
      </c>
      <c r="X75" s="505">
        <f>(O75*P75)+((AA75*Z75/100+AC75*AB75/100+AE75*AD75/100)*$X$69)</f>
        <v>0</v>
      </c>
      <c r="Y75" s="506">
        <v>0</v>
      </c>
      <c r="Z75" s="507">
        <v>0</v>
      </c>
      <c r="AA75" s="508">
        <v>0</v>
      </c>
      <c r="AB75" s="509">
        <v>0</v>
      </c>
      <c r="AC75" s="508">
        <v>0</v>
      </c>
      <c r="AD75" s="510">
        <v>0</v>
      </c>
      <c r="AE75" s="511">
        <v>0</v>
      </c>
      <c r="AF75" s="510">
        <v>0</v>
      </c>
      <c r="AG75" s="512">
        <f>$AF$70*AF75*$AG$69</f>
        <v>0</v>
      </c>
    </row>
    <row r="76" spans="1:33">
      <c r="H76" s="131"/>
      <c r="I76" s="131"/>
      <c r="J76" s="131"/>
      <c r="K76" s="131"/>
      <c r="L76" s="131"/>
      <c r="M76" s="131"/>
      <c r="N76" s="131"/>
    </row>
    <row r="77" spans="1:33">
      <c r="H77" s="131"/>
      <c r="I77" s="131"/>
      <c r="J77" s="131"/>
      <c r="K77" s="131"/>
      <c r="L77" s="131"/>
      <c r="M77" s="131"/>
      <c r="N77" s="131"/>
    </row>
    <row r="78" spans="1:33">
      <c r="H78" s="131"/>
      <c r="I78" s="131"/>
      <c r="J78" s="131"/>
      <c r="K78" s="131"/>
      <c r="L78" s="131"/>
      <c r="M78" s="131"/>
      <c r="N78" s="131"/>
    </row>
    <row r="79" spans="1:33">
      <c r="F79" s="131"/>
      <c r="G79" s="131"/>
      <c r="H79" s="131"/>
      <c r="I79" s="131"/>
      <c r="J79" s="131"/>
      <c r="K79" s="131"/>
      <c r="L79" s="131"/>
      <c r="M79" s="131"/>
      <c r="N79" s="131"/>
    </row>
    <row r="80" spans="1:33">
      <c r="F80" s="131"/>
      <c r="G80" s="131"/>
      <c r="H80" s="131"/>
      <c r="I80" s="131"/>
      <c r="J80" s="131"/>
      <c r="K80" s="131"/>
      <c r="L80" s="131"/>
      <c r="M80" s="131"/>
      <c r="N80" s="131"/>
    </row>
    <row r="81" spans="1:39">
      <c r="F81" s="131"/>
      <c r="G81" s="131"/>
      <c r="H81" s="131"/>
      <c r="I81" s="131"/>
      <c r="J81" s="131"/>
      <c r="K81" s="131"/>
      <c r="L81" s="131"/>
      <c r="M81" s="131"/>
      <c r="N81" s="131"/>
    </row>
    <row r="82" spans="1:39">
      <c r="F82" s="131"/>
      <c r="G82" s="131"/>
      <c r="H82" s="131"/>
      <c r="I82" s="131"/>
      <c r="J82" s="131"/>
      <c r="K82" s="131"/>
      <c r="L82" s="131"/>
      <c r="M82" s="131"/>
      <c r="N82" s="131"/>
    </row>
    <row r="83" spans="1:39" s="127" customFormat="1">
      <c r="A83" s="117"/>
      <c r="B83" s="116"/>
      <c r="C83" s="116"/>
      <c r="D83" s="116"/>
      <c r="E83" s="116"/>
      <c r="F83" s="131"/>
      <c r="G83" s="131"/>
      <c r="H83" s="131"/>
      <c r="I83" s="131"/>
      <c r="J83" s="131"/>
      <c r="K83" s="131"/>
      <c r="L83" s="131"/>
      <c r="M83" s="131"/>
      <c r="N83" s="131"/>
      <c r="Q83" s="116"/>
      <c r="W83" s="150"/>
      <c r="X83" s="117"/>
      <c r="Y83" s="279"/>
      <c r="AA83" s="150"/>
      <c r="AC83" s="150"/>
      <c r="AD83" s="150"/>
      <c r="AF83" s="150"/>
      <c r="AH83" s="116"/>
      <c r="AI83" s="116"/>
      <c r="AJ83" s="116"/>
      <c r="AK83" s="116"/>
      <c r="AL83" s="116"/>
      <c r="AM83" s="116"/>
    </row>
    <row r="84" spans="1:39" s="127" customFormat="1">
      <c r="A84" s="117"/>
      <c r="B84" s="116"/>
      <c r="C84" s="116"/>
      <c r="D84" s="116"/>
      <c r="E84" s="116"/>
      <c r="F84" s="131"/>
      <c r="G84" s="131"/>
      <c r="H84" s="131"/>
      <c r="I84" s="131"/>
      <c r="J84" s="131"/>
      <c r="K84" s="131"/>
      <c r="L84" s="131"/>
      <c r="M84" s="131"/>
      <c r="N84" s="131"/>
      <c r="Q84" s="116"/>
      <c r="W84" s="150"/>
      <c r="X84" s="117"/>
      <c r="Y84" s="279"/>
      <c r="AA84" s="150"/>
      <c r="AC84" s="150"/>
      <c r="AD84" s="150"/>
      <c r="AF84" s="150"/>
      <c r="AH84" s="116"/>
      <c r="AI84" s="116"/>
      <c r="AJ84" s="116"/>
      <c r="AK84" s="116"/>
      <c r="AL84" s="116"/>
      <c r="AM84" s="116"/>
    </row>
    <row r="85" spans="1:39" s="127" customFormat="1">
      <c r="A85" s="117"/>
      <c r="B85" s="116"/>
      <c r="C85" s="116"/>
      <c r="D85" s="116"/>
      <c r="E85" s="116"/>
      <c r="F85" s="131"/>
      <c r="G85" s="131"/>
      <c r="H85" s="131"/>
      <c r="I85" s="131"/>
      <c r="J85" s="131"/>
      <c r="K85" s="131"/>
      <c r="L85" s="131"/>
      <c r="M85" s="131"/>
      <c r="N85" s="131"/>
      <c r="Q85" s="116"/>
      <c r="W85" s="150"/>
      <c r="X85" s="117"/>
      <c r="Y85" s="279"/>
      <c r="AA85" s="150"/>
      <c r="AC85" s="150"/>
      <c r="AD85" s="150"/>
      <c r="AF85" s="150"/>
      <c r="AH85" s="116"/>
      <c r="AI85" s="116"/>
      <c r="AJ85" s="116"/>
      <c r="AK85" s="116"/>
      <c r="AL85" s="116"/>
      <c r="AM85" s="116"/>
    </row>
  </sheetData>
  <mergeCells count="16">
    <mergeCell ref="H70:M70"/>
    <mergeCell ref="S2:T2"/>
    <mergeCell ref="AH2:AM2"/>
    <mergeCell ref="AE3:AF3"/>
    <mergeCell ref="N7:O7"/>
    <mergeCell ref="H8:M8"/>
    <mergeCell ref="V33:W33"/>
    <mergeCell ref="N35:O35"/>
    <mergeCell ref="H36:M36"/>
    <mergeCell ref="N61:O61"/>
    <mergeCell ref="H62:M62"/>
    <mergeCell ref="N69:O69"/>
    <mergeCell ref="X33:Y33"/>
    <mergeCell ref="Z33:AA33"/>
    <mergeCell ref="X34:Y34"/>
    <mergeCell ref="Z34:AA34"/>
  </mergeCells>
  <phoneticPr fontId="0" type="noConversion"/>
  <conditionalFormatting sqref="N63:N65 N57 N71:N73 N30 P10:P30 N9:P29 W9:W29 N37:N54">
    <cfRule type="cellIs" dxfId="12" priority="9" stopIfTrue="1" operator="equal">
      <formula>99</formula>
    </cfRule>
  </conditionalFormatting>
  <conditionalFormatting sqref="I15:M17 I19:M28 H15:H28 H9:M14">
    <cfRule type="cellIs" dxfId="11" priority="8" stopIfTrue="1" operator="equal">
      <formula>"ATTENTION TARIF ACHAT"</formula>
    </cfRule>
  </conditionalFormatting>
  <conditionalFormatting sqref="N9:P27 W9:W27">
    <cfRule type="cellIs" dxfId="10" priority="7" stopIfTrue="1" operator="equal">
      <formula>99</formula>
    </cfRule>
  </conditionalFormatting>
  <conditionalFormatting sqref="I15:M17 I19:M27 H9:M14 H15:H27">
    <cfRule type="cellIs" dxfId="9" priority="6" stopIfTrue="1" operator="equal">
      <formula>"ATTENTION TARIF ACHAT"</formula>
    </cfRule>
  </conditionalFormatting>
  <conditionalFormatting sqref="N37:N56">
    <cfRule type="cellIs" dxfId="8" priority="5" stopIfTrue="1" operator="equal">
      <formula>99</formula>
    </cfRule>
  </conditionalFormatting>
  <conditionalFormatting sqref="N63:N64">
    <cfRule type="cellIs" dxfId="7" priority="4" stopIfTrue="1" operator="equal">
      <formula>99</formula>
    </cfRule>
  </conditionalFormatting>
  <conditionalFormatting sqref="N63:N65">
    <cfRule type="cellIs" dxfId="6" priority="3" stopIfTrue="1" operator="equal">
      <formula>99</formula>
    </cfRule>
  </conditionalFormatting>
  <conditionalFormatting sqref="N71:N73">
    <cfRule type="cellIs" dxfId="5" priority="2" stopIfTrue="1" operator="equal">
      <formula>99</formula>
    </cfRule>
  </conditionalFormatting>
  <conditionalFormatting sqref="N71:N73">
    <cfRule type="cellIs" dxfId="4" priority="1" stopIfTrue="1" operator="equal">
      <formula>99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12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indexed="13"/>
  </sheetPr>
  <dimension ref="A1:AL78"/>
  <sheetViews>
    <sheetView showZeros="0" zoomScale="85" workbookViewId="0">
      <selection activeCell="R19" sqref="R19:R22"/>
    </sheetView>
  </sheetViews>
  <sheetFormatPr baseColWidth="10" defaultRowHeight="12.75"/>
  <cols>
    <col min="1" max="1" width="3.7109375" style="117" customWidth="1"/>
    <col min="2" max="6" width="5.7109375" style="116" customWidth="1"/>
    <col min="7" max="7" width="7.140625" style="116" customWidth="1"/>
    <col min="8" max="14" width="5.7109375" style="116" customWidth="1"/>
    <col min="15" max="15" width="5.7109375" style="127" customWidth="1"/>
    <col min="16" max="16" width="6.28515625" style="116" customWidth="1"/>
    <col min="17" max="17" width="7.140625" style="127" customWidth="1"/>
    <col min="18" max="21" width="5.7109375" style="127" customWidth="1"/>
    <col min="22" max="22" width="5.7109375" style="150" customWidth="1"/>
    <col min="23" max="23" width="5.7109375" style="117" customWidth="1"/>
    <col min="24" max="24" width="5.7109375" style="279" customWidth="1"/>
    <col min="25" max="25" width="5.7109375" style="127" customWidth="1"/>
    <col min="26" max="26" width="5.7109375" style="150" customWidth="1"/>
    <col min="27" max="27" width="5.7109375" style="127" customWidth="1"/>
    <col min="28" max="29" width="5.7109375" style="150" customWidth="1"/>
    <col min="30" max="30" width="5.7109375" style="127" customWidth="1"/>
    <col min="31" max="31" width="5.7109375" style="150" customWidth="1"/>
    <col min="32" max="32" width="5.7109375" style="127" customWidth="1"/>
    <col min="33" max="60" width="5.7109375" style="116" customWidth="1"/>
    <col min="61" max="16384" width="11.42578125" style="116"/>
  </cols>
  <sheetData>
    <row r="1" spans="1:36" ht="11.1" customHeight="1"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X1" s="117"/>
      <c r="Y1" s="117"/>
      <c r="Z1" s="117"/>
      <c r="AA1" s="117"/>
      <c r="AB1" s="117"/>
      <c r="AC1" s="117"/>
      <c r="AD1" s="117"/>
      <c r="AE1" s="117"/>
      <c r="AF1" s="117"/>
    </row>
    <row r="2" spans="1:36" ht="11.1" customHeight="1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X2" s="117"/>
      <c r="Y2" s="117"/>
      <c r="Z2" s="117"/>
      <c r="AA2" s="117"/>
      <c r="AB2" s="117"/>
      <c r="AC2" s="117"/>
      <c r="AD2" s="117"/>
      <c r="AE2" s="117"/>
      <c r="AF2" s="117"/>
    </row>
    <row r="3" spans="1:36" ht="11.1" customHeight="1"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X3" s="117"/>
      <c r="Y3" s="117"/>
      <c r="Z3" s="117"/>
      <c r="AA3" s="117"/>
      <c r="AB3" s="117"/>
      <c r="AC3" s="117"/>
      <c r="AD3" s="117"/>
      <c r="AE3" s="117"/>
      <c r="AF3" s="117"/>
    </row>
    <row r="4" spans="1:36" ht="11.1" customHeight="1">
      <c r="A4" s="116"/>
      <c r="O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</row>
    <row r="5" spans="1:36" s="190" customFormat="1" ht="11.1" customHeight="1"/>
    <row r="6" spans="1:36" ht="11.1" customHeight="1" thickBot="1">
      <c r="A6" s="116"/>
      <c r="B6" s="190">
        <v>1</v>
      </c>
      <c r="C6" s="190">
        <v>2</v>
      </c>
      <c r="D6" s="190">
        <v>3</v>
      </c>
      <c r="E6" s="190">
        <v>4</v>
      </c>
      <c r="F6" s="190">
        <v>5</v>
      </c>
      <c r="G6" s="190">
        <v>6</v>
      </c>
      <c r="H6" s="190">
        <v>7</v>
      </c>
      <c r="I6" s="190">
        <v>8</v>
      </c>
      <c r="J6" s="190">
        <v>9</v>
      </c>
      <c r="K6" s="190">
        <v>10</v>
      </c>
      <c r="L6" s="190">
        <v>11</v>
      </c>
      <c r="M6" s="190">
        <v>12</v>
      </c>
      <c r="N6" s="190">
        <v>13</v>
      </c>
      <c r="O6" s="190">
        <v>14</v>
      </c>
      <c r="P6" s="190">
        <v>15</v>
      </c>
      <c r="Q6" s="190">
        <v>16</v>
      </c>
      <c r="R6" s="190">
        <v>17</v>
      </c>
      <c r="S6" s="190">
        <v>18</v>
      </c>
      <c r="T6" s="190">
        <v>19</v>
      </c>
      <c r="U6" s="190">
        <v>20</v>
      </c>
      <c r="V6" s="190">
        <v>21</v>
      </c>
      <c r="W6" s="190">
        <v>22</v>
      </c>
      <c r="X6" s="190">
        <v>23</v>
      </c>
      <c r="Y6" s="190">
        <v>24</v>
      </c>
      <c r="Z6" s="190">
        <v>25</v>
      </c>
      <c r="AA6" s="190">
        <v>26</v>
      </c>
      <c r="AB6" s="190">
        <v>27</v>
      </c>
      <c r="AC6" s="190">
        <v>28</v>
      </c>
      <c r="AD6" s="190">
        <v>29</v>
      </c>
      <c r="AE6" s="190">
        <v>30</v>
      </c>
      <c r="AF6" s="190">
        <v>31</v>
      </c>
    </row>
    <row r="7" spans="1:36" ht="11.1" customHeight="1" thickBot="1">
      <c r="A7" s="132"/>
      <c r="B7" s="235"/>
      <c r="C7" s="235"/>
      <c r="D7" s="235"/>
      <c r="E7" s="235"/>
      <c r="F7" s="235"/>
      <c r="G7" s="235"/>
      <c r="H7" s="205"/>
      <c r="M7" s="218"/>
      <c r="N7" s="1078" t="s">
        <v>130</v>
      </c>
      <c r="O7" s="1079"/>
      <c r="P7" s="219"/>
      <c r="Q7" s="226"/>
      <c r="R7" s="226"/>
      <c r="S7" s="226"/>
      <c r="T7" s="226"/>
      <c r="U7" s="226"/>
      <c r="W7" s="663">
        <v>1.3</v>
      </c>
      <c r="X7" s="252" t="s">
        <v>131</v>
      </c>
      <c r="Y7" s="315"/>
      <c r="Z7" s="316"/>
      <c r="AA7" s="317"/>
      <c r="AB7" s="255"/>
      <c r="AC7" s="255"/>
      <c r="AD7" s="318"/>
      <c r="AE7" s="257" t="s">
        <v>89</v>
      </c>
      <c r="AF7" s="527">
        <f ca="1">Couverture!AG7</f>
        <v>2</v>
      </c>
    </row>
    <row r="8" spans="1:36">
      <c r="B8" s="243" t="s">
        <v>152</v>
      </c>
      <c r="C8" s="244"/>
      <c r="D8" s="244"/>
      <c r="E8" s="244"/>
      <c r="F8" s="245" t="s">
        <v>133</v>
      </c>
      <c r="G8" s="167"/>
      <c r="H8" s="1062" t="s">
        <v>134</v>
      </c>
      <c r="I8" s="1063"/>
      <c r="J8" s="1063"/>
      <c r="K8" s="1063"/>
      <c r="L8" s="1063"/>
      <c r="M8" s="1064"/>
      <c r="N8" s="250" t="s">
        <v>153</v>
      </c>
      <c r="O8" s="319" t="s">
        <v>69</v>
      </c>
      <c r="P8" s="249" t="s">
        <v>136</v>
      </c>
      <c r="Q8" s="319" t="s">
        <v>118</v>
      </c>
      <c r="R8" s="320" t="s">
        <v>138</v>
      </c>
      <c r="S8" s="321"/>
      <c r="T8" s="321"/>
      <c r="U8" s="322"/>
      <c r="V8" s="323" t="s">
        <v>139</v>
      </c>
      <c r="W8" s="323" t="s">
        <v>140</v>
      </c>
      <c r="X8" s="254"/>
      <c r="Y8" s="255"/>
      <c r="Z8" s="256"/>
      <c r="AA8" s="257"/>
      <c r="AB8" s="256"/>
      <c r="AC8" s="257"/>
      <c r="AD8" s="324"/>
      <c r="AE8" s="325">
        <v>0</v>
      </c>
      <c r="AF8" s="322"/>
    </row>
    <row r="9" spans="1:36" ht="14.25">
      <c r="A9" s="150">
        <v>1</v>
      </c>
      <c r="B9" s="409" t="str">
        <f>[3]Zinguerie!B9</f>
        <v>Chéneaux galva 2mm - Dev. 1000mm</v>
      </c>
      <c r="C9" s="410"/>
      <c r="D9" s="411"/>
      <c r="E9" s="411"/>
      <c r="F9" s="411"/>
      <c r="G9" s="412"/>
      <c r="H9" s="520">
        <f>[3]Zinguerie!H9</f>
        <v>0</v>
      </c>
      <c r="I9" s="521"/>
      <c r="J9" s="521"/>
      <c r="K9" s="521"/>
      <c r="L9" s="521"/>
      <c r="M9" s="382"/>
      <c r="N9" s="368">
        <f>[3]Zinguerie!N9</f>
        <v>0</v>
      </c>
      <c r="O9" s="387">
        <f>[3]Zinguerie!O9</f>
        <v>33.799999999999997</v>
      </c>
      <c r="P9" s="388">
        <f>[3]Zinguerie!P9</f>
        <v>0</v>
      </c>
      <c r="Q9" s="383">
        <f>[3]Zinguerie!Q9</f>
        <v>40269</v>
      </c>
      <c r="R9" s="384"/>
      <c r="S9" s="385"/>
      <c r="T9" s="385"/>
      <c r="U9" s="386"/>
      <c r="V9" s="387"/>
      <c r="W9" s="388"/>
      <c r="X9" s="367">
        <f>[3]Zinguerie!X9</f>
        <v>0</v>
      </c>
      <c r="Y9" s="522">
        <f>[3]Zinguerie!Y9</f>
        <v>0</v>
      </c>
      <c r="Z9" s="380">
        <f>[3]Zinguerie!Z9</f>
        <v>0</v>
      </c>
      <c r="AA9" s="368">
        <f>[3]Zinguerie!AA9</f>
        <v>0</v>
      </c>
      <c r="AB9" s="380">
        <f>[3]Zinguerie!AB9</f>
        <v>0</v>
      </c>
      <c r="AC9" s="381">
        <f>[3]Zinguerie!AC9</f>
        <v>0</v>
      </c>
      <c r="AD9" s="521">
        <f>[3]Zinguerie!AD9</f>
        <v>0</v>
      </c>
      <c r="AE9" s="368">
        <f>[3]Zinguerie!AE9</f>
        <v>1.5</v>
      </c>
      <c r="AF9" s="380"/>
    </row>
    <row r="10" spans="1:36" s="264" customFormat="1">
      <c r="A10" s="150">
        <v>2</v>
      </c>
      <c r="B10" s="413" t="str">
        <f>[3]Zinguerie!B10</f>
        <v>Chéneaux galva 2mm - Dev. 500mm</v>
      </c>
      <c r="C10" s="414"/>
      <c r="D10" s="414"/>
      <c r="E10" s="415"/>
      <c r="F10" s="415"/>
      <c r="G10" s="416"/>
      <c r="H10" s="375">
        <f>[3]Zinguerie!H10</f>
        <v>0</v>
      </c>
      <c r="I10" s="373"/>
      <c r="J10" s="373"/>
      <c r="K10" s="373"/>
      <c r="L10" s="373"/>
      <c r="M10" s="390"/>
      <c r="N10" s="372">
        <f>[3]Zinguerie!N10</f>
        <v>0</v>
      </c>
      <c r="O10" s="387">
        <f>[3]Zinguerie!O10</f>
        <v>18.21</v>
      </c>
      <c r="P10" s="388">
        <f>[3]Zinguerie!P10</f>
        <v>0</v>
      </c>
      <c r="Q10" s="383">
        <f>[3]Zinguerie!Q10</f>
        <v>40269</v>
      </c>
      <c r="R10" s="384"/>
      <c r="S10" s="385"/>
      <c r="T10" s="385"/>
      <c r="U10" s="386"/>
      <c r="V10" s="387"/>
      <c r="W10" s="388"/>
      <c r="X10" s="369">
        <f>[3]Zinguerie!X10</f>
        <v>0</v>
      </c>
      <c r="Y10" s="370">
        <f>[3]Zinguerie!Y10</f>
        <v>0</v>
      </c>
      <c r="Z10" s="371">
        <f>[3]Zinguerie!Z10</f>
        <v>0</v>
      </c>
      <c r="AA10" s="372">
        <f>[3]Zinguerie!AA10</f>
        <v>0</v>
      </c>
      <c r="AB10" s="371">
        <f>[3]Zinguerie!AB10</f>
        <v>0</v>
      </c>
      <c r="AC10" s="389">
        <f>[3]Zinguerie!AC10</f>
        <v>0</v>
      </c>
      <c r="AD10" s="373">
        <f>[3]Zinguerie!AD10</f>
        <v>0</v>
      </c>
      <c r="AE10" s="372">
        <f>[3]Zinguerie!AE10</f>
        <v>1.5</v>
      </c>
      <c r="AF10" s="371"/>
    </row>
    <row r="11" spans="1:36">
      <c r="A11" s="150">
        <v>3</v>
      </c>
      <c r="B11" s="413" t="str">
        <f>[3]Zinguerie!B11</f>
        <v>Gouttière ALU</v>
      </c>
      <c r="C11" s="373"/>
      <c r="D11" s="415"/>
      <c r="E11" s="415"/>
      <c r="F11" s="415"/>
      <c r="G11" s="416"/>
      <c r="H11" s="375">
        <f>[3]Zinguerie!H11</f>
        <v>0</v>
      </c>
      <c r="I11" s="373"/>
      <c r="J11" s="373"/>
      <c r="K11" s="373"/>
      <c r="L11" s="373"/>
      <c r="M11" s="390"/>
      <c r="N11" s="372">
        <f>[3]Zinguerie!N11</f>
        <v>0</v>
      </c>
      <c r="O11" s="387">
        <f>[3]Zinguerie!O11</f>
        <v>27</v>
      </c>
      <c r="P11" s="388">
        <f>[3]Zinguerie!P11</f>
        <v>0</v>
      </c>
      <c r="Q11" s="383">
        <f>[3]Zinguerie!Q11</f>
        <v>40269</v>
      </c>
      <c r="R11" s="384"/>
      <c r="S11" s="385"/>
      <c r="T11" s="385"/>
      <c r="U11" s="386"/>
      <c r="V11" s="387"/>
      <c r="W11" s="388"/>
      <c r="X11" s="369">
        <f>[3]Zinguerie!X11</f>
        <v>0</v>
      </c>
      <c r="Y11" s="370">
        <f>[3]Zinguerie!Y11</f>
        <v>0</v>
      </c>
      <c r="Z11" s="371">
        <f>[3]Zinguerie!Z11</f>
        <v>0</v>
      </c>
      <c r="AA11" s="372">
        <f>[3]Zinguerie!AA11</f>
        <v>0</v>
      </c>
      <c r="AB11" s="371">
        <f>[3]Zinguerie!AB11</f>
        <v>0</v>
      </c>
      <c r="AC11" s="389">
        <f>[3]Zinguerie!AC11</f>
        <v>0</v>
      </c>
      <c r="AD11" s="373">
        <f>[3]Zinguerie!AD11</f>
        <v>0</v>
      </c>
      <c r="AE11" s="372">
        <f>[3]Zinguerie!AE11</f>
        <v>1.5</v>
      </c>
      <c r="AF11" s="371"/>
    </row>
    <row r="12" spans="1:36" s="264" customFormat="1">
      <c r="A12" s="150">
        <v>4</v>
      </c>
      <c r="B12" s="413" t="str">
        <f>[3]Zinguerie!B12</f>
        <v>Gouttière galva Dev.33</v>
      </c>
      <c r="C12" s="373"/>
      <c r="D12" s="415"/>
      <c r="E12" s="415"/>
      <c r="F12" s="415"/>
      <c r="G12" s="416"/>
      <c r="H12" s="375" t="str">
        <f>[3]Zinguerie!H12</f>
        <v>Crochets, naissance &amp; fond de goutières</v>
      </c>
      <c r="I12" s="373"/>
      <c r="J12" s="373"/>
      <c r="K12" s="373"/>
      <c r="L12" s="373"/>
      <c r="M12" s="390"/>
      <c r="N12" s="372">
        <f>[3]Zinguerie!N12</f>
        <v>0</v>
      </c>
      <c r="O12" s="387">
        <f>[3]Zinguerie!O12</f>
        <v>2.4</v>
      </c>
      <c r="P12" s="388">
        <f>[3]Zinguerie!P12</f>
        <v>0</v>
      </c>
      <c r="Q12" s="383">
        <f>[3]Zinguerie!Q12</f>
        <v>40569</v>
      </c>
      <c r="R12" s="384"/>
      <c r="S12" s="385"/>
      <c r="T12" s="385"/>
      <c r="U12" s="386"/>
      <c r="V12" s="387"/>
      <c r="W12" s="388"/>
      <c r="X12" s="523">
        <f>[3]Zinguerie!X12</f>
        <v>0</v>
      </c>
      <c r="Y12" s="370">
        <f>[3]Zinguerie!Y12</f>
        <v>0</v>
      </c>
      <c r="Z12" s="371">
        <f>[3]Zinguerie!Z12</f>
        <v>0</v>
      </c>
      <c r="AA12" s="372">
        <f>[3]Zinguerie!AA12</f>
        <v>0</v>
      </c>
      <c r="AB12" s="371">
        <f>[3]Zinguerie!AB12</f>
        <v>0</v>
      </c>
      <c r="AC12" s="389">
        <f>[3]Zinguerie!AC12</f>
        <v>0</v>
      </c>
      <c r="AD12" s="373">
        <f>[3]Zinguerie!AD12</f>
        <v>0</v>
      </c>
      <c r="AE12" s="372">
        <f>[3]Zinguerie!AE12</f>
        <v>1.5</v>
      </c>
      <c r="AF12" s="371"/>
    </row>
    <row r="13" spans="1:36" s="264" customFormat="1">
      <c r="A13" s="150">
        <v>11</v>
      </c>
      <c r="B13" s="413">
        <f>[3]Zinguerie!B13</f>
        <v>0</v>
      </c>
      <c r="C13" s="373"/>
      <c r="D13" s="415"/>
      <c r="E13" s="415"/>
      <c r="F13" s="415"/>
      <c r="G13" s="416"/>
      <c r="H13" s="375">
        <f>[3]Zinguerie!H13</f>
        <v>0</v>
      </c>
      <c r="I13" s="373"/>
      <c r="J13" s="373"/>
      <c r="K13" s="373"/>
      <c r="L13" s="373"/>
      <c r="M13" s="390"/>
      <c r="N13" s="372">
        <f>[3]Zinguerie!N13</f>
        <v>0</v>
      </c>
      <c r="O13" s="387">
        <f>[3]Zinguerie!O13</f>
        <v>0</v>
      </c>
      <c r="P13" s="388">
        <f>[3]Zinguerie!P13</f>
        <v>0</v>
      </c>
      <c r="Q13" s="383">
        <f>[3]Zinguerie!Q13</f>
        <v>0</v>
      </c>
      <c r="R13" s="384">
        <f>[3]Zinguerie!R13</f>
        <v>0</v>
      </c>
      <c r="S13" s="385"/>
      <c r="T13" s="385"/>
      <c r="U13" s="386"/>
      <c r="V13" s="387"/>
      <c r="W13" s="388"/>
      <c r="X13" s="369">
        <f>[3]Zinguerie!X13</f>
        <v>0</v>
      </c>
      <c r="Y13" s="370">
        <f>[3]Zinguerie!Y13</f>
        <v>0</v>
      </c>
      <c r="Z13" s="371">
        <f>[3]Zinguerie!Z13</f>
        <v>0</v>
      </c>
      <c r="AA13" s="372">
        <f>[3]Zinguerie!AA13</f>
        <v>0</v>
      </c>
      <c r="AB13" s="371">
        <f>[3]Zinguerie!AB13</f>
        <v>0</v>
      </c>
      <c r="AC13" s="389">
        <f>[3]Zinguerie!AC13</f>
        <v>0</v>
      </c>
      <c r="AD13" s="373">
        <f>[3]Zinguerie!AD13</f>
        <v>0</v>
      </c>
      <c r="AE13" s="372">
        <f>[3]Zinguerie!AE13</f>
        <v>0</v>
      </c>
      <c r="AF13" s="371"/>
      <c r="AJ13" s="519"/>
    </row>
    <row r="14" spans="1:36">
      <c r="A14" s="150">
        <v>12</v>
      </c>
      <c r="B14" s="413" t="str">
        <f>[3]Zinguerie!B14</f>
        <v>zéro (sans)</v>
      </c>
      <c r="C14" s="373"/>
      <c r="D14" s="415"/>
      <c r="E14" s="415"/>
      <c r="F14" s="415"/>
      <c r="G14" s="416"/>
      <c r="H14" s="375">
        <f>[3]Zinguerie!H14</f>
        <v>0</v>
      </c>
      <c r="I14" s="373"/>
      <c r="J14" s="373"/>
      <c r="K14" s="373"/>
      <c r="L14" s="373"/>
      <c r="M14" s="390"/>
      <c r="N14" s="372">
        <f>[3]Zinguerie!N14</f>
        <v>0</v>
      </c>
      <c r="O14" s="402">
        <f>[3]Zinguerie!O14</f>
        <v>0</v>
      </c>
      <c r="P14" s="388">
        <f>[3]Zinguerie!P14</f>
        <v>0</v>
      </c>
      <c r="Q14" s="391">
        <f>[3]Zinguerie!Q14</f>
        <v>0</v>
      </c>
      <c r="R14" s="384">
        <f>[3]Zinguerie!R14</f>
        <v>0</v>
      </c>
      <c r="S14" s="385"/>
      <c r="T14" s="385"/>
      <c r="U14" s="386"/>
      <c r="V14" s="392"/>
      <c r="W14" s="388"/>
      <c r="X14" s="369">
        <f>[3]Zinguerie!X14</f>
        <v>0</v>
      </c>
      <c r="Y14" s="373">
        <f>[3]Zinguerie!Y14</f>
        <v>0</v>
      </c>
      <c r="Z14" s="374">
        <f>[3]Zinguerie!Z14</f>
        <v>0</v>
      </c>
      <c r="AA14" s="375">
        <f>[3]Zinguerie!AA14</f>
        <v>0</v>
      </c>
      <c r="AB14" s="374">
        <f>[3]Zinguerie!AB14</f>
        <v>0</v>
      </c>
      <c r="AC14" s="389">
        <f>[3]Zinguerie!AC14</f>
        <v>0</v>
      </c>
      <c r="AD14" s="373">
        <f>[3]Zinguerie!AD14</f>
        <v>0</v>
      </c>
      <c r="AE14" s="389">
        <f>[3]Zinguerie!AE14</f>
        <v>0</v>
      </c>
      <c r="AF14" s="371"/>
    </row>
    <row r="15" spans="1:36" ht="13.5" thickBot="1">
      <c r="A15" s="150"/>
      <c r="B15" s="524">
        <f>[3]Zinguerie!B15</f>
        <v>0</v>
      </c>
      <c r="C15" s="377"/>
      <c r="D15" s="525"/>
      <c r="E15" s="525"/>
      <c r="F15" s="525"/>
      <c r="G15" s="526"/>
      <c r="H15" s="379">
        <f>[3]Zinguerie!H15</f>
        <v>0</v>
      </c>
      <c r="I15" s="377"/>
      <c r="J15" s="377"/>
      <c r="K15" s="377"/>
      <c r="L15" s="377"/>
      <c r="M15" s="401"/>
      <c r="N15" s="404">
        <f>[3]Zinguerie!N15</f>
        <v>0</v>
      </c>
      <c r="O15" s="399">
        <f>[3]Zinguerie!O15</f>
        <v>0</v>
      </c>
      <c r="P15" s="399">
        <f>[3]Zinguerie!P15</f>
        <v>0</v>
      </c>
      <c r="Q15" s="394">
        <f>[3]Zinguerie!Q15</f>
        <v>0</v>
      </c>
      <c r="R15" s="395">
        <f>[3]Zinguerie!R15</f>
        <v>0</v>
      </c>
      <c r="S15" s="396"/>
      <c r="T15" s="396"/>
      <c r="U15" s="397"/>
      <c r="V15" s="398"/>
      <c r="W15" s="399"/>
      <c r="X15" s="376">
        <f>[3]Zinguerie!X15</f>
        <v>0</v>
      </c>
      <c r="Y15" s="377">
        <f>[3]Zinguerie!Y15</f>
        <v>0</v>
      </c>
      <c r="Z15" s="378">
        <f>[3]Zinguerie!Z15</f>
        <v>0</v>
      </c>
      <c r="AA15" s="379">
        <f>[3]Zinguerie!AA15</f>
        <v>0</v>
      </c>
      <c r="AB15" s="378">
        <f>[3]Zinguerie!AB15</f>
        <v>0</v>
      </c>
      <c r="AC15" s="400">
        <f>[3]Zinguerie!AC15</f>
        <v>0</v>
      </c>
      <c r="AD15" s="377">
        <f>[3]Zinguerie!AD15</f>
        <v>0</v>
      </c>
      <c r="AE15" s="400">
        <f>[3]Zinguerie!AE15</f>
        <v>0</v>
      </c>
      <c r="AF15" s="401"/>
    </row>
    <row r="16" spans="1:36" ht="13.5" thickBot="1">
      <c r="F16" s="131"/>
      <c r="G16" s="131"/>
      <c r="H16" s="131"/>
      <c r="I16" s="131"/>
      <c r="J16" s="131"/>
      <c r="K16" s="131"/>
      <c r="L16" s="131"/>
      <c r="M16" s="131"/>
      <c r="N16" s="131"/>
    </row>
    <row r="17" spans="1:38" ht="13.5" thickBot="1">
      <c r="A17" s="132"/>
      <c r="B17" s="235"/>
      <c r="C17" s="235"/>
      <c r="D17" s="235"/>
      <c r="E17" s="235"/>
      <c r="F17" s="235"/>
      <c r="G17" s="235"/>
      <c r="H17" s="205"/>
      <c r="M17" s="218"/>
      <c r="N17" s="1078" t="s">
        <v>130</v>
      </c>
      <c r="O17" s="1079"/>
      <c r="P17" s="219"/>
      <c r="Q17" s="226"/>
      <c r="R17" s="226"/>
      <c r="S17" s="226"/>
      <c r="T17" s="226"/>
      <c r="U17" s="226"/>
      <c r="W17" s="528">
        <f>$W$7</f>
        <v>1.3</v>
      </c>
      <c r="X17" s="252" t="s">
        <v>131</v>
      </c>
      <c r="Y17" s="315"/>
      <c r="Z17" s="316"/>
      <c r="AA17" s="317"/>
      <c r="AB17" s="255"/>
      <c r="AC17" s="255"/>
      <c r="AD17" s="318"/>
      <c r="AE17" s="257" t="s">
        <v>89</v>
      </c>
      <c r="AF17" s="527">
        <f>AF7</f>
        <v>2</v>
      </c>
      <c r="AJ17" s="120"/>
      <c r="AK17" s="120"/>
      <c r="AL17" s="120"/>
    </row>
    <row r="18" spans="1:38">
      <c r="B18" s="243" t="s">
        <v>154</v>
      </c>
      <c r="C18" s="244"/>
      <c r="D18" s="244"/>
      <c r="E18" s="244"/>
      <c r="F18" s="245" t="s">
        <v>133</v>
      </c>
      <c r="G18" s="167"/>
      <c r="H18" s="1062" t="s">
        <v>134</v>
      </c>
      <c r="I18" s="1063"/>
      <c r="J18" s="1063"/>
      <c r="K18" s="1063"/>
      <c r="L18" s="1063"/>
      <c r="M18" s="1064"/>
      <c r="N18" s="250" t="s">
        <v>153</v>
      </c>
      <c r="O18" s="319" t="s">
        <v>69</v>
      </c>
      <c r="P18" s="249" t="s">
        <v>136</v>
      </c>
      <c r="Q18" s="319" t="s">
        <v>118</v>
      </c>
      <c r="R18" s="320" t="s">
        <v>138</v>
      </c>
      <c r="S18" s="321"/>
      <c r="T18" s="321"/>
      <c r="U18" s="322"/>
      <c r="V18" s="253" t="s">
        <v>139</v>
      </c>
      <c r="W18" s="253" t="s">
        <v>140</v>
      </c>
      <c r="X18" s="254"/>
      <c r="Y18" s="255"/>
      <c r="Z18" s="256"/>
      <c r="AA18" s="257"/>
      <c r="AB18" s="256"/>
      <c r="AC18" s="257"/>
      <c r="AD18" s="324"/>
      <c r="AE18" s="325">
        <f>$AE$8</f>
        <v>0</v>
      </c>
      <c r="AF18" s="322"/>
    </row>
    <row r="19" spans="1:38" ht="14.25">
      <c r="A19" s="150">
        <v>1</v>
      </c>
      <c r="B19" s="513" t="str">
        <f>[3]Zinguerie!B19</f>
        <v>Descentes Galva diam. 100</v>
      </c>
      <c r="C19" s="529"/>
      <c r="D19" s="530"/>
      <c r="E19" s="530"/>
      <c r="F19" s="530"/>
      <c r="G19" s="531"/>
      <c r="H19" s="532" t="str">
        <f>[3]Zinguerie!H19</f>
        <v>Colliers &amp; coudes</v>
      </c>
      <c r="I19" s="423"/>
      <c r="J19" s="423"/>
      <c r="K19" s="423"/>
      <c r="L19" s="423"/>
      <c r="M19" s="533"/>
      <c r="N19" s="422">
        <f>[3]Zinguerie!N19</f>
        <v>0</v>
      </c>
      <c r="O19" s="426">
        <f>[3]Zinguerie!O19</f>
        <v>3.72</v>
      </c>
      <c r="P19" s="425">
        <f>[3]Zinguerie!P19</f>
        <v>0</v>
      </c>
      <c r="Q19" s="534">
        <f>[3]Zinguerie!Q19</f>
        <v>40269</v>
      </c>
      <c r="R19" s="427"/>
      <c r="S19" s="428"/>
      <c r="T19" s="428"/>
      <c r="U19" s="428"/>
      <c r="V19" s="421"/>
      <c r="W19" s="420"/>
      <c r="X19" s="535">
        <f>[3]Zinguerie!X19</f>
        <v>0</v>
      </c>
      <c r="Y19" s="536">
        <f>[3]Zinguerie!Y19</f>
        <v>0</v>
      </c>
      <c r="Z19" s="537">
        <f>[3]Zinguerie!Z19</f>
        <v>0</v>
      </c>
      <c r="AA19" s="422">
        <f>[3]Zinguerie!AA19</f>
        <v>0</v>
      </c>
      <c r="AB19" s="537">
        <f>[3]Zinguerie!AB19</f>
        <v>0</v>
      </c>
      <c r="AC19" s="424">
        <f>[3]Zinguerie!AC19</f>
        <v>0</v>
      </c>
      <c r="AD19" s="423">
        <f>[3]Zinguerie!AD19</f>
        <v>0</v>
      </c>
      <c r="AE19" s="422">
        <f>[3]Zinguerie!AE19</f>
        <v>1.5</v>
      </c>
      <c r="AF19" s="537"/>
    </row>
    <row r="20" spans="1:38" s="264" customFormat="1">
      <c r="A20" s="150">
        <v>2</v>
      </c>
      <c r="B20" s="514" t="str">
        <f>[3]Zinguerie!B20</f>
        <v>Descentes PVC diam. 100</v>
      </c>
      <c r="C20" s="538"/>
      <c r="D20" s="538"/>
      <c r="E20" s="539"/>
      <c r="F20" s="539"/>
      <c r="G20" s="540"/>
      <c r="H20" s="541" t="str">
        <f>[3]Zinguerie!H20</f>
        <v>Colliers &amp; coudes</v>
      </c>
      <c r="I20" s="431"/>
      <c r="J20" s="431"/>
      <c r="K20" s="431"/>
      <c r="L20" s="431"/>
      <c r="M20" s="542"/>
      <c r="N20" s="429">
        <f>[3]Zinguerie!N20</f>
        <v>0</v>
      </c>
      <c r="O20" s="426">
        <f>[3]Zinguerie!O20</f>
        <v>1.55</v>
      </c>
      <c r="P20" s="425">
        <f>[3]Zinguerie!P20</f>
        <v>0</v>
      </c>
      <c r="Q20" s="534">
        <f>[3]Zinguerie!Q20</f>
        <v>40544</v>
      </c>
      <c r="R20" s="427"/>
      <c r="S20" s="428"/>
      <c r="T20" s="428"/>
      <c r="U20" s="428"/>
      <c r="V20" s="426"/>
      <c r="W20" s="425"/>
      <c r="X20" s="543">
        <f>[3]Zinguerie!X20</f>
        <v>0</v>
      </c>
      <c r="Y20" s="544">
        <f>[3]Zinguerie!Y20</f>
        <v>0</v>
      </c>
      <c r="Z20" s="545">
        <f>[3]Zinguerie!Z20</f>
        <v>0</v>
      </c>
      <c r="AA20" s="429">
        <f>[3]Zinguerie!AA20</f>
        <v>0</v>
      </c>
      <c r="AB20" s="545">
        <f>[3]Zinguerie!AB20</f>
        <v>0</v>
      </c>
      <c r="AC20" s="432">
        <f>[3]Zinguerie!AC20</f>
        <v>0</v>
      </c>
      <c r="AD20" s="431">
        <f>[3]Zinguerie!AD20</f>
        <v>0</v>
      </c>
      <c r="AE20" s="429">
        <f>[3]Zinguerie!AE20</f>
        <v>1.5</v>
      </c>
      <c r="AF20" s="545"/>
    </row>
    <row r="21" spans="1:38">
      <c r="A21" s="150">
        <v>3</v>
      </c>
      <c r="B21" s="514" t="str">
        <f>[3]Zinguerie!B21</f>
        <v>Descentes PVC diam. 125</v>
      </c>
      <c r="C21" s="431"/>
      <c r="D21" s="539"/>
      <c r="E21" s="539"/>
      <c r="F21" s="539"/>
      <c r="G21" s="540"/>
      <c r="H21" s="541" t="str">
        <f>[3]Zinguerie!H21</f>
        <v>Colliers &amp; coudes</v>
      </c>
      <c r="I21" s="431"/>
      <c r="J21" s="431"/>
      <c r="K21" s="431"/>
      <c r="L21" s="431"/>
      <c r="M21" s="542"/>
      <c r="N21" s="429">
        <f>[3]Zinguerie!N21</f>
        <v>0</v>
      </c>
      <c r="O21" s="426">
        <f>[3]Zinguerie!O21</f>
        <v>2.25</v>
      </c>
      <c r="P21" s="425">
        <f>[3]Zinguerie!P21</f>
        <v>0</v>
      </c>
      <c r="Q21" s="534">
        <f>[3]Zinguerie!Q21</f>
        <v>40299</v>
      </c>
      <c r="R21" s="427"/>
      <c r="S21" s="428"/>
      <c r="T21" s="428"/>
      <c r="U21" s="428"/>
      <c r="V21" s="426"/>
      <c r="W21" s="425"/>
      <c r="X21" s="543">
        <f>[3]Zinguerie!X21</f>
        <v>0</v>
      </c>
      <c r="Y21" s="544">
        <f>[3]Zinguerie!Y21</f>
        <v>0</v>
      </c>
      <c r="Z21" s="545">
        <f>[3]Zinguerie!Z21</f>
        <v>0</v>
      </c>
      <c r="AA21" s="429">
        <f>[3]Zinguerie!AA21</f>
        <v>0</v>
      </c>
      <c r="AB21" s="545">
        <f>[3]Zinguerie!AB21</f>
        <v>0</v>
      </c>
      <c r="AC21" s="432">
        <f>[3]Zinguerie!AC21</f>
        <v>0</v>
      </c>
      <c r="AD21" s="431">
        <f>[3]Zinguerie!AD21</f>
        <v>0</v>
      </c>
      <c r="AE21" s="429">
        <f>[3]Zinguerie!AE21</f>
        <v>1.5</v>
      </c>
      <c r="AF21" s="545"/>
    </row>
    <row r="22" spans="1:38" s="264" customFormat="1">
      <c r="A22" s="150">
        <v>4</v>
      </c>
      <c r="B22" s="514" t="str">
        <f>[3]Zinguerie!B22</f>
        <v>Descentes PVC diam. 160</v>
      </c>
      <c r="C22" s="431"/>
      <c r="D22" s="539"/>
      <c r="E22" s="539"/>
      <c r="F22" s="539"/>
      <c r="G22" s="540"/>
      <c r="H22" s="541" t="str">
        <f>[3]Zinguerie!H22</f>
        <v>Colliers &amp; coudes</v>
      </c>
      <c r="I22" s="431"/>
      <c r="J22" s="431"/>
      <c r="K22" s="431"/>
      <c r="L22" s="431"/>
      <c r="M22" s="542"/>
      <c r="N22" s="429">
        <f>[3]Zinguerie!N22</f>
        <v>0</v>
      </c>
      <c r="O22" s="426">
        <f>[3]Zinguerie!O22</f>
        <v>2.83</v>
      </c>
      <c r="P22" s="425">
        <f>[3]Zinguerie!P22</f>
        <v>0</v>
      </c>
      <c r="Q22" s="534">
        <f>[3]Zinguerie!Q22</f>
        <v>40299</v>
      </c>
      <c r="R22" s="427"/>
      <c r="S22" s="428"/>
      <c r="T22" s="428"/>
      <c r="U22" s="428"/>
      <c r="V22" s="426"/>
      <c r="W22" s="425"/>
      <c r="X22" s="543">
        <f>[3]Zinguerie!X22</f>
        <v>0</v>
      </c>
      <c r="Y22" s="544">
        <f>[3]Zinguerie!Y22</f>
        <v>0</v>
      </c>
      <c r="Z22" s="545">
        <f>[3]Zinguerie!Z22</f>
        <v>0</v>
      </c>
      <c r="AA22" s="429">
        <f>[3]Zinguerie!AA22</f>
        <v>0</v>
      </c>
      <c r="AB22" s="545">
        <f>[3]Zinguerie!AB22</f>
        <v>0</v>
      </c>
      <c r="AC22" s="432">
        <f>[3]Zinguerie!AC22</f>
        <v>0</v>
      </c>
      <c r="AD22" s="431">
        <f>[3]Zinguerie!AD22</f>
        <v>0</v>
      </c>
      <c r="AE22" s="429">
        <f>[3]Zinguerie!AE22</f>
        <v>1.5</v>
      </c>
      <c r="AF22" s="545"/>
    </row>
    <row r="23" spans="1:38">
      <c r="A23" s="150">
        <v>5</v>
      </c>
      <c r="B23" s="514">
        <f>[3]Zinguerie!B23</f>
        <v>0</v>
      </c>
      <c r="C23" s="431"/>
      <c r="D23" s="539"/>
      <c r="E23" s="539"/>
      <c r="F23" s="539"/>
      <c r="G23" s="540"/>
      <c r="H23" s="541">
        <f>[3]Zinguerie!H23</f>
        <v>0</v>
      </c>
      <c r="I23" s="431"/>
      <c r="J23" s="431"/>
      <c r="K23" s="431"/>
      <c r="L23" s="431"/>
      <c r="M23" s="542"/>
      <c r="N23" s="429">
        <f>[3]Zinguerie!N23</f>
        <v>0</v>
      </c>
      <c r="O23" s="426">
        <f>[3]Zinguerie!O23</f>
        <v>0</v>
      </c>
      <c r="P23" s="425">
        <f>[3]Zinguerie!P23</f>
        <v>0</v>
      </c>
      <c r="Q23" s="534">
        <f>[3]Zinguerie!Q23</f>
        <v>0</v>
      </c>
      <c r="R23" s="427">
        <f>[3]Zinguerie!R23</f>
        <v>0</v>
      </c>
      <c r="S23" s="428"/>
      <c r="T23" s="428"/>
      <c r="U23" s="428"/>
      <c r="V23" s="426"/>
      <c r="W23" s="425"/>
      <c r="X23" s="546">
        <f>[3]Zinguerie!X23</f>
        <v>0</v>
      </c>
      <c r="Y23" s="544">
        <f>[3]Zinguerie!Y23</f>
        <v>0</v>
      </c>
      <c r="Z23" s="545">
        <f>[3]Zinguerie!Z23</f>
        <v>0</v>
      </c>
      <c r="AA23" s="429">
        <f>[3]Zinguerie!AA23</f>
        <v>0</v>
      </c>
      <c r="AB23" s="545">
        <f>[3]Zinguerie!AB23</f>
        <v>0</v>
      </c>
      <c r="AC23" s="432">
        <f>[3]Zinguerie!AC23</f>
        <v>0</v>
      </c>
      <c r="AD23" s="431">
        <f>[3]Zinguerie!AD23</f>
        <v>0</v>
      </c>
      <c r="AE23" s="429">
        <f>[3]Zinguerie!AE23</f>
        <v>0</v>
      </c>
      <c r="AF23" s="545"/>
    </row>
    <row r="24" spans="1:38">
      <c r="A24" s="150">
        <v>12</v>
      </c>
      <c r="B24" s="514" t="str">
        <f>[3]Zinguerie!B24</f>
        <v>zéro (sans)</v>
      </c>
      <c r="C24" s="431"/>
      <c r="D24" s="539"/>
      <c r="E24" s="539"/>
      <c r="F24" s="539"/>
      <c r="G24" s="540"/>
      <c r="H24" s="541">
        <f>[3]Zinguerie!H24</f>
        <v>0</v>
      </c>
      <c r="I24" s="431"/>
      <c r="J24" s="431"/>
      <c r="K24" s="431"/>
      <c r="L24" s="431"/>
      <c r="M24" s="542"/>
      <c r="N24" s="429">
        <f>[3]Zinguerie!N24</f>
        <v>0</v>
      </c>
      <c r="O24" s="547">
        <f>[3]Zinguerie!O24</f>
        <v>0</v>
      </c>
      <c r="P24" s="425">
        <f>[3]Zinguerie!P24</f>
        <v>0</v>
      </c>
      <c r="Q24" s="548">
        <f>[3]Zinguerie!Q24</f>
        <v>0</v>
      </c>
      <c r="R24" s="427">
        <f>[3]Zinguerie!R24</f>
        <v>0</v>
      </c>
      <c r="S24" s="428"/>
      <c r="T24" s="428"/>
      <c r="U24" s="428"/>
      <c r="V24" s="549"/>
      <c r="W24" s="425"/>
      <c r="X24" s="546">
        <f>[3]Zinguerie!X24</f>
        <v>0</v>
      </c>
      <c r="Y24" s="431">
        <f>[3]Zinguerie!Y24</f>
        <v>0</v>
      </c>
      <c r="Z24" s="430">
        <f>[3]Zinguerie!Z24</f>
        <v>0</v>
      </c>
      <c r="AA24" s="541">
        <f>[3]Zinguerie!AA24</f>
        <v>0</v>
      </c>
      <c r="AB24" s="430">
        <f>[3]Zinguerie!AB24</f>
        <v>0</v>
      </c>
      <c r="AC24" s="432">
        <f>[3]Zinguerie!AC24</f>
        <v>0</v>
      </c>
      <c r="AD24" s="431">
        <f>[3]Zinguerie!AD24</f>
        <v>0</v>
      </c>
      <c r="AE24" s="432">
        <f>[3]Zinguerie!AE24</f>
        <v>0</v>
      </c>
      <c r="AF24" s="550"/>
    </row>
    <row r="25" spans="1:38" ht="13.5" thickBot="1">
      <c r="A25" s="150"/>
      <c r="B25" s="515">
        <f>[3]Zinguerie!B25</f>
        <v>0</v>
      </c>
      <c r="C25" s="456"/>
      <c r="D25" s="551"/>
      <c r="E25" s="551"/>
      <c r="F25" s="551"/>
      <c r="G25" s="552"/>
      <c r="H25" s="553">
        <f>[3]Zinguerie!H25</f>
        <v>0</v>
      </c>
      <c r="I25" s="456"/>
      <c r="J25" s="456"/>
      <c r="K25" s="456"/>
      <c r="L25" s="456"/>
      <c r="M25" s="554"/>
      <c r="N25" s="454">
        <f>[3]Zinguerie!N25</f>
        <v>0</v>
      </c>
      <c r="O25" s="555">
        <f>[3]Zinguerie!O25</f>
        <v>0</v>
      </c>
      <c r="P25" s="555">
        <f>[3]Zinguerie!P25</f>
        <v>0</v>
      </c>
      <c r="Q25" s="556">
        <f>[3]Zinguerie!Q25</f>
        <v>0</v>
      </c>
      <c r="R25" s="450">
        <f>[3]Zinguerie!R25</f>
        <v>0</v>
      </c>
      <c r="S25" s="451"/>
      <c r="T25" s="451"/>
      <c r="U25" s="451"/>
      <c r="V25" s="447"/>
      <c r="W25" s="555"/>
      <c r="X25" s="557">
        <f>[3]Zinguerie!X25</f>
        <v>0</v>
      </c>
      <c r="Y25" s="456">
        <f>[3]Zinguerie!Y25</f>
        <v>0</v>
      </c>
      <c r="Z25" s="457">
        <f>[3]Zinguerie!Z25</f>
        <v>0</v>
      </c>
      <c r="AA25" s="553">
        <f>[3]Zinguerie!AA25</f>
        <v>0</v>
      </c>
      <c r="AB25" s="457">
        <f>[3]Zinguerie!AB25</f>
        <v>0</v>
      </c>
      <c r="AC25" s="458">
        <f>[3]Zinguerie!AC25</f>
        <v>0</v>
      </c>
      <c r="AD25" s="456">
        <f>[3]Zinguerie!AD25</f>
        <v>0</v>
      </c>
      <c r="AE25" s="458">
        <f>[3]Zinguerie!AE25</f>
        <v>0</v>
      </c>
      <c r="AF25" s="554"/>
    </row>
    <row r="26" spans="1:38" s="125" customFormat="1">
      <c r="A26" s="326"/>
      <c r="B26" s="327"/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252"/>
      <c r="P26" s="327"/>
      <c r="Q26" s="252"/>
      <c r="R26" s="252"/>
      <c r="S26" s="252"/>
      <c r="T26" s="252"/>
      <c r="U26" s="252"/>
      <c r="V26" s="255"/>
      <c r="W26" s="328"/>
      <c r="X26" s="329"/>
      <c r="Y26" s="252"/>
      <c r="Z26" s="255"/>
      <c r="AA26" s="252"/>
      <c r="AB26" s="255"/>
      <c r="AC26" s="255"/>
      <c r="AD26" s="252"/>
      <c r="AE26" s="255"/>
      <c r="AF26" s="252"/>
    </row>
    <row r="27" spans="1:38" s="125" customFormat="1" ht="13.5" thickBot="1">
      <c r="A27" s="330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331"/>
      <c r="O27" s="332"/>
      <c r="P27" s="182"/>
      <c r="Q27" s="218"/>
      <c r="R27" s="218"/>
      <c r="S27" s="218"/>
      <c r="T27" s="218"/>
      <c r="U27" s="218"/>
      <c r="V27" s="234"/>
      <c r="W27" s="326"/>
      <c r="X27" s="333"/>
      <c r="Y27" s="218"/>
      <c r="Z27" s="234"/>
      <c r="AA27" s="218"/>
      <c r="AB27" s="234"/>
      <c r="AC27" s="234"/>
      <c r="AD27" s="218"/>
      <c r="AE27" s="234"/>
      <c r="AF27" s="218"/>
      <c r="AG27" s="182"/>
    </row>
    <row r="28" spans="1:38" ht="13.5" thickBot="1">
      <c r="A28" s="132"/>
      <c r="B28" s="235"/>
      <c r="C28" s="235"/>
      <c r="D28" s="235"/>
      <c r="E28" s="235"/>
      <c r="F28" s="235"/>
      <c r="G28" s="235"/>
      <c r="H28" s="205"/>
      <c r="M28" s="218"/>
      <c r="N28" s="1128" t="s">
        <v>130</v>
      </c>
      <c r="O28" s="1129"/>
      <c r="P28" s="219"/>
      <c r="Q28" s="226"/>
      <c r="R28" s="226"/>
      <c r="S28" s="226"/>
      <c r="T28" s="226"/>
      <c r="U28" s="226"/>
      <c r="W28" s="334">
        <v>1.5</v>
      </c>
      <c r="X28" s="1123" t="s">
        <v>155</v>
      </c>
      <c r="Y28" s="1124"/>
      <c r="Z28" s="1125"/>
      <c r="AA28" s="1123" t="s">
        <v>156</v>
      </c>
      <c r="AB28" s="1124"/>
      <c r="AC28" s="1125"/>
      <c r="AD28" s="116"/>
      <c r="AE28" s="116"/>
      <c r="AF28" s="116"/>
    </row>
    <row r="29" spans="1:38">
      <c r="B29" s="243" t="s">
        <v>157</v>
      </c>
      <c r="C29" s="244"/>
      <c r="D29" s="244"/>
      <c r="E29" s="244"/>
      <c r="F29" s="245" t="s">
        <v>133</v>
      </c>
      <c r="G29" s="167"/>
      <c r="H29" s="1063" t="s">
        <v>134</v>
      </c>
      <c r="I29" s="1063"/>
      <c r="J29" s="1063"/>
      <c r="K29" s="1063"/>
      <c r="L29" s="1063"/>
      <c r="M29" s="1063"/>
      <c r="N29" s="1063" t="s">
        <v>153</v>
      </c>
      <c r="O29" s="1063"/>
      <c r="P29" s="335"/>
      <c r="Q29" s="248" t="s">
        <v>118</v>
      </c>
      <c r="R29" s="244" t="s">
        <v>138</v>
      </c>
      <c r="S29" s="251"/>
      <c r="T29" s="251"/>
      <c r="U29" s="252"/>
      <c r="V29" s="336" t="s">
        <v>139</v>
      </c>
      <c r="W29" s="336" t="s">
        <v>140</v>
      </c>
      <c r="X29" s="337" t="s">
        <v>158</v>
      </c>
      <c r="Y29" s="317" t="s">
        <v>9</v>
      </c>
      <c r="Z29" s="317" t="s">
        <v>159</v>
      </c>
      <c r="AA29" s="317" t="s">
        <v>158</v>
      </c>
      <c r="AB29" s="317" t="s">
        <v>9</v>
      </c>
      <c r="AC29" s="338" t="s">
        <v>159</v>
      </c>
      <c r="AD29" s="116"/>
      <c r="AE29" s="116"/>
      <c r="AF29" s="116"/>
    </row>
    <row r="30" spans="1:38" ht="14.25">
      <c r="A30" s="150">
        <v>1</v>
      </c>
      <c r="B30" s="516" t="str">
        <f>[3]Zinguerie!B30</f>
        <v>Fond de goutières</v>
      </c>
      <c r="C30" s="558"/>
      <c r="D30" s="559"/>
      <c r="E30" s="559"/>
      <c r="F30" s="559"/>
      <c r="G30" s="560"/>
      <c r="H30" s="468">
        <f>[3]Zinguerie!H30</f>
        <v>0</v>
      </c>
      <c r="I30" s="561"/>
      <c r="J30" s="561"/>
      <c r="K30" s="561"/>
      <c r="L30" s="561"/>
      <c r="M30" s="469"/>
      <c r="N30" s="1126">
        <f>[3]Zinguerie!N30</f>
        <v>0.66</v>
      </c>
      <c r="O30" s="1127">
        <f>[3]Zinguerie!O30</f>
        <v>0</v>
      </c>
      <c r="P30" s="461">
        <f>[3]Zinguerie!P30</f>
        <v>0</v>
      </c>
      <c r="Q30" s="464">
        <f>[3]Zinguerie!Q30</f>
        <v>40544</v>
      </c>
      <c r="R30" s="465" t="str">
        <f>[3]Zinguerie!R30</f>
        <v>BigMat</v>
      </c>
      <c r="S30" s="466">
        <f>[3]Zinguerie!S30</f>
        <v>0</v>
      </c>
      <c r="T30" s="466">
        <f>[3]Zinguerie!T30</f>
        <v>0</v>
      </c>
      <c r="U30" s="467">
        <f>[3]Zinguerie!U30</f>
        <v>0</v>
      </c>
      <c r="V30" s="462">
        <f>[3]Zinguerie!V30</f>
        <v>0.99</v>
      </c>
      <c r="W30" s="463">
        <f>[3]Zinguerie!W30</f>
        <v>0.99</v>
      </c>
      <c r="X30" s="562">
        <f>[3]Zinguerie!X30</f>
        <v>0</v>
      </c>
      <c r="Y30" s="563">
        <f>[3]Zinguerie!Y30</f>
        <v>0</v>
      </c>
      <c r="Z30" s="563">
        <f>[3]Zinguerie!Z30</f>
        <v>0</v>
      </c>
      <c r="AA30" s="563">
        <f>[3]Zinguerie!AA30</f>
        <v>0</v>
      </c>
      <c r="AB30" s="563">
        <f>[3]Zinguerie!AB30</f>
        <v>2</v>
      </c>
      <c r="AC30" s="564">
        <f>[3]Zinguerie!AC30</f>
        <v>1.98</v>
      </c>
      <c r="AD30" s="116"/>
      <c r="AE30" s="116"/>
      <c r="AF30" s="116"/>
    </row>
    <row r="31" spans="1:38" s="264" customFormat="1">
      <c r="A31" s="150">
        <v>2</v>
      </c>
      <c r="B31" s="517" t="str">
        <f>[3]Zinguerie!B31</f>
        <v>Naissance 33/100</v>
      </c>
      <c r="C31" s="565"/>
      <c r="D31" s="565"/>
      <c r="E31" s="566"/>
      <c r="F31" s="566"/>
      <c r="G31" s="567"/>
      <c r="H31" s="486">
        <f>[3]Zinguerie!H31</f>
        <v>0</v>
      </c>
      <c r="I31" s="568"/>
      <c r="J31" s="568"/>
      <c r="K31" s="568"/>
      <c r="L31" s="568"/>
      <c r="M31" s="487"/>
      <c r="N31" s="1116">
        <f>[3]Zinguerie!N31</f>
        <v>3.36</v>
      </c>
      <c r="O31" s="1117">
        <f>[3]Zinguerie!O31</f>
        <v>0</v>
      </c>
      <c r="P31" s="477">
        <f>[3]Zinguerie!P31</f>
        <v>0</v>
      </c>
      <c r="Q31" s="473">
        <f>[3]Zinguerie!Q31</f>
        <v>40544</v>
      </c>
      <c r="R31" s="474" t="str">
        <f>[3]Zinguerie!R31</f>
        <v>BigMat</v>
      </c>
      <c r="S31" s="484">
        <f>[3]Zinguerie!S31</f>
        <v>0</v>
      </c>
      <c r="T31" s="484">
        <f>[3]Zinguerie!T31</f>
        <v>0</v>
      </c>
      <c r="U31" s="485">
        <f>[3]Zinguerie!U31</f>
        <v>0</v>
      </c>
      <c r="V31" s="471">
        <f>[3]Zinguerie!V31</f>
        <v>6.04</v>
      </c>
      <c r="W31" s="483">
        <f>[3]Zinguerie!W31</f>
        <v>5.04</v>
      </c>
      <c r="X31" s="562">
        <f>[3]Zinguerie!X31</f>
        <v>0</v>
      </c>
      <c r="Y31" s="562">
        <f>[3]Zinguerie!Y31</f>
        <v>1</v>
      </c>
      <c r="Z31" s="562">
        <f>[3]Zinguerie!Z31</f>
        <v>0</v>
      </c>
      <c r="AA31" s="562">
        <f>[3]Zinguerie!AA31</f>
        <v>0</v>
      </c>
      <c r="AB31" s="562">
        <f>[3]Zinguerie!AB31</f>
        <v>0</v>
      </c>
      <c r="AC31" s="569">
        <f>[3]Zinguerie!AC31</f>
        <v>0</v>
      </c>
    </row>
    <row r="32" spans="1:38">
      <c r="A32" s="150">
        <v>3</v>
      </c>
      <c r="B32" s="517" t="str">
        <f>[3]Zinguerie!B32</f>
        <v>Crochets Galva Dev.33</v>
      </c>
      <c r="C32" s="568"/>
      <c r="D32" s="566"/>
      <c r="E32" s="566"/>
      <c r="F32" s="566"/>
      <c r="G32" s="567"/>
      <c r="H32" s="486">
        <f>[3]Zinguerie!H32</f>
        <v>0</v>
      </c>
      <c r="I32" s="568"/>
      <c r="J32" s="568"/>
      <c r="K32" s="568"/>
      <c r="L32" s="568"/>
      <c r="M32" s="487"/>
      <c r="N32" s="1116">
        <f>[3]Zinguerie!N32</f>
        <v>1.53</v>
      </c>
      <c r="O32" s="1117">
        <f>[3]Zinguerie!O32</f>
        <v>0</v>
      </c>
      <c r="P32" s="477">
        <f>[3]Zinguerie!P32</f>
        <v>0</v>
      </c>
      <c r="Q32" s="473">
        <f>[3]Zinguerie!Q32</f>
        <v>40239</v>
      </c>
      <c r="R32" s="474" t="str">
        <f>[3]Zinguerie!R32</f>
        <v>BigMat</v>
      </c>
      <c r="S32" s="484">
        <f>[3]Zinguerie!S32</f>
        <v>0</v>
      </c>
      <c r="T32" s="484">
        <f>[3]Zinguerie!T32</f>
        <v>0</v>
      </c>
      <c r="U32" s="485">
        <f>[3]Zinguerie!U32</f>
        <v>0</v>
      </c>
      <c r="V32" s="471">
        <f>[3]Zinguerie!V32</f>
        <v>2.2949999999999999</v>
      </c>
      <c r="W32" s="483">
        <f>[3]Zinguerie!W32</f>
        <v>2.2949999999999999</v>
      </c>
      <c r="X32" s="562">
        <f>[3]Zinguerie!X32</f>
        <v>0</v>
      </c>
      <c r="Y32" s="562">
        <f>[3]Zinguerie!Y32</f>
        <v>0</v>
      </c>
      <c r="Z32" s="562">
        <f>[3]Zinguerie!Z32</f>
        <v>0</v>
      </c>
      <c r="AA32" s="562">
        <f>[3]Zinguerie!AA32</f>
        <v>2</v>
      </c>
      <c r="AB32" s="562">
        <f>[3]Zinguerie!AB32</f>
        <v>0</v>
      </c>
      <c r="AC32" s="570">
        <f>[3]Zinguerie!AC32</f>
        <v>0</v>
      </c>
      <c r="AD32" s="116"/>
      <c r="AE32" s="116"/>
      <c r="AF32" s="116"/>
    </row>
    <row r="33" spans="1:33" s="264" customFormat="1">
      <c r="A33" s="150">
        <v>4</v>
      </c>
      <c r="B33" s="517" t="str">
        <f>[3]Zinguerie!B33</f>
        <v>Collier Bride Æ 100</v>
      </c>
      <c r="C33" s="568"/>
      <c r="D33" s="566"/>
      <c r="E33" s="566"/>
      <c r="F33" s="566"/>
      <c r="G33" s="567"/>
      <c r="H33" s="486">
        <f>[3]Zinguerie!H33</f>
        <v>0</v>
      </c>
      <c r="I33" s="568"/>
      <c r="J33" s="568"/>
      <c r="K33" s="568"/>
      <c r="L33" s="568"/>
      <c r="M33" s="487"/>
      <c r="N33" s="1116">
        <f>[3]Zinguerie!N33</f>
        <v>1.3</v>
      </c>
      <c r="O33" s="1117">
        <f>[3]Zinguerie!O33</f>
        <v>0</v>
      </c>
      <c r="P33" s="477">
        <f>[3]Zinguerie!P33</f>
        <v>0</v>
      </c>
      <c r="Q33" s="473">
        <f>[3]Zinguerie!Q33</f>
        <v>40483</v>
      </c>
      <c r="R33" s="474" t="str">
        <f>[3]Zinguerie!R33</f>
        <v>BigMat</v>
      </c>
      <c r="S33" s="484">
        <f>[3]Zinguerie!S33</f>
        <v>0</v>
      </c>
      <c r="T33" s="484">
        <f>[3]Zinguerie!T33</f>
        <v>0</v>
      </c>
      <c r="U33" s="485">
        <f>[3]Zinguerie!U33</f>
        <v>0</v>
      </c>
      <c r="V33" s="471">
        <f>[3]Zinguerie!V33</f>
        <v>1.9500000000000002</v>
      </c>
      <c r="W33" s="483">
        <f>[3]Zinguerie!W33</f>
        <v>1.9500000000000002</v>
      </c>
      <c r="X33" s="562">
        <f>[3]Zinguerie!X33</f>
        <v>1</v>
      </c>
      <c r="Y33" s="562">
        <f>[3]Zinguerie!Y33</f>
        <v>0</v>
      </c>
      <c r="Z33" s="562">
        <f>[3]Zinguerie!Z33</f>
        <v>0</v>
      </c>
      <c r="AA33" s="562">
        <f>[3]Zinguerie!AA33</f>
        <v>0</v>
      </c>
      <c r="AB33" s="562">
        <f>[3]Zinguerie!AB33</f>
        <v>0</v>
      </c>
      <c r="AC33" s="569">
        <f>[3]Zinguerie!AC33</f>
        <v>0</v>
      </c>
    </row>
    <row r="34" spans="1:33">
      <c r="A34" s="150">
        <v>5</v>
      </c>
      <c r="B34" s="517" t="str">
        <f>[3]Zinguerie!B34</f>
        <v>Coude PVC CT8 Æ 100</v>
      </c>
      <c r="C34" s="568"/>
      <c r="D34" s="566"/>
      <c r="E34" s="566"/>
      <c r="F34" s="566"/>
      <c r="G34" s="567"/>
      <c r="H34" s="486">
        <f>[3]Zinguerie!H34</f>
        <v>0</v>
      </c>
      <c r="I34" s="568"/>
      <c r="J34" s="568"/>
      <c r="K34" s="568"/>
      <c r="L34" s="568"/>
      <c r="M34" s="487"/>
      <c r="N34" s="1116">
        <f>[3]Zinguerie!N34</f>
        <v>2.71</v>
      </c>
      <c r="O34" s="1117">
        <f>[3]Zinguerie!O34</f>
        <v>0</v>
      </c>
      <c r="P34" s="477">
        <f>[3]Zinguerie!P34</f>
        <v>0</v>
      </c>
      <c r="Q34" s="473">
        <f>[3]Zinguerie!Q34</f>
        <v>40544</v>
      </c>
      <c r="R34" s="474" t="str">
        <f>[3]Zinguerie!R34</f>
        <v>BigMat</v>
      </c>
      <c r="S34" s="484">
        <f>[3]Zinguerie!S34</f>
        <v>0</v>
      </c>
      <c r="T34" s="484">
        <f>[3]Zinguerie!T34</f>
        <v>0</v>
      </c>
      <c r="U34" s="485">
        <f>[3]Zinguerie!U34</f>
        <v>0</v>
      </c>
      <c r="V34" s="471">
        <f>[3]Zinguerie!V34</f>
        <v>6.0649999999999995</v>
      </c>
      <c r="W34" s="483">
        <f>[3]Zinguerie!W34</f>
        <v>4.0649999999999995</v>
      </c>
      <c r="X34" s="562">
        <f>[3]Zinguerie!X34</f>
        <v>0</v>
      </c>
      <c r="Y34" s="562">
        <f>[3]Zinguerie!Y34</f>
        <v>2</v>
      </c>
      <c r="Z34" s="562">
        <f>[3]Zinguerie!Z34</f>
        <v>0</v>
      </c>
      <c r="AA34" s="562">
        <f>[3]Zinguerie!AA34</f>
        <v>0</v>
      </c>
      <c r="AB34" s="562">
        <f>[3]Zinguerie!AB34</f>
        <v>0</v>
      </c>
      <c r="AC34" s="570">
        <f>[3]Zinguerie!AC34</f>
        <v>0</v>
      </c>
      <c r="AD34" s="116"/>
      <c r="AE34" s="116"/>
      <c r="AF34" s="116"/>
    </row>
    <row r="35" spans="1:33">
      <c r="A35" s="150">
        <v>6</v>
      </c>
      <c r="B35" s="517" t="str">
        <f>[3]Zinguerie!B35</f>
        <v>Contre crochet galva 33</v>
      </c>
      <c r="C35" s="568"/>
      <c r="D35" s="566"/>
      <c r="E35" s="566"/>
      <c r="F35" s="566"/>
      <c r="G35" s="567"/>
      <c r="H35" s="486">
        <f>[3]Zinguerie!H35</f>
        <v>0</v>
      </c>
      <c r="I35" s="568"/>
      <c r="J35" s="568"/>
      <c r="K35" s="568"/>
      <c r="L35" s="568"/>
      <c r="M35" s="487"/>
      <c r="N35" s="1116">
        <f>[3]Zinguerie!N35</f>
        <v>0.47</v>
      </c>
      <c r="O35" s="1117">
        <f>[3]Zinguerie!O35</f>
        <v>0</v>
      </c>
      <c r="P35" s="477">
        <f>[3]Zinguerie!P35</f>
        <v>0</v>
      </c>
      <c r="Q35" s="473">
        <f>[3]Zinguerie!Q35</f>
        <v>40544</v>
      </c>
      <c r="R35" s="474" t="str">
        <f>[3]Zinguerie!R35</f>
        <v>BigMat</v>
      </c>
      <c r="S35" s="484">
        <f>[3]Zinguerie!S35</f>
        <v>0</v>
      </c>
      <c r="T35" s="484">
        <f>[3]Zinguerie!T35</f>
        <v>0</v>
      </c>
      <c r="U35" s="485">
        <f>[3]Zinguerie!U35</f>
        <v>0</v>
      </c>
      <c r="V35" s="571">
        <f>[3]Zinguerie!V35</f>
        <v>0.70499999999999996</v>
      </c>
      <c r="W35" s="572">
        <f>[3]Zinguerie!W35</f>
        <v>0.70499999999999996</v>
      </c>
      <c r="X35" s="562">
        <f>[3]Zinguerie!X35</f>
        <v>0</v>
      </c>
      <c r="Y35" s="562">
        <f>[3]Zinguerie!Y35</f>
        <v>0</v>
      </c>
      <c r="Z35" s="562">
        <f>[3]Zinguerie!Z35</f>
        <v>0</v>
      </c>
      <c r="AA35" s="562">
        <f>[3]Zinguerie!AA35</f>
        <v>1</v>
      </c>
      <c r="AB35" s="562">
        <f>[3]Zinguerie!AB35</f>
        <v>0</v>
      </c>
      <c r="AC35" s="570">
        <f>[3]Zinguerie!AC35</f>
        <v>0</v>
      </c>
      <c r="AD35" s="116"/>
      <c r="AE35" s="116"/>
      <c r="AF35" s="116"/>
    </row>
    <row r="36" spans="1:33">
      <c r="A36" s="150">
        <v>7</v>
      </c>
      <c r="B36" s="517">
        <f>[3]Zinguerie!B36</f>
        <v>0</v>
      </c>
      <c r="C36" s="568"/>
      <c r="D36" s="573"/>
      <c r="E36" s="573"/>
      <c r="F36" s="573"/>
      <c r="G36" s="574"/>
      <c r="H36" s="480">
        <f>[3]Zinguerie!H36</f>
        <v>0</v>
      </c>
      <c r="I36" s="493"/>
      <c r="J36" s="493"/>
      <c r="K36" s="493"/>
      <c r="L36" s="493"/>
      <c r="M36" s="482"/>
      <c r="N36" s="1118">
        <f>[3]Zinguerie!N36</f>
        <v>0</v>
      </c>
      <c r="O36" s="1119">
        <f>[3]Zinguerie!O36</f>
        <v>0</v>
      </c>
      <c r="P36" s="470">
        <f>[3]Zinguerie!P36</f>
        <v>0</v>
      </c>
      <c r="Q36" s="491">
        <f>[3]Zinguerie!Q36</f>
        <v>0</v>
      </c>
      <c r="R36" s="492">
        <f>[3]Zinguerie!R36</f>
        <v>0</v>
      </c>
      <c r="S36" s="475">
        <f>[3]Zinguerie!S36</f>
        <v>0</v>
      </c>
      <c r="T36" s="475">
        <f>[3]Zinguerie!T36</f>
        <v>0</v>
      </c>
      <c r="U36" s="476">
        <f>[3]Zinguerie!U36</f>
        <v>0</v>
      </c>
      <c r="V36" s="1099" t="str">
        <f>[3]Zinguerie!V36</f>
        <v>TOTAL</v>
      </c>
      <c r="W36" s="1100">
        <f>[3]Zinguerie!W36</f>
        <v>0</v>
      </c>
      <c r="X36" s="1101" t="str">
        <f>[3]Zinguerie!X36</f>
        <v>0 €</v>
      </c>
      <c r="Y36" s="1102">
        <f>[3]Zinguerie!Y36</f>
        <v>0</v>
      </c>
      <c r="Z36" s="1103">
        <f>[3]Zinguerie!Z36</f>
        <v>0</v>
      </c>
      <c r="AA36" s="1120">
        <f>[3]Zinguerie!AA36</f>
        <v>1.98</v>
      </c>
      <c r="AB36" s="1121">
        <f>[3]Zinguerie!AB36</f>
        <v>0</v>
      </c>
      <c r="AC36" s="1122">
        <f>[3]Zinguerie!AC36</f>
        <v>0</v>
      </c>
      <c r="AD36" s="116"/>
      <c r="AE36" s="116"/>
      <c r="AF36" s="116"/>
    </row>
    <row r="37" spans="1:33">
      <c r="A37" s="150">
        <v>8</v>
      </c>
      <c r="B37" s="517">
        <f>[3]Zinguerie!B37</f>
        <v>0</v>
      </c>
      <c r="C37" s="568"/>
      <c r="D37" s="573"/>
      <c r="E37" s="573"/>
      <c r="F37" s="573"/>
      <c r="G37" s="574"/>
      <c r="H37" s="480">
        <f>[3]Zinguerie!H37</f>
        <v>0</v>
      </c>
      <c r="I37" s="493"/>
      <c r="J37" s="493"/>
      <c r="K37" s="493"/>
      <c r="L37" s="493"/>
      <c r="M37" s="482"/>
      <c r="N37" s="1118">
        <f>[3]Zinguerie!N37</f>
        <v>0</v>
      </c>
      <c r="O37" s="1119">
        <f>[3]Zinguerie!O37</f>
        <v>0</v>
      </c>
      <c r="P37" s="470">
        <f>[3]Zinguerie!P37</f>
        <v>0</v>
      </c>
      <c r="Q37" s="491">
        <f>[3]Zinguerie!Q37</f>
        <v>0</v>
      </c>
      <c r="R37" s="492">
        <f>[3]Zinguerie!R37</f>
        <v>0</v>
      </c>
      <c r="S37" s="475">
        <f>[3]Zinguerie!S37</f>
        <v>0</v>
      </c>
      <c r="T37" s="475">
        <f>[3]Zinguerie!T37</f>
        <v>0</v>
      </c>
      <c r="U37" s="476">
        <f>[3]Zinguerie!U37</f>
        <v>0</v>
      </c>
      <c r="V37" s="462">
        <f>[3]Zinguerie!V37</f>
        <v>0</v>
      </c>
      <c r="W37" s="463">
        <f>[3]Zinguerie!W37</f>
        <v>0</v>
      </c>
      <c r="X37" s="562">
        <f>[3]Zinguerie!X37</f>
        <v>0</v>
      </c>
      <c r="Y37" s="562">
        <f>[3]Zinguerie!Y37</f>
        <v>0</v>
      </c>
      <c r="Z37" s="562">
        <f>[3]Zinguerie!Z37</f>
        <v>0</v>
      </c>
      <c r="AA37" s="562">
        <f>[3]Zinguerie!AA37</f>
        <v>0</v>
      </c>
      <c r="AB37" s="562">
        <f>[3]Zinguerie!AB37</f>
        <v>0</v>
      </c>
      <c r="AC37" s="570">
        <f>[3]Zinguerie!AC37</f>
        <v>0</v>
      </c>
      <c r="AD37" s="116"/>
      <c r="AE37" s="116"/>
      <c r="AF37" s="116"/>
    </row>
    <row r="38" spans="1:33" ht="14.25">
      <c r="A38" s="150">
        <v>9</v>
      </c>
      <c r="B38" s="517" t="str">
        <f>[3]Zinguerie!B38</f>
        <v>Fond de goutières</v>
      </c>
      <c r="C38" s="575"/>
      <c r="D38" s="566"/>
      <c r="E38" s="566"/>
      <c r="F38" s="566"/>
      <c r="G38" s="567"/>
      <c r="H38" s="486">
        <f>[3]Zinguerie!H38</f>
        <v>0</v>
      </c>
      <c r="I38" s="568"/>
      <c r="J38" s="568"/>
      <c r="K38" s="568"/>
      <c r="L38" s="568"/>
      <c r="M38" s="487"/>
      <c r="N38" s="1116">
        <f>[3]Zinguerie!N38</f>
        <v>0.66</v>
      </c>
      <c r="O38" s="1117">
        <f>[3]Zinguerie!O38</f>
        <v>0</v>
      </c>
      <c r="P38" s="477">
        <f>[3]Zinguerie!P38</f>
        <v>0</v>
      </c>
      <c r="Q38" s="473">
        <f>[3]Zinguerie!Q38</f>
        <v>40544</v>
      </c>
      <c r="R38" s="474" t="str">
        <f>[3]Zinguerie!R38</f>
        <v>BigMat</v>
      </c>
      <c r="S38" s="484">
        <f>[3]Zinguerie!S38</f>
        <v>0</v>
      </c>
      <c r="T38" s="484">
        <f>[3]Zinguerie!T38</f>
        <v>0</v>
      </c>
      <c r="U38" s="485">
        <f>[3]Zinguerie!U38</f>
        <v>0</v>
      </c>
      <c r="V38" s="471">
        <f>[3]Zinguerie!V38</f>
        <v>0.99</v>
      </c>
      <c r="W38" s="483">
        <f>[3]Zinguerie!W38</f>
        <v>0.99</v>
      </c>
      <c r="X38" s="562">
        <f>[3]Zinguerie!X38</f>
        <v>0</v>
      </c>
      <c r="Y38" s="562">
        <f>[3]Zinguerie!Y38</f>
        <v>0</v>
      </c>
      <c r="Z38" s="562">
        <f>[3]Zinguerie!Z38</f>
        <v>0</v>
      </c>
      <c r="AA38" s="562">
        <f>[3]Zinguerie!AA38</f>
        <v>0</v>
      </c>
      <c r="AB38" s="562">
        <f>[3]Zinguerie!AB38</f>
        <v>2</v>
      </c>
      <c r="AC38" s="570">
        <f>[3]Zinguerie!AC38</f>
        <v>1.98</v>
      </c>
      <c r="AD38" s="116"/>
      <c r="AE38" s="116"/>
      <c r="AF38" s="116"/>
      <c r="AG38" s="339"/>
    </row>
    <row r="39" spans="1:33" s="264" customFormat="1">
      <c r="A39" s="150">
        <v>10</v>
      </c>
      <c r="B39" s="517" t="str">
        <f>[3]Zinguerie!B39</f>
        <v>Naissance 33/125</v>
      </c>
      <c r="C39" s="565"/>
      <c r="D39" s="565"/>
      <c r="E39" s="566"/>
      <c r="F39" s="566"/>
      <c r="G39" s="567"/>
      <c r="H39" s="486">
        <f>[3]Zinguerie!H39</f>
        <v>0</v>
      </c>
      <c r="I39" s="568"/>
      <c r="J39" s="568"/>
      <c r="K39" s="568"/>
      <c r="L39" s="568"/>
      <c r="M39" s="487"/>
      <c r="N39" s="1116">
        <f>[3]Zinguerie!N39</f>
        <v>3.56</v>
      </c>
      <c r="O39" s="1117">
        <f>[3]Zinguerie!O39</f>
        <v>0</v>
      </c>
      <c r="P39" s="477">
        <f>[3]Zinguerie!P39</f>
        <v>0</v>
      </c>
      <c r="Q39" s="473">
        <f>[3]Zinguerie!Q39</f>
        <v>40238</v>
      </c>
      <c r="R39" s="474" t="str">
        <f>[3]Zinguerie!R39</f>
        <v>BigMat</v>
      </c>
      <c r="S39" s="484">
        <f>[3]Zinguerie!S39</f>
        <v>0</v>
      </c>
      <c r="T39" s="484">
        <f>[3]Zinguerie!T39</f>
        <v>0</v>
      </c>
      <c r="U39" s="485">
        <f>[3]Zinguerie!U39</f>
        <v>0</v>
      </c>
      <c r="V39" s="471">
        <f>[3]Zinguerie!V39</f>
        <v>6.34</v>
      </c>
      <c r="W39" s="483">
        <f>[3]Zinguerie!W39</f>
        <v>5.34</v>
      </c>
      <c r="X39" s="562">
        <f>[3]Zinguerie!X39</f>
        <v>0</v>
      </c>
      <c r="Y39" s="562">
        <f>[3]Zinguerie!Y39</f>
        <v>1</v>
      </c>
      <c r="Z39" s="562">
        <f>[3]Zinguerie!Z39</f>
        <v>0</v>
      </c>
      <c r="AA39" s="562">
        <f>[3]Zinguerie!AA39</f>
        <v>0</v>
      </c>
      <c r="AB39" s="562">
        <f>[3]Zinguerie!AB39</f>
        <v>0</v>
      </c>
      <c r="AC39" s="569">
        <f>[3]Zinguerie!AC39</f>
        <v>0</v>
      </c>
    </row>
    <row r="40" spans="1:33">
      <c r="A40" s="150">
        <v>11</v>
      </c>
      <c r="B40" s="517" t="str">
        <f>[3]Zinguerie!B40</f>
        <v>Crochets Galva Dev.33</v>
      </c>
      <c r="C40" s="568"/>
      <c r="D40" s="566"/>
      <c r="E40" s="566"/>
      <c r="F40" s="566"/>
      <c r="G40" s="567"/>
      <c r="H40" s="486">
        <f>[3]Zinguerie!H40</f>
        <v>0</v>
      </c>
      <c r="I40" s="568"/>
      <c r="J40" s="568"/>
      <c r="K40" s="568"/>
      <c r="L40" s="568"/>
      <c r="M40" s="487"/>
      <c r="N40" s="1116">
        <f>[3]Zinguerie!N40</f>
        <v>1.53</v>
      </c>
      <c r="O40" s="1117">
        <f>[3]Zinguerie!O40</f>
        <v>0</v>
      </c>
      <c r="P40" s="477">
        <f>[3]Zinguerie!P40</f>
        <v>0</v>
      </c>
      <c r="Q40" s="473">
        <f>[3]Zinguerie!Q40</f>
        <v>40239</v>
      </c>
      <c r="R40" s="474" t="str">
        <f>[3]Zinguerie!R40</f>
        <v>BigMat</v>
      </c>
      <c r="S40" s="484">
        <f>[3]Zinguerie!S40</f>
        <v>0</v>
      </c>
      <c r="T40" s="484">
        <f>[3]Zinguerie!T40</f>
        <v>0</v>
      </c>
      <c r="U40" s="485">
        <f>[3]Zinguerie!U40</f>
        <v>0</v>
      </c>
      <c r="V40" s="471">
        <f>[3]Zinguerie!V40</f>
        <v>2.2949999999999999</v>
      </c>
      <c r="W40" s="483">
        <f>[3]Zinguerie!W40</f>
        <v>2.2949999999999999</v>
      </c>
      <c r="X40" s="562">
        <f>[3]Zinguerie!X40</f>
        <v>0</v>
      </c>
      <c r="Y40" s="562">
        <f>[3]Zinguerie!Y40</f>
        <v>0</v>
      </c>
      <c r="Z40" s="562">
        <f>[3]Zinguerie!Z40</f>
        <v>0</v>
      </c>
      <c r="AA40" s="562">
        <f>[3]Zinguerie!AA40</f>
        <v>2</v>
      </c>
      <c r="AB40" s="562">
        <f>[3]Zinguerie!AB40</f>
        <v>0</v>
      </c>
      <c r="AC40" s="570">
        <f>[3]Zinguerie!AC40</f>
        <v>0</v>
      </c>
      <c r="AD40" s="116"/>
      <c r="AE40" s="116"/>
      <c r="AF40" s="116"/>
    </row>
    <row r="41" spans="1:33" s="264" customFormat="1">
      <c r="A41" s="150">
        <v>12</v>
      </c>
      <c r="B41" s="517" t="str">
        <f>[3]Zinguerie!B41</f>
        <v>Collier Bride Æ 125</v>
      </c>
      <c r="C41" s="568"/>
      <c r="D41" s="566"/>
      <c r="E41" s="566"/>
      <c r="F41" s="566"/>
      <c r="G41" s="567"/>
      <c r="H41" s="486">
        <f>[3]Zinguerie!H41</f>
        <v>0</v>
      </c>
      <c r="I41" s="568"/>
      <c r="J41" s="568"/>
      <c r="K41" s="568"/>
      <c r="L41" s="568"/>
      <c r="M41" s="487"/>
      <c r="N41" s="1116">
        <f>[3]Zinguerie!N41</f>
        <v>1.3</v>
      </c>
      <c r="O41" s="1117">
        <f>[3]Zinguerie!O41</f>
        <v>0</v>
      </c>
      <c r="P41" s="477">
        <f>[3]Zinguerie!P41</f>
        <v>0</v>
      </c>
      <c r="Q41" s="473">
        <f>[3]Zinguerie!Q41</f>
        <v>40240</v>
      </c>
      <c r="R41" s="474" t="str">
        <f>[3]Zinguerie!R41</f>
        <v>BigMat</v>
      </c>
      <c r="S41" s="484">
        <f>[3]Zinguerie!S41</f>
        <v>0</v>
      </c>
      <c r="T41" s="484">
        <f>[3]Zinguerie!T41</f>
        <v>0</v>
      </c>
      <c r="U41" s="485">
        <f>[3]Zinguerie!U41</f>
        <v>0</v>
      </c>
      <c r="V41" s="471">
        <f>[3]Zinguerie!V41</f>
        <v>1.9500000000000002</v>
      </c>
      <c r="W41" s="483">
        <f>[3]Zinguerie!W41</f>
        <v>1.9500000000000002</v>
      </c>
      <c r="X41" s="562">
        <f>[3]Zinguerie!X41</f>
        <v>1</v>
      </c>
      <c r="Y41" s="562">
        <f>[3]Zinguerie!Y41</f>
        <v>0</v>
      </c>
      <c r="Z41" s="562">
        <f>[3]Zinguerie!Z41</f>
        <v>0</v>
      </c>
      <c r="AA41" s="562">
        <f>[3]Zinguerie!AA41</f>
        <v>0</v>
      </c>
      <c r="AB41" s="562">
        <f>[3]Zinguerie!AB41</f>
        <v>0</v>
      </c>
      <c r="AC41" s="569">
        <f>[3]Zinguerie!AC41</f>
        <v>0</v>
      </c>
    </row>
    <row r="42" spans="1:33">
      <c r="A42" s="150">
        <v>13</v>
      </c>
      <c r="B42" s="517" t="str">
        <f>[3]Zinguerie!B42</f>
        <v>Coude PVC CT8 Æ 125</v>
      </c>
      <c r="C42" s="568"/>
      <c r="D42" s="566"/>
      <c r="E42" s="566"/>
      <c r="F42" s="566"/>
      <c r="G42" s="567"/>
      <c r="H42" s="486">
        <f>[3]Zinguerie!H42</f>
        <v>0</v>
      </c>
      <c r="I42" s="568"/>
      <c r="J42" s="568"/>
      <c r="K42" s="568"/>
      <c r="L42" s="568"/>
      <c r="M42" s="487"/>
      <c r="N42" s="1116">
        <f>[3]Zinguerie!N42</f>
        <v>3.05</v>
      </c>
      <c r="O42" s="1117">
        <f>[3]Zinguerie!O42</f>
        <v>0</v>
      </c>
      <c r="P42" s="477">
        <f>[3]Zinguerie!P42</f>
        <v>0</v>
      </c>
      <c r="Q42" s="473">
        <f>[3]Zinguerie!Q42</f>
        <v>40241</v>
      </c>
      <c r="R42" s="474" t="str">
        <f>[3]Zinguerie!R42</f>
        <v>BigMat</v>
      </c>
      <c r="S42" s="484">
        <f>[3]Zinguerie!S42</f>
        <v>0</v>
      </c>
      <c r="T42" s="484">
        <f>[3]Zinguerie!T42</f>
        <v>0</v>
      </c>
      <c r="U42" s="485">
        <f>[3]Zinguerie!U42</f>
        <v>0</v>
      </c>
      <c r="V42" s="471">
        <f>[3]Zinguerie!V42</f>
        <v>6.5749999999999993</v>
      </c>
      <c r="W42" s="483">
        <f>[3]Zinguerie!W42</f>
        <v>4.5749999999999993</v>
      </c>
      <c r="X42" s="562">
        <f>[3]Zinguerie!X42</f>
        <v>0</v>
      </c>
      <c r="Y42" s="562">
        <f>[3]Zinguerie!Y42</f>
        <v>2</v>
      </c>
      <c r="Z42" s="562">
        <f>[3]Zinguerie!Z42</f>
        <v>0</v>
      </c>
      <c r="AA42" s="562">
        <f>[3]Zinguerie!AA42</f>
        <v>0</v>
      </c>
      <c r="AB42" s="562">
        <f>[3]Zinguerie!AB42</f>
        <v>0</v>
      </c>
      <c r="AC42" s="570">
        <f>[3]Zinguerie!AC42</f>
        <v>0</v>
      </c>
      <c r="AD42" s="116"/>
      <c r="AE42" s="116"/>
      <c r="AF42" s="116"/>
    </row>
    <row r="43" spans="1:33">
      <c r="A43" s="150">
        <v>14</v>
      </c>
      <c r="B43" s="517" t="str">
        <f>[3]Zinguerie!B43</f>
        <v>Contre crochet galva 33</v>
      </c>
      <c r="C43" s="568"/>
      <c r="D43" s="566"/>
      <c r="E43" s="566"/>
      <c r="F43" s="566"/>
      <c r="G43" s="567"/>
      <c r="H43" s="486">
        <f>[3]Zinguerie!H43</f>
        <v>0</v>
      </c>
      <c r="I43" s="568"/>
      <c r="J43" s="568"/>
      <c r="K43" s="568"/>
      <c r="L43" s="568"/>
      <c r="M43" s="487"/>
      <c r="N43" s="1116">
        <f>[3]Zinguerie!N43</f>
        <v>0.47</v>
      </c>
      <c r="O43" s="1117">
        <f>[3]Zinguerie!O43</f>
        <v>0</v>
      </c>
      <c r="P43" s="477">
        <f>[3]Zinguerie!P43</f>
        <v>0</v>
      </c>
      <c r="Q43" s="473">
        <f>[3]Zinguerie!Q43</f>
        <v>40544</v>
      </c>
      <c r="R43" s="474" t="str">
        <f>[3]Zinguerie!R43</f>
        <v>BigMat</v>
      </c>
      <c r="S43" s="484">
        <f>[3]Zinguerie!S43</f>
        <v>0</v>
      </c>
      <c r="T43" s="484">
        <f>[3]Zinguerie!T43</f>
        <v>0</v>
      </c>
      <c r="U43" s="485">
        <f>[3]Zinguerie!U43</f>
        <v>0</v>
      </c>
      <c r="V43" s="571">
        <f>[3]Zinguerie!V43</f>
        <v>0.70499999999999996</v>
      </c>
      <c r="W43" s="572">
        <f>[3]Zinguerie!W43</f>
        <v>0.70499999999999996</v>
      </c>
      <c r="X43" s="562">
        <f>[3]Zinguerie!X43</f>
        <v>0</v>
      </c>
      <c r="Y43" s="562">
        <f>[3]Zinguerie!Y43</f>
        <v>0</v>
      </c>
      <c r="Z43" s="562">
        <f>[3]Zinguerie!Z43</f>
        <v>0</v>
      </c>
      <c r="AA43" s="562">
        <f>[3]Zinguerie!AA43</f>
        <v>1</v>
      </c>
      <c r="AB43" s="562">
        <f>[3]Zinguerie!AB43</f>
        <v>0</v>
      </c>
      <c r="AC43" s="570">
        <f>[3]Zinguerie!AC43</f>
        <v>0</v>
      </c>
      <c r="AD43" s="116"/>
      <c r="AE43" s="116"/>
      <c r="AF43" s="116"/>
    </row>
    <row r="44" spans="1:33">
      <c r="A44" s="150">
        <v>15</v>
      </c>
      <c r="B44" s="517">
        <f>[3]Zinguerie!B44</f>
        <v>0</v>
      </c>
      <c r="C44" s="568"/>
      <c r="D44" s="573"/>
      <c r="E44" s="573"/>
      <c r="F44" s="573"/>
      <c r="G44" s="574"/>
      <c r="H44" s="480">
        <f>[3]Zinguerie!H44</f>
        <v>0</v>
      </c>
      <c r="I44" s="493"/>
      <c r="J44" s="493"/>
      <c r="K44" s="493"/>
      <c r="L44" s="493"/>
      <c r="M44" s="482"/>
      <c r="N44" s="1118">
        <f>[3]Zinguerie!N44</f>
        <v>0</v>
      </c>
      <c r="O44" s="1119">
        <f>[3]Zinguerie!O44</f>
        <v>0</v>
      </c>
      <c r="P44" s="470">
        <f>[3]Zinguerie!P44</f>
        <v>0</v>
      </c>
      <c r="Q44" s="491">
        <f>[3]Zinguerie!Q44</f>
        <v>0</v>
      </c>
      <c r="R44" s="492">
        <f>[3]Zinguerie!R44</f>
        <v>0</v>
      </c>
      <c r="S44" s="475">
        <f>[3]Zinguerie!S44</f>
        <v>0</v>
      </c>
      <c r="T44" s="475">
        <f>[3]Zinguerie!T44</f>
        <v>0</v>
      </c>
      <c r="U44" s="476">
        <f>[3]Zinguerie!U44</f>
        <v>0</v>
      </c>
      <c r="V44" s="1099" t="str">
        <f>[3]Zinguerie!V44</f>
        <v>TOTAL</v>
      </c>
      <c r="W44" s="1100">
        <f>[3]Zinguerie!W44</f>
        <v>0</v>
      </c>
      <c r="X44" s="1101">
        <f>[3]Zinguerie!X44</f>
        <v>0</v>
      </c>
      <c r="Y44" s="1102">
        <f>[3]Zinguerie!Y44</f>
        <v>0</v>
      </c>
      <c r="Z44" s="1103">
        <f>[3]Zinguerie!Z44</f>
        <v>0</v>
      </c>
      <c r="AA44" s="1101">
        <f>[3]Zinguerie!AA44</f>
        <v>1.98</v>
      </c>
      <c r="AB44" s="1102">
        <f>[3]Zinguerie!AB44</f>
        <v>0</v>
      </c>
      <c r="AC44" s="1113">
        <f>[3]Zinguerie!AC44</f>
        <v>0</v>
      </c>
      <c r="AD44" s="116"/>
      <c r="AE44" s="116"/>
      <c r="AF44" s="116"/>
    </row>
    <row r="45" spans="1:33" s="264" customFormat="1">
      <c r="A45" s="150">
        <v>16</v>
      </c>
      <c r="B45" s="517">
        <f>[3]Zinguerie!B45</f>
        <v>0</v>
      </c>
      <c r="C45" s="568"/>
      <c r="D45" s="566"/>
      <c r="E45" s="566"/>
      <c r="F45" s="566"/>
      <c r="G45" s="567"/>
      <c r="H45" s="576">
        <f>[3]Zinguerie!H45</f>
        <v>0</v>
      </c>
      <c r="I45" s="568"/>
      <c r="J45" s="568"/>
      <c r="K45" s="568"/>
      <c r="L45" s="568"/>
      <c r="M45" s="487"/>
      <c r="N45" s="1114">
        <f>[3]Zinguerie!N45</f>
        <v>0</v>
      </c>
      <c r="O45" s="1115">
        <f>[3]Zinguerie!O45</f>
        <v>0</v>
      </c>
      <c r="P45" s="477">
        <f>[3]Zinguerie!P45</f>
        <v>0</v>
      </c>
      <c r="Q45" s="473">
        <f>[3]Zinguerie!Q45</f>
        <v>0</v>
      </c>
      <c r="R45" s="474">
        <f>[3]Zinguerie!R45</f>
        <v>0</v>
      </c>
      <c r="S45" s="484">
        <f>[3]Zinguerie!S45</f>
        <v>0</v>
      </c>
      <c r="T45" s="484">
        <f>[3]Zinguerie!T45</f>
        <v>0</v>
      </c>
      <c r="U45" s="485">
        <f>[3]Zinguerie!U45</f>
        <v>0</v>
      </c>
      <c r="V45" s="462">
        <f>[3]Zinguerie!V45</f>
        <v>0</v>
      </c>
      <c r="W45" s="463">
        <f>[3]Zinguerie!W45</f>
        <v>0</v>
      </c>
      <c r="X45" s="562">
        <f>[3]Zinguerie!X45</f>
        <v>0</v>
      </c>
      <c r="Y45" s="562">
        <f>[3]Zinguerie!Y45</f>
        <v>0</v>
      </c>
      <c r="Z45" s="577">
        <f>[3]Zinguerie!Z45</f>
        <v>0</v>
      </c>
      <c r="AA45" s="562">
        <f>[3]Zinguerie!AA45</f>
        <v>0</v>
      </c>
      <c r="AB45" s="562">
        <f>[3]Zinguerie!AB45</f>
        <v>0</v>
      </c>
      <c r="AC45" s="570">
        <f>[3]Zinguerie!AC45</f>
        <v>0</v>
      </c>
    </row>
    <row r="46" spans="1:33" ht="14.25">
      <c r="A46" s="150">
        <v>9</v>
      </c>
      <c r="B46" s="517" t="str">
        <f>[3]Zinguerie!B46</f>
        <v>Fond de goutières</v>
      </c>
      <c r="C46" s="575"/>
      <c r="D46" s="566"/>
      <c r="E46" s="566"/>
      <c r="F46" s="566"/>
      <c r="G46" s="567"/>
      <c r="H46" s="486">
        <f>[3]Zinguerie!H46</f>
        <v>0</v>
      </c>
      <c r="I46" s="568"/>
      <c r="J46" s="568"/>
      <c r="K46" s="568"/>
      <c r="L46" s="568"/>
      <c r="M46" s="487"/>
      <c r="N46" s="1116">
        <f>[3]Zinguerie!N46</f>
        <v>0.66</v>
      </c>
      <c r="O46" s="1117">
        <f>[3]Zinguerie!O46</f>
        <v>0</v>
      </c>
      <c r="P46" s="477">
        <f>[3]Zinguerie!P46</f>
        <v>0</v>
      </c>
      <c r="Q46" s="473">
        <f>[3]Zinguerie!Q46</f>
        <v>40544</v>
      </c>
      <c r="R46" s="474" t="str">
        <f>[3]Zinguerie!R46</f>
        <v>BigMat</v>
      </c>
      <c r="S46" s="484">
        <f>[3]Zinguerie!S46</f>
        <v>0</v>
      </c>
      <c r="T46" s="484">
        <f>[3]Zinguerie!T46</f>
        <v>0</v>
      </c>
      <c r="U46" s="485">
        <f>[3]Zinguerie!U46</f>
        <v>0</v>
      </c>
      <c r="V46" s="471">
        <f>[3]Zinguerie!V46</f>
        <v>0.99</v>
      </c>
      <c r="W46" s="483">
        <f>[3]Zinguerie!W46</f>
        <v>0.99</v>
      </c>
      <c r="X46" s="562">
        <f>[3]Zinguerie!X46</f>
        <v>0</v>
      </c>
      <c r="Y46" s="562">
        <f>[3]Zinguerie!Y46</f>
        <v>0</v>
      </c>
      <c r="Z46" s="562">
        <f>[3]Zinguerie!Z46</f>
        <v>0</v>
      </c>
      <c r="AA46" s="562">
        <f>[3]Zinguerie!AA46</f>
        <v>0</v>
      </c>
      <c r="AB46" s="562">
        <f>[3]Zinguerie!AB46</f>
        <v>2</v>
      </c>
      <c r="AC46" s="570">
        <f>[3]Zinguerie!AC46</f>
        <v>1.98</v>
      </c>
      <c r="AD46" s="116"/>
      <c r="AE46" s="116"/>
      <c r="AF46" s="116"/>
    </row>
    <row r="47" spans="1:33" s="264" customFormat="1">
      <c r="A47" s="150">
        <v>10</v>
      </c>
      <c r="B47" s="517" t="str">
        <f>[3]Zinguerie!B47</f>
        <v>Naissance 33/160</v>
      </c>
      <c r="C47" s="565"/>
      <c r="D47" s="565"/>
      <c r="E47" s="566"/>
      <c r="F47" s="566"/>
      <c r="G47" s="567"/>
      <c r="H47" s="486">
        <f>[3]Zinguerie!H47</f>
        <v>0</v>
      </c>
      <c r="I47" s="568"/>
      <c r="J47" s="568"/>
      <c r="K47" s="568"/>
      <c r="L47" s="568"/>
      <c r="M47" s="487"/>
      <c r="N47" s="1116">
        <f>[3]Zinguerie!N47</f>
        <v>3.96</v>
      </c>
      <c r="O47" s="1117">
        <f>[3]Zinguerie!O47</f>
        <v>0</v>
      </c>
      <c r="P47" s="477">
        <f>[3]Zinguerie!P47</f>
        <v>0</v>
      </c>
      <c r="Q47" s="473">
        <f>[3]Zinguerie!Q47</f>
        <v>40238</v>
      </c>
      <c r="R47" s="474" t="str">
        <f>[3]Zinguerie!R47</f>
        <v>BigMat</v>
      </c>
      <c r="S47" s="484">
        <f>[3]Zinguerie!S47</f>
        <v>0</v>
      </c>
      <c r="T47" s="484">
        <f>[3]Zinguerie!T47</f>
        <v>0</v>
      </c>
      <c r="U47" s="485">
        <f>[3]Zinguerie!U47</f>
        <v>0</v>
      </c>
      <c r="V47" s="471">
        <f>[3]Zinguerie!V47</f>
        <v>6.9399999999999995</v>
      </c>
      <c r="W47" s="483">
        <f>[3]Zinguerie!W47</f>
        <v>5.9399999999999995</v>
      </c>
      <c r="X47" s="562">
        <f>[3]Zinguerie!X47</f>
        <v>0</v>
      </c>
      <c r="Y47" s="562">
        <f>[3]Zinguerie!Y47</f>
        <v>1</v>
      </c>
      <c r="Z47" s="562">
        <f>[3]Zinguerie!Z47</f>
        <v>0</v>
      </c>
      <c r="AA47" s="562">
        <f>[3]Zinguerie!AA47</f>
        <v>0</v>
      </c>
      <c r="AB47" s="562">
        <f>[3]Zinguerie!AB47</f>
        <v>0</v>
      </c>
      <c r="AC47" s="569">
        <f>[3]Zinguerie!AC47</f>
        <v>0</v>
      </c>
    </row>
    <row r="48" spans="1:33">
      <c r="A48" s="150">
        <v>11</v>
      </c>
      <c r="B48" s="517" t="str">
        <f>[3]Zinguerie!B48</f>
        <v>Crochets Galva Dev.33</v>
      </c>
      <c r="C48" s="568"/>
      <c r="D48" s="566"/>
      <c r="E48" s="566"/>
      <c r="F48" s="566"/>
      <c r="G48" s="567"/>
      <c r="H48" s="486">
        <f>[3]Zinguerie!H48</f>
        <v>0</v>
      </c>
      <c r="I48" s="568"/>
      <c r="J48" s="568"/>
      <c r="K48" s="568"/>
      <c r="L48" s="568"/>
      <c r="M48" s="487"/>
      <c r="N48" s="1116">
        <f>[3]Zinguerie!N48</f>
        <v>1.53</v>
      </c>
      <c r="O48" s="1117">
        <f>[3]Zinguerie!O48</f>
        <v>0</v>
      </c>
      <c r="P48" s="477">
        <f>[3]Zinguerie!P48</f>
        <v>0</v>
      </c>
      <c r="Q48" s="473">
        <f>[3]Zinguerie!Q48</f>
        <v>40239</v>
      </c>
      <c r="R48" s="474" t="str">
        <f>[3]Zinguerie!R48</f>
        <v>BigMat</v>
      </c>
      <c r="S48" s="484">
        <f>[3]Zinguerie!S48</f>
        <v>0</v>
      </c>
      <c r="T48" s="484">
        <f>[3]Zinguerie!T48</f>
        <v>0</v>
      </c>
      <c r="U48" s="485">
        <f>[3]Zinguerie!U48</f>
        <v>0</v>
      </c>
      <c r="V48" s="471">
        <f>[3]Zinguerie!V48</f>
        <v>2.2949999999999999</v>
      </c>
      <c r="W48" s="483">
        <f>[3]Zinguerie!W48</f>
        <v>2.2949999999999999</v>
      </c>
      <c r="X48" s="562">
        <f>[3]Zinguerie!X48</f>
        <v>0</v>
      </c>
      <c r="Y48" s="562">
        <f>[3]Zinguerie!Y48</f>
        <v>0</v>
      </c>
      <c r="Z48" s="562">
        <f>[3]Zinguerie!Z48</f>
        <v>0</v>
      </c>
      <c r="AA48" s="562">
        <f>[3]Zinguerie!AA48</f>
        <v>2</v>
      </c>
      <c r="AB48" s="562">
        <f>[3]Zinguerie!AB48</f>
        <v>0</v>
      </c>
      <c r="AC48" s="570">
        <f>[3]Zinguerie!AC48</f>
        <v>0</v>
      </c>
      <c r="AD48" s="116"/>
      <c r="AE48" s="116"/>
      <c r="AF48" s="116"/>
    </row>
    <row r="49" spans="1:32" s="264" customFormat="1">
      <c r="A49" s="150">
        <v>12</v>
      </c>
      <c r="B49" s="517" t="str">
        <f>[3]Zinguerie!B49</f>
        <v>Collier Bride Æ 160</v>
      </c>
      <c r="C49" s="568"/>
      <c r="D49" s="566"/>
      <c r="E49" s="566"/>
      <c r="F49" s="566"/>
      <c r="G49" s="567"/>
      <c r="H49" s="486">
        <f>[3]Zinguerie!H49</f>
        <v>0</v>
      </c>
      <c r="I49" s="568"/>
      <c r="J49" s="568"/>
      <c r="K49" s="568"/>
      <c r="L49" s="568"/>
      <c r="M49" s="487"/>
      <c r="N49" s="1116">
        <f>[3]Zinguerie!N49</f>
        <v>3.51</v>
      </c>
      <c r="O49" s="1117">
        <f>[3]Zinguerie!O49</f>
        <v>0</v>
      </c>
      <c r="P49" s="477">
        <f>[3]Zinguerie!P49</f>
        <v>0</v>
      </c>
      <c r="Q49" s="473">
        <f>[3]Zinguerie!Q49</f>
        <v>40240</v>
      </c>
      <c r="R49" s="474" t="str">
        <f>[3]Zinguerie!R49</f>
        <v>BigMat</v>
      </c>
      <c r="S49" s="484">
        <f>[3]Zinguerie!S49</f>
        <v>0</v>
      </c>
      <c r="T49" s="484">
        <f>[3]Zinguerie!T49</f>
        <v>0</v>
      </c>
      <c r="U49" s="485">
        <f>[3]Zinguerie!U49</f>
        <v>0</v>
      </c>
      <c r="V49" s="471">
        <f>[3]Zinguerie!V49</f>
        <v>5.2649999999999997</v>
      </c>
      <c r="W49" s="483">
        <f>[3]Zinguerie!W49</f>
        <v>5.2649999999999997</v>
      </c>
      <c r="X49" s="562">
        <f>[3]Zinguerie!X49</f>
        <v>1</v>
      </c>
      <c r="Y49" s="562">
        <f>[3]Zinguerie!Y49</f>
        <v>0</v>
      </c>
      <c r="Z49" s="562">
        <f>[3]Zinguerie!Z49</f>
        <v>0</v>
      </c>
      <c r="AA49" s="562">
        <f>[3]Zinguerie!AA49</f>
        <v>0</v>
      </c>
      <c r="AB49" s="562">
        <f>[3]Zinguerie!AB49</f>
        <v>0</v>
      </c>
      <c r="AC49" s="569">
        <f>[3]Zinguerie!AC49</f>
        <v>0</v>
      </c>
    </row>
    <row r="50" spans="1:32">
      <c r="A50" s="150">
        <v>13</v>
      </c>
      <c r="B50" s="517" t="str">
        <f>[3]Zinguerie!B50</f>
        <v>Coude PVC CT8 Æ 160</v>
      </c>
      <c r="C50" s="568"/>
      <c r="D50" s="566"/>
      <c r="E50" s="566"/>
      <c r="F50" s="566"/>
      <c r="G50" s="567"/>
      <c r="H50" s="486">
        <f>[3]Zinguerie!H50</f>
        <v>0</v>
      </c>
      <c r="I50" s="568"/>
      <c r="J50" s="568"/>
      <c r="K50" s="568"/>
      <c r="L50" s="568"/>
      <c r="M50" s="487"/>
      <c r="N50" s="1116">
        <f>[3]Zinguerie!N50</f>
        <v>4.53</v>
      </c>
      <c r="O50" s="1117">
        <f>[3]Zinguerie!O50</f>
        <v>0</v>
      </c>
      <c r="P50" s="477">
        <f>[3]Zinguerie!P50</f>
        <v>0</v>
      </c>
      <c r="Q50" s="473">
        <f>[3]Zinguerie!Q50</f>
        <v>40241</v>
      </c>
      <c r="R50" s="474" t="str">
        <f>[3]Zinguerie!R50</f>
        <v>BigMat</v>
      </c>
      <c r="S50" s="484">
        <f>[3]Zinguerie!S50</f>
        <v>0</v>
      </c>
      <c r="T50" s="484">
        <f>[3]Zinguerie!T50</f>
        <v>0</v>
      </c>
      <c r="U50" s="485">
        <f>[3]Zinguerie!U50</f>
        <v>0</v>
      </c>
      <c r="V50" s="471">
        <f>[3]Zinguerie!V50</f>
        <v>8.7949999999999999</v>
      </c>
      <c r="W50" s="483">
        <f>[3]Zinguerie!W50</f>
        <v>6.7949999999999999</v>
      </c>
      <c r="X50" s="562">
        <f>[3]Zinguerie!X50</f>
        <v>0</v>
      </c>
      <c r="Y50" s="562">
        <f>[3]Zinguerie!Y50</f>
        <v>2</v>
      </c>
      <c r="Z50" s="562">
        <f>[3]Zinguerie!Z50</f>
        <v>0</v>
      </c>
      <c r="AA50" s="562">
        <f>[3]Zinguerie!AA50</f>
        <v>0</v>
      </c>
      <c r="AB50" s="562">
        <f>[3]Zinguerie!AB50</f>
        <v>0</v>
      </c>
      <c r="AC50" s="570">
        <f>[3]Zinguerie!AC50</f>
        <v>0</v>
      </c>
      <c r="AD50" s="116"/>
      <c r="AE50" s="116"/>
      <c r="AF50" s="116"/>
    </row>
    <row r="51" spans="1:32">
      <c r="A51" s="150">
        <v>14</v>
      </c>
      <c r="B51" s="517" t="str">
        <f>[3]Zinguerie!B51</f>
        <v>Contre crochet galva 33</v>
      </c>
      <c r="C51" s="568"/>
      <c r="D51" s="566"/>
      <c r="E51" s="566"/>
      <c r="F51" s="566"/>
      <c r="G51" s="567"/>
      <c r="H51" s="486">
        <f>[3]Zinguerie!H51</f>
        <v>0</v>
      </c>
      <c r="I51" s="568"/>
      <c r="J51" s="568"/>
      <c r="K51" s="568"/>
      <c r="L51" s="568"/>
      <c r="M51" s="487"/>
      <c r="N51" s="1116">
        <f>[3]Zinguerie!N51</f>
        <v>0.47</v>
      </c>
      <c r="O51" s="1117">
        <f>[3]Zinguerie!O51</f>
        <v>0</v>
      </c>
      <c r="P51" s="477">
        <f>[3]Zinguerie!P51</f>
        <v>0</v>
      </c>
      <c r="Q51" s="473">
        <f>[3]Zinguerie!Q51</f>
        <v>40544</v>
      </c>
      <c r="R51" s="474" t="str">
        <f>[3]Zinguerie!R51</f>
        <v>BigMat</v>
      </c>
      <c r="S51" s="484">
        <f>[3]Zinguerie!S51</f>
        <v>0</v>
      </c>
      <c r="T51" s="484">
        <f>[3]Zinguerie!T51</f>
        <v>0</v>
      </c>
      <c r="U51" s="485">
        <f>[3]Zinguerie!U51</f>
        <v>0</v>
      </c>
      <c r="V51" s="571">
        <f>[3]Zinguerie!V51</f>
        <v>0.70499999999999996</v>
      </c>
      <c r="W51" s="572">
        <f>[3]Zinguerie!W51</f>
        <v>0.70499999999999996</v>
      </c>
      <c r="X51" s="562">
        <f>[3]Zinguerie!X51</f>
        <v>0</v>
      </c>
      <c r="Y51" s="562">
        <f>[3]Zinguerie!Y51</f>
        <v>0</v>
      </c>
      <c r="Z51" s="562">
        <f>[3]Zinguerie!Z51</f>
        <v>0</v>
      </c>
      <c r="AA51" s="562">
        <f>[3]Zinguerie!AA51</f>
        <v>1</v>
      </c>
      <c r="AB51" s="562">
        <f>[3]Zinguerie!AB51</f>
        <v>0</v>
      </c>
      <c r="AC51" s="570">
        <f>[3]Zinguerie!AC51</f>
        <v>0</v>
      </c>
      <c r="AD51" s="116"/>
      <c r="AE51" s="116"/>
      <c r="AF51" s="116"/>
    </row>
    <row r="52" spans="1:32">
      <c r="A52" s="150">
        <v>15</v>
      </c>
      <c r="B52" s="517">
        <f>[3]Zinguerie!B52</f>
        <v>0</v>
      </c>
      <c r="C52" s="568"/>
      <c r="D52" s="573"/>
      <c r="E52" s="573"/>
      <c r="F52" s="573"/>
      <c r="G52" s="574"/>
      <c r="H52" s="480">
        <f>[3]Zinguerie!H52</f>
        <v>0</v>
      </c>
      <c r="I52" s="493"/>
      <c r="J52" s="493"/>
      <c r="K52" s="493"/>
      <c r="L52" s="493"/>
      <c r="M52" s="482"/>
      <c r="N52" s="1118">
        <f>[3]Zinguerie!N52</f>
        <v>0</v>
      </c>
      <c r="O52" s="1119">
        <f>[3]Zinguerie!O52</f>
        <v>0</v>
      </c>
      <c r="P52" s="470">
        <f>[3]Zinguerie!P52</f>
        <v>0</v>
      </c>
      <c r="Q52" s="491">
        <f>[3]Zinguerie!Q52</f>
        <v>0</v>
      </c>
      <c r="R52" s="492">
        <f>[3]Zinguerie!R52</f>
        <v>0</v>
      </c>
      <c r="S52" s="475">
        <f>[3]Zinguerie!S52</f>
        <v>0</v>
      </c>
      <c r="T52" s="475">
        <f>[3]Zinguerie!T52</f>
        <v>0</v>
      </c>
      <c r="U52" s="476">
        <f>[3]Zinguerie!U52</f>
        <v>0</v>
      </c>
      <c r="V52" s="1099" t="str">
        <f>[3]Zinguerie!V52</f>
        <v>TOTAL</v>
      </c>
      <c r="W52" s="1100">
        <f>[3]Zinguerie!W52</f>
        <v>0</v>
      </c>
      <c r="X52" s="1101">
        <f>[3]Zinguerie!X52</f>
        <v>0</v>
      </c>
      <c r="Y52" s="1102">
        <f>[3]Zinguerie!Y52</f>
        <v>0</v>
      </c>
      <c r="Z52" s="1103">
        <f>[3]Zinguerie!Z52</f>
        <v>0</v>
      </c>
      <c r="AA52" s="1101">
        <f>[3]Zinguerie!AA52</f>
        <v>1.98</v>
      </c>
      <c r="AB52" s="1102">
        <f>[3]Zinguerie!AB52</f>
        <v>0</v>
      </c>
      <c r="AC52" s="1113">
        <f>[3]Zinguerie!AC52</f>
        <v>0</v>
      </c>
      <c r="AD52" s="116"/>
      <c r="AE52" s="116"/>
      <c r="AF52" s="116"/>
    </row>
    <row r="53" spans="1:32" s="264" customFormat="1">
      <c r="A53" s="150">
        <v>17</v>
      </c>
      <c r="B53" s="517">
        <f>[3]Zinguerie!B53</f>
        <v>0</v>
      </c>
      <c r="C53" s="568"/>
      <c r="D53" s="566"/>
      <c r="E53" s="566"/>
      <c r="F53" s="566"/>
      <c r="G53" s="567"/>
      <c r="H53" s="486">
        <f>[3]Zinguerie!H53</f>
        <v>0</v>
      </c>
      <c r="I53" s="568"/>
      <c r="J53" s="568"/>
      <c r="K53" s="568"/>
      <c r="L53" s="568"/>
      <c r="M53" s="487"/>
      <c r="N53" s="1114">
        <f>[3]Zinguerie!N53</f>
        <v>0</v>
      </c>
      <c r="O53" s="1115">
        <f>[3]Zinguerie!O53</f>
        <v>0</v>
      </c>
      <c r="P53" s="477">
        <f>[3]Zinguerie!P53</f>
        <v>0</v>
      </c>
      <c r="Q53" s="473">
        <f>[3]Zinguerie!Q53</f>
        <v>0</v>
      </c>
      <c r="R53" s="474">
        <f>[3]Zinguerie!R53</f>
        <v>0</v>
      </c>
      <c r="S53" s="484">
        <f>[3]Zinguerie!S53</f>
        <v>0</v>
      </c>
      <c r="T53" s="484">
        <f>[3]Zinguerie!T53</f>
        <v>0</v>
      </c>
      <c r="U53" s="485">
        <f>[3]Zinguerie!U53</f>
        <v>0</v>
      </c>
      <c r="V53" s="462">
        <f>[3]Zinguerie!V53</f>
        <v>0</v>
      </c>
      <c r="W53" s="463">
        <f>[3]Zinguerie!W53</f>
        <v>0</v>
      </c>
      <c r="X53" s="562">
        <f>[3]Zinguerie!X53</f>
        <v>0</v>
      </c>
      <c r="Y53" s="562">
        <f>[3]Zinguerie!Y53</f>
        <v>0</v>
      </c>
      <c r="Z53" s="577">
        <f>[3]Zinguerie!Z53</f>
        <v>0</v>
      </c>
      <c r="AA53" s="562">
        <f>[3]Zinguerie!AA53</f>
        <v>0</v>
      </c>
      <c r="AB53" s="562">
        <f>[3]Zinguerie!AB53</f>
        <v>0</v>
      </c>
      <c r="AC53" s="570">
        <f>[3]Zinguerie!AC53</f>
        <v>0</v>
      </c>
    </row>
    <row r="54" spans="1:32" s="264" customFormat="1">
      <c r="A54" s="150">
        <v>18</v>
      </c>
      <c r="B54" s="517">
        <f>[3]Zinguerie!B54</f>
        <v>0</v>
      </c>
      <c r="C54" s="568"/>
      <c r="D54" s="566"/>
      <c r="E54" s="566"/>
      <c r="F54" s="566"/>
      <c r="G54" s="567"/>
      <c r="H54" s="486">
        <f>[3]Zinguerie!H54</f>
        <v>0</v>
      </c>
      <c r="I54" s="568"/>
      <c r="J54" s="568"/>
      <c r="K54" s="568"/>
      <c r="L54" s="568"/>
      <c r="M54" s="487"/>
      <c r="N54" s="1114">
        <f>[3]Zinguerie!N54</f>
        <v>0</v>
      </c>
      <c r="O54" s="1115">
        <f>[3]Zinguerie!O54</f>
        <v>0</v>
      </c>
      <c r="P54" s="477">
        <f>[3]Zinguerie!P54</f>
        <v>0</v>
      </c>
      <c r="Q54" s="473">
        <f>[3]Zinguerie!Q54</f>
        <v>0</v>
      </c>
      <c r="R54" s="474">
        <f>[3]Zinguerie!R54</f>
        <v>0</v>
      </c>
      <c r="S54" s="484">
        <f>[3]Zinguerie!S54</f>
        <v>0</v>
      </c>
      <c r="T54" s="484">
        <f>[3]Zinguerie!T54</f>
        <v>0</v>
      </c>
      <c r="U54" s="485">
        <f>[3]Zinguerie!U54</f>
        <v>0</v>
      </c>
      <c r="V54" s="471">
        <f>[3]Zinguerie!V54</f>
        <v>0</v>
      </c>
      <c r="W54" s="483">
        <f>[3]Zinguerie!W54</f>
        <v>0</v>
      </c>
      <c r="X54" s="562">
        <f>[3]Zinguerie!X54</f>
        <v>0</v>
      </c>
      <c r="Y54" s="562">
        <f>[3]Zinguerie!Y54</f>
        <v>0</v>
      </c>
      <c r="Z54" s="577">
        <f>[3]Zinguerie!Z54</f>
        <v>0</v>
      </c>
      <c r="AA54" s="562">
        <f>[3]Zinguerie!AA54</f>
        <v>0</v>
      </c>
      <c r="AB54" s="562">
        <f>[3]Zinguerie!AB54</f>
        <v>0</v>
      </c>
      <c r="AC54" s="570">
        <f>[3]Zinguerie!AC54</f>
        <v>0</v>
      </c>
    </row>
    <row r="55" spans="1:32">
      <c r="A55" s="150">
        <v>19</v>
      </c>
      <c r="B55" s="517" t="str">
        <f>[3]Zinguerie!B55</f>
        <v>zéro (sans)</v>
      </c>
      <c r="C55" s="568"/>
      <c r="D55" s="566"/>
      <c r="E55" s="566"/>
      <c r="F55" s="566"/>
      <c r="G55" s="567"/>
      <c r="H55" s="486">
        <f>[3]Zinguerie!H55</f>
        <v>0</v>
      </c>
      <c r="I55" s="568"/>
      <c r="J55" s="568"/>
      <c r="K55" s="568"/>
      <c r="L55" s="568"/>
      <c r="M55" s="487"/>
      <c r="N55" s="1114">
        <f>[3]Zinguerie!N55</f>
        <v>0</v>
      </c>
      <c r="O55" s="1115">
        <f>[3]Zinguerie!O55</f>
        <v>0</v>
      </c>
      <c r="P55" s="477">
        <f>[3]Zinguerie!P55</f>
        <v>0</v>
      </c>
      <c r="Q55" s="578">
        <f>[3]Zinguerie!Q55</f>
        <v>0</v>
      </c>
      <c r="R55" s="474">
        <f>[3]Zinguerie!R55</f>
        <v>0</v>
      </c>
      <c r="S55" s="484">
        <f>[3]Zinguerie!S55</f>
        <v>0</v>
      </c>
      <c r="T55" s="484">
        <f>[3]Zinguerie!T55</f>
        <v>0</v>
      </c>
      <c r="U55" s="485">
        <f>[3]Zinguerie!U55</f>
        <v>0</v>
      </c>
      <c r="V55" s="471">
        <f>[3]Zinguerie!V55</f>
        <v>0</v>
      </c>
      <c r="W55" s="483">
        <f>[3]Zinguerie!W55</f>
        <v>0</v>
      </c>
      <c r="X55" s="562">
        <f>[3]Zinguerie!X55</f>
        <v>0</v>
      </c>
      <c r="Y55" s="562">
        <f>[3]Zinguerie!Y55</f>
        <v>0</v>
      </c>
      <c r="Z55" s="562">
        <f>[3]Zinguerie!Z55</f>
        <v>0</v>
      </c>
      <c r="AA55" s="562">
        <f>[3]Zinguerie!AA55</f>
        <v>0</v>
      </c>
      <c r="AB55" s="562">
        <f>[3]Zinguerie!AB55</f>
        <v>0</v>
      </c>
      <c r="AC55" s="570">
        <f>[3]Zinguerie!AC55</f>
        <v>0</v>
      </c>
      <c r="AD55" s="116"/>
      <c r="AE55" s="116"/>
      <c r="AF55" s="116"/>
    </row>
    <row r="56" spans="1:32" ht="13.5" thickBot="1">
      <c r="A56" s="150"/>
      <c r="B56" s="518">
        <f>[3]Zinguerie!B56</f>
        <v>0</v>
      </c>
      <c r="C56" s="507"/>
      <c r="D56" s="579"/>
      <c r="E56" s="579"/>
      <c r="F56" s="579"/>
      <c r="G56" s="580"/>
      <c r="H56" s="509">
        <f>[3]Zinguerie!H56</f>
        <v>0</v>
      </c>
      <c r="I56" s="507"/>
      <c r="J56" s="507"/>
      <c r="K56" s="507"/>
      <c r="L56" s="507"/>
      <c r="M56" s="511"/>
      <c r="N56" s="1104">
        <f>[3]Zinguerie!N56</f>
        <v>0</v>
      </c>
      <c r="O56" s="1105">
        <f>[3]Zinguerie!O56</f>
        <v>0</v>
      </c>
      <c r="P56" s="505">
        <f>[3]Zinguerie!P56</f>
        <v>0</v>
      </c>
      <c r="Q56" s="581">
        <f>[3]Zinguerie!Q56</f>
        <v>0</v>
      </c>
      <c r="R56" s="501">
        <f>[3]Zinguerie!R56</f>
        <v>0</v>
      </c>
      <c r="S56" s="502">
        <f>[3]Zinguerie!S56</f>
        <v>0</v>
      </c>
      <c r="T56" s="502">
        <f>[3]Zinguerie!T56</f>
        <v>0</v>
      </c>
      <c r="U56" s="503">
        <f>[3]Zinguerie!U56</f>
        <v>0</v>
      </c>
      <c r="V56" s="496">
        <f>[3]Zinguerie!V56</f>
        <v>0</v>
      </c>
      <c r="W56" s="582">
        <f>[3]Zinguerie!W56</f>
        <v>0</v>
      </c>
      <c r="X56" s="583">
        <f>[3]Zinguerie!X56</f>
        <v>0</v>
      </c>
      <c r="Y56" s="584">
        <f>[3]Zinguerie!Y56</f>
        <v>0</v>
      </c>
      <c r="Z56" s="496">
        <f>[3]Zinguerie!Z56</f>
        <v>0</v>
      </c>
      <c r="AA56" s="584">
        <f>[3]Zinguerie!AA56</f>
        <v>0</v>
      </c>
      <c r="AB56" s="496">
        <f>[3]Zinguerie!AB56</f>
        <v>0</v>
      </c>
      <c r="AC56" s="585">
        <f>[3]Zinguerie!AC56</f>
        <v>0</v>
      </c>
      <c r="AD56" s="116"/>
      <c r="AE56" s="116"/>
      <c r="AF56" s="116"/>
    </row>
    <row r="57" spans="1:32" s="178" customFormat="1" ht="13.5" thickBot="1">
      <c r="A57" s="340"/>
      <c r="B57" s="341"/>
      <c r="C57" s="342"/>
      <c r="D57" s="343"/>
      <c r="H57" s="342"/>
      <c r="I57" s="342"/>
      <c r="J57" s="342"/>
      <c r="K57" s="342"/>
      <c r="L57" s="342"/>
      <c r="M57" s="342"/>
      <c r="N57" s="344"/>
      <c r="O57" s="345"/>
      <c r="P57" s="346"/>
      <c r="Q57" s="347"/>
      <c r="R57" s="348"/>
      <c r="S57" s="348"/>
      <c r="T57" s="348"/>
      <c r="U57" s="348"/>
      <c r="V57" s="340"/>
      <c r="W57" s="346"/>
      <c r="X57" s="349"/>
      <c r="Y57" s="342"/>
      <c r="Z57" s="340"/>
      <c r="AA57" s="342"/>
      <c r="AB57" s="340"/>
      <c r="AC57" s="340"/>
      <c r="AD57" s="342"/>
      <c r="AE57" s="340"/>
      <c r="AF57" s="342"/>
    </row>
    <row r="58" spans="1:32" s="125" customFormat="1" ht="13.5" thickBot="1">
      <c r="A58" s="330"/>
      <c r="B58" s="1106" t="s">
        <v>160</v>
      </c>
      <c r="C58" s="1107"/>
      <c r="D58" s="1107"/>
      <c r="E58" s="1107"/>
      <c r="F58" s="1107"/>
      <c r="G58" s="1108"/>
      <c r="H58" s="350" t="s">
        <v>161</v>
      </c>
      <c r="I58" s="351"/>
      <c r="J58" s="351"/>
      <c r="K58" s="351"/>
      <c r="L58" s="1109">
        <f ca="1">Pose!H15</f>
        <v>1815</v>
      </c>
      <c r="M58" s="1084"/>
      <c r="N58" s="350" t="s">
        <v>162</v>
      </c>
      <c r="O58" s="352"/>
      <c r="P58" s="351"/>
      <c r="Q58" s="1091"/>
      <c r="R58" s="1092"/>
      <c r="S58" s="1082" t="s">
        <v>163</v>
      </c>
      <c r="T58" s="1083"/>
      <c r="U58" s="1084"/>
      <c r="V58" s="150"/>
      <c r="W58" s="330"/>
      <c r="X58" s="279"/>
      <c r="Y58" s="127"/>
      <c r="Z58" s="150"/>
      <c r="AA58" s="127"/>
      <c r="AB58" s="150"/>
      <c r="AC58" s="150"/>
      <c r="AD58" s="127"/>
      <c r="AE58" s="150"/>
      <c r="AF58" s="127"/>
    </row>
    <row r="59" spans="1:32" s="125" customFormat="1" ht="13.5" thickBot="1">
      <c r="A59" s="330"/>
      <c r="B59" s="1110" t="s">
        <v>164</v>
      </c>
      <c r="C59" s="1111"/>
      <c r="D59" s="1111"/>
      <c r="E59" s="1111"/>
      <c r="F59" s="1112"/>
      <c r="G59" s="353">
        <v>60</v>
      </c>
      <c r="H59" s="354">
        <v>70</v>
      </c>
      <c r="I59" s="354">
        <v>80</v>
      </c>
      <c r="J59" s="354">
        <v>90</v>
      </c>
      <c r="K59" s="355">
        <v>100</v>
      </c>
      <c r="L59" s="354">
        <v>110</v>
      </c>
      <c r="M59" s="355">
        <v>125</v>
      </c>
      <c r="N59" s="354">
        <v>130</v>
      </c>
      <c r="O59" s="354">
        <v>140</v>
      </c>
      <c r="P59" s="354">
        <v>150</v>
      </c>
      <c r="Q59" s="355">
        <v>160</v>
      </c>
      <c r="R59" s="356">
        <v>200</v>
      </c>
      <c r="S59" s="1082">
        <f>IF(Q58=0,0,IF(S60&lt;=K60,K59,IF(S60&lt;=M60,M59,Q59)))</f>
        <v>0</v>
      </c>
      <c r="T59" s="1083"/>
      <c r="U59" s="1084"/>
      <c r="V59" s="150"/>
      <c r="W59" s="330"/>
      <c r="X59" s="279"/>
      <c r="Y59" s="127"/>
      <c r="Z59" s="150"/>
      <c r="AA59" s="127"/>
      <c r="AB59" s="150"/>
      <c r="AC59" s="150"/>
      <c r="AD59" s="127"/>
      <c r="AE59" s="150"/>
      <c r="AF59" s="127"/>
    </row>
    <row r="60" spans="1:32" s="125" customFormat="1" ht="13.5" thickBot="1">
      <c r="A60" s="330"/>
      <c r="B60" s="1085" t="s">
        <v>165</v>
      </c>
      <c r="C60" s="1086"/>
      <c r="D60" s="1086"/>
      <c r="E60" s="1086"/>
      <c r="F60" s="1087"/>
      <c r="G60" s="353">
        <v>40</v>
      </c>
      <c r="H60" s="354">
        <v>55</v>
      </c>
      <c r="I60" s="354">
        <v>71</v>
      </c>
      <c r="J60" s="354">
        <v>91</v>
      </c>
      <c r="K60" s="355">
        <v>113</v>
      </c>
      <c r="L60" s="354">
        <v>136</v>
      </c>
      <c r="M60" s="355">
        <v>161</v>
      </c>
      <c r="N60" s="354">
        <v>190</v>
      </c>
      <c r="O60" s="354">
        <v>220</v>
      </c>
      <c r="P60" s="354">
        <v>253</v>
      </c>
      <c r="Q60" s="355">
        <v>287</v>
      </c>
      <c r="R60" s="357" t="s">
        <v>166</v>
      </c>
      <c r="S60" s="1088">
        <f>IF(Q58=0,0,L58/Q58)</f>
        <v>0</v>
      </c>
      <c r="T60" s="1089"/>
      <c r="U60" s="1090"/>
      <c r="V60" s="150"/>
      <c r="W60" s="330"/>
      <c r="X60" s="279"/>
      <c r="Y60" s="127"/>
      <c r="Z60" s="150"/>
      <c r="AA60" s="127"/>
      <c r="AB60" s="150"/>
      <c r="AC60" s="150"/>
      <c r="AD60" s="127"/>
      <c r="AE60" s="150"/>
      <c r="AF60" s="127"/>
    </row>
    <row r="61" spans="1:32" s="125" customFormat="1" ht="13.5" thickBot="1">
      <c r="A61" s="330"/>
      <c r="G61" s="1096" t="str">
        <f>"Surf. Couv. avec "&amp;Q58&amp;" desc."</f>
        <v>Surf. Couv. avec  desc.</v>
      </c>
      <c r="H61" s="1097"/>
      <c r="I61" s="1097"/>
      <c r="J61" s="1098"/>
      <c r="K61" s="358">
        <f>Q58*K60</f>
        <v>0</v>
      </c>
      <c r="L61" s="359"/>
      <c r="M61" s="358">
        <f>M60*Q58</f>
        <v>0</v>
      </c>
      <c r="N61" s="359"/>
      <c r="O61" s="360"/>
      <c r="P61" s="359"/>
      <c r="Q61" s="361">
        <f>Q60*Q58</f>
        <v>0</v>
      </c>
      <c r="R61" s="127"/>
      <c r="V61" s="150"/>
      <c r="W61" s="330"/>
      <c r="X61" s="279"/>
      <c r="Y61" s="127"/>
      <c r="Z61" s="150"/>
      <c r="AA61" s="127"/>
      <c r="AB61" s="150"/>
      <c r="AC61" s="150"/>
      <c r="AD61" s="127"/>
      <c r="AE61" s="150"/>
      <c r="AF61" s="127"/>
    </row>
    <row r="62" spans="1:32" s="125" customFormat="1" ht="13.5" thickBot="1">
      <c r="A62" s="330"/>
      <c r="G62" s="1096" t="str">
        <f>"Avec "&amp;Q58&amp;" descentes"</f>
        <v>Avec  descentes</v>
      </c>
      <c r="H62" s="1097"/>
      <c r="I62" s="1097"/>
      <c r="J62" s="1098"/>
      <c r="K62" s="362" t="str">
        <f>IF(Q58=K63,"OK",IF(K61&lt;L58,"KO",IF(AND(K61&gt;=L58,K61&lt;L58*1.15),"OK","TROP")))</f>
        <v>KO</v>
      </c>
      <c r="L62" s="363"/>
      <c r="M62" s="362" t="str">
        <f>IF(Q58=M63,"OK",IF(M61&lt;L58,"KO",IF(AND(M61&gt;=L58,M61&lt;L58*1.15),"OK","TROP")))</f>
        <v>KO</v>
      </c>
      <c r="N62" s="363"/>
      <c r="O62" s="364"/>
      <c r="P62" s="363"/>
      <c r="Q62" s="365" t="str">
        <f>IF(Q58=Q63,"OK",IF(Q61&lt;L58,"KO",IF(AND(Q61&gt;=L58,Q61&lt;L58*1.15),"OK","TROP")))</f>
        <v>KO</v>
      </c>
      <c r="R62" s="127"/>
      <c r="S62" s="127"/>
      <c r="T62" s="127"/>
      <c r="U62" s="127"/>
      <c r="V62" s="150"/>
      <c r="W62" s="330"/>
      <c r="X62" s="279"/>
      <c r="Y62" s="127"/>
      <c r="Z62" s="150"/>
      <c r="AA62" s="127"/>
      <c r="AB62" s="150"/>
      <c r="AC62" s="150"/>
      <c r="AD62" s="127"/>
      <c r="AE62" s="150"/>
      <c r="AF62" s="127"/>
    </row>
    <row r="63" spans="1:32" s="125" customFormat="1" ht="13.5" thickBot="1">
      <c r="A63" s="330"/>
      <c r="G63" s="1093" t="s">
        <v>167</v>
      </c>
      <c r="H63" s="1094"/>
      <c r="I63" s="1094"/>
      <c r="J63" s="1095"/>
      <c r="K63" s="358">
        <f>EVEN(ROUNDUP(L58/K60,0))</f>
        <v>18</v>
      </c>
      <c r="L63" s="586"/>
      <c r="M63" s="358">
        <f>EVEN(ROUNDUP(L58/M60,0))</f>
        <v>12</v>
      </c>
      <c r="N63" s="586"/>
      <c r="O63" s="587"/>
      <c r="P63" s="586"/>
      <c r="Q63" s="588">
        <f>EVEN(ROUNDUP(L58/Q60,0))</f>
        <v>8</v>
      </c>
      <c r="R63" s="127"/>
      <c r="S63" s="127"/>
      <c r="T63" s="127"/>
      <c r="U63" s="127" t="s">
        <v>15</v>
      </c>
      <c r="V63" s="150"/>
      <c r="W63" s="330"/>
      <c r="X63" s="279"/>
      <c r="Y63" s="127"/>
      <c r="Z63" s="150"/>
      <c r="AA63" s="127"/>
      <c r="AB63" s="150"/>
      <c r="AC63" s="150"/>
      <c r="AD63" s="127"/>
      <c r="AE63" s="150"/>
      <c r="AF63" s="127"/>
    </row>
    <row r="64" spans="1:32" s="125" customFormat="1">
      <c r="A64" s="330"/>
      <c r="O64" s="127"/>
      <c r="Q64" s="127"/>
      <c r="R64" s="127"/>
      <c r="S64" s="127"/>
      <c r="T64" s="127"/>
      <c r="U64" s="127"/>
      <c r="V64" s="150"/>
      <c r="W64" s="330"/>
      <c r="X64" s="279"/>
      <c r="Y64" s="127"/>
      <c r="Z64" s="150"/>
      <c r="AA64" s="127"/>
      <c r="AB64" s="150"/>
      <c r="AC64" s="150"/>
      <c r="AD64" s="127"/>
      <c r="AE64" s="150"/>
      <c r="AF64" s="127"/>
    </row>
    <row r="65" spans="1:32" s="125" customFormat="1">
      <c r="A65" s="330"/>
      <c r="O65" s="127"/>
      <c r="Q65" s="127"/>
      <c r="R65" s="127"/>
      <c r="S65" s="127"/>
      <c r="T65" s="127"/>
      <c r="U65" s="127"/>
      <c r="V65" s="150"/>
      <c r="W65" s="330"/>
      <c r="X65" s="279"/>
      <c r="Y65" s="127"/>
      <c r="Z65" s="150"/>
      <c r="AA65" s="127"/>
      <c r="AB65" s="150"/>
      <c r="AC65" s="150"/>
      <c r="AD65" s="127"/>
      <c r="AE65" s="150"/>
      <c r="AF65" s="127"/>
    </row>
    <row r="66" spans="1:32" s="125" customFormat="1">
      <c r="A66" s="330"/>
      <c r="O66" s="127"/>
      <c r="Q66" s="127"/>
      <c r="R66" s="127"/>
      <c r="S66" s="127"/>
      <c r="T66" s="127"/>
      <c r="U66" s="127"/>
      <c r="V66" s="150"/>
      <c r="W66" s="330"/>
      <c r="X66" s="279"/>
      <c r="Y66" s="127"/>
      <c r="Z66" s="150"/>
      <c r="AA66" s="127"/>
      <c r="AB66" s="150"/>
      <c r="AC66" s="150"/>
      <c r="AD66" s="127"/>
      <c r="AE66" s="150"/>
      <c r="AF66" s="127"/>
    </row>
    <row r="67" spans="1:32" s="125" customFormat="1">
      <c r="A67" s="330"/>
      <c r="O67" s="127"/>
      <c r="Q67" s="127"/>
      <c r="R67" s="127"/>
      <c r="S67" s="127"/>
      <c r="T67" s="127"/>
      <c r="U67" s="127"/>
      <c r="V67" s="150"/>
      <c r="W67" s="330"/>
      <c r="X67" s="279"/>
      <c r="Y67" s="127"/>
      <c r="Z67" s="150"/>
      <c r="AA67" s="127"/>
      <c r="AB67" s="150"/>
      <c r="AC67" s="150"/>
      <c r="AD67" s="127"/>
      <c r="AE67" s="150"/>
      <c r="AF67" s="127"/>
    </row>
    <row r="68" spans="1:32" s="125" customFormat="1">
      <c r="A68" s="330"/>
      <c r="O68" s="127"/>
      <c r="Q68" s="127"/>
      <c r="R68" s="127"/>
      <c r="S68" s="127"/>
      <c r="T68" s="127"/>
      <c r="U68" s="127"/>
      <c r="V68" s="150"/>
      <c r="W68" s="330"/>
      <c r="X68" s="279"/>
      <c r="Y68" s="127"/>
      <c r="Z68" s="150"/>
      <c r="AA68" s="127"/>
      <c r="AB68" s="150"/>
      <c r="AC68" s="150"/>
      <c r="AD68" s="127"/>
      <c r="AE68" s="150"/>
      <c r="AF68" s="127"/>
    </row>
    <row r="69" spans="1:32" s="125" customFormat="1">
      <c r="A69" s="330"/>
      <c r="O69" s="127"/>
      <c r="Q69" s="127"/>
      <c r="R69" s="127"/>
      <c r="S69" s="127"/>
      <c r="T69" s="127"/>
      <c r="U69" s="127"/>
      <c r="V69" s="150"/>
      <c r="W69" s="330"/>
      <c r="X69" s="279"/>
      <c r="Y69" s="127"/>
      <c r="Z69" s="150"/>
      <c r="AA69" s="127"/>
      <c r="AB69" s="150"/>
      <c r="AC69" s="150"/>
      <c r="AD69" s="127"/>
      <c r="AE69" s="150"/>
      <c r="AF69" s="127"/>
    </row>
    <row r="70" spans="1:32" s="125" customFormat="1">
      <c r="A70" s="330"/>
      <c r="O70" s="127"/>
      <c r="Q70" s="127"/>
      <c r="R70" s="127"/>
      <c r="S70" s="127"/>
      <c r="T70" s="127"/>
      <c r="U70" s="127"/>
      <c r="V70" s="150"/>
      <c r="W70" s="330"/>
      <c r="X70" s="279"/>
      <c r="Y70" s="127"/>
      <c r="Z70" s="150"/>
      <c r="AA70" s="127"/>
      <c r="AB70" s="150"/>
      <c r="AC70" s="150"/>
      <c r="AD70" s="127"/>
      <c r="AE70" s="150"/>
      <c r="AF70" s="127"/>
    </row>
    <row r="71" spans="1:32" s="125" customFormat="1">
      <c r="A71" s="330"/>
      <c r="O71" s="127"/>
      <c r="Q71" s="127"/>
      <c r="R71" s="127"/>
      <c r="S71" s="127"/>
      <c r="T71" s="127"/>
      <c r="U71" s="127"/>
      <c r="V71" s="150"/>
      <c r="W71" s="330"/>
      <c r="X71" s="279"/>
      <c r="Y71" s="127"/>
      <c r="Z71" s="150"/>
      <c r="AA71" s="127"/>
      <c r="AB71" s="150"/>
      <c r="AC71" s="150"/>
      <c r="AD71" s="127"/>
      <c r="AE71" s="150"/>
      <c r="AF71" s="127"/>
    </row>
    <row r="72" spans="1:32" s="125" customFormat="1">
      <c r="A72" s="330"/>
      <c r="O72" s="127"/>
      <c r="Q72" s="127"/>
      <c r="R72" s="127"/>
      <c r="S72" s="127"/>
      <c r="T72" s="127"/>
      <c r="U72" s="127"/>
      <c r="V72" s="150"/>
      <c r="W72" s="330"/>
      <c r="X72" s="279"/>
      <c r="Y72" s="127"/>
      <c r="Z72" s="150"/>
      <c r="AA72" s="127"/>
      <c r="AB72" s="150"/>
      <c r="AC72" s="150"/>
      <c r="AD72" s="127"/>
      <c r="AE72" s="150"/>
      <c r="AF72" s="127"/>
    </row>
    <row r="73" spans="1:32" s="125" customFormat="1">
      <c r="A73" s="330"/>
      <c r="O73" s="127"/>
      <c r="Q73" s="127"/>
      <c r="R73" s="127"/>
      <c r="S73" s="127"/>
      <c r="T73" s="127"/>
      <c r="U73" s="127"/>
      <c r="V73" s="150"/>
      <c r="W73" s="330"/>
      <c r="X73" s="279"/>
      <c r="Y73" s="127"/>
      <c r="Z73" s="150"/>
      <c r="AA73" s="127"/>
      <c r="AB73" s="150"/>
      <c r="AC73" s="150"/>
      <c r="AD73" s="127"/>
      <c r="AE73" s="150"/>
      <c r="AF73" s="127"/>
    </row>
    <row r="74" spans="1:32" s="125" customFormat="1">
      <c r="A74" s="330"/>
      <c r="O74" s="127"/>
      <c r="Q74" s="127"/>
      <c r="R74" s="127"/>
      <c r="S74" s="127"/>
      <c r="T74" s="127"/>
      <c r="U74" s="127"/>
      <c r="V74" s="150"/>
      <c r="W74" s="330"/>
      <c r="X74" s="279"/>
      <c r="Y74" s="127"/>
      <c r="Z74" s="150"/>
      <c r="AA74" s="127"/>
      <c r="AB74" s="150"/>
      <c r="AC74" s="150"/>
      <c r="AD74" s="127"/>
      <c r="AE74" s="150"/>
      <c r="AF74" s="127"/>
    </row>
    <row r="75" spans="1:32" s="125" customFormat="1">
      <c r="A75" s="330"/>
      <c r="O75" s="127"/>
      <c r="Q75" s="127"/>
      <c r="R75" s="127"/>
      <c r="S75" s="127"/>
      <c r="T75" s="127"/>
      <c r="U75" s="127"/>
      <c r="V75" s="150"/>
      <c r="W75" s="330"/>
      <c r="X75" s="279"/>
      <c r="Y75" s="127"/>
      <c r="Z75" s="150"/>
      <c r="AA75" s="127"/>
      <c r="AB75" s="150"/>
      <c r="AC75" s="150"/>
      <c r="AD75" s="127"/>
      <c r="AE75" s="150"/>
      <c r="AF75" s="127"/>
    </row>
    <row r="76" spans="1:32" s="125" customFormat="1">
      <c r="A76" s="330"/>
      <c r="O76" s="127"/>
      <c r="Q76" s="127"/>
      <c r="R76" s="127"/>
      <c r="S76" s="127"/>
      <c r="T76" s="127"/>
      <c r="U76" s="127"/>
      <c r="V76" s="150"/>
      <c r="W76" s="330"/>
      <c r="X76" s="279"/>
      <c r="Y76" s="127"/>
      <c r="Z76" s="150"/>
      <c r="AA76" s="127"/>
      <c r="AB76" s="150"/>
      <c r="AC76" s="150"/>
      <c r="AD76" s="127"/>
      <c r="AE76" s="150"/>
      <c r="AF76" s="127"/>
    </row>
    <row r="77" spans="1:32" s="125" customFormat="1">
      <c r="A77" s="330"/>
      <c r="O77" s="127"/>
      <c r="Q77" s="127"/>
      <c r="R77" s="127"/>
      <c r="S77" s="127"/>
      <c r="T77" s="127"/>
      <c r="U77" s="127"/>
      <c r="V77" s="150"/>
      <c r="W77" s="330"/>
      <c r="X77" s="279"/>
      <c r="Y77" s="127"/>
      <c r="Z77" s="150"/>
      <c r="AA77" s="127"/>
      <c r="AB77" s="150"/>
      <c r="AC77" s="150"/>
      <c r="AD77" s="127"/>
      <c r="AE77" s="150"/>
      <c r="AF77" s="127"/>
    </row>
    <row r="78" spans="1:32" s="125" customFormat="1">
      <c r="A78" s="330"/>
      <c r="O78" s="127"/>
      <c r="Q78" s="127"/>
      <c r="R78" s="127"/>
      <c r="S78" s="127"/>
      <c r="T78" s="127"/>
      <c r="U78" s="127"/>
      <c r="V78" s="150"/>
      <c r="W78" s="330"/>
      <c r="X78" s="279"/>
      <c r="Y78" s="127"/>
      <c r="Z78" s="150"/>
      <c r="AA78" s="127"/>
      <c r="AB78" s="150"/>
      <c r="AC78" s="150"/>
      <c r="AD78" s="127"/>
      <c r="AE78" s="150"/>
      <c r="AF78" s="127"/>
    </row>
  </sheetData>
  <mergeCells count="56">
    <mergeCell ref="AA28:AC28"/>
    <mergeCell ref="H29:M29"/>
    <mergeCell ref="N29:O29"/>
    <mergeCell ref="N30:O30"/>
    <mergeCell ref="H8:M8"/>
    <mergeCell ref="N17:O17"/>
    <mergeCell ref="H18:M18"/>
    <mergeCell ref="N28:O28"/>
    <mergeCell ref="N31:O31"/>
    <mergeCell ref="X28:Z28"/>
    <mergeCell ref="N33:O33"/>
    <mergeCell ref="N34:O34"/>
    <mergeCell ref="N32:O32"/>
    <mergeCell ref="N7:O7"/>
    <mergeCell ref="N35:O35"/>
    <mergeCell ref="N36:O36"/>
    <mergeCell ref="V36:W36"/>
    <mergeCell ref="AA44:AC44"/>
    <mergeCell ref="AA36:AC36"/>
    <mergeCell ref="N37:O37"/>
    <mergeCell ref="N38:O38"/>
    <mergeCell ref="N39:O39"/>
    <mergeCell ref="N40:O40"/>
    <mergeCell ref="N41:O41"/>
    <mergeCell ref="N51:O51"/>
    <mergeCell ref="N52:O52"/>
    <mergeCell ref="X36:Z36"/>
    <mergeCell ref="N42:O42"/>
    <mergeCell ref="N43:O43"/>
    <mergeCell ref="N44:O44"/>
    <mergeCell ref="V44:W44"/>
    <mergeCell ref="X44:Z44"/>
    <mergeCell ref="AA52:AC52"/>
    <mergeCell ref="N54:O54"/>
    <mergeCell ref="N55:O55"/>
    <mergeCell ref="N53:O53"/>
    <mergeCell ref="N45:O45"/>
    <mergeCell ref="N46:O46"/>
    <mergeCell ref="N47:O47"/>
    <mergeCell ref="N48:O48"/>
    <mergeCell ref="N49:O49"/>
    <mergeCell ref="N50:O50"/>
    <mergeCell ref="V52:W52"/>
    <mergeCell ref="X52:Z52"/>
    <mergeCell ref="N56:O56"/>
    <mergeCell ref="B58:G58"/>
    <mergeCell ref="L58:M58"/>
    <mergeCell ref="G62:J62"/>
    <mergeCell ref="S58:U58"/>
    <mergeCell ref="B59:F59"/>
    <mergeCell ref="S59:U59"/>
    <mergeCell ref="B60:F60"/>
    <mergeCell ref="S60:U60"/>
    <mergeCell ref="Q58:R58"/>
    <mergeCell ref="G63:J63"/>
    <mergeCell ref="G61:J61"/>
  </mergeCells>
  <phoneticPr fontId="0" type="noConversion"/>
  <conditionalFormatting sqref="N25 V30:V55 N30:N57 N15 N19:O24 V19:V23 V9:V13 N9:O14">
    <cfRule type="cellIs" dxfId="3" priority="5" stopIfTrue="1" operator="equal">
      <formula>99</formula>
    </cfRule>
  </conditionalFormatting>
  <conditionalFormatting sqref="K62 M62 Q62">
    <cfRule type="cellIs" dxfId="2" priority="2" stopIfTrue="1" operator="equal">
      <formula>"OK"</formula>
    </cfRule>
    <cfRule type="cellIs" dxfId="1" priority="3" stopIfTrue="1" operator="equal">
      <formula>"KO"</formula>
    </cfRule>
    <cfRule type="cellIs" dxfId="0" priority="4" stopIfTrue="1" operator="equal">
      <formula>"TROP"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1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Params</vt:lpstr>
      <vt:lpstr>Calculs</vt:lpstr>
      <vt:lpstr>Pose</vt:lpstr>
      <vt:lpstr>Tarif pose</vt:lpstr>
      <vt:lpstr>Couverture</vt:lpstr>
      <vt:lpstr>Zinguerie</vt:lpstr>
      <vt:lpstr>Couverture!basefibro</vt:lpstr>
      <vt:lpstr>Zinguerie!basefibro</vt:lpstr>
      <vt:lpstr>Couverture</vt:lpstr>
      <vt:lpstr>Zinguerie!Couvertures</vt:lpstr>
      <vt:lpstr>Params!Extraire</vt:lpstr>
      <vt:lpstr>Faîtière</vt:lpstr>
      <vt:lpstr>ouinon</vt:lpstr>
      <vt:lpstr>Rive</vt:lpstr>
      <vt:lpstr>Zinguerie!Translucide</vt:lpstr>
      <vt:lpstr>Couverture!Ventefibro</vt:lpstr>
      <vt:lpstr>Zinguerie!Ventefibro</vt:lpstr>
      <vt:lpstr>Calculs!Zone_d_impression</vt:lpstr>
      <vt:lpstr>Pose!Zone_d_impression</vt:lpstr>
    </vt:vector>
  </TitlesOfParts>
  <Company>Keforest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Zombai</cp:lastModifiedBy>
  <cp:lastPrinted>2011-07-11T09:08:43Z</cp:lastPrinted>
  <dcterms:created xsi:type="dcterms:W3CDTF">2009-02-18T18:27:43Z</dcterms:created>
  <dcterms:modified xsi:type="dcterms:W3CDTF">2011-07-11T11:39:44Z</dcterms:modified>
</cp:coreProperties>
</file>