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3\Desktop\"/>
    </mc:Choice>
  </mc:AlternateContent>
  <xr:revisionPtr revIDLastSave="0" documentId="13_ncr:1_{6804B748-C981-46B1-A61C-80032527E9BF}" xr6:coauthVersionLast="47" xr6:coauthVersionMax="47" xr10:uidLastSave="{00000000-0000-0000-0000-000000000000}"/>
  <bookViews>
    <workbookView xWindow="-120" yWindow="-120" windowWidth="29040" windowHeight="15840" activeTab="6" xr2:uid="{1B54EC4E-59C6-4A51-9BA4-733D0EFD79A3}"/>
  </bookViews>
  <sheets>
    <sheet name="Feuil1" sheetId="1" r:id="rId1"/>
    <sheet name="Feuil2" sheetId="8" r:id="rId2"/>
    <sheet name="Parametrage" sheetId="2" r:id="rId3"/>
    <sheet name="Tiroirs Merivobox" sheetId="4" r:id="rId4"/>
    <sheet name="Tiroirs Legrabox" sheetId="5" r:id="rId5"/>
    <sheet name="Tiroirs Anglaise" sheetId="6" r:id="rId6"/>
    <sheet name="Article" sheetId="7" r:id="rId7"/>
  </sheets>
  <externalReferences>
    <externalReference r:id="rId8"/>
    <externalReference r:id="rId9"/>
    <externalReference r:id="rId10"/>
  </externalReferences>
  <definedNames>
    <definedName name="Vasque">Parametrage!$A$2:$A$3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7" l="1"/>
  <c r="C7" i="7"/>
  <c r="D6" i="7"/>
  <c r="C6" i="7"/>
  <c r="I13" i="7"/>
  <c r="I12" i="7"/>
  <c r="I11" i="7"/>
  <c r="H13" i="7"/>
  <c r="H12" i="7"/>
  <c r="H11" i="7"/>
  <c r="H10" i="7"/>
  <c r="I10" i="7"/>
  <c r="I9" i="7"/>
  <c r="H9" i="7"/>
  <c r="H8" i="7"/>
  <c r="I8" i="7"/>
  <c r="I7" i="7"/>
  <c r="H7" i="7"/>
  <c r="G13" i="7"/>
  <c r="G12" i="7"/>
  <c r="G11" i="7"/>
  <c r="G10" i="7"/>
  <c r="G9" i="7"/>
  <c r="G8" i="7"/>
  <c r="G7" i="7"/>
  <c r="F13" i="7"/>
  <c r="F12" i="7"/>
  <c r="F10" i="7"/>
  <c r="F11" i="7"/>
  <c r="F9" i="7"/>
  <c r="F8" i="7"/>
  <c r="F7" i="7"/>
  <c r="I6" i="7"/>
  <c r="H6" i="7"/>
  <c r="G6" i="7"/>
  <c r="F6" i="7"/>
  <c r="B11" i="7" l="1"/>
  <c r="B9" i="7"/>
  <c r="B13" i="7"/>
  <c r="B12" i="7"/>
  <c r="B10" i="7"/>
  <c r="B8" i="7"/>
  <c r="B7" i="7"/>
  <c r="E7" i="7" s="1"/>
  <c r="B6" i="7"/>
  <c r="E6" i="7" s="1"/>
  <c r="D5" i="7"/>
  <c r="C5" i="7"/>
  <c r="B5" i="7"/>
  <c r="D4" i="7"/>
  <c r="C4" i="7"/>
  <c r="B4" i="7"/>
  <c r="D3" i="7"/>
  <c r="C3" i="7"/>
  <c r="B3" i="7"/>
  <c r="D13" i="1"/>
  <c r="A41" i="6"/>
  <c r="B41" i="6" s="1"/>
  <c r="C41" i="6" s="1"/>
  <c r="A42" i="6"/>
  <c r="B42" i="6" s="1"/>
  <c r="C42" i="6" s="1"/>
  <c r="D42" i="6" s="1"/>
  <c r="E42" i="6" s="1"/>
  <c r="A43" i="6"/>
  <c r="B43" i="6" s="1"/>
  <c r="C43" i="6" s="1"/>
  <c r="D43" i="6" s="1"/>
  <c r="E43" i="6" s="1"/>
  <c r="A40" i="6"/>
  <c r="B40" i="6" s="1"/>
  <c r="C40" i="6" s="1"/>
  <c r="A35" i="6"/>
  <c r="A36" i="6"/>
  <c r="A37" i="6"/>
  <c r="B37" i="6" s="1"/>
  <c r="C37" i="6" s="1"/>
  <c r="D37" i="6" s="1"/>
  <c r="E37" i="6" s="1"/>
  <c r="A34" i="6"/>
  <c r="B34" i="6" s="1"/>
  <c r="C34" i="6" s="1"/>
  <c r="B35" i="6"/>
  <c r="A27" i="6"/>
  <c r="A28" i="6"/>
  <c r="A29" i="6"/>
  <c r="A26" i="6"/>
  <c r="B26" i="6" s="1"/>
  <c r="C26" i="6" s="1"/>
  <c r="B27" i="6"/>
  <c r="C27" i="6" s="1"/>
  <c r="B28" i="6"/>
  <c r="C28" i="6" s="1"/>
  <c r="B29" i="6"/>
  <c r="C29" i="6" s="1"/>
  <c r="D29" i="6" s="1"/>
  <c r="E29" i="6" s="1"/>
  <c r="A19" i="6"/>
  <c r="A20" i="6"/>
  <c r="B20" i="6" s="1"/>
  <c r="C20" i="6" s="1"/>
  <c r="A21" i="6"/>
  <c r="B21" i="6" s="1"/>
  <c r="C21" i="6" s="1"/>
  <c r="D21" i="6" s="1"/>
  <c r="E21" i="6" s="1"/>
  <c r="A18" i="6"/>
  <c r="B18" i="6" s="1"/>
  <c r="C18" i="6" s="1"/>
  <c r="A22" i="6"/>
  <c r="A13" i="6"/>
  <c r="B13" i="6" s="1"/>
  <c r="C13" i="6" s="1"/>
  <c r="D13" i="6" s="1"/>
  <c r="E13" i="6" s="1"/>
  <c r="A14" i="6"/>
  <c r="B14" i="6" s="1"/>
  <c r="C14" i="6" s="1"/>
  <c r="D14" i="6" s="1"/>
  <c r="E14" i="6" s="1"/>
  <c r="A15" i="6"/>
  <c r="B15" i="6" s="1"/>
  <c r="C15" i="6" s="1"/>
  <c r="D15" i="6" s="1"/>
  <c r="E15" i="6" s="1"/>
  <c r="A12" i="6"/>
  <c r="B12" i="6" s="1"/>
  <c r="C12" i="6" s="1"/>
  <c r="D12" i="6" s="1"/>
  <c r="E12" i="6" s="1"/>
  <c r="A5" i="6"/>
  <c r="B5" i="6" s="1"/>
  <c r="C5" i="6" s="1"/>
  <c r="D5" i="6" s="1"/>
  <c r="E5" i="6" s="1"/>
  <c r="A6" i="6"/>
  <c r="B6" i="6" s="1"/>
  <c r="C6" i="6" s="1"/>
  <c r="A7" i="6"/>
  <c r="B7" i="6" s="1"/>
  <c r="C7" i="6" s="1"/>
  <c r="D7" i="6" s="1"/>
  <c r="E7" i="6" s="1"/>
  <c r="A4" i="6"/>
  <c r="B4" i="6" s="1"/>
  <c r="A10" i="5"/>
  <c r="A13" i="4"/>
  <c r="D13" i="4" s="1"/>
  <c r="A14" i="4"/>
  <c r="D14" i="4" s="1"/>
  <c r="A15" i="4"/>
  <c r="C15" i="4" s="1"/>
  <c r="A12" i="4"/>
  <c r="C12" i="4" s="1"/>
  <c r="A9" i="4"/>
  <c r="D9" i="4" s="1"/>
  <c r="A10" i="4"/>
  <c r="D10" i="4" s="1"/>
  <c r="A11" i="4"/>
  <c r="D11" i="4" s="1"/>
  <c r="A8" i="4"/>
  <c r="D8" i="4" s="1"/>
  <c r="A9" i="5"/>
  <c r="A11" i="5"/>
  <c r="A8" i="5"/>
  <c r="A12" i="5"/>
  <c r="A13" i="5"/>
  <c r="A14" i="5"/>
  <c r="A15" i="5"/>
  <c r="D13" i="5"/>
  <c r="E13" i="5" s="1"/>
  <c r="D14" i="5"/>
  <c r="E14" i="5" s="1"/>
  <c r="D15" i="5"/>
  <c r="E15" i="5" s="1"/>
  <c r="D12" i="5"/>
  <c r="D9" i="5"/>
  <c r="E9" i="5" s="1"/>
  <c r="D10" i="5"/>
  <c r="E10" i="5" s="1"/>
  <c r="D11" i="5"/>
  <c r="E11" i="5" s="1"/>
  <c r="D8" i="5"/>
  <c r="E8" i="5" s="1"/>
  <c r="E13" i="4"/>
  <c r="E14" i="4"/>
  <c r="E15" i="4"/>
  <c r="E12" i="4"/>
  <c r="E9" i="4"/>
  <c r="E10" i="4"/>
  <c r="E11" i="4"/>
  <c r="E4" i="7" l="1"/>
  <c r="E5" i="7"/>
  <c r="E3" i="7"/>
  <c r="D41" i="6"/>
  <c r="E41" i="6" s="1"/>
  <c r="D40" i="6"/>
  <c r="E40" i="6" s="1"/>
  <c r="C35" i="6"/>
  <c r="D35" i="6" s="1"/>
  <c r="E35" i="6" s="1"/>
  <c r="D28" i="6"/>
  <c r="E28" i="6" s="1"/>
  <c r="B36" i="6"/>
  <c r="C36" i="6" s="1"/>
  <c r="D36" i="6" s="1"/>
  <c r="E36" i="6" s="1"/>
  <c r="D34" i="6"/>
  <c r="E34" i="6" s="1"/>
  <c r="D27" i="6"/>
  <c r="E27" i="6" s="1"/>
  <c r="D26" i="6"/>
  <c r="E26" i="6" s="1"/>
  <c r="H13" i="6"/>
  <c r="D20" i="6"/>
  <c r="E20" i="6" s="1"/>
  <c r="B19" i="6"/>
  <c r="C19" i="6" s="1"/>
  <c r="D19" i="6" s="1"/>
  <c r="E19" i="6" s="1"/>
  <c r="D18" i="6"/>
  <c r="E18" i="6" s="1"/>
  <c r="C14" i="4"/>
  <c r="D15" i="4"/>
  <c r="D12" i="4"/>
  <c r="C4" i="6"/>
  <c r="D6" i="6"/>
  <c r="E6" i="6" s="1"/>
  <c r="E8" i="4"/>
  <c r="C10" i="4"/>
  <c r="K12" i="4"/>
  <c r="C11" i="4"/>
  <c r="C13" i="4"/>
  <c r="K13" i="4" s="1"/>
  <c r="C9" i="4"/>
  <c r="F8" i="5"/>
  <c r="F11" i="5"/>
  <c r="E12" i="5"/>
  <c r="F10" i="5"/>
  <c r="F9" i="5"/>
  <c r="K26" i="5"/>
  <c r="J26" i="5"/>
  <c r="H26" i="5"/>
  <c r="F26" i="5"/>
  <c r="K25" i="5"/>
  <c r="J25" i="5"/>
  <c r="H25" i="5"/>
  <c r="F25" i="5"/>
  <c r="K24" i="5"/>
  <c r="J24" i="5"/>
  <c r="H24" i="5"/>
  <c r="F24" i="5"/>
  <c r="K23" i="5"/>
  <c r="J23" i="5"/>
  <c r="H23" i="5"/>
  <c r="F23" i="5"/>
  <c r="K22" i="5"/>
  <c r="J22" i="5"/>
  <c r="H22" i="5"/>
  <c r="F22" i="5"/>
  <c r="K21" i="5"/>
  <c r="J21" i="5"/>
  <c r="H21" i="5"/>
  <c r="F21" i="5"/>
  <c r="K20" i="5"/>
  <c r="J20" i="5"/>
  <c r="H20" i="5"/>
  <c r="F20" i="5"/>
  <c r="K19" i="5"/>
  <c r="J19" i="5"/>
  <c r="H19" i="5"/>
  <c r="F19" i="5"/>
  <c r="K18" i="5"/>
  <c r="J18" i="5"/>
  <c r="H18" i="5"/>
  <c r="F18" i="5"/>
  <c r="K17" i="5"/>
  <c r="J17" i="5"/>
  <c r="H17" i="5"/>
  <c r="F17" i="5"/>
  <c r="K16" i="5"/>
  <c r="J16" i="5"/>
  <c r="H16" i="5"/>
  <c r="F16" i="5"/>
  <c r="H41" i="6" l="1"/>
  <c r="H27" i="6"/>
  <c r="H35" i="6"/>
  <c r="H19" i="6"/>
  <c r="D4" i="6"/>
  <c r="E4" i="6" s="1"/>
  <c r="H5" i="6" s="1"/>
  <c r="J15" i="5"/>
  <c r="C13" i="5"/>
  <c r="K13" i="5" s="1"/>
  <c r="J13" i="5"/>
  <c r="J14" i="5"/>
  <c r="C12" i="5"/>
  <c r="K12" i="5" s="1"/>
  <c r="J12" i="5"/>
  <c r="J11" i="5"/>
  <c r="J10" i="5"/>
  <c r="J9" i="5"/>
  <c r="C15" i="5"/>
  <c r="H15" i="5" s="1"/>
  <c r="C14" i="5"/>
  <c r="H14" i="5" s="1"/>
  <c r="J8" i="5"/>
  <c r="F12" i="5"/>
  <c r="F13" i="5"/>
  <c r="H13" i="5"/>
  <c r="F14" i="5"/>
  <c r="F15" i="5"/>
  <c r="J13" i="4"/>
  <c r="J12" i="4"/>
  <c r="J9" i="4"/>
  <c r="J10" i="4"/>
  <c r="J11" i="4"/>
  <c r="H16" i="4"/>
  <c r="H17" i="4"/>
  <c r="H18" i="4"/>
  <c r="F20" i="4"/>
  <c r="H21" i="4"/>
  <c r="H22" i="4"/>
  <c r="F24" i="4"/>
  <c r="F25" i="4"/>
  <c r="H26" i="4"/>
  <c r="F18" i="4"/>
  <c r="F19" i="4"/>
  <c r="F23" i="4"/>
  <c r="A14" i="1"/>
  <c r="C8" i="4" s="1"/>
  <c r="K26" i="4"/>
  <c r="J26" i="4"/>
  <c r="K25" i="4"/>
  <c r="J25" i="4"/>
  <c r="K24" i="4"/>
  <c r="J24" i="4"/>
  <c r="H24" i="4"/>
  <c r="K23" i="4"/>
  <c r="J23" i="4"/>
  <c r="H23" i="4"/>
  <c r="K22" i="4"/>
  <c r="J22" i="4"/>
  <c r="K21" i="4"/>
  <c r="J21" i="4"/>
  <c r="K20" i="4"/>
  <c r="J20" i="4"/>
  <c r="H20" i="4"/>
  <c r="K19" i="4"/>
  <c r="J19" i="4"/>
  <c r="H19" i="4"/>
  <c r="K18" i="4"/>
  <c r="J18" i="4"/>
  <c r="K17" i="4"/>
  <c r="J17" i="4"/>
  <c r="K16" i="4"/>
  <c r="J16" i="4"/>
  <c r="F16" i="4"/>
  <c r="H12" i="5" l="1"/>
  <c r="C11" i="5"/>
  <c r="C8" i="5"/>
  <c r="K8" i="5" s="1"/>
  <c r="C9" i="5"/>
  <c r="H9" i="5" s="1"/>
  <c r="C10" i="5"/>
  <c r="H10" i="5" s="1"/>
  <c r="K15" i="5"/>
  <c r="K14" i="5"/>
  <c r="J28" i="5"/>
  <c r="J30" i="5" s="1"/>
  <c r="J32" i="5" s="1"/>
  <c r="J8" i="4"/>
  <c r="K15" i="4"/>
  <c r="J15" i="4"/>
  <c r="H14" i="4"/>
  <c r="K14" i="4"/>
  <c r="J14" i="4"/>
  <c r="F15" i="4"/>
  <c r="H12" i="4"/>
  <c r="F9" i="4"/>
  <c r="K9" i="4"/>
  <c r="K11" i="4"/>
  <c r="K10" i="4"/>
  <c r="K8" i="4"/>
  <c r="H13" i="4"/>
  <c r="F13" i="4"/>
  <c r="F11" i="4"/>
  <c r="F12" i="4"/>
  <c r="H15" i="4"/>
  <c r="F14" i="4"/>
  <c r="H11" i="4"/>
  <c r="H25" i="4"/>
  <c r="F17" i="4"/>
  <c r="F22" i="4"/>
  <c r="F26" i="4"/>
  <c r="F21" i="4"/>
  <c r="F10" i="4"/>
  <c r="F8" i="4"/>
  <c r="K9" i="5" l="1"/>
  <c r="H9" i="4"/>
  <c r="K11" i="5"/>
  <c r="H11" i="5"/>
  <c r="K10" i="5"/>
  <c r="H8" i="4"/>
  <c r="H8" i="5"/>
  <c r="H10" i="4"/>
  <c r="K28" i="4"/>
  <c r="K30" i="4" s="1"/>
  <c r="K32" i="4" s="1"/>
  <c r="J28" i="4"/>
  <c r="J30" i="4" s="1"/>
  <c r="J32" i="4" s="1"/>
  <c r="G8" i="2"/>
  <c r="K28" i="5" l="1"/>
  <c r="K30" i="5" s="1"/>
  <c r="K32" i="5" s="1"/>
  <c r="F7" i="2"/>
  <c r="E7" i="2"/>
  <c r="D7" i="2"/>
  <c r="F6" i="2"/>
  <c r="F5" i="2"/>
  <c r="D6" i="2"/>
  <c r="G6" i="2" s="1"/>
  <c r="E5" i="2"/>
  <c r="D5" i="2"/>
  <c r="E4" i="2"/>
  <c r="F4" i="2"/>
  <c r="D4" i="2"/>
  <c r="G4" i="2" s="1"/>
  <c r="G5" i="2" l="1"/>
  <c r="G7" i="2"/>
  <c r="G9" i="2" l="1"/>
</calcChain>
</file>

<file path=xl/sharedStrings.xml><?xml version="1.0" encoding="utf-8"?>
<sst xmlns="http://schemas.openxmlformats.org/spreadsheetml/2006/main" count="123" uniqueCount="69">
  <si>
    <t>Chiffrage Meuble Sdb</t>
  </si>
  <si>
    <t>Meuble Vasque</t>
  </si>
  <si>
    <t>Longueur</t>
  </si>
  <si>
    <t>Simple Vasque</t>
  </si>
  <si>
    <t>Double Vasque</t>
  </si>
  <si>
    <t>Dimensions du Meuble</t>
  </si>
  <si>
    <t>Coté</t>
  </si>
  <si>
    <t>Cais B</t>
  </si>
  <si>
    <t>Cais H</t>
  </si>
  <si>
    <t>Dos</t>
  </si>
  <si>
    <t xml:space="preserve">Largeur </t>
  </si>
  <si>
    <t>Epaisseur</t>
  </si>
  <si>
    <t>Hauteur</t>
  </si>
  <si>
    <t>Profondeur</t>
  </si>
  <si>
    <t>Epaisseur Piece :</t>
  </si>
  <si>
    <t>Separation</t>
  </si>
  <si>
    <r>
      <t>M</t>
    </r>
    <r>
      <rPr>
        <sz val="11"/>
        <color theme="1"/>
        <rFont val="Calibri"/>
        <family val="2"/>
      </rPr>
      <t>²</t>
    </r>
  </si>
  <si>
    <t xml:space="preserve">Tiroir </t>
  </si>
  <si>
    <t>Merivobox</t>
  </si>
  <si>
    <t>Legrabox</t>
  </si>
  <si>
    <t xml:space="preserve">Tiroirs </t>
  </si>
  <si>
    <t>Calcul Tiroirs Merivobox</t>
  </si>
  <si>
    <t>Fonds Tiroirs</t>
  </si>
  <si>
    <t>Dos Tiroirs</t>
  </si>
  <si>
    <r>
      <t>Prix M</t>
    </r>
    <r>
      <rPr>
        <sz val="11"/>
        <color rgb="FFFF0000"/>
        <rFont val="Calibri"/>
        <family val="2"/>
      </rPr>
      <t>²:</t>
    </r>
  </si>
  <si>
    <t>Prix M²:</t>
  </si>
  <si>
    <t>N° Client:</t>
  </si>
  <si>
    <t>Perte:</t>
  </si>
  <si>
    <t>Perte</t>
  </si>
  <si>
    <t>Largeur Meuble</t>
  </si>
  <si>
    <t>Hauteur Tiroir</t>
  </si>
  <si>
    <t>Longueur Tiroir</t>
  </si>
  <si>
    <t>Qté</t>
  </si>
  <si>
    <t>Fond</t>
  </si>
  <si>
    <r>
      <t>M</t>
    </r>
    <r>
      <rPr>
        <b/>
        <sz val="13"/>
        <color theme="1"/>
        <rFont val="Calibri"/>
        <family val="2"/>
      </rPr>
      <t>² fond</t>
    </r>
  </si>
  <si>
    <t>M² dos</t>
  </si>
  <si>
    <t>Total</t>
  </si>
  <si>
    <t>Total + Perte</t>
  </si>
  <si>
    <t>Prix HT</t>
  </si>
  <si>
    <t>Tir M</t>
  </si>
  <si>
    <t>Prof</t>
  </si>
  <si>
    <r>
      <t>M</t>
    </r>
    <r>
      <rPr>
        <sz val="11"/>
        <color rgb="FFFF0000"/>
        <rFont val="Calibri"/>
        <family val="2"/>
      </rPr>
      <t>² Caisse</t>
    </r>
  </si>
  <si>
    <t>Tir Angl</t>
  </si>
  <si>
    <t>Calcul Tiroirs Legrabox</t>
  </si>
  <si>
    <t>Tiroir Anglaise Merivobox</t>
  </si>
  <si>
    <t>Ht M</t>
  </si>
  <si>
    <t>Dimension</t>
  </si>
  <si>
    <t>ML linéaire</t>
  </si>
  <si>
    <t>ML+ Chute</t>
  </si>
  <si>
    <t>Nbre de Bandeau M</t>
  </si>
  <si>
    <t>HT E</t>
  </si>
  <si>
    <t>Nbre de tube</t>
  </si>
  <si>
    <t>Tiroir Anglaise Legrabox</t>
  </si>
  <si>
    <t>HT C</t>
  </si>
  <si>
    <t>Tiroirs</t>
  </si>
  <si>
    <t>Nbre</t>
  </si>
  <si>
    <t>Référence</t>
  </si>
  <si>
    <t>Prix</t>
  </si>
  <si>
    <t>Butée</t>
  </si>
  <si>
    <t>Attache Facade Merviobox</t>
  </si>
  <si>
    <t>Attache-façade sup MERIVOBOX</t>
  </si>
  <si>
    <t>Merivobox 270 m</t>
  </si>
  <si>
    <t>Merivobox 300 m</t>
  </si>
  <si>
    <t>Merivobox 350 m</t>
  </si>
  <si>
    <t>Merivobox 400 m</t>
  </si>
  <si>
    <t>Merivobox 450 m</t>
  </si>
  <si>
    <t>Merivobox 500 m</t>
  </si>
  <si>
    <t>Merivobox 550 m</t>
  </si>
  <si>
    <t>Merivobox 600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</si>
</sst>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0_-;\-* #,##0.000_-;_-* &quot;-&quot;??_-;_-@_-"/>
    <numFmt numFmtId="165" formatCode="_-* #,##0.00\ _€_-;\-* #,##0.00\ _€_-;_-* &quot;-&quot;?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DDDDDD"/>
      <name val="Calibri"/>
      <family val="2"/>
      <scheme val="minor"/>
    </font>
    <font>
      <sz val="22"/>
      <name val="Dubai Medium"/>
      <family val="2"/>
      <charset val="178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8E1FA"/>
        <bgColor indexed="64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D4D4D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3" fontId="0" fillId="0" borderId="5" xfId="1" applyFont="1" applyBorder="1" applyProtection="1"/>
    <xf numFmtId="0" fontId="0" fillId="0" borderId="0" xfId="0" applyAlignment="1">
      <alignment horizontal="center" vertical="center"/>
    </xf>
    <xf numFmtId="164" fontId="0" fillId="0" borderId="0" xfId="1" applyNumberFormat="1" applyFont="1" applyBorder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3" borderId="0" xfId="0" applyFill="1" applyAlignment="1">
      <alignment horizontal="center"/>
    </xf>
    <xf numFmtId="2" fontId="3" fillId="0" borderId="0" xfId="0" applyNumberFormat="1" applyFont="1"/>
    <xf numFmtId="0" fontId="0" fillId="3" borderId="0" xfId="0" applyFill="1"/>
    <xf numFmtId="0" fontId="8" fillId="3" borderId="0" xfId="0" applyFont="1" applyFill="1"/>
    <xf numFmtId="0" fontId="0" fillId="3" borderId="0" xfId="0" applyFill="1" applyAlignment="1">
      <alignment horizontal="right"/>
    </xf>
    <xf numFmtId="1" fontId="0" fillId="3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8" fillId="4" borderId="0" xfId="0" applyFont="1" applyFill="1"/>
    <xf numFmtId="0" fontId="0" fillId="4" borderId="0" xfId="0" applyFill="1" applyAlignment="1">
      <alignment horizontal="right"/>
    </xf>
    <xf numFmtId="1" fontId="0" fillId="4" borderId="0" xfId="0" applyNumberFormat="1" applyFill="1"/>
    <xf numFmtId="0" fontId="18" fillId="3" borderId="0" xfId="0" applyFont="1" applyFill="1"/>
    <xf numFmtId="0" fontId="15" fillId="3" borderId="0" xfId="0" applyFont="1" applyFill="1" applyAlignment="1">
      <alignment horizontal="center"/>
    </xf>
    <xf numFmtId="0" fontId="19" fillId="5" borderId="0" xfId="2" applyFont="1" applyFill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43" fontId="12" fillId="0" borderId="6" xfId="0" applyNumberFormat="1" applyFont="1" applyBorder="1" applyAlignment="1">
      <alignment horizontal="center" vertical="center"/>
    </xf>
    <xf numFmtId="43" fontId="12" fillId="0" borderId="5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4" fillId="0" borderId="5" xfId="0" applyNumberFormat="1" applyFont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/>
    </xf>
    <xf numFmtId="43" fontId="12" fillId="0" borderId="6" xfId="0" applyNumberFormat="1" applyFont="1" applyBorder="1" applyAlignment="1">
      <alignment horizontal="left" vertical="center"/>
    </xf>
    <xf numFmtId="43" fontId="12" fillId="0" borderId="5" xfId="0" applyNumberFormat="1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17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right"/>
    </xf>
    <xf numFmtId="0" fontId="21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21" fillId="3" borderId="0" xfId="0" applyFont="1" applyFill="1" applyAlignment="1">
      <alignment horizontal="right"/>
    </xf>
    <xf numFmtId="0" fontId="0" fillId="7" borderId="0" xfId="0" applyFill="1"/>
    <xf numFmtId="0" fontId="20" fillId="8" borderId="0" xfId="0" applyFont="1" applyFill="1" applyAlignment="1">
      <alignment horizontal="center"/>
    </xf>
  </cellXfs>
  <cellStyles count="3">
    <cellStyle name="60 % - Accent1" xfId="2" builtinId="32"/>
    <cellStyle name="Milliers" xfId="1" builtinId="3"/>
    <cellStyle name="Normal" xfId="0" builtinId="0"/>
  </cellStyles>
  <dxfs count="1">
    <dxf>
      <font>
        <b/>
        <i val="0"/>
        <strike/>
      </font>
      <fill>
        <patternFill patternType="solid">
          <fgColor theme="1"/>
          <bgColor theme="0" tint="-0.14996795556505021"/>
        </patternFill>
      </fill>
    </dxf>
  </dxfs>
  <tableStyles count="0" defaultTableStyle="TableStyleMedium2" defaultPivotStyle="PivotStyleLight16"/>
  <colors>
    <mruColors>
      <color rgb="FF4D4D4D"/>
      <color rgb="FFB8E1FA"/>
      <color rgb="FFCCFFCC"/>
      <color rgb="FFDDDDDD"/>
      <color rgb="FFC0C0C0"/>
      <color rgb="FFEAEAEA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D$14" lockText="1" noThreeD="1"/>
</file>

<file path=xl/ctrlProps/ctrlProp2.xml><?xml version="1.0" encoding="utf-8"?>
<formControlPr xmlns="http://schemas.microsoft.com/office/spreadsheetml/2009/9/main" objectType="CheckBox" fmlaLink="$E$19" lockText="1" noThreeD="1"/>
</file>

<file path=xl/ctrlProps/ctrlProp3.xml><?xml version="1.0" encoding="utf-8"?>
<formControlPr xmlns="http://schemas.microsoft.com/office/spreadsheetml/2009/9/main" objectType="CheckBox" fmlaLink="$D$15" lockText="1" noThreeD="1"/>
</file>

<file path=xl/ctrlProps/ctrlProp4.xml><?xml version="1.0" encoding="utf-8"?>
<formControlPr xmlns="http://schemas.microsoft.com/office/spreadsheetml/2009/9/main" objectType="CheckBox" fmlaLink="$E$15" lockText="1" noThreeD="1"/>
</file>

<file path=xl/ctrlProps/ctrlProp5.xml><?xml version="1.0" encoding="utf-8"?>
<formControlPr xmlns="http://schemas.microsoft.com/office/spreadsheetml/2009/9/main" objectType="CheckBox" fmlaLink="$D$16" lockText="1" noThreeD="1"/>
</file>

<file path=xl/ctrlProps/ctrlProp6.xml><?xml version="1.0" encoding="utf-8"?>
<formControlPr xmlns="http://schemas.microsoft.com/office/spreadsheetml/2009/9/main" objectType="CheckBox" fmlaLink="$D$17" lockText="1" noThreeD="1"/>
</file>

<file path=xl/ctrlProps/ctrlProp7.xml><?xml version="1.0" encoding="utf-8"?>
<formControlPr xmlns="http://schemas.microsoft.com/office/spreadsheetml/2009/9/main" objectType="CheckBox" fmlaLink="$E$16" lockText="1" noThreeD="1"/>
</file>

<file path=xl/ctrlProps/ctrlProp8.xml><?xml version="1.0" encoding="utf-8"?>
<formControlPr xmlns="http://schemas.microsoft.com/office/spreadsheetml/2009/9/main" objectType="CheckBox" fmlaLink="$E$17" lockText="1" noThreeD="1"/>
</file>

<file path=xl/ctrlProps/ctrlProp9.xml><?xml version="1.0" encoding="utf-8"?>
<formControlPr xmlns="http://schemas.microsoft.com/office/spreadsheetml/2009/9/main" objectType="CheckBox" fmlaLink="$E$14" lockText="1" noThreeD="1"/>
</file>

<file path=xl/ctrlProps/ctrlProp10.xml><?xml version="1.0" encoding="utf-8"?>
<formControlPr xmlns="http://schemas.microsoft.com/office/spreadsheetml/2009/9/main" objectType="CheckBox" fmlaLink="$E$20" lockText="1" noThreeD="1"/>
</file>

<file path=xl/ctrlProps/ctrlProp11.xml><?xml version="1.0" encoding="utf-8"?>
<formControlPr xmlns="http://schemas.microsoft.com/office/spreadsheetml/2009/9/main" objectType="CheckBox" fmlaLink="$E$21" lockText="1" noThreeD="1"/>
</file>

<file path=xl/ctrlProps/ctrlProp12.xml><?xml version="1.0" encoding="utf-8"?>
<formControlPr xmlns="http://schemas.microsoft.com/office/spreadsheetml/2009/9/main" objectType="CheckBox" fmlaLink="$E$2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12</xdr:row>
          <xdr:rowOff>152400</xdr:rowOff>
        </xdr:from>
        <xdr:to>
          <xdr:col>3</xdr:col>
          <xdr:colOff>504825</xdr:colOff>
          <xdr:row>14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17</xdr:row>
          <xdr:rowOff>142875</xdr:rowOff>
        </xdr:from>
        <xdr:to>
          <xdr:col>4</xdr:col>
          <xdr:colOff>647700</xdr:colOff>
          <xdr:row>19</xdr:row>
          <xdr:rowOff>66675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13</xdr:row>
          <xdr:rowOff>152400</xdr:rowOff>
        </xdr:from>
        <xdr:to>
          <xdr:col>3</xdr:col>
          <xdr:colOff>504825</xdr:colOff>
          <xdr:row>15</xdr:row>
          <xdr:rowOff>47625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13</xdr:row>
          <xdr:rowOff>142875</xdr:rowOff>
        </xdr:from>
        <xdr:to>
          <xdr:col>4</xdr:col>
          <xdr:colOff>504825</xdr:colOff>
          <xdr:row>15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14</xdr:row>
          <xdr:rowOff>142875</xdr:rowOff>
        </xdr:from>
        <xdr:to>
          <xdr:col>3</xdr:col>
          <xdr:colOff>504825</xdr:colOff>
          <xdr:row>16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15</xdr:row>
          <xdr:rowOff>152400</xdr:rowOff>
        </xdr:from>
        <xdr:to>
          <xdr:col>3</xdr:col>
          <xdr:colOff>504825</xdr:colOff>
          <xdr:row>17</xdr:row>
          <xdr:rowOff>47625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14</xdr:row>
          <xdr:rowOff>133350</xdr:rowOff>
        </xdr:from>
        <xdr:to>
          <xdr:col>4</xdr:col>
          <xdr:colOff>504825</xdr:colOff>
          <xdr:row>16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15</xdr:row>
          <xdr:rowOff>142875</xdr:rowOff>
        </xdr:from>
        <xdr:to>
          <xdr:col>4</xdr:col>
          <xdr:colOff>504825</xdr:colOff>
          <xdr:row>17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12</xdr:row>
          <xdr:rowOff>142875</xdr:rowOff>
        </xdr:from>
        <xdr:to>
          <xdr:col>4</xdr:col>
          <xdr:colOff>504825</xdr:colOff>
          <xdr:row>14</xdr:row>
          <xdr:rowOff>38100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18</xdr:row>
          <xdr:rowOff>142875</xdr:rowOff>
        </xdr:from>
        <xdr:to>
          <xdr:col>4</xdr:col>
          <xdr:colOff>647700</xdr:colOff>
          <xdr:row>20</xdr:row>
          <xdr:rowOff>66675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19</xdr:row>
          <xdr:rowOff>133350</xdr:rowOff>
        </xdr:from>
        <xdr:to>
          <xdr:col>4</xdr:col>
          <xdr:colOff>647700</xdr:colOff>
          <xdr:row>21</xdr:row>
          <xdr:rowOff>57150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20</xdr:row>
          <xdr:rowOff>133350</xdr:rowOff>
        </xdr:from>
        <xdr:to>
          <xdr:col>4</xdr:col>
          <xdr:colOff>647700</xdr:colOff>
          <xdr:row>22</xdr:row>
          <xdr:rowOff>57150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hiffrages%20Divers\calcul%20fonds%20et%20dos%20de%20tiroirs%20merivobox.xlsx" TargetMode="External"/><Relationship Id="rId1" Type="http://schemas.openxmlformats.org/officeDocument/2006/relationships/externalLinkPath" Target="file:///Y:\Chiffrages%20Divers\calcul%20fonds%20et%20dos%20de%20tiroirs%20merivobox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hiffrages%20Divers\calcul%20fonds%20et%20dos%20de%20tiroirs%20legrabox.xlsx" TargetMode="External"/><Relationship Id="rId1" Type="http://schemas.openxmlformats.org/officeDocument/2006/relationships/externalLinkPath" Target="file:///Y:\Chiffrages%20Divers\calcul%20fonds%20et%20dos%20de%20tiroirs%20legrabox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hiffrages%20Divers\SALLE%20DE%20BAIN%202024-09.xls" TargetMode="External"/><Relationship Id="rId1" Type="http://schemas.openxmlformats.org/officeDocument/2006/relationships/externalLinkPath" Target="file:///Y:\Chiffrages%20Divers\SALLE%20DE%20BAIN%202024-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 Tiroirs Mervibox"/>
      <sheetName val="Paramètre"/>
    </sheetNames>
    <sheetDataSet>
      <sheetData sheetId="0"/>
      <sheetData sheetId="1">
        <row r="2">
          <cell r="A2" t="str">
            <v>N</v>
          </cell>
          <cell r="B2">
            <v>44.5</v>
          </cell>
        </row>
        <row r="3">
          <cell r="A3" t="str">
            <v>M</v>
          </cell>
          <cell r="B3">
            <v>67</v>
          </cell>
        </row>
        <row r="4">
          <cell r="A4" t="str">
            <v>K</v>
          </cell>
          <cell r="B4">
            <v>105</v>
          </cell>
        </row>
        <row r="5">
          <cell r="A5" t="str">
            <v>E</v>
          </cell>
          <cell r="B5">
            <v>168</v>
          </cell>
        </row>
        <row r="6">
          <cell r="A6">
            <v>280</v>
          </cell>
          <cell r="B6">
            <v>280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 Tiroirs Legrabox"/>
      <sheetName val="Paramètre"/>
    </sheetNames>
    <sheetDataSet>
      <sheetData sheetId="0"/>
      <sheetData sheetId="1">
        <row r="2">
          <cell r="A2" t="str">
            <v>N</v>
          </cell>
          <cell r="B2">
            <v>39</v>
          </cell>
        </row>
        <row r="3">
          <cell r="A3" t="str">
            <v>M</v>
          </cell>
          <cell r="B3">
            <v>63</v>
          </cell>
        </row>
        <row r="4">
          <cell r="A4" t="str">
            <v>K</v>
          </cell>
          <cell r="B4">
            <v>101</v>
          </cell>
        </row>
        <row r="5">
          <cell r="A5" t="str">
            <v>C</v>
          </cell>
          <cell r="B5">
            <v>148</v>
          </cell>
        </row>
        <row r="6">
          <cell r="A6" t="str">
            <v>F</v>
          </cell>
          <cell r="B6">
            <v>212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  <sheetName val="Feuil3"/>
    </sheetNames>
    <sheetDataSet>
      <sheetData sheetId="0">
        <row r="14">
          <cell r="C14">
            <v>282475</v>
          </cell>
          <cell r="D14">
            <v>28.3</v>
          </cell>
        </row>
        <row r="18">
          <cell r="C18">
            <v>282115</v>
          </cell>
          <cell r="D18">
            <v>28.3</v>
          </cell>
        </row>
        <row r="19">
          <cell r="C19">
            <v>237153</v>
          </cell>
          <cell r="D19">
            <v>0.33</v>
          </cell>
        </row>
        <row r="20">
          <cell r="C20" t="str">
            <v>237167 </v>
          </cell>
          <cell r="D20">
            <v>0.39</v>
          </cell>
        </row>
        <row r="33">
          <cell r="C33" t="str">
            <v>BUT591190TR</v>
          </cell>
          <cell r="D33">
            <v>0.05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90350D-AA3B-456C-A760-816BCCD07652}" name="Tableau1" displayName="Tableau1" ref="A1:A3" totalsRowShown="0">
  <autoFilter ref="A1:A3" xr:uid="{E290350D-AA3B-456C-A760-816BCCD07652}"/>
  <tableColumns count="1">
    <tableColumn id="1" xr3:uid="{E84F0459-2294-4D7A-8BDD-8521DC5C7EB5}" name="Meuble Vasqu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371B32-2989-4EFA-B6B8-9A513BD0F27C}" name="Tableau2" displayName="Tableau2" ref="A10:A12" totalsRowShown="0">
  <autoFilter ref="A10:A12" xr:uid="{A1371B32-2989-4EFA-B6B8-9A513BD0F27C}"/>
  <tableColumns count="1">
    <tableColumn id="1" xr3:uid="{E3C430F2-9C4E-43BB-98BA-E630720A1307}" name="Tiroir "/>
  </tableColumns>
  <tableStyleInfo name="TableStyleLight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Savon">
      <a:dk1>
        <a:sysClr val="windowText" lastClr="000000"/>
      </a:dk1>
      <a:lt1>
        <a:sysClr val="window" lastClr="FFFFFF"/>
      </a:lt1>
      <a:dk2>
        <a:srgbClr val="1485A4"/>
      </a:dk2>
      <a:lt2>
        <a:srgbClr val="E3DED1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F49100"/>
      </a:hlink>
      <a:folHlink>
        <a:srgbClr val="739D9B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D53-AACD-413E-9DC9-5FE0AE8EEE15}">
  <sheetPr codeName="Feuil1"/>
  <dimension ref="A1:G36"/>
  <sheetViews>
    <sheetView zoomScaleNormal="100" workbookViewId="0">
      <selection activeCell="C17" sqref="C17"/>
    </sheetView>
  </sheetViews>
  <sheetFormatPr baseColWidth="10" defaultRowHeight="15" x14ac:dyDescent="0.25"/>
  <cols>
    <col min="1" max="1" width="11.85546875" bestFit="1" customWidth="1"/>
    <col min="2" max="2" width="10.5703125" bestFit="1" customWidth="1"/>
    <col min="3" max="3" width="14.140625" bestFit="1" customWidth="1"/>
  </cols>
  <sheetData>
    <row r="1" spans="1:7" x14ac:dyDescent="0.25">
      <c r="A1" s="30" t="s">
        <v>0</v>
      </c>
      <c r="B1" s="31"/>
      <c r="C1" s="31"/>
      <c r="D1" s="31"/>
      <c r="E1" s="31"/>
      <c r="F1" s="31"/>
      <c r="G1" s="31"/>
    </row>
    <row r="2" spans="1:7" x14ac:dyDescent="0.25">
      <c r="A2" s="31"/>
      <c r="B2" s="31"/>
      <c r="C2" s="31"/>
      <c r="D2" s="31"/>
      <c r="E2" s="31"/>
      <c r="F2" s="31"/>
      <c r="G2" s="31"/>
    </row>
    <row r="3" spans="1:7" x14ac:dyDescent="0.25">
      <c r="A3" s="31"/>
      <c r="B3" s="31"/>
      <c r="C3" s="31"/>
      <c r="D3" s="31"/>
      <c r="E3" s="31"/>
      <c r="F3" s="31"/>
      <c r="G3" s="31"/>
    </row>
    <row r="4" spans="1:7" x14ac:dyDescent="0.25">
      <c r="A4" s="31"/>
      <c r="B4" s="31"/>
      <c r="C4" s="31"/>
      <c r="D4" s="31"/>
      <c r="E4" s="31"/>
      <c r="F4" s="31"/>
      <c r="G4" s="31"/>
    </row>
    <row r="5" spans="1:7" x14ac:dyDescent="0.25">
      <c r="A5" s="19"/>
      <c r="B5" s="19"/>
      <c r="C5" s="19"/>
      <c r="D5" s="19"/>
      <c r="E5" s="19"/>
      <c r="F5" s="19"/>
      <c r="G5" s="19"/>
    </row>
    <row r="6" spans="1:7" ht="18.75" x14ac:dyDescent="0.3">
      <c r="A6" s="70" t="s">
        <v>1</v>
      </c>
      <c r="B6" s="70"/>
      <c r="C6" s="71" t="s">
        <v>3</v>
      </c>
      <c r="D6" s="71"/>
      <c r="E6" s="19"/>
      <c r="F6" s="19"/>
      <c r="G6" s="19"/>
    </row>
    <row r="7" spans="1:7" x14ac:dyDescent="0.25">
      <c r="A7" s="19"/>
      <c r="B7" s="19"/>
      <c r="C7" s="19"/>
      <c r="D7" s="19"/>
      <c r="E7" s="19"/>
      <c r="F7" s="19"/>
      <c r="G7" s="19"/>
    </row>
    <row r="8" spans="1:7" ht="18.75" x14ac:dyDescent="0.3">
      <c r="A8" s="68" t="s">
        <v>2</v>
      </c>
      <c r="B8" s="68" t="s">
        <v>12</v>
      </c>
      <c r="C8" s="68" t="s">
        <v>13</v>
      </c>
      <c r="D8" s="19"/>
      <c r="E8" s="72" t="s">
        <v>14</v>
      </c>
      <c r="F8" s="72"/>
      <c r="G8" s="62">
        <v>19</v>
      </c>
    </row>
    <row r="9" spans="1:7" x14ac:dyDescent="0.25">
      <c r="A9" s="61">
        <v>400</v>
      </c>
      <c r="B9" s="61">
        <v>400</v>
      </c>
      <c r="C9" s="61">
        <v>450</v>
      </c>
      <c r="D9" s="19"/>
      <c r="E9" s="19"/>
      <c r="F9" s="19"/>
      <c r="G9" s="19"/>
    </row>
    <row r="10" spans="1:7" x14ac:dyDescent="0.25">
      <c r="A10" s="19"/>
      <c r="B10" s="19"/>
      <c r="C10" s="19"/>
      <c r="D10" s="19"/>
      <c r="E10" s="19"/>
      <c r="F10" s="19"/>
      <c r="G10" s="19"/>
    </row>
    <row r="11" spans="1:7" ht="18.75" x14ac:dyDescent="0.3">
      <c r="A11" s="67" t="s">
        <v>20</v>
      </c>
      <c r="B11" s="64" t="s">
        <v>18</v>
      </c>
      <c r="C11" s="64"/>
      <c r="D11" s="19"/>
      <c r="E11" s="19"/>
      <c r="F11" s="19"/>
      <c r="G11" s="19"/>
    </row>
    <row r="12" spans="1:7" x14ac:dyDescent="0.25">
      <c r="A12" s="19"/>
      <c r="B12" s="17"/>
      <c r="C12" s="17"/>
      <c r="D12" s="19"/>
      <c r="E12" s="19"/>
      <c r="F12" s="19"/>
      <c r="G12" s="19"/>
    </row>
    <row r="13" spans="1:7" x14ac:dyDescent="0.25">
      <c r="A13" s="19"/>
      <c r="B13" s="69" t="s">
        <v>32</v>
      </c>
      <c r="C13" s="69" t="s">
        <v>40</v>
      </c>
      <c r="D13" s="69" t="str">
        <f>IF(B11="Merivobox","Boxcap","")</f>
        <v>Boxcap</v>
      </c>
      <c r="E13" s="69" t="s">
        <v>42</v>
      </c>
      <c r="F13" s="19"/>
      <c r="G13" s="19"/>
    </row>
    <row r="14" spans="1:7" x14ac:dyDescent="0.25">
      <c r="A14" s="65" t="str">
        <f>IF(B11="Merivobox","Tir E","Tir C")</f>
        <v>Tir E</v>
      </c>
      <c r="B14" s="63">
        <v>1</v>
      </c>
      <c r="C14" s="61">
        <v>300</v>
      </c>
      <c r="D14" s="28" t="b">
        <v>0</v>
      </c>
      <c r="E14" s="28" t="b">
        <v>0</v>
      </c>
      <c r="F14" s="19"/>
      <c r="G14" s="19"/>
    </row>
    <row r="15" spans="1:7" x14ac:dyDescent="0.25">
      <c r="A15" s="65"/>
      <c r="B15" s="63">
        <v>2</v>
      </c>
      <c r="C15" s="61">
        <v>300</v>
      </c>
      <c r="D15" s="28" t="b">
        <v>0</v>
      </c>
      <c r="E15" s="28" t="b">
        <v>0</v>
      </c>
      <c r="F15" s="19"/>
      <c r="G15" s="19"/>
    </row>
    <row r="16" spans="1:7" x14ac:dyDescent="0.25">
      <c r="A16" s="65"/>
      <c r="B16" s="63">
        <v>3</v>
      </c>
      <c r="C16" s="61">
        <v>300</v>
      </c>
      <c r="D16" s="28" t="b">
        <v>0</v>
      </c>
      <c r="E16" s="28" t="b">
        <v>0</v>
      </c>
      <c r="F16" s="19"/>
      <c r="G16" s="19"/>
    </row>
    <row r="17" spans="1:7" x14ac:dyDescent="0.25">
      <c r="A17" s="65"/>
      <c r="B17" s="63">
        <v>4</v>
      </c>
      <c r="C17" s="61">
        <v>270</v>
      </c>
      <c r="D17" s="28" t="b">
        <v>0</v>
      </c>
      <c r="E17" s="28" t="b">
        <v>0</v>
      </c>
      <c r="F17" s="19"/>
      <c r="G17" s="19"/>
    </row>
    <row r="18" spans="1:7" x14ac:dyDescent="0.25">
      <c r="A18" s="19"/>
      <c r="B18" s="29" t="s">
        <v>32</v>
      </c>
      <c r="C18" s="29" t="s">
        <v>40</v>
      </c>
      <c r="D18" s="19"/>
      <c r="E18" s="28"/>
      <c r="F18" s="19"/>
      <c r="G18" s="19"/>
    </row>
    <row r="19" spans="1:7" ht="15" customHeight="1" x14ac:dyDescent="0.25">
      <c r="A19" s="66" t="s">
        <v>39</v>
      </c>
      <c r="B19" s="61">
        <v>1</v>
      </c>
      <c r="C19" s="61"/>
      <c r="D19" s="19"/>
      <c r="E19" s="28" t="b">
        <v>0</v>
      </c>
      <c r="F19" s="19"/>
      <c r="G19" s="19"/>
    </row>
    <row r="20" spans="1:7" x14ac:dyDescent="0.25">
      <c r="A20" s="66"/>
      <c r="B20" s="61">
        <v>1</v>
      </c>
      <c r="C20" s="61"/>
      <c r="D20" s="19"/>
      <c r="E20" s="28" t="b">
        <v>0</v>
      </c>
      <c r="F20" s="19"/>
      <c r="G20" s="19"/>
    </row>
    <row r="21" spans="1:7" x14ac:dyDescent="0.25">
      <c r="A21" s="66"/>
      <c r="B21" s="61">
        <v>1</v>
      </c>
      <c r="C21" s="61"/>
      <c r="D21" s="19"/>
      <c r="E21" s="28" t="b">
        <v>0</v>
      </c>
      <c r="F21" s="19"/>
      <c r="G21" s="19"/>
    </row>
    <row r="22" spans="1:7" x14ac:dyDescent="0.25">
      <c r="A22" s="66"/>
      <c r="B22" s="61">
        <v>1</v>
      </c>
      <c r="C22" s="61"/>
      <c r="D22" s="19"/>
      <c r="E22" s="28" t="b">
        <v>0</v>
      </c>
      <c r="F22" s="19"/>
      <c r="G22" s="19"/>
    </row>
    <row r="23" spans="1:7" x14ac:dyDescent="0.25">
      <c r="A23" s="19"/>
      <c r="B23" s="19"/>
      <c r="C23" s="19"/>
      <c r="D23" s="19"/>
      <c r="E23" s="19"/>
      <c r="F23" s="19"/>
      <c r="G23" s="19"/>
    </row>
    <row r="24" spans="1:7" x14ac:dyDescent="0.25">
      <c r="A24" s="19"/>
      <c r="B24" s="19"/>
      <c r="C24" s="19"/>
      <c r="D24" s="19"/>
      <c r="E24" s="19"/>
      <c r="F24" s="19"/>
      <c r="G24" s="19"/>
    </row>
    <row r="25" spans="1:7" x14ac:dyDescent="0.25">
      <c r="A25" s="19"/>
      <c r="B25" s="19"/>
      <c r="C25" s="19"/>
      <c r="D25" s="19"/>
      <c r="E25" s="19"/>
      <c r="F25" s="19"/>
      <c r="G25" s="19"/>
    </row>
    <row r="26" spans="1:7" x14ac:dyDescent="0.25">
      <c r="A26" s="19"/>
      <c r="B26" s="19"/>
      <c r="C26" s="19"/>
      <c r="D26" s="19"/>
      <c r="E26" s="19"/>
      <c r="F26" s="19"/>
      <c r="G26" s="19"/>
    </row>
    <row r="27" spans="1:7" x14ac:dyDescent="0.25">
      <c r="A27" s="19"/>
      <c r="B27" s="19"/>
      <c r="C27" s="19"/>
      <c r="D27" s="19"/>
      <c r="E27" s="19"/>
      <c r="F27" s="19"/>
      <c r="G27" s="19"/>
    </row>
    <row r="28" spans="1:7" x14ac:dyDescent="0.25">
      <c r="A28" s="19"/>
      <c r="B28" s="19"/>
      <c r="C28" s="19"/>
      <c r="D28" s="19"/>
      <c r="E28" s="19"/>
      <c r="F28" s="19"/>
      <c r="G28" s="19"/>
    </row>
    <row r="29" spans="1:7" x14ac:dyDescent="0.25">
      <c r="A29" s="19"/>
      <c r="B29" s="19"/>
      <c r="C29" s="19"/>
      <c r="D29" s="19"/>
      <c r="E29" s="19"/>
      <c r="F29" s="19"/>
      <c r="G29" s="19"/>
    </row>
    <row r="30" spans="1:7" x14ac:dyDescent="0.25">
      <c r="A30" s="19"/>
      <c r="B30" s="19"/>
      <c r="C30" s="19"/>
      <c r="D30" s="19"/>
      <c r="E30" s="19"/>
      <c r="F30" s="19"/>
      <c r="G30" s="19"/>
    </row>
    <row r="31" spans="1:7" x14ac:dyDescent="0.25">
      <c r="A31" s="19"/>
      <c r="B31" s="19"/>
      <c r="C31" s="19"/>
      <c r="D31" s="19"/>
      <c r="E31" s="19"/>
      <c r="F31" s="19"/>
      <c r="G31" s="19"/>
    </row>
    <row r="32" spans="1:7" x14ac:dyDescent="0.25">
      <c r="A32" s="19"/>
      <c r="B32" s="19"/>
      <c r="C32" s="19"/>
      <c r="D32" s="19"/>
      <c r="E32" s="19"/>
      <c r="F32" s="19"/>
      <c r="G32" s="19"/>
    </row>
    <row r="33" spans="1:7" x14ac:dyDescent="0.25">
      <c r="A33" s="19"/>
      <c r="B33" s="19"/>
      <c r="C33" s="19"/>
      <c r="D33" s="19"/>
      <c r="E33" s="19"/>
      <c r="F33" s="19"/>
      <c r="G33" s="19"/>
    </row>
    <row r="34" spans="1:7" x14ac:dyDescent="0.25">
      <c r="A34" s="19"/>
      <c r="B34" s="19"/>
      <c r="C34" s="19"/>
      <c r="D34" s="19"/>
      <c r="E34" s="19"/>
      <c r="F34" s="19"/>
      <c r="G34" s="19"/>
    </row>
    <row r="35" spans="1:7" x14ac:dyDescent="0.25">
      <c r="A35" s="19"/>
      <c r="B35" s="19"/>
      <c r="C35" s="19"/>
      <c r="D35" s="19"/>
      <c r="E35" s="19"/>
      <c r="F35" s="19"/>
      <c r="G35" s="19"/>
    </row>
    <row r="36" spans="1:7" x14ac:dyDescent="0.25">
      <c r="A36" s="19"/>
      <c r="B36" s="19"/>
      <c r="C36" s="19"/>
      <c r="D36" s="19"/>
      <c r="E36" s="19"/>
      <c r="F36" s="19"/>
      <c r="G36" s="19"/>
    </row>
  </sheetData>
  <mergeCells count="7">
    <mergeCell ref="A14:A17"/>
    <mergeCell ref="A19:A22"/>
    <mergeCell ref="A1:G4"/>
    <mergeCell ref="C6:D6"/>
    <mergeCell ref="E8:F8"/>
    <mergeCell ref="A6:B6"/>
    <mergeCell ref="B11:C11"/>
  </mergeCells>
  <conditionalFormatting sqref="D14:D17">
    <cfRule type="expression" dxfId="0" priority="1" stopIfTrue="1">
      <formula>$B$11="Legrabox"</formula>
    </cfRule>
  </conditionalFormatting>
  <dataValidations count="1">
    <dataValidation type="list" allowBlank="1" showInputMessage="1" showErrorMessage="1" sqref="C6" xr:uid="{AFC6FBE7-1981-40BD-A090-C2BCA3C87C6C}">
      <formula1>Vasque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266700</xdr:colOff>
                    <xdr:row>12</xdr:row>
                    <xdr:rowOff>152400</xdr:rowOff>
                  </from>
                  <to>
                    <xdr:col>3</xdr:col>
                    <xdr:colOff>504825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4</xdr:col>
                    <xdr:colOff>276225</xdr:colOff>
                    <xdr:row>17</xdr:row>
                    <xdr:rowOff>142875</xdr:rowOff>
                  </from>
                  <to>
                    <xdr:col>4</xdr:col>
                    <xdr:colOff>647700</xdr:colOff>
                    <xdr:row>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Check Box 9">
              <controlPr defaultSize="0" autoFill="0" autoLine="0" autoPict="0">
                <anchor moveWithCells="1">
                  <from>
                    <xdr:col>3</xdr:col>
                    <xdr:colOff>266700</xdr:colOff>
                    <xdr:row>13</xdr:row>
                    <xdr:rowOff>152400</xdr:rowOff>
                  </from>
                  <to>
                    <xdr:col>3</xdr:col>
                    <xdr:colOff>504825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4</xdr:col>
                    <xdr:colOff>266700</xdr:colOff>
                    <xdr:row>13</xdr:row>
                    <xdr:rowOff>142875</xdr:rowOff>
                  </from>
                  <to>
                    <xdr:col>4</xdr:col>
                    <xdr:colOff>504825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3</xdr:col>
                    <xdr:colOff>266700</xdr:colOff>
                    <xdr:row>14</xdr:row>
                    <xdr:rowOff>142875</xdr:rowOff>
                  </from>
                  <to>
                    <xdr:col>3</xdr:col>
                    <xdr:colOff>504825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3</xdr:col>
                    <xdr:colOff>266700</xdr:colOff>
                    <xdr:row>15</xdr:row>
                    <xdr:rowOff>152400</xdr:rowOff>
                  </from>
                  <to>
                    <xdr:col>3</xdr:col>
                    <xdr:colOff>504825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Check Box 13">
              <controlPr defaultSize="0" autoFill="0" autoLine="0" autoPict="0">
                <anchor moveWithCells="1">
                  <from>
                    <xdr:col>4</xdr:col>
                    <xdr:colOff>266700</xdr:colOff>
                    <xdr:row>14</xdr:row>
                    <xdr:rowOff>133350</xdr:rowOff>
                  </from>
                  <to>
                    <xdr:col>4</xdr:col>
                    <xdr:colOff>504825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Check Box 14">
              <controlPr defaultSize="0" autoFill="0" autoLine="0" autoPict="0">
                <anchor moveWithCells="1">
                  <from>
                    <xdr:col>4</xdr:col>
                    <xdr:colOff>266700</xdr:colOff>
                    <xdr:row>15</xdr:row>
                    <xdr:rowOff>142875</xdr:rowOff>
                  </from>
                  <to>
                    <xdr:col>4</xdr:col>
                    <xdr:colOff>504825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2" name="Check Box 22">
              <controlPr defaultSize="0" autoFill="0" autoLine="0" autoPict="0">
                <anchor moveWithCells="1">
                  <from>
                    <xdr:col>4</xdr:col>
                    <xdr:colOff>266700</xdr:colOff>
                    <xdr:row>12</xdr:row>
                    <xdr:rowOff>142875</xdr:rowOff>
                  </from>
                  <to>
                    <xdr:col>4</xdr:col>
                    <xdr:colOff>504825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3" name="Check Box 24">
              <controlPr defaultSize="0" autoFill="0" autoLine="0" autoPict="0">
                <anchor moveWithCells="1">
                  <from>
                    <xdr:col>4</xdr:col>
                    <xdr:colOff>276225</xdr:colOff>
                    <xdr:row>18</xdr:row>
                    <xdr:rowOff>142875</xdr:rowOff>
                  </from>
                  <to>
                    <xdr:col>4</xdr:col>
                    <xdr:colOff>647700</xdr:colOff>
                    <xdr:row>20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4" name="Check Box 25">
              <controlPr defaultSize="0" autoFill="0" autoLine="0" autoPict="0">
                <anchor moveWithCells="1">
                  <from>
                    <xdr:col>4</xdr:col>
                    <xdr:colOff>276225</xdr:colOff>
                    <xdr:row>19</xdr:row>
                    <xdr:rowOff>133350</xdr:rowOff>
                  </from>
                  <to>
                    <xdr:col>4</xdr:col>
                    <xdr:colOff>647700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5" name="Check Box 26">
              <controlPr defaultSize="0" autoFill="0" autoLine="0" autoPict="0">
                <anchor moveWithCells="1">
                  <from>
                    <xdr:col>4</xdr:col>
                    <xdr:colOff>276225</xdr:colOff>
                    <xdr:row>20</xdr:row>
                    <xdr:rowOff>133350</xdr:rowOff>
                  </from>
                  <to>
                    <xdr:col>4</xdr:col>
                    <xdr:colOff>647700</xdr:colOff>
                    <xdr:row>22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660F3AF-B6D6-4D94-BD21-BBFFCEB1EE3A}">
          <x14:formula1>
            <xm:f>Parametrage!$A$11:$A$12</xm:f>
          </x14:formula1>
          <xm:sqref>B11:C11</xm:sqref>
        </x14:dataValidation>
        <x14:dataValidation type="list" allowBlank="1" showInputMessage="1" showErrorMessage="1" xr:uid="{BF38D635-5FE9-4AC5-B3C8-CC2F61632C50}">
          <x14:formula1>
            <xm:f>Parametrage!$A$15:$A$22</xm:f>
          </x14:formula1>
          <xm:sqref>C14:C17 C19:C22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E0F9D-68F3-40A7-B21C-92A6244A35E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40318-9F3C-4A2F-837A-E73D0147418B}">
  <sheetPr codeName="Feuil2"/>
  <dimension ref="A1:G22"/>
  <sheetViews>
    <sheetView workbookViewId="0">
      <selection activeCell="G9" sqref="G9"/>
    </sheetView>
  </sheetViews>
  <sheetFormatPr baseColWidth="10" defaultRowHeight="15" x14ac:dyDescent="0.25"/>
  <cols>
    <col min="1" max="1" width="17" customWidth="1"/>
  </cols>
  <sheetData>
    <row r="1" spans="1:7" x14ac:dyDescent="0.25">
      <c r="A1" t="s">
        <v>1</v>
      </c>
      <c r="C1" t="s">
        <v>5</v>
      </c>
    </row>
    <row r="2" spans="1:7" x14ac:dyDescent="0.25">
      <c r="A2" t="s">
        <v>3</v>
      </c>
    </row>
    <row r="3" spans="1:7" x14ac:dyDescent="0.25">
      <c r="A3" t="s">
        <v>4</v>
      </c>
      <c r="D3" t="s">
        <v>2</v>
      </c>
      <c r="E3" t="s">
        <v>10</v>
      </c>
      <c r="F3" t="s">
        <v>11</v>
      </c>
      <c r="G3" s="1" t="s">
        <v>16</v>
      </c>
    </row>
    <row r="4" spans="1:7" x14ac:dyDescent="0.25">
      <c r="C4" t="s">
        <v>6</v>
      </c>
      <c r="D4">
        <f>Feuil1!B9</f>
        <v>400</v>
      </c>
      <c r="E4">
        <f>Feuil1!C9</f>
        <v>450</v>
      </c>
      <c r="F4">
        <f>Feuil1!G8</f>
        <v>19</v>
      </c>
      <c r="G4">
        <f>IF(D4="","",(CONVERT(((D4*E4)*2),"mm^2","m^2")))</f>
        <v>0.36</v>
      </c>
    </row>
    <row r="5" spans="1:7" x14ac:dyDescent="0.25">
      <c r="C5" t="s">
        <v>7</v>
      </c>
      <c r="D5">
        <f>Feuil1!A9-(2*Feuil1!G8)</f>
        <v>362</v>
      </c>
      <c r="E5">
        <f>Feuil1!C9</f>
        <v>450</v>
      </c>
      <c r="F5">
        <f>Feuil1!G8</f>
        <v>19</v>
      </c>
      <c r="G5" s="2">
        <f t="shared" ref="G5:G8" si="0">IF(D5="","",(CONVERT(((D5*E5)*2),"mm^2","m^2")))</f>
        <v>0.32579999999999998</v>
      </c>
    </row>
    <row r="6" spans="1:7" x14ac:dyDescent="0.25">
      <c r="C6" t="s">
        <v>8</v>
      </c>
      <c r="D6">
        <f>Feuil1!A9-(2*Feuil1!G8)</f>
        <v>362</v>
      </c>
      <c r="E6">
        <v>104</v>
      </c>
      <c r="F6">
        <f>Feuil1!G8</f>
        <v>19</v>
      </c>
      <c r="G6" s="2">
        <f t="shared" si="0"/>
        <v>7.5296000000000002E-2</v>
      </c>
    </row>
    <row r="7" spans="1:7" x14ac:dyDescent="0.25">
      <c r="C7" t="s">
        <v>15</v>
      </c>
      <c r="D7">
        <f>IF(Feuil1!C6="Double Vasque",Feuil1!B9-Feuil1!G8,0)</f>
        <v>0</v>
      </c>
      <c r="E7">
        <f>IF(Feuil1!C6="Double Vasque",Feuil1!C9,0)</f>
        <v>0</v>
      </c>
      <c r="F7">
        <f>IF(Feuil1!C6="Double Vasque",Feuil1!G8,0)</f>
        <v>0</v>
      </c>
      <c r="G7">
        <f t="shared" si="0"/>
        <v>0</v>
      </c>
    </row>
    <row r="8" spans="1:7" x14ac:dyDescent="0.25">
      <c r="C8" t="s">
        <v>9</v>
      </c>
      <c r="G8" t="str">
        <f t="shared" si="0"/>
        <v/>
      </c>
    </row>
    <row r="9" spans="1:7" x14ac:dyDescent="0.25">
      <c r="E9" s="32" t="s">
        <v>41</v>
      </c>
      <c r="F9" s="32"/>
      <c r="G9" s="18">
        <f>(SUM(G4:G8))*1.2</f>
        <v>0.91331519999999999</v>
      </c>
    </row>
    <row r="10" spans="1:7" x14ac:dyDescent="0.25">
      <c r="A10" t="s">
        <v>17</v>
      </c>
    </row>
    <row r="11" spans="1:7" x14ac:dyDescent="0.25">
      <c r="A11" t="s">
        <v>18</v>
      </c>
    </row>
    <row r="12" spans="1:7" x14ac:dyDescent="0.25">
      <c r="A12" t="s">
        <v>19</v>
      </c>
    </row>
    <row r="14" spans="1:7" x14ac:dyDescent="0.25">
      <c r="A14" t="s">
        <v>13</v>
      </c>
    </row>
    <row r="15" spans="1:7" x14ac:dyDescent="0.25">
      <c r="A15">
        <v>270</v>
      </c>
    </row>
    <row r="16" spans="1:7" x14ac:dyDescent="0.25">
      <c r="A16">
        <v>300</v>
      </c>
    </row>
    <row r="17" spans="1:1" x14ac:dyDescent="0.25">
      <c r="A17">
        <v>350</v>
      </c>
    </row>
    <row r="18" spans="1:1" x14ac:dyDescent="0.25">
      <c r="A18">
        <v>400</v>
      </c>
    </row>
    <row r="19" spans="1:1" x14ac:dyDescent="0.25">
      <c r="A19">
        <v>450</v>
      </c>
    </row>
    <row r="20" spans="1:1" x14ac:dyDescent="0.25">
      <c r="A20">
        <v>500</v>
      </c>
    </row>
    <row r="21" spans="1:1" x14ac:dyDescent="0.25">
      <c r="A21">
        <v>550</v>
      </c>
    </row>
    <row r="22" spans="1:1" x14ac:dyDescent="0.25">
      <c r="A22">
        <v>600</v>
      </c>
    </row>
  </sheetData>
  <mergeCells count="1">
    <mergeCell ref="E9:F9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343B-04A6-486D-901B-7ABAF4F2C63C}">
  <sheetPr codeName="Feuil3"/>
  <dimension ref="A1:K33"/>
  <sheetViews>
    <sheetView workbookViewId="0">
      <selection activeCell="K32" sqref="K32:K33"/>
    </sheetView>
  </sheetViews>
  <sheetFormatPr baseColWidth="10" defaultRowHeight="15" x14ac:dyDescent="0.25"/>
  <sheetData>
    <row r="1" spans="1:11" x14ac:dyDescent="0.25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8.75" x14ac:dyDescent="0.25">
      <c r="A3" s="37" t="s">
        <v>22</v>
      </c>
      <c r="B3" s="37"/>
      <c r="C3" s="3"/>
      <c r="D3" s="37" t="s">
        <v>23</v>
      </c>
      <c r="E3" s="37"/>
      <c r="F3" s="4"/>
    </row>
    <row r="4" spans="1:11" x14ac:dyDescent="0.25">
      <c r="A4" s="5" t="s">
        <v>24</v>
      </c>
      <c r="B4" s="6">
        <v>11</v>
      </c>
      <c r="D4" s="5" t="s">
        <v>25</v>
      </c>
      <c r="E4" s="1">
        <v>24.1</v>
      </c>
      <c r="G4" s="38" t="s">
        <v>26</v>
      </c>
      <c r="H4" s="38"/>
      <c r="I4" s="39"/>
      <c r="J4" s="39"/>
    </row>
    <row r="5" spans="1:11" x14ac:dyDescent="0.25">
      <c r="A5" s="1" t="s">
        <v>27</v>
      </c>
      <c r="B5" s="1">
        <v>1.2</v>
      </c>
      <c r="D5" s="1" t="s">
        <v>28</v>
      </c>
      <c r="E5" s="1">
        <v>1.2</v>
      </c>
      <c r="G5" s="38"/>
      <c r="H5" s="38"/>
      <c r="I5" s="39"/>
      <c r="J5" s="39"/>
    </row>
    <row r="7" spans="1:11" ht="18" thickBot="1" x14ac:dyDescent="0.35">
      <c r="A7" s="33" t="s">
        <v>29</v>
      </c>
      <c r="B7" s="34"/>
      <c r="C7" s="7" t="s">
        <v>30</v>
      </c>
      <c r="D7" s="8" t="s">
        <v>31</v>
      </c>
      <c r="E7" s="8" t="s">
        <v>32</v>
      </c>
      <c r="F7" s="35" t="s">
        <v>33</v>
      </c>
      <c r="G7" s="35"/>
      <c r="H7" s="35" t="s">
        <v>9</v>
      </c>
      <c r="I7" s="35"/>
      <c r="J7" s="8" t="s">
        <v>34</v>
      </c>
      <c r="K7" s="7" t="s">
        <v>35</v>
      </c>
    </row>
    <row r="8" spans="1:11" x14ac:dyDescent="0.25">
      <c r="A8" s="40">
        <f>IF(OR(Feuil1!B$11="Legrabox",Feuil1!B14=""),"",Feuil1!A$9)</f>
        <v>400</v>
      </c>
      <c r="B8" s="41"/>
      <c r="C8" s="9" t="str">
        <f>IF(A8="","",RIGHT(Feuil1!A14))</f>
        <v>E</v>
      </c>
      <c r="D8" s="10">
        <f>IF(A8="","",Feuil1!C14)</f>
        <v>300</v>
      </c>
      <c r="E8" s="10">
        <f>IF(A8="","",(Feuil1!B14))</f>
        <v>1</v>
      </c>
      <c r="F8" s="42" t="str">
        <f>IF(A8="","",(A8-38-51)&amp;" X "&amp;(D8-10))</f>
        <v>311 X 290</v>
      </c>
      <c r="G8" s="42"/>
      <c r="H8" s="42" t="str">
        <f>IF(E8="","",(A8-38-51)&amp;" X "&amp;VLOOKUP(C8,[1]Paramètre!A$2:B$6,2,FALSE))</f>
        <v>311 X 168</v>
      </c>
      <c r="I8" s="42"/>
      <c r="J8" s="11">
        <f>IF(E8="","",(CONVERT(((A8-38-51)*(D8-10)*E8),"mm^2","m^2")))</f>
        <v>9.0189999999999992E-2</v>
      </c>
      <c r="K8" s="2">
        <f>IF(E8="","",(CONVERT(VLOOKUP(C8,[1]Paramètre!A$2:B$6,2,FALSE)*(A8-38-51),"mm^2","m^2")))</f>
        <v>5.2247999999999996E-2</v>
      </c>
    </row>
    <row r="9" spans="1:11" x14ac:dyDescent="0.25">
      <c r="A9" s="40">
        <f>IF(OR(Feuil1!B$11="Legrabox",Feuil1!B15=""),"",Feuil1!A$9)</f>
        <v>400</v>
      </c>
      <c r="B9" s="41"/>
      <c r="C9" s="9" t="str">
        <f>IF(A9="","",RIGHT(Feuil1!A15))</f>
        <v/>
      </c>
      <c r="D9" s="10">
        <f>IF(A9="","",Feuil1!C15)</f>
        <v>300</v>
      </c>
      <c r="E9" s="10">
        <f>IF(Feuil1!C15="","",(Feuil1!B15))</f>
        <v>2</v>
      </c>
      <c r="F9" s="42" t="str">
        <f t="shared" ref="F9:F26" si="0">IF(A9="","",(A9-38-51)&amp;" X "&amp;(D9-10))</f>
        <v>311 X 290</v>
      </c>
      <c r="G9" s="42"/>
      <c r="H9" s="42" t="e">
        <f>IF(A9="","",(A9-38-51)&amp;" X "&amp;VLOOKUP(C9,[1]Paramètre!A$2:B$6,2,FALSE))</f>
        <v>#N/A</v>
      </c>
      <c r="I9" s="42"/>
      <c r="J9" s="11">
        <f t="shared" ref="J9:J11" si="1">IF(E9="","",(CONVERT(((A9-38-51)*(D9-10)*E9),"mm^2","m^2")))</f>
        <v>0.18037999999999998</v>
      </c>
      <c r="K9" s="2" t="e">
        <f>IF(E9="","",(CONVERT(VLOOKUP(C9,[1]Paramètre!A$2:B$6,2,FALSE)*(A9-38-51),"mm^2","m^2")))</f>
        <v>#N/A</v>
      </c>
    </row>
    <row r="10" spans="1:11" x14ac:dyDescent="0.25">
      <c r="A10" s="40">
        <f>IF(OR(Feuil1!B$11="Legrabox",Feuil1!B16=""),"",Feuil1!A$9)</f>
        <v>400</v>
      </c>
      <c r="B10" s="41"/>
      <c r="C10" s="9" t="str">
        <f>IF(A10="","",RIGHT(Feuil1!A16))</f>
        <v/>
      </c>
      <c r="D10" s="10">
        <f>IF(A10="","",Feuil1!C16)</f>
        <v>300</v>
      </c>
      <c r="E10" s="10">
        <f>IF(Feuil1!C16="","",(Feuil1!B16))</f>
        <v>3</v>
      </c>
      <c r="F10" s="42" t="str">
        <f t="shared" si="0"/>
        <v>311 X 290</v>
      </c>
      <c r="G10" s="42"/>
      <c r="H10" s="42" t="e">
        <f>IF(A10="","",(A10-38-51)&amp;" X "&amp;VLOOKUP(C10,[1]Paramètre!A$2:B$6,2,FALSE))</f>
        <v>#N/A</v>
      </c>
      <c r="I10" s="42"/>
      <c r="J10" s="11">
        <f t="shared" si="1"/>
        <v>0.27056999999999998</v>
      </c>
      <c r="K10" s="2" t="e">
        <f>IF(E10="","",(CONVERT(VLOOKUP(C10,[1]Paramètre!A$2:B$6,2,FALSE)*(A10-38-51),"mm^2","m^2")))</f>
        <v>#N/A</v>
      </c>
    </row>
    <row r="11" spans="1:11" x14ac:dyDescent="0.25">
      <c r="A11" s="40">
        <f>IF(OR(Feuil1!B$11="Legrabox",Feuil1!B17=""),"",Feuil1!A$9)</f>
        <v>400</v>
      </c>
      <c r="B11" s="41"/>
      <c r="C11" s="9" t="str">
        <f>IF(A11="","",RIGHT(Feuil1!A17))</f>
        <v/>
      </c>
      <c r="D11" s="10">
        <f>IF(A11="","",Feuil1!C17)</f>
        <v>270</v>
      </c>
      <c r="E11" s="10">
        <f>IF(Feuil1!C17="","",(Feuil1!B17))</f>
        <v>4</v>
      </c>
      <c r="F11" s="42" t="str">
        <f t="shared" si="0"/>
        <v>311 X 260</v>
      </c>
      <c r="G11" s="42"/>
      <c r="H11" s="42" t="e">
        <f>IF(A11="","",(A11-38-51)&amp;" X "&amp;VLOOKUP(C11,[1]Paramètre!A$2:B$6,2,FALSE))</f>
        <v>#N/A</v>
      </c>
      <c r="I11" s="42"/>
      <c r="J11" s="11">
        <f t="shared" si="1"/>
        <v>0.32344000000000001</v>
      </c>
      <c r="K11" s="2" t="e">
        <f>IF(E11="","",(CONVERT(VLOOKUP(C11,[1]Paramètre!A$2:B$6,2,FALSE)*(A11-38-51),"mm^2","m^2")))</f>
        <v>#N/A</v>
      </c>
    </row>
    <row r="12" spans="1:11" x14ac:dyDescent="0.25">
      <c r="A12" s="40">
        <f>IF(OR(Feuil1!B$11="Legrabox",Feuil1!B19=""),"",Feuil1!A$9)</f>
        <v>400</v>
      </c>
      <c r="B12" s="41"/>
      <c r="C12" s="9" t="str">
        <f>IF(A12="","",RIGHT(Feuil1!A19))</f>
        <v>M</v>
      </c>
      <c r="D12" s="10">
        <f>IF(A12="","",Feuil1!C19)</f>
        <v>0</v>
      </c>
      <c r="E12" s="10" t="str">
        <f>IF(Feuil1!C19="","",(Feuil1!B19))</f>
        <v/>
      </c>
      <c r="F12" s="42" t="str">
        <f t="shared" si="0"/>
        <v>311 X -10</v>
      </c>
      <c r="G12" s="42"/>
      <c r="H12" s="42" t="str">
        <f>IF(A12="","",(A12-38-51)&amp;" X "&amp;VLOOKUP(C12,[1]Paramètre!A$2:B$6,2,FALSE))</f>
        <v>311 X 67</v>
      </c>
      <c r="I12" s="42"/>
      <c r="J12" s="11" t="str">
        <f>IF(E12="","",(CONVERT(((A12-38-51)*(D12-10)*E12),"mm^2","m^2")))</f>
        <v/>
      </c>
      <c r="K12" s="2" t="str">
        <f>IF(E12="","",(CONVERT(VLOOKUP(C12,[1]Paramètre!A$2:B$6,2,FALSE)*(A12-38-51),"mm^2","m^2")))</f>
        <v/>
      </c>
    </row>
    <row r="13" spans="1:11" x14ac:dyDescent="0.25">
      <c r="A13" s="40">
        <f>IF(OR(Feuil1!B$11="Legrabox",Feuil1!B20=""),"",Feuil1!A$9)</f>
        <v>400</v>
      </c>
      <c r="B13" s="41"/>
      <c r="C13" s="9" t="str">
        <f>IF(A13="","",RIGHT(Feuil1!A19))</f>
        <v>M</v>
      </c>
      <c r="D13" s="10">
        <f>IF(A13="","",Feuil1!C20)</f>
        <v>0</v>
      </c>
      <c r="E13" s="10" t="str">
        <f>IF(Feuil1!C20="","",(Feuil1!B20))</f>
        <v/>
      </c>
      <c r="F13" s="42" t="str">
        <f t="shared" si="0"/>
        <v>311 X -10</v>
      </c>
      <c r="G13" s="42"/>
      <c r="H13" s="42" t="str">
        <f>IF(A13="","",(A13-38-51)&amp;" X "&amp;VLOOKUP(C13,[1]Paramètre!A$2:B$6,2,FALSE))</f>
        <v>311 X 67</v>
      </c>
      <c r="I13" s="42"/>
      <c r="J13" s="11" t="str">
        <f t="shared" ref="J13:J15" si="2">IF(E13="","",(CONVERT(((A13-38-51)*(D13-10)*E13),"mm^2","m^2")))</f>
        <v/>
      </c>
      <c r="K13" s="2" t="str">
        <f>IF(E13="","",(CONVERT(VLOOKUP(C13,[1]Paramètre!A$2:B$6,2,FALSE)*(A13-38-51),"mm^2","m^2")))</f>
        <v/>
      </c>
    </row>
    <row r="14" spans="1:11" x14ac:dyDescent="0.25">
      <c r="A14" s="40">
        <f>IF(OR(Feuil1!B$11="Legrabox",Feuil1!B21=""),"",Feuil1!A$9)</f>
        <v>400</v>
      </c>
      <c r="B14" s="41"/>
      <c r="C14" s="9" t="str">
        <f>IF(A14="","",RIGHT(Feuil1!A19))</f>
        <v>M</v>
      </c>
      <c r="D14" s="10">
        <f>IF(A14="","",Feuil1!C21)</f>
        <v>0</v>
      </c>
      <c r="E14" s="10" t="str">
        <f>IF(Feuil1!C21="","",(Feuil1!B21))</f>
        <v/>
      </c>
      <c r="F14" s="42" t="str">
        <f t="shared" si="0"/>
        <v>311 X -10</v>
      </c>
      <c r="G14" s="42"/>
      <c r="H14" s="42" t="str">
        <f>IF(A14="","",(A14-38-51)&amp;" X "&amp;VLOOKUP(C14,[1]Paramètre!A$2:B$6,2,FALSE))</f>
        <v>311 X 67</v>
      </c>
      <c r="I14" s="42"/>
      <c r="J14" s="11" t="str">
        <f t="shared" si="2"/>
        <v/>
      </c>
      <c r="K14" s="2" t="str">
        <f>IF(E14="","",(CONVERT(VLOOKUP(C14,[1]Paramètre!A$2:B$6,2,FALSE)*(A14-38-51),"mm^2","m^2")))</f>
        <v/>
      </c>
    </row>
    <row r="15" spans="1:11" x14ac:dyDescent="0.25">
      <c r="A15" s="40">
        <f>IF(OR(Feuil1!B$11="Legrabox",Feuil1!B22=""),"",Feuil1!A$9)</f>
        <v>400</v>
      </c>
      <c r="B15" s="41"/>
      <c r="C15" s="9" t="str">
        <f>IF(A15="","",RIGHT(Feuil1!A19))</f>
        <v>M</v>
      </c>
      <c r="D15" s="10">
        <f>IF(A15="","",Feuil1!C22)</f>
        <v>0</v>
      </c>
      <c r="E15" s="10" t="str">
        <f>IF(Feuil1!C22="","",(Feuil1!B22))</f>
        <v/>
      </c>
      <c r="F15" s="42" t="str">
        <f t="shared" si="0"/>
        <v>311 X -10</v>
      </c>
      <c r="G15" s="42"/>
      <c r="H15" s="42" t="str">
        <f>IF(A15="","",(A15-38-51)&amp;" X "&amp;VLOOKUP(C15,[1]Paramètre!A$2:B$6,2,FALSE))</f>
        <v>311 X 67</v>
      </c>
      <c r="I15" s="42"/>
      <c r="J15" s="11" t="str">
        <f t="shared" si="2"/>
        <v/>
      </c>
      <c r="K15" s="2" t="str">
        <f>IF(E15="","",(CONVERT(VLOOKUP(C15,[1]Paramètre!A$2:B$6,2,FALSE)*(A15-38-51),"mm^2","m^2")))</f>
        <v/>
      </c>
    </row>
    <row r="16" spans="1:11" x14ac:dyDescent="0.25">
      <c r="A16" s="40"/>
      <c r="B16" s="41"/>
      <c r="C16" s="9"/>
      <c r="D16" s="10"/>
      <c r="E16" s="10"/>
      <c r="F16" s="42" t="str">
        <f t="shared" si="0"/>
        <v/>
      </c>
      <c r="G16" s="42"/>
      <c r="H16" s="42" t="str">
        <f>IF(A16="","",(A16-38-51)&amp;" X "&amp;VLOOKUP(C16,[1]Paramètre!A$2:B$6,2,FALSE))</f>
        <v/>
      </c>
      <c r="I16" s="42"/>
      <c r="J16" s="11" t="str">
        <f t="shared" ref="J16:J26" si="3">IF(E16="","",(CONVERT(((A16-38-51)*(D16-10)*E16),"mm^2","m^2")))</f>
        <v/>
      </c>
      <c r="K16" s="2" t="str">
        <f>IF(E16="","",(CONVERT(VLOOKUP(C16,[1]Paramètre!A$2:B$6,2,FALSE)*(A16-38-51),"mm^2","m^2")))</f>
        <v/>
      </c>
    </row>
    <row r="17" spans="1:11" x14ac:dyDescent="0.25">
      <c r="A17" s="40"/>
      <c r="B17" s="41"/>
      <c r="C17" s="9"/>
      <c r="D17" s="10"/>
      <c r="E17" s="10"/>
      <c r="F17" s="42" t="str">
        <f t="shared" si="0"/>
        <v/>
      </c>
      <c r="G17" s="42"/>
      <c r="H17" s="42" t="str">
        <f>IF(A17="","",(A17-38-51)&amp;" X "&amp;VLOOKUP(C17,[1]Paramètre!A$2:B$6,2,FALSE))</f>
        <v/>
      </c>
      <c r="I17" s="42"/>
      <c r="J17" s="11" t="str">
        <f t="shared" si="3"/>
        <v/>
      </c>
      <c r="K17" s="2" t="str">
        <f>IF(E17="","",(CONVERT(VLOOKUP(C17,[1]Paramètre!A$2:B$6,2,FALSE)*(A17-38-51),"mm^2","m^2")))</f>
        <v/>
      </c>
    </row>
    <row r="18" spans="1:11" x14ac:dyDescent="0.25">
      <c r="A18" s="40"/>
      <c r="B18" s="41"/>
      <c r="C18" s="9"/>
      <c r="D18" s="10"/>
      <c r="E18" s="10"/>
      <c r="F18" s="42" t="str">
        <f t="shared" si="0"/>
        <v/>
      </c>
      <c r="G18" s="42"/>
      <c r="H18" s="42" t="str">
        <f>IF(A18="","",(A18-38-51)&amp;" X "&amp;VLOOKUP(C18,[1]Paramètre!A$2:B$6,2,FALSE))</f>
        <v/>
      </c>
      <c r="I18" s="42"/>
      <c r="J18" s="11" t="str">
        <f t="shared" si="3"/>
        <v/>
      </c>
      <c r="K18" s="2" t="str">
        <f>IF(E18="","",(CONVERT(VLOOKUP(C18,[1]Paramètre!A$2:B$6,2,FALSE)*(A18-38-51),"mm^2","m^2")))</f>
        <v/>
      </c>
    </row>
    <row r="19" spans="1:11" x14ac:dyDescent="0.25">
      <c r="A19" s="40"/>
      <c r="B19" s="41"/>
      <c r="C19" s="9"/>
      <c r="D19" s="10"/>
      <c r="E19" s="10"/>
      <c r="F19" s="42" t="str">
        <f t="shared" si="0"/>
        <v/>
      </c>
      <c r="G19" s="42"/>
      <c r="H19" s="42" t="str">
        <f>IF(A19="","",(A19-38-51)&amp;" X "&amp;VLOOKUP(C19,[1]Paramètre!A$2:B$6,2,FALSE))</f>
        <v/>
      </c>
      <c r="I19" s="42"/>
      <c r="J19" s="11" t="str">
        <f t="shared" si="3"/>
        <v/>
      </c>
      <c r="K19" s="2" t="str">
        <f>IF(E19="","",(CONVERT(VLOOKUP(C19,[1]Paramètre!A$2:B$6,2,FALSE)*(A19-38-51),"mm^2","m^2")))</f>
        <v/>
      </c>
    </row>
    <row r="20" spans="1:11" x14ac:dyDescent="0.25">
      <c r="A20" s="40"/>
      <c r="B20" s="41"/>
      <c r="C20" s="9"/>
      <c r="D20" s="10"/>
      <c r="E20" s="10"/>
      <c r="F20" s="42" t="str">
        <f t="shared" si="0"/>
        <v/>
      </c>
      <c r="G20" s="42"/>
      <c r="H20" s="42" t="str">
        <f>IF(A20="","",(A20-38-51)&amp;" X "&amp;VLOOKUP(C20,[1]Paramètre!A$2:B$6,2,FALSE))</f>
        <v/>
      </c>
      <c r="I20" s="42"/>
      <c r="J20" s="11" t="str">
        <f t="shared" si="3"/>
        <v/>
      </c>
      <c r="K20" s="2" t="str">
        <f>IF(E20="","",(CONVERT(VLOOKUP(C20,[1]Paramètre!A$2:B$6,2,FALSE)*(A20-38-51),"mm^2","m^2")))</f>
        <v/>
      </c>
    </row>
    <row r="21" spans="1:11" x14ac:dyDescent="0.25">
      <c r="A21" s="40"/>
      <c r="B21" s="41"/>
      <c r="C21" s="9"/>
      <c r="D21" s="10"/>
      <c r="E21" s="10"/>
      <c r="F21" s="42" t="str">
        <f t="shared" si="0"/>
        <v/>
      </c>
      <c r="G21" s="42"/>
      <c r="H21" s="42" t="str">
        <f>IF(A21="","",(A21-38-51)&amp;" X "&amp;VLOOKUP(C21,[1]Paramètre!A$2:B$6,2,FALSE))</f>
        <v/>
      </c>
      <c r="I21" s="42"/>
      <c r="J21" s="11" t="str">
        <f t="shared" si="3"/>
        <v/>
      </c>
      <c r="K21" s="2" t="str">
        <f>IF(E21="","",(CONVERT(VLOOKUP(C21,[1]Paramètre!A$2:B$6,2,FALSE)*(A21-38-51),"mm^2","m^2")))</f>
        <v/>
      </c>
    </row>
    <row r="22" spans="1:11" x14ac:dyDescent="0.25">
      <c r="A22" s="40"/>
      <c r="B22" s="41"/>
      <c r="C22" s="9"/>
      <c r="D22" s="10"/>
      <c r="E22" s="10"/>
      <c r="F22" s="42" t="str">
        <f t="shared" si="0"/>
        <v/>
      </c>
      <c r="G22" s="42"/>
      <c r="H22" s="42" t="str">
        <f>IF(A22="","",(A22-38-51)&amp;" X "&amp;VLOOKUP(C22,[1]Paramètre!A$2:B$6,2,FALSE))</f>
        <v/>
      </c>
      <c r="I22" s="42"/>
      <c r="J22" s="11" t="str">
        <f t="shared" si="3"/>
        <v/>
      </c>
      <c r="K22" s="2" t="str">
        <f>IF(E22="","",(CONVERT(VLOOKUP(C22,[1]Paramètre!A$2:B$6,2,FALSE)*(A22-38-51),"mm^2","m^2")))</f>
        <v/>
      </c>
    </row>
    <row r="23" spans="1:11" x14ac:dyDescent="0.25">
      <c r="A23" s="40"/>
      <c r="B23" s="41"/>
      <c r="C23" s="9"/>
      <c r="D23" s="10"/>
      <c r="E23" s="10"/>
      <c r="F23" s="42" t="str">
        <f t="shared" si="0"/>
        <v/>
      </c>
      <c r="G23" s="42"/>
      <c r="H23" s="42" t="str">
        <f>IF(A23="","",(A23-38-51)&amp;" X "&amp;VLOOKUP(C23,[1]Paramètre!A$2:B$6,2,FALSE))</f>
        <v/>
      </c>
      <c r="I23" s="42"/>
      <c r="J23" s="11" t="str">
        <f t="shared" si="3"/>
        <v/>
      </c>
      <c r="K23" s="2" t="str">
        <f>IF(E23="","",(CONVERT(VLOOKUP(C23,[1]Paramètre!A$2:B$6,2,FALSE)*(A23-38-51),"mm^2","m^2")))</f>
        <v/>
      </c>
    </row>
    <row r="24" spans="1:11" x14ac:dyDescent="0.25">
      <c r="A24" s="40"/>
      <c r="B24" s="41"/>
      <c r="C24" s="9"/>
      <c r="D24" s="10"/>
      <c r="E24" s="10"/>
      <c r="F24" s="42" t="str">
        <f t="shared" si="0"/>
        <v/>
      </c>
      <c r="G24" s="42"/>
      <c r="H24" s="42" t="str">
        <f>IF(A24="","",(A24-38-51)&amp;" X "&amp;VLOOKUP(C24,[1]Paramètre!A$2:B$6,2,FALSE))</f>
        <v/>
      </c>
      <c r="I24" s="42"/>
      <c r="J24" s="11" t="str">
        <f t="shared" si="3"/>
        <v/>
      </c>
      <c r="K24" s="2" t="str">
        <f>IF(E24="","",(CONVERT(VLOOKUP(C24,[1]Paramètre!A$2:B$6,2,FALSE)*(A24-38-51),"mm^2","m^2")))</f>
        <v/>
      </c>
    </row>
    <row r="25" spans="1:11" x14ac:dyDescent="0.25">
      <c r="A25" s="40"/>
      <c r="B25" s="41"/>
      <c r="C25" s="9"/>
      <c r="D25" s="10"/>
      <c r="E25" s="10"/>
      <c r="F25" s="42" t="str">
        <f t="shared" si="0"/>
        <v/>
      </c>
      <c r="G25" s="42"/>
      <c r="H25" s="42" t="str">
        <f>IF(A25="","",(A25-38-51)&amp;" X "&amp;VLOOKUP(C25,[1]Paramètre!A$2:B$6,2,FALSE))</f>
        <v/>
      </c>
      <c r="I25" s="42"/>
      <c r="J25" s="11" t="str">
        <f t="shared" si="3"/>
        <v/>
      </c>
      <c r="K25" s="2" t="str">
        <f>IF(E25="","",(CONVERT(VLOOKUP(C25,[1]Paramètre!A$2:B$6,2,FALSE)*(A25-38-51),"mm^2","m^2")))</f>
        <v/>
      </c>
    </row>
    <row r="26" spans="1:11" x14ac:dyDescent="0.25">
      <c r="A26" s="40"/>
      <c r="B26" s="41"/>
      <c r="C26" s="9"/>
      <c r="D26" s="10"/>
      <c r="E26" s="10"/>
      <c r="F26" s="42" t="str">
        <f t="shared" si="0"/>
        <v/>
      </c>
      <c r="G26" s="42"/>
      <c r="H26" s="42" t="str">
        <f>IF(A26="","",(A26-38-51)&amp;" X "&amp;VLOOKUP(C26,[1]Paramètre!A$2:B$6,2,FALSE))</f>
        <v/>
      </c>
      <c r="I26" s="42"/>
      <c r="J26" s="11" t="str">
        <f t="shared" si="3"/>
        <v/>
      </c>
      <c r="K26" s="2" t="str">
        <f>IF(E26="","",(CONVERT(VLOOKUP(C26,[1]Paramètre!A$2:B$6,2,FALSE)*(A26-38-51),"mm^2","m^2")))</f>
        <v/>
      </c>
    </row>
    <row r="27" spans="1:11" ht="15.75" thickBot="1" x14ac:dyDescent="0.3">
      <c r="A27" s="1"/>
      <c r="B27" s="1"/>
      <c r="C27" s="12"/>
      <c r="D27" s="12"/>
      <c r="E27" s="12"/>
      <c r="F27" s="1"/>
      <c r="G27" s="1"/>
      <c r="H27" s="1"/>
      <c r="I27" s="1"/>
      <c r="J27" s="13"/>
    </row>
    <row r="28" spans="1:11" x14ac:dyDescent="0.25">
      <c r="H28" s="45" t="s">
        <v>36</v>
      </c>
      <c r="I28" s="45"/>
      <c r="J28" s="43">
        <f>SUM(J8:J26)</f>
        <v>0.8645799999999999</v>
      </c>
      <c r="K28" s="43" t="e">
        <f>SUM(K8:K26)</f>
        <v>#N/A</v>
      </c>
    </row>
    <row r="29" spans="1:11" ht="21" x14ac:dyDescent="0.25">
      <c r="G29" s="14"/>
      <c r="H29" s="46"/>
      <c r="I29" s="46"/>
      <c r="J29" s="44"/>
      <c r="K29" s="44"/>
    </row>
    <row r="30" spans="1:11" x14ac:dyDescent="0.25">
      <c r="H30" s="47" t="s">
        <v>37</v>
      </c>
      <c r="I30" s="47"/>
      <c r="J30" s="48">
        <f>J28*B5</f>
        <v>1.0374959999999998</v>
      </c>
      <c r="K30" s="48" t="e">
        <f>K28*E5</f>
        <v>#N/A</v>
      </c>
    </row>
    <row r="31" spans="1:11" ht="19.5" x14ac:dyDescent="0.25">
      <c r="G31" s="15"/>
      <c r="H31" s="47"/>
      <c r="I31" s="47"/>
      <c r="J31" s="48"/>
      <c r="K31" s="48"/>
    </row>
    <row r="32" spans="1:11" x14ac:dyDescent="0.25">
      <c r="H32" s="49" t="s">
        <v>38</v>
      </c>
      <c r="I32" s="49"/>
      <c r="J32" s="51">
        <f>B4*J30</f>
        <v>11.412455999999997</v>
      </c>
      <c r="K32" s="51" t="e">
        <f>E4*K30</f>
        <v>#N/A</v>
      </c>
    </row>
    <row r="33" spans="7:11" ht="21.75" thickBot="1" x14ac:dyDescent="0.3">
      <c r="G33" s="16"/>
      <c r="H33" s="50"/>
      <c r="I33" s="50"/>
      <c r="J33" s="52"/>
      <c r="K33" s="52"/>
    </row>
  </sheetData>
  <mergeCells count="74">
    <mergeCell ref="H30:I31"/>
    <mergeCell ref="J30:J31"/>
    <mergeCell ref="K30:K31"/>
    <mergeCell ref="H32:I33"/>
    <mergeCell ref="J32:J33"/>
    <mergeCell ref="K32:K33"/>
    <mergeCell ref="K28:K29"/>
    <mergeCell ref="A24:B24"/>
    <mergeCell ref="F24:G24"/>
    <mergeCell ref="H24:I24"/>
    <mergeCell ref="A25:B25"/>
    <mergeCell ref="F25:G25"/>
    <mergeCell ref="H25:I25"/>
    <mergeCell ref="A26:B26"/>
    <mergeCell ref="F26:G26"/>
    <mergeCell ref="H26:I26"/>
    <mergeCell ref="H28:I29"/>
    <mergeCell ref="J28:J29"/>
    <mergeCell ref="A22:B22"/>
    <mergeCell ref="F22:G22"/>
    <mergeCell ref="H22:I22"/>
    <mergeCell ref="A23:B23"/>
    <mergeCell ref="F23:G23"/>
    <mergeCell ref="H23:I23"/>
    <mergeCell ref="A20:B20"/>
    <mergeCell ref="F20:G20"/>
    <mergeCell ref="H20:I20"/>
    <mergeCell ref="A21:B21"/>
    <mergeCell ref="F21:G21"/>
    <mergeCell ref="H21:I21"/>
    <mergeCell ref="A18:B18"/>
    <mergeCell ref="F18:G18"/>
    <mergeCell ref="H18:I18"/>
    <mergeCell ref="A19:B19"/>
    <mergeCell ref="F19:G19"/>
    <mergeCell ref="H19:I19"/>
    <mergeCell ref="A16:B16"/>
    <mergeCell ref="F16:G16"/>
    <mergeCell ref="H16:I16"/>
    <mergeCell ref="A17:B17"/>
    <mergeCell ref="F17:G17"/>
    <mergeCell ref="H17:I17"/>
    <mergeCell ref="A14:B14"/>
    <mergeCell ref="F14:G14"/>
    <mergeCell ref="H14:I14"/>
    <mergeCell ref="A15:B15"/>
    <mergeCell ref="F15:G15"/>
    <mergeCell ref="H15:I15"/>
    <mergeCell ref="A12:B12"/>
    <mergeCell ref="F12:G12"/>
    <mergeCell ref="H12:I12"/>
    <mergeCell ref="A13:B13"/>
    <mergeCell ref="F13:G13"/>
    <mergeCell ref="H13:I13"/>
    <mergeCell ref="A10:B10"/>
    <mergeCell ref="F10:G10"/>
    <mergeCell ref="H10:I10"/>
    <mergeCell ref="A11:B11"/>
    <mergeCell ref="F11:G11"/>
    <mergeCell ref="H11:I11"/>
    <mergeCell ref="A8:B8"/>
    <mergeCell ref="F8:G8"/>
    <mergeCell ref="H8:I8"/>
    <mergeCell ref="A9:B9"/>
    <mergeCell ref="F9:G9"/>
    <mergeCell ref="H9:I9"/>
    <mergeCell ref="A7:B7"/>
    <mergeCell ref="F7:G7"/>
    <mergeCell ref="H7:I7"/>
    <mergeCell ref="A1:K2"/>
    <mergeCell ref="A3:B3"/>
    <mergeCell ref="D3:E3"/>
    <mergeCell ref="G4:H5"/>
    <mergeCell ref="I4:J5"/>
  </mergeCells>
  <dataValidations count="2">
    <dataValidation type="list" allowBlank="1" showInputMessage="1" showErrorMessage="1" sqref="C8:C27" xr:uid="{3C24BA6F-2167-4C1C-9795-7971ADE13F83}">
      <formula1>"N,M,K,E,280"</formula1>
    </dataValidation>
    <dataValidation type="list" allowBlank="1" showInputMessage="1" showErrorMessage="1" sqref="D8:D27" xr:uid="{D9346C33-8F36-4143-B81F-171F03718DCE}">
      <formula1>"270,300,350,400,450,500,550,600"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BA470-D65A-4AAE-817F-3C409A138298}">
  <sheetPr codeName="Feuil4"/>
  <dimension ref="A1:K33"/>
  <sheetViews>
    <sheetView workbookViewId="0">
      <selection activeCell="A8" sqref="A8:B8"/>
    </sheetView>
  </sheetViews>
  <sheetFormatPr baseColWidth="10" defaultRowHeight="15" x14ac:dyDescent="0.25"/>
  <sheetData>
    <row r="1" spans="1:11" x14ac:dyDescent="0.25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8.75" x14ac:dyDescent="0.25">
      <c r="A3" s="37" t="s">
        <v>22</v>
      </c>
      <c r="B3" s="37"/>
      <c r="C3" s="3"/>
      <c r="D3" s="37" t="s">
        <v>23</v>
      </c>
      <c r="E3" s="37"/>
      <c r="F3" s="4"/>
    </row>
    <row r="4" spans="1:11" x14ac:dyDescent="0.25">
      <c r="A4" s="5" t="s">
        <v>24</v>
      </c>
      <c r="B4" s="6">
        <v>11</v>
      </c>
      <c r="D4" s="5" t="s">
        <v>25</v>
      </c>
      <c r="E4" s="1">
        <v>24.1</v>
      </c>
      <c r="G4" s="38" t="s">
        <v>26</v>
      </c>
      <c r="H4" s="38"/>
      <c r="I4" s="39"/>
      <c r="J4" s="39"/>
    </row>
    <row r="5" spans="1:11" x14ac:dyDescent="0.25">
      <c r="A5" s="1" t="s">
        <v>27</v>
      </c>
      <c r="B5" s="1">
        <v>1.2</v>
      </c>
      <c r="D5" s="1" t="s">
        <v>28</v>
      </c>
      <c r="E5" s="1">
        <v>1.2</v>
      </c>
      <c r="G5" s="38"/>
      <c r="H5" s="38"/>
      <c r="I5" s="39"/>
      <c r="J5" s="39"/>
    </row>
    <row r="7" spans="1:11" ht="18" thickBot="1" x14ac:dyDescent="0.35">
      <c r="A7" s="33" t="s">
        <v>29</v>
      </c>
      <c r="B7" s="34"/>
      <c r="C7" s="7" t="s">
        <v>30</v>
      </c>
      <c r="D7" s="8" t="s">
        <v>31</v>
      </c>
      <c r="E7" s="8" t="s">
        <v>32</v>
      </c>
      <c r="F7" s="35" t="s">
        <v>33</v>
      </c>
      <c r="G7" s="35"/>
      <c r="H7" s="35" t="s">
        <v>9</v>
      </c>
      <c r="I7" s="35"/>
      <c r="J7" s="8" t="s">
        <v>34</v>
      </c>
      <c r="K7" s="7" t="s">
        <v>35</v>
      </c>
    </row>
    <row r="8" spans="1:11" x14ac:dyDescent="0.25">
      <c r="A8" s="40" t="str">
        <f>IF(OR(Feuil1!B$11="Merivobox",Feuil1!B14=""),"",Feuil1!A$9)</f>
        <v/>
      </c>
      <c r="B8" s="41"/>
      <c r="C8" s="9" t="str">
        <f>IF(A8="","",RIGHT(Feuil1!A$14))</f>
        <v/>
      </c>
      <c r="D8" s="10" t="str">
        <f>IF(Feuil1!B$11="Merivobox","",Feuil1!C14)</f>
        <v/>
      </c>
      <c r="E8" s="10" t="str">
        <f>IF(D8="","",Feuil1!B14)</f>
        <v/>
      </c>
      <c r="F8" s="42" t="str">
        <f>IF(A8="","",(A8-38-21)&amp;" X "&amp;(D8-10))</f>
        <v/>
      </c>
      <c r="G8" s="42"/>
      <c r="H8" s="42" t="str">
        <f>IF(A8="","",(A8-38-38)&amp;" X "&amp;VLOOKUP(C8,[2]Paramètre!A$2:B$6,2,FALSE))</f>
        <v/>
      </c>
      <c r="I8" s="42"/>
      <c r="J8" s="11" t="str">
        <f>IF(A8="","",(CONVERT(((A8-38-51)*(D8-10)*E8),"mm^2","m^2")))</f>
        <v/>
      </c>
      <c r="K8" s="2" t="str">
        <f>IF(A8="","",(CONVERT(VLOOKUP(C8,[2]Paramètre!A$2:B$6,2,FALSE)*(A8-38-51),"mm^2","m^2")))</f>
        <v/>
      </c>
    </row>
    <row r="9" spans="1:11" x14ac:dyDescent="0.25">
      <c r="A9" s="40" t="str">
        <f>IF(OR(Feuil1!B$11="Merivobox",Feuil1!B15=""),"",Feuil1!A$9)</f>
        <v/>
      </c>
      <c r="B9" s="41"/>
      <c r="C9" s="9" t="str">
        <f>IF(A9="","",RIGHT(Feuil1!A$14))</f>
        <v/>
      </c>
      <c r="D9" s="10" t="str">
        <f>IF(Feuil1!B$11="Merivobox","",Feuil1!C15)</f>
        <v/>
      </c>
      <c r="E9" s="10" t="str">
        <f>IF(D9="","",Feuil1!B15)</f>
        <v/>
      </c>
      <c r="F9" s="55" t="str">
        <f t="shared" ref="F9:F11" si="0">IF(A9="","",(A9-38-21)&amp;" X "&amp;(D9-10))</f>
        <v/>
      </c>
      <c r="G9" s="56"/>
      <c r="H9" s="42" t="str">
        <f>IF(A9="","",(A9-38-38)&amp;" X "&amp;VLOOKUP(C9,[2]Paramètre!A$2:B$6,2,FALSE))</f>
        <v/>
      </c>
      <c r="I9" s="42"/>
      <c r="J9" s="11" t="str">
        <f>IF(A9="","",(CONVERT(((A9-38-51)*(D9-10)*E9),"mm^2","m^2")))</f>
        <v/>
      </c>
      <c r="K9" s="2" t="str">
        <f>IF(A9="","",(CONVERT(VLOOKUP(C9,[2]Paramètre!A$2:B$6,2,FALSE)*(A9-38-51),"mm^2","m^2")))</f>
        <v/>
      </c>
    </row>
    <row r="10" spans="1:11" x14ac:dyDescent="0.25">
      <c r="A10" s="40" t="str">
        <f>IF(OR(Feuil1!B$11="Merivobox",Feuil1!B16=""),"",Feuil1!A$9)</f>
        <v/>
      </c>
      <c r="B10" s="41"/>
      <c r="C10" s="9" t="str">
        <f>IF(A10="","",RIGHT(Feuil1!A$14))</f>
        <v/>
      </c>
      <c r="D10" s="10" t="str">
        <f>IF(Feuil1!B$11="Merivobox","",Feuil1!C16)</f>
        <v/>
      </c>
      <c r="E10" s="10" t="str">
        <f>IF(D10="","",Feuil1!B16)</f>
        <v/>
      </c>
      <c r="F10" s="55" t="str">
        <f t="shared" si="0"/>
        <v/>
      </c>
      <c r="G10" s="56"/>
      <c r="H10" s="42" t="str">
        <f>IF(A10="","",(A10-38-38)&amp;" X "&amp;VLOOKUP(C10,[2]Paramètre!A$2:B$6,2,FALSE))</f>
        <v/>
      </c>
      <c r="I10" s="42"/>
      <c r="J10" s="11" t="str">
        <f t="shared" ref="J10:J15" si="1">IF(A10="","",(CONVERT(((A10-38-51)*(D10-10)*E10),"mm^2","m^2")))</f>
        <v/>
      </c>
      <c r="K10" s="2" t="str">
        <f>IF(A10="","",(CONVERT(VLOOKUP(C10,[2]Paramètre!A$2:B$6,2,FALSE)*(A10-38-51),"mm^2","m^2")))</f>
        <v/>
      </c>
    </row>
    <row r="11" spans="1:11" x14ac:dyDescent="0.25">
      <c r="A11" s="40" t="str">
        <f>IF(OR(Feuil1!B$11="Merivobox",Feuil1!B17=""),"",Feuil1!A$9)</f>
        <v/>
      </c>
      <c r="B11" s="41"/>
      <c r="C11" s="9" t="str">
        <f>IF(A11="","",RIGHT(Feuil1!A$14))</f>
        <v/>
      </c>
      <c r="D11" s="10" t="str">
        <f>IF(Feuil1!B$11="Merivobox","",Feuil1!C17)</f>
        <v/>
      </c>
      <c r="E11" s="10" t="str">
        <f>IF(D11="","",Feuil1!B17)</f>
        <v/>
      </c>
      <c r="F11" s="55" t="str">
        <f t="shared" si="0"/>
        <v/>
      </c>
      <c r="G11" s="56"/>
      <c r="H11" s="42" t="str">
        <f>IF(A11="","",(A11-38-38)&amp;" X "&amp;VLOOKUP(C11,[2]Paramètre!A$2:B$6,2,FALSE))</f>
        <v/>
      </c>
      <c r="I11" s="42"/>
      <c r="J11" s="11" t="str">
        <f t="shared" si="1"/>
        <v/>
      </c>
      <c r="K11" s="2" t="str">
        <f>IF(A11="","",(CONVERT(VLOOKUP(C11,[2]Paramètre!A$2:B$6,2,FALSE)*(A11-38-51),"mm^2","m^2")))</f>
        <v/>
      </c>
    </row>
    <row r="12" spans="1:11" x14ac:dyDescent="0.25">
      <c r="A12" s="40" t="str">
        <f>IF(OR(Feuil1!B$11="Merivobox",Feuil1!B19=""),"",Feuil1!A$9)</f>
        <v/>
      </c>
      <c r="B12" s="41"/>
      <c r="C12" s="9" t="str">
        <f>IF(A12="","",RIGHT(Feuil1!A$19))</f>
        <v/>
      </c>
      <c r="D12" s="10" t="str">
        <f>IF(Feuil1!B$11="Merivobox","",Feuil1!C19)</f>
        <v/>
      </c>
      <c r="E12" s="10" t="str">
        <f>IF(D12="","",Feuil1!B19)</f>
        <v/>
      </c>
      <c r="F12" s="42" t="str">
        <f t="shared" ref="F12:F26" si="2">IF(A12="","",(A12-38-21)&amp;" X "&amp;(D12-10))</f>
        <v/>
      </c>
      <c r="G12" s="42"/>
      <c r="H12" s="42" t="str">
        <f>IF(A12="","",(A12-38-38)&amp;" X "&amp;VLOOKUP(C12,[2]Paramètre!A$2:B$6,2,FALSE))</f>
        <v/>
      </c>
      <c r="I12" s="42"/>
      <c r="J12" s="11" t="str">
        <f t="shared" si="1"/>
        <v/>
      </c>
      <c r="K12" s="2" t="str">
        <f>IF(A12="","",(CONVERT(VLOOKUP(C12,[2]Paramètre!A$2:B$6,2,FALSE)*(A12-38-51),"mm^2","m^2")))</f>
        <v/>
      </c>
    </row>
    <row r="13" spans="1:11" x14ac:dyDescent="0.25">
      <c r="A13" s="40" t="str">
        <f>IF(OR(Feuil1!B$11="Merivobox",Feuil1!B20=""),"",Feuil1!A$9)</f>
        <v/>
      </c>
      <c r="B13" s="41"/>
      <c r="C13" s="9" t="str">
        <f>IF(A13="","",RIGHT(Feuil1!A$19))</f>
        <v/>
      </c>
      <c r="D13" s="10" t="str">
        <f>IF(Feuil1!B$11="Merivobox","",Feuil1!C20)</f>
        <v/>
      </c>
      <c r="E13" s="10" t="str">
        <f>IF(D13="","",Feuil1!B20)</f>
        <v/>
      </c>
      <c r="F13" s="42" t="str">
        <f t="shared" si="2"/>
        <v/>
      </c>
      <c r="G13" s="42"/>
      <c r="H13" s="42" t="str">
        <f>IF(A13="","",(A13-38-38)&amp;" X "&amp;VLOOKUP(C13,[2]Paramètre!A$2:B$6,2,FALSE))</f>
        <v/>
      </c>
      <c r="I13" s="42"/>
      <c r="J13" s="11" t="str">
        <f t="shared" si="1"/>
        <v/>
      </c>
      <c r="K13" s="2" t="str">
        <f>IF(A13="","",(CONVERT(VLOOKUP(C13,[2]Paramètre!A$2:B$6,2,FALSE)*(A13-38-51),"mm^2","m^2")))</f>
        <v/>
      </c>
    </row>
    <row r="14" spans="1:11" x14ac:dyDescent="0.25">
      <c r="A14" s="40" t="str">
        <f>IF(OR(Feuil1!B$11="Merivobox",Feuil1!B21=""),"",Feuil1!A$9)</f>
        <v/>
      </c>
      <c r="B14" s="41"/>
      <c r="C14" s="9" t="str">
        <f>IF(A14="","",RIGHT(Feuil1!A$19))</f>
        <v/>
      </c>
      <c r="D14" s="10" t="str">
        <f>IF(Feuil1!B$11="Merivobox","",Feuil1!C21)</f>
        <v/>
      </c>
      <c r="E14" s="10" t="str">
        <f>IF(D14="","",Feuil1!B21)</f>
        <v/>
      </c>
      <c r="F14" s="42" t="str">
        <f t="shared" si="2"/>
        <v/>
      </c>
      <c r="G14" s="42"/>
      <c r="H14" s="42" t="str">
        <f>IF(A14="","",(A14-38-38)&amp;" X "&amp;VLOOKUP(C14,[2]Paramètre!A$2:B$6,2,FALSE))</f>
        <v/>
      </c>
      <c r="I14" s="42"/>
      <c r="J14" s="11" t="str">
        <f t="shared" si="1"/>
        <v/>
      </c>
      <c r="K14" s="2" t="str">
        <f>IF(A14="","",(CONVERT(VLOOKUP(C14,[2]Paramètre!A$2:B$6,2,FALSE)*(A14-38-51),"mm^2","m^2")))</f>
        <v/>
      </c>
    </row>
    <row r="15" spans="1:11" x14ac:dyDescent="0.25">
      <c r="A15" s="40" t="str">
        <f>IF(OR(Feuil1!B$11="Merivobox",Feuil1!B22=""),"",Feuil1!A$9)</f>
        <v/>
      </c>
      <c r="B15" s="41"/>
      <c r="C15" s="9" t="str">
        <f>IF(A15="","",RIGHT(Feuil1!A$19))</f>
        <v/>
      </c>
      <c r="D15" s="10" t="str">
        <f>IF(Feuil1!B$11="Merivobox","",Feuil1!C22)</f>
        <v/>
      </c>
      <c r="E15" s="10" t="str">
        <f>IF(D15="","",Feuil1!B22)</f>
        <v/>
      </c>
      <c r="F15" s="42" t="str">
        <f t="shared" si="2"/>
        <v/>
      </c>
      <c r="G15" s="42"/>
      <c r="H15" s="42" t="str">
        <f>IF(A15="","",(A15-38-38)&amp;" X "&amp;VLOOKUP(C15,[2]Paramètre!A$2:B$6,2,FALSE))</f>
        <v/>
      </c>
      <c r="I15" s="42"/>
      <c r="J15" s="11" t="str">
        <f t="shared" si="1"/>
        <v/>
      </c>
      <c r="K15" s="2" t="str">
        <f>IF(A15="","",(CONVERT(VLOOKUP(C15,[2]Paramètre!A$2:B$6,2,FALSE)*(A15-38-51),"mm^2","m^2")))</f>
        <v/>
      </c>
    </row>
    <row r="16" spans="1:11" x14ac:dyDescent="0.25">
      <c r="A16" s="40"/>
      <c r="B16" s="41"/>
      <c r="C16" s="9"/>
      <c r="D16" s="10"/>
      <c r="E16" s="10"/>
      <c r="F16" s="42" t="str">
        <f t="shared" si="2"/>
        <v/>
      </c>
      <c r="G16" s="42"/>
      <c r="H16" s="42" t="str">
        <f>IF(A16="","",(A16-38-38)&amp;" X "&amp;VLOOKUP(C16,[2]Paramètre!A$2:B$6,2,FALSE))</f>
        <v/>
      </c>
      <c r="I16" s="42"/>
      <c r="J16" s="11" t="str">
        <f t="shared" ref="J16:J26" si="3">IF(E16="","",(CONVERT(((A16-38-51)*(D16-10)*E16),"mm^2","m^2")))</f>
        <v/>
      </c>
      <c r="K16" s="2" t="str">
        <f>IF(E16="","",(CONVERT(VLOOKUP(C16,[2]Paramètre!A$2:B$6,2,FALSE)*(A16-38-51),"mm^2","m^2")))</f>
        <v/>
      </c>
    </row>
    <row r="17" spans="1:11" x14ac:dyDescent="0.25">
      <c r="A17" s="40"/>
      <c r="B17" s="41"/>
      <c r="C17" s="9"/>
      <c r="D17" s="10"/>
      <c r="E17" s="10"/>
      <c r="F17" s="42" t="str">
        <f t="shared" si="2"/>
        <v/>
      </c>
      <c r="G17" s="42"/>
      <c r="H17" s="42" t="str">
        <f>IF(A17="","",(A17-38-38)&amp;" X "&amp;VLOOKUP(C17,[2]Paramètre!A$2:B$6,2,FALSE))</f>
        <v/>
      </c>
      <c r="I17" s="42"/>
      <c r="J17" s="11" t="str">
        <f t="shared" si="3"/>
        <v/>
      </c>
      <c r="K17" s="2" t="str">
        <f>IF(E17="","",(CONVERT(VLOOKUP(C17,[2]Paramètre!A$2:B$6,2,FALSE)*(A17-38-51),"mm^2","m^2")))</f>
        <v/>
      </c>
    </row>
    <row r="18" spans="1:11" x14ac:dyDescent="0.25">
      <c r="A18" s="40"/>
      <c r="B18" s="41"/>
      <c r="C18" s="9"/>
      <c r="D18" s="10"/>
      <c r="E18" s="10"/>
      <c r="F18" s="42" t="str">
        <f t="shared" si="2"/>
        <v/>
      </c>
      <c r="G18" s="42"/>
      <c r="H18" s="42" t="str">
        <f>IF(A18="","",(A18-38-38)&amp;" X "&amp;VLOOKUP(C18,[2]Paramètre!A$2:B$6,2,FALSE))</f>
        <v/>
      </c>
      <c r="I18" s="42"/>
      <c r="J18" s="11" t="str">
        <f t="shared" si="3"/>
        <v/>
      </c>
      <c r="K18" s="2" t="str">
        <f>IF(E18="","",(CONVERT(VLOOKUP(C18,[2]Paramètre!A$2:B$6,2,FALSE)*(A18-38-51),"mm^2","m^2")))</f>
        <v/>
      </c>
    </row>
    <row r="19" spans="1:11" x14ac:dyDescent="0.25">
      <c r="A19" s="40"/>
      <c r="B19" s="41"/>
      <c r="C19" s="9"/>
      <c r="D19" s="10"/>
      <c r="E19" s="10"/>
      <c r="F19" s="42" t="str">
        <f t="shared" si="2"/>
        <v/>
      </c>
      <c r="G19" s="42"/>
      <c r="H19" s="42" t="str">
        <f>IF(A19="","",(A19-38-38)&amp;" X "&amp;VLOOKUP(C19,[2]Paramètre!A$2:B$6,2,FALSE))</f>
        <v/>
      </c>
      <c r="I19" s="42"/>
      <c r="J19" s="11" t="str">
        <f t="shared" si="3"/>
        <v/>
      </c>
      <c r="K19" s="2" t="str">
        <f>IF(E19="","",(CONVERT(VLOOKUP(C19,[2]Paramètre!A$2:B$6,2,FALSE)*(A19-38-51),"mm^2","m^2")))</f>
        <v/>
      </c>
    </row>
    <row r="20" spans="1:11" x14ac:dyDescent="0.25">
      <c r="A20" s="40"/>
      <c r="B20" s="41"/>
      <c r="C20" s="9"/>
      <c r="D20" s="10"/>
      <c r="E20" s="10"/>
      <c r="F20" s="42" t="str">
        <f t="shared" si="2"/>
        <v/>
      </c>
      <c r="G20" s="42"/>
      <c r="H20" s="42" t="str">
        <f>IF(A20="","",(A20-38-38)&amp;" X "&amp;VLOOKUP(C20,[2]Paramètre!A$2:B$6,2,FALSE))</f>
        <v/>
      </c>
      <c r="I20" s="42"/>
      <c r="J20" s="11" t="str">
        <f t="shared" si="3"/>
        <v/>
      </c>
      <c r="K20" s="2" t="str">
        <f>IF(E20="","",(CONVERT(VLOOKUP(C20,[2]Paramètre!A$2:B$6,2,FALSE)*(A20-38-51),"mm^2","m^2")))</f>
        <v/>
      </c>
    </row>
    <row r="21" spans="1:11" x14ac:dyDescent="0.25">
      <c r="A21" s="40"/>
      <c r="B21" s="41"/>
      <c r="C21" s="9"/>
      <c r="D21" s="10"/>
      <c r="E21" s="10"/>
      <c r="F21" s="42" t="str">
        <f t="shared" si="2"/>
        <v/>
      </c>
      <c r="G21" s="42"/>
      <c r="H21" s="42" t="str">
        <f>IF(A21="","",(A21-38-38)&amp;" X "&amp;VLOOKUP(C21,[2]Paramètre!A$2:B$6,2,FALSE))</f>
        <v/>
      </c>
      <c r="I21" s="42"/>
      <c r="J21" s="11" t="str">
        <f t="shared" si="3"/>
        <v/>
      </c>
      <c r="K21" s="2" t="str">
        <f>IF(E21="","",(CONVERT(VLOOKUP(C21,[2]Paramètre!A$2:B$6,2,FALSE)*(A21-38-51),"mm^2","m^2")))</f>
        <v/>
      </c>
    </row>
    <row r="22" spans="1:11" x14ac:dyDescent="0.25">
      <c r="A22" s="40"/>
      <c r="B22" s="41"/>
      <c r="C22" s="9"/>
      <c r="D22" s="10"/>
      <c r="E22" s="10"/>
      <c r="F22" s="42" t="str">
        <f t="shared" si="2"/>
        <v/>
      </c>
      <c r="G22" s="42"/>
      <c r="H22" s="42" t="str">
        <f>IF(A22="","",(A22-38-38)&amp;" X "&amp;VLOOKUP(C22,[2]Paramètre!A$2:B$6,2,FALSE))</f>
        <v/>
      </c>
      <c r="I22" s="42"/>
      <c r="J22" s="11" t="str">
        <f t="shared" si="3"/>
        <v/>
      </c>
      <c r="K22" s="2" t="str">
        <f>IF(E22="","",(CONVERT(VLOOKUP(C22,[2]Paramètre!A$2:B$6,2,FALSE)*(A22-38-51),"mm^2","m^2")))</f>
        <v/>
      </c>
    </row>
    <row r="23" spans="1:11" x14ac:dyDescent="0.25">
      <c r="A23" s="40"/>
      <c r="B23" s="41"/>
      <c r="C23" s="9"/>
      <c r="D23" s="10"/>
      <c r="E23" s="10"/>
      <c r="F23" s="42" t="str">
        <f t="shared" si="2"/>
        <v/>
      </c>
      <c r="G23" s="42"/>
      <c r="H23" s="42" t="str">
        <f>IF(A23="","",(A23-38-38)&amp;" X "&amp;VLOOKUP(C23,[2]Paramètre!A$2:B$6,2,FALSE))</f>
        <v/>
      </c>
      <c r="I23" s="42"/>
      <c r="J23" s="11" t="str">
        <f t="shared" si="3"/>
        <v/>
      </c>
      <c r="K23" s="2" t="str">
        <f>IF(E23="","",(CONVERT(VLOOKUP(C23,[2]Paramètre!A$2:B$6,2,FALSE)*(A23-38-51),"mm^2","m^2")))</f>
        <v/>
      </c>
    </row>
    <row r="24" spans="1:11" x14ac:dyDescent="0.25">
      <c r="A24" s="40"/>
      <c r="B24" s="41"/>
      <c r="C24" s="9"/>
      <c r="D24" s="10"/>
      <c r="E24" s="10"/>
      <c r="F24" s="42" t="str">
        <f t="shared" si="2"/>
        <v/>
      </c>
      <c r="G24" s="42"/>
      <c r="H24" s="42" t="str">
        <f>IF(A24="","",(A24-38-38)&amp;" X "&amp;VLOOKUP(C24,[2]Paramètre!A$2:B$6,2,FALSE))</f>
        <v/>
      </c>
      <c r="I24" s="42"/>
      <c r="J24" s="11" t="str">
        <f t="shared" si="3"/>
        <v/>
      </c>
      <c r="K24" s="2" t="str">
        <f>IF(E24="","",(CONVERT(VLOOKUP(C24,[2]Paramètre!A$2:B$6,2,FALSE)*(A24-38-51),"mm^2","m^2")))</f>
        <v/>
      </c>
    </row>
    <row r="25" spans="1:11" x14ac:dyDescent="0.25">
      <c r="A25" s="40"/>
      <c r="B25" s="41"/>
      <c r="C25" s="9"/>
      <c r="D25" s="10"/>
      <c r="E25" s="10"/>
      <c r="F25" s="42" t="str">
        <f t="shared" si="2"/>
        <v/>
      </c>
      <c r="G25" s="42"/>
      <c r="H25" s="42" t="str">
        <f>IF(A25="","",(A25-38-38)&amp;" X "&amp;VLOOKUP(C25,[2]Paramètre!A$2:B$6,2,FALSE))</f>
        <v/>
      </c>
      <c r="I25" s="42"/>
      <c r="J25" s="11" t="str">
        <f t="shared" si="3"/>
        <v/>
      </c>
      <c r="K25" s="2" t="str">
        <f>IF(E25="","",(CONVERT(VLOOKUP(C25,[2]Paramètre!A$2:B$6,2,FALSE)*(A25-38-51),"mm^2","m^2")))</f>
        <v/>
      </c>
    </row>
    <row r="26" spans="1:11" x14ac:dyDescent="0.25">
      <c r="A26" s="40"/>
      <c r="B26" s="41"/>
      <c r="C26" s="9"/>
      <c r="D26" s="10"/>
      <c r="E26" s="10"/>
      <c r="F26" s="42" t="str">
        <f t="shared" si="2"/>
        <v/>
      </c>
      <c r="G26" s="42"/>
      <c r="H26" s="42" t="str">
        <f>IF(A26="","",(A26-38-38)&amp;" X "&amp;VLOOKUP(C26,[2]Paramètre!A$2:B$6,2,FALSE))</f>
        <v/>
      </c>
      <c r="I26" s="42"/>
      <c r="J26" s="11" t="str">
        <f t="shared" si="3"/>
        <v/>
      </c>
      <c r="K26" s="2" t="str">
        <f>IF(E26="","",(CONVERT(VLOOKUP(C26,[2]Paramètre!A$2:B$6,2,FALSE)*(A26-38-51),"mm^2","m^2")))</f>
        <v/>
      </c>
    </row>
    <row r="27" spans="1:11" ht="15.75" thickBot="1" x14ac:dyDescent="0.3">
      <c r="A27" s="1"/>
      <c r="B27" s="1"/>
      <c r="C27" s="12"/>
      <c r="D27" s="12"/>
      <c r="E27" s="12"/>
      <c r="F27" s="1"/>
      <c r="G27" s="1"/>
      <c r="H27" s="1"/>
      <c r="I27" s="1"/>
      <c r="J27" s="13"/>
    </row>
    <row r="28" spans="1:11" x14ac:dyDescent="0.25">
      <c r="H28" s="45" t="s">
        <v>36</v>
      </c>
      <c r="I28" s="45"/>
      <c r="J28" s="53">
        <f>SUM(J8:J26)</f>
        <v>0</v>
      </c>
      <c r="K28" s="43">
        <f>SUM(K8:K26)</f>
        <v>0</v>
      </c>
    </row>
    <row r="29" spans="1:11" ht="21" x14ac:dyDescent="0.25">
      <c r="G29" s="14"/>
      <c r="H29" s="46"/>
      <c r="I29" s="46"/>
      <c r="J29" s="54"/>
      <c r="K29" s="44"/>
    </row>
    <row r="30" spans="1:11" x14ac:dyDescent="0.25">
      <c r="H30" s="47" t="s">
        <v>37</v>
      </c>
      <c r="I30" s="47"/>
      <c r="J30" s="48">
        <f>J28*B5</f>
        <v>0</v>
      </c>
      <c r="K30" s="48">
        <f>K28*E5</f>
        <v>0</v>
      </c>
    </row>
    <row r="31" spans="1:11" ht="19.5" x14ac:dyDescent="0.25">
      <c r="G31" s="15"/>
      <c r="H31" s="47"/>
      <c r="I31" s="47"/>
      <c r="J31" s="48"/>
      <c r="K31" s="48"/>
    </row>
    <row r="32" spans="1:11" x14ac:dyDescent="0.25">
      <c r="H32" s="49" t="s">
        <v>38</v>
      </c>
      <c r="I32" s="49"/>
      <c r="J32" s="51">
        <f>B4*J30</f>
        <v>0</v>
      </c>
      <c r="K32" s="51">
        <f>E4*K30</f>
        <v>0</v>
      </c>
    </row>
    <row r="33" spans="7:11" ht="21.75" thickBot="1" x14ac:dyDescent="0.3">
      <c r="G33" s="16"/>
      <c r="H33" s="50"/>
      <c r="I33" s="50"/>
      <c r="J33" s="52"/>
      <c r="K33" s="52"/>
    </row>
  </sheetData>
  <mergeCells count="74">
    <mergeCell ref="A7:B7"/>
    <mergeCell ref="F7:G7"/>
    <mergeCell ref="H7:I7"/>
    <mergeCell ref="A1:K2"/>
    <mergeCell ref="A3:B3"/>
    <mergeCell ref="D3:E3"/>
    <mergeCell ref="G4:H5"/>
    <mergeCell ref="I4:J5"/>
    <mergeCell ref="A8:B8"/>
    <mergeCell ref="F8:G8"/>
    <mergeCell ref="H8:I8"/>
    <mergeCell ref="A9:B9"/>
    <mergeCell ref="F9:G9"/>
    <mergeCell ref="H9:I9"/>
    <mergeCell ref="A10:B10"/>
    <mergeCell ref="F10:G10"/>
    <mergeCell ref="H10:I10"/>
    <mergeCell ref="A11:B11"/>
    <mergeCell ref="F11:G11"/>
    <mergeCell ref="H11:I11"/>
    <mergeCell ref="A12:B12"/>
    <mergeCell ref="F12:G12"/>
    <mergeCell ref="H12:I12"/>
    <mergeCell ref="A13:B13"/>
    <mergeCell ref="F13:G13"/>
    <mergeCell ref="H13:I13"/>
    <mergeCell ref="A14:B14"/>
    <mergeCell ref="F14:G14"/>
    <mergeCell ref="H14:I14"/>
    <mergeCell ref="A15:B15"/>
    <mergeCell ref="F15:G15"/>
    <mergeCell ref="H15:I15"/>
    <mergeCell ref="A16:B16"/>
    <mergeCell ref="F16:G16"/>
    <mergeCell ref="H16:I16"/>
    <mergeCell ref="A17:B17"/>
    <mergeCell ref="F17:G17"/>
    <mergeCell ref="H17:I17"/>
    <mergeCell ref="A18:B18"/>
    <mergeCell ref="F18:G18"/>
    <mergeCell ref="H18:I18"/>
    <mergeCell ref="A19:B19"/>
    <mergeCell ref="F19:G19"/>
    <mergeCell ref="H19:I19"/>
    <mergeCell ref="A20:B20"/>
    <mergeCell ref="F20:G20"/>
    <mergeCell ref="H20:I20"/>
    <mergeCell ref="A21:B21"/>
    <mergeCell ref="F21:G21"/>
    <mergeCell ref="H21:I21"/>
    <mergeCell ref="A22:B22"/>
    <mergeCell ref="F22:G22"/>
    <mergeCell ref="H22:I22"/>
    <mergeCell ref="A23:B23"/>
    <mergeCell ref="F23:G23"/>
    <mergeCell ref="H23:I23"/>
    <mergeCell ref="K28:K29"/>
    <mergeCell ref="A24:B24"/>
    <mergeCell ref="F24:G24"/>
    <mergeCell ref="H24:I24"/>
    <mergeCell ref="A25:B25"/>
    <mergeCell ref="F25:G25"/>
    <mergeCell ref="H25:I25"/>
    <mergeCell ref="A26:B26"/>
    <mergeCell ref="F26:G26"/>
    <mergeCell ref="H26:I26"/>
    <mergeCell ref="H28:I29"/>
    <mergeCell ref="J28:J29"/>
    <mergeCell ref="H30:I31"/>
    <mergeCell ref="J30:J31"/>
    <mergeCell ref="K30:K31"/>
    <mergeCell ref="H32:I33"/>
    <mergeCell ref="J32:J33"/>
    <mergeCell ref="K32:K33"/>
  </mergeCells>
  <dataValidations count="2">
    <dataValidation type="list" allowBlank="1" showInputMessage="1" showErrorMessage="1" sqref="C16:C27" xr:uid="{6920A91E-4728-4118-A192-181DC970C1B6}">
      <formula1>"N,M,K,E,280"</formula1>
    </dataValidation>
    <dataValidation type="list" allowBlank="1" showInputMessage="1" showErrorMessage="1" sqref="D8:D27" xr:uid="{A4CB30DF-489E-4DF0-8C0C-9E0A077D4F1B}">
      <formula1>"270,300,350,400,450,500,550,600"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CBFB1-0FBE-4CDB-9A6B-B94D730F7BE4}">
  <sheetPr codeName="Feuil5"/>
  <dimension ref="A1:H44"/>
  <sheetViews>
    <sheetView topLeftCell="A9" workbookViewId="0">
      <selection activeCell="J33" sqref="J33"/>
    </sheetView>
  </sheetViews>
  <sheetFormatPr baseColWidth="10" defaultRowHeight="15" x14ac:dyDescent="0.25"/>
  <cols>
    <col min="1" max="1" width="16.42578125" customWidth="1"/>
    <col min="2" max="2" width="18.42578125" customWidth="1"/>
  </cols>
  <sheetData>
    <row r="1" spans="1:8" ht="23.25" x14ac:dyDescent="0.35">
      <c r="A1" s="19"/>
      <c r="B1" s="57" t="s">
        <v>44</v>
      </c>
      <c r="C1" s="57"/>
      <c r="D1" s="57"/>
      <c r="E1" s="57"/>
      <c r="F1" s="57"/>
      <c r="G1" s="19"/>
      <c r="H1" s="19"/>
    </row>
    <row r="2" spans="1:8" ht="18.75" x14ac:dyDescent="0.3">
      <c r="A2" s="58" t="s">
        <v>45</v>
      </c>
      <c r="B2" s="58"/>
      <c r="C2" s="19"/>
      <c r="D2" s="19"/>
      <c r="E2" s="19"/>
      <c r="F2" s="19"/>
      <c r="G2" s="19"/>
      <c r="H2" s="19"/>
    </row>
    <row r="3" spans="1:8" x14ac:dyDescent="0.25">
      <c r="A3" s="19"/>
      <c r="B3" s="17" t="s">
        <v>46</v>
      </c>
      <c r="C3" s="17" t="s">
        <v>32</v>
      </c>
      <c r="D3" s="19" t="s">
        <v>47</v>
      </c>
      <c r="E3" s="19" t="s">
        <v>48</v>
      </c>
      <c r="F3" s="19"/>
      <c r="G3" s="19"/>
      <c r="H3" s="19"/>
    </row>
    <row r="4" spans="1:8" x14ac:dyDescent="0.25">
      <c r="A4" s="20" t="str">
        <f>IF(Feuil1!E19,"true","")</f>
        <v/>
      </c>
      <c r="B4" s="17" t="str">
        <f>IF(AND(A4="TRUE",Feuil1!B$11="Merivobox"),(Feuil1!A$9-(2*Feuil1!G$8))-126,"")</f>
        <v/>
      </c>
      <c r="C4" s="17" t="str">
        <f>IF(B4="","",Feuil1!B19)</f>
        <v/>
      </c>
      <c r="D4" s="19" t="str">
        <f>IF(C4="","",B4*C4)</f>
        <v/>
      </c>
      <c r="E4" s="19" t="str">
        <f>IF(D4="","0",D4*1.2)</f>
        <v>0</v>
      </c>
      <c r="F4" s="19"/>
      <c r="G4" s="19"/>
      <c r="H4" s="19"/>
    </row>
    <row r="5" spans="1:8" x14ac:dyDescent="0.25">
      <c r="A5" s="20" t="str">
        <f>IF(Feuil1!E20,"true","")</f>
        <v/>
      </c>
      <c r="B5" s="17" t="str">
        <f>IF(AND(A5="TRUE",Feuil1!B$11="Merivobox"),(Feuil1!A$9-(2*Feuil1!G$8))-126,"")</f>
        <v/>
      </c>
      <c r="C5" s="17" t="str">
        <f>IF(B5="","",Feuil1!B20)</f>
        <v/>
      </c>
      <c r="D5" s="19" t="str">
        <f t="shared" ref="D5:D7" si="0">IF(C5="","",B5*C5)</f>
        <v/>
      </c>
      <c r="E5" s="19" t="str">
        <f>IF(D5="","0",D5*1.2)</f>
        <v>0</v>
      </c>
      <c r="F5" s="19"/>
      <c r="G5" s="21" t="s">
        <v>49</v>
      </c>
      <c r="H5" s="22">
        <f>ROUNDUP((E4+E5+E6+E7)/1200.2,0)</f>
        <v>0</v>
      </c>
    </row>
    <row r="6" spans="1:8" x14ac:dyDescent="0.25">
      <c r="A6" s="20" t="str">
        <f>IF(Feuil1!E21,"true","")</f>
        <v/>
      </c>
      <c r="B6" s="17" t="str">
        <f>IF(AND(A6="TRUE",Feuil1!B$11="Merivobox"),(Feuil1!A$9-(2*Feuil1!G$8))-126,"")</f>
        <v/>
      </c>
      <c r="C6" s="17" t="str">
        <f>IF(B6="","",Feuil1!B21)</f>
        <v/>
      </c>
      <c r="D6" s="19" t="str">
        <f t="shared" si="0"/>
        <v/>
      </c>
      <c r="E6" s="19" t="str">
        <f>IF(D6="","0",D6*1.2)</f>
        <v>0</v>
      </c>
      <c r="F6" s="19"/>
      <c r="G6" s="19"/>
      <c r="H6" s="19"/>
    </row>
    <row r="7" spans="1:8" x14ac:dyDescent="0.25">
      <c r="A7" s="20" t="str">
        <f>IF(Feuil1!E22,"true","")</f>
        <v/>
      </c>
      <c r="B7" s="17" t="str">
        <f>IF(AND(A7="TRUE",Feuil1!B$11="Merivobox"),(Feuil1!A$9-(2*Feuil1!G$8))-126,"")</f>
        <v/>
      </c>
      <c r="C7" s="17" t="str">
        <f>IF(B7="","",Feuil1!B22)</f>
        <v/>
      </c>
      <c r="D7" s="19" t="str">
        <f t="shared" si="0"/>
        <v/>
      </c>
      <c r="E7" s="19" t="str">
        <f>IF(D7="","0",D7*1.2)</f>
        <v>0</v>
      </c>
      <c r="F7" s="19"/>
      <c r="G7" s="19"/>
      <c r="H7" s="19"/>
    </row>
    <row r="8" spans="1:8" x14ac:dyDescent="0.25">
      <c r="A8" s="20"/>
      <c r="B8" s="19"/>
      <c r="C8" s="19"/>
      <c r="D8" s="19"/>
      <c r="E8" s="19"/>
      <c r="F8" s="19"/>
      <c r="G8" s="19"/>
      <c r="H8" s="19"/>
    </row>
    <row r="9" spans="1:8" ht="18.75" x14ac:dyDescent="0.3">
      <c r="A9" s="58" t="s">
        <v>50</v>
      </c>
      <c r="B9" s="58"/>
      <c r="C9" s="19"/>
      <c r="D9" s="19"/>
      <c r="E9" s="19"/>
      <c r="F9" s="19"/>
      <c r="G9" s="19"/>
      <c r="H9" s="19"/>
    </row>
    <row r="10" spans="1:8" x14ac:dyDescent="0.25">
      <c r="A10" s="19"/>
      <c r="B10" s="19"/>
      <c r="C10" s="19"/>
      <c r="D10" s="19"/>
      <c r="E10" s="19"/>
      <c r="F10" s="19"/>
      <c r="G10" s="19"/>
      <c r="H10" s="19"/>
    </row>
    <row r="11" spans="1:8" x14ac:dyDescent="0.25">
      <c r="A11" s="19"/>
      <c r="B11" s="17" t="s">
        <v>46</v>
      </c>
      <c r="C11" s="17" t="s">
        <v>32</v>
      </c>
      <c r="D11" s="19" t="s">
        <v>47</v>
      </c>
      <c r="E11" s="19" t="s">
        <v>48</v>
      </c>
      <c r="F11" s="19"/>
      <c r="G11" s="19"/>
      <c r="H11" s="19"/>
    </row>
    <row r="12" spans="1:8" x14ac:dyDescent="0.25">
      <c r="A12" s="20" t="str">
        <f>IF(Feuil1!E14,"true","")</f>
        <v/>
      </c>
      <c r="B12" s="19" t="str">
        <f>IF(AND(A12="TRUE",Feuil1!B$11="Merivobox"),(Feuil1!A$9-(2*Feuil1!G$8))-126,"")</f>
        <v/>
      </c>
      <c r="C12" s="19" t="str">
        <f>IF(B12="","",Feuil1!B14)</f>
        <v/>
      </c>
      <c r="D12" s="19" t="str">
        <f>IF(C12="","",B12*C12)</f>
        <v/>
      </c>
      <c r="E12" s="19" t="str">
        <f>IF(D12="","0",D12*1.2)</f>
        <v>0</v>
      </c>
      <c r="F12" s="19"/>
      <c r="G12" s="19"/>
      <c r="H12" s="19"/>
    </row>
    <row r="13" spans="1:8" x14ac:dyDescent="0.25">
      <c r="A13" s="20" t="str">
        <f>IF(Feuil1!E15,"true","")</f>
        <v/>
      </c>
      <c r="B13" s="19" t="str">
        <f>IF(AND(A13="TRUE",Feuil1!B$11="Merivobox"),(Feuil1!A$9-(2*Feuil1!G$8))-126,"")</f>
        <v/>
      </c>
      <c r="C13" s="19" t="str">
        <f>IF(B13="","",Feuil1!B15)</f>
        <v/>
      </c>
      <c r="D13" s="19" t="str">
        <f t="shared" ref="D13:D15" si="1">IF(C13="","",B13*C13)</f>
        <v/>
      </c>
      <c r="E13" s="19" t="str">
        <f t="shared" ref="E13:E15" si="2">IF(D13="","0",D13*1.2)</f>
        <v>0</v>
      </c>
      <c r="F13" s="19"/>
      <c r="G13" s="21" t="s">
        <v>49</v>
      </c>
      <c r="H13" s="19">
        <f>ROUNDUP((E12+E13+E14+E15)/1200.2,0)</f>
        <v>0</v>
      </c>
    </row>
    <row r="14" spans="1:8" x14ac:dyDescent="0.25">
      <c r="A14" s="20" t="str">
        <f>IF(Feuil1!E16,"true","")</f>
        <v/>
      </c>
      <c r="B14" s="19" t="str">
        <f>IF(AND(A14="TRUE",Feuil1!B$11="Merivobox"),(Feuil1!A$9-(2*Feuil1!G$8))-126,"")</f>
        <v/>
      </c>
      <c r="C14" s="19" t="str">
        <f>IF(B14="","",Feuil1!B16)</f>
        <v/>
      </c>
      <c r="D14" s="19" t="str">
        <f t="shared" si="1"/>
        <v/>
      </c>
      <c r="E14" s="19" t="str">
        <f t="shared" si="2"/>
        <v>0</v>
      </c>
      <c r="F14" s="19"/>
      <c r="G14" s="19"/>
      <c r="H14" s="19"/>
    </row>
    <row r="15" spans="1:8" x14ac:dyDescent="0.25">
      <c r="A15" s="20" t="str">
        <f>IF(Feuil1!E17,"true","")</f>
        <v/>
      </c>
      <c r="B15" s="19" t="str">
        <f>IF(AND(A15="TRUE",Feuil1!B$11="Merivobox"),(Feuil1!A$9-(2*Feuil1!G$8))-126,"")</f>
        <v/>
      </c>
      <c r="C15" s="19" t="str">
        <f>IF(B15="","",Feuil1!B17)</f>
        <v/>
      </c>
      <c r="D15" s="19" t="str">
        <f t="shared" si="1"/>
        <v/>
      </c>
      <c r="E15" s="19" t="str">
        <f t="shared" si="2"/>
        <v>0</v>
      </c>
      <c r="F15" s="19"/>
      <c r="G15" s="19"/>
      <c r="H15" s="19"/>
    </row>
    <row r="16" spans="1:8" x14ac:dyDescent="0.25">
      <c r="A16" s="20"/>
      <c r="B16" s="19"/>
      <c r="C16" s="19"/>
      <c r="D16" s="19"/>
      <c r="E16" s="19"/>
      <c r="F16" s="19"/>
      <c r="G16" s="19"/>
      <c r="H16" s="19"/>
    </row>
    <row r="17" spans="1:8" x14ac:dyDescent="0.25">
      <c r="A17" s="19"/>
      <c r="B17" s="17" t="s">
        <v>46</v>
      </c>
      <c r="C17" s="17" t="s">
        <v>32</v>
      </c>
      <c r="D17" s="19" t="s">
        <v>47</v>
      </c>
      <c r="E17" s="19" t="s">
        <v>48</v>
      </c>
      <c r="F17" s="19"/>
      <c r="G17" s="19"/>
      <c r="H17" s="19"/>
    </row>
    <row r="18" spans="1:8" x14ac:dyDescent="0.25">
      <c r="A18" s="20" t="str">
        <f>IF(Feuil1!E14,"true","")</f>
        <v/>
      </c>
      <c r="B18" s="19" t="str">
        <f>IF(AND(A18="TRUE",Feuil1!B$11="Merivobox"),(Feuil1!A$9-(2*Feuil1!G$8))-111,"")</f>
        <v/>
      </c>
      <c r="C18" s="19" t="str">
        <f>IF(B18="","",Feuil1!B14)</f>
        <v/>
      </c>
      <c r="D18" s="19" t="str">
        <f>IF(C18="","",B18*C18)</f>
        <v/>
      </c>
      <c r="E18" s="19" t="str">
        <f>IF(D18="","0",D18*1.2)</f>
        <v>0</v>
      </c>
      <c r="F18" s="19"/>
      <c r="G18" s="19"/>
      <c r="H18" s="19"/>
    </row>
    <row r="19" spans="1:8" x14ac:dyDescent="0.25">
      <c r="A19" s="20" t="str">
        <f>IF(Feuil1!E15,"true","")</f>
        <v/>
      </c>
      <c r="B19" s="19" t="str">
        <f>IF(AND(A19="TRUE",Feuil1!B$11="Merivobox"),(Feuil1!A$9-(2*Feuil1!G$8))-111,"")</f>
        <v/>
      </c>
      <c r="C19" s="19" t="str">
        <f>IF(B19="","",Feuil1!B15)</f>
        <v/>
      </c>
      <c r="D19" s="19" t="str">
        <f t="shared" ref="D19:D21" si="3">IF(C19="","",B19*C19)</f>
        <v/>
      </c>
      <c r="E19" s="19" t="str">
        <f t="shared" ref="E19:E21" si="4">IF(D19="","0",D19*1.2)</f>
        <v>0</v>
      </c>
      <c r="F19" s="19"/>
      <c r="G19" s="21" t="s">
        <v>51</v>
      </c>
      <c r="H19" s="19">
        <f>ROUNDUP((E18+E19+E20+E21)/1059.2,0)</f>
        <v>0</v>
      </c>
    </row>
    <row r="20" spans="1:8" x14ac:dyDescent="0.25">
      <c r="A20" s="20" t="str">
        <f>IF(Feuil1!E16,"true","")</f>
        <v/>
      </c>
      <c r="B20" s="19" t="str">
        <f>IF(AND(A20="TRUE",Feuil1!B$11="Merivobox"),(Feuil1!A$9-(2*Feuil1!G$8))-111,"")</f>
        <v/>
      </c>
      <c r="C20" s="19" t="str">
        <f>IF(B20="","",Feuil1!B16)</f>
        <v/>
      </c>
      <c r="D20" s="19" t="str">
        <f t="shared" si="3"/>
        <v/>
      </c>
      <c r="E20" s="19" t="str">
        <f t="shared" si="4"/>
        <v>0</v>
      </c>
      <c r="F20" s="19"/>
      <c r="G20" s="19"/>
      <c r="H20" s="19"/>
    </row>
    <row r="21" spans="1:8" x14ac:dyDescent="0.25">
      <c r="A21" s="20" t="str">
        <f>IF(Feuil1!E17,"true","")</f>
        <v/>
      </c>
      <c r="B21" s="19" t="str">
        <f>IF(AND(A21="TRUE",Feuil1!B$11="Merivobox"),(Feuil1!A$9-(2*Feuil1!G$8))-111,"")</f>
        <v/>
      </c>
      <c r="C21" s="19" t="str">
        <f>IF(B21="","",Feuil1!B17)</f>
        <v/>
      </c>
      <c r="D21" s="19" t="str">
        <f t="shared" si="3"/>
        <v/>
      </c>
      <c r="E21" s="19" t="str">
        <f t="shared" si="4"/>
        <v>0</v>
      </c>
      <c r="F21" s="19"/>
      <c r="G21" s="19"/>
      <c r="H21" s="19"/>
    </row>
    <row r="22" spans="1:8" x14ac:dyDescent="0.25">
      <c r="A22" s="20" t="str">
        <f>IF(Feuil1!E24,"true","")</f>
        <v/>
      </c>
      <c r="B22" s="19"/>
      <c r="C22" s="19"/>
      <c r="D22" s="19"/>
      <c r="E22" s="19"/>
      <c r="F22" s="19"/>
      <c r="G22" s="19"/>
      <c r="H22" s="19"/>
    </row>
    <row r="23" spans="1:8" ht="23.25" x14ac:dyDescent="0.35">
      <c r="A23" s="23"/>
      <c r="B23" s="59" t="s">
        <v>52</v>
      </c>
      <c r="C23" s="59"/>
      <c r="D23" s="59"/>
      <c r="E23" s="59"/>
      <c r="F23" s="59"/>
      <c r="G23" s="23"/>
      <c r="H23" s="23"/>
    </row>
    <row r="24" spans="1:8" ht="18.75" x14ac:dyDescent="0.3">
      <c r="A24" s="60" t="s">
        <v>45</v>
      </c>
      <c r="B24" s="60"/>
      <c r="C24" s="23"/>
      <c r="D24" s="23"/>
      <c r="E24" s="23"/>
      <c r="F24" s="23"/>
      <c r="G24" s="23"/>
      <c r="H24" s="23"/>
    </row>
    <row r="25" spans="1:8" x14ac:dyDescent="0.25">
      <c r="A25" s="23"/>
      <c r="B25" s="24" t="s">
        <v>46</v>
      </c>
      <c r="C25" s="24" t="s">
        <v>32</v>
      </c>
      <c r="D25" s="23" t="s">
        <v>47</v>
      </c>
      <c r="E25" s="23" t="s">
        <v>48</v>
      </c>
      <c r="F25" s="23"/>
      <c r="G25" s="23"/>
      <c r="H25" s="23"/>
    </row>
    <row r="26" spans="1:8" x14ac:dyDescent="0.25">
      <c r="A26" s="25" t="str">
        <f>IF(Feuil1!E19,"true","")</f>
        <v/>
      </c>
      <c r="B26" s="24" t="str">
        <f>IF(AND(A26="TRUE",Feuil1!B$11="Legrabox"),(Feuil1!A$9-(2*Feuil1!G$8))-126,"")</f>
        <v/>
      </c>
      <c r="C26" s="24" t="str">
        <f>IF(B26="","",Feuil1!B19)</f>
        <v/>
      </c>
      <c r="D26" s="23" t="str">
        <f>IF(C26="","",B26*C26)</f>
        <v/>
      </c>
      <c r="E26" s="23" t="str">
        <f>IF(D26="","0",D26*1.2)</f>
        <v>0</v>
      </c>
      <c r="F26" s="23"/>
      <c r="G26" s="23"/>
      <c r="H26" s="23"/>
    </row>
    <row r="27" spans="1:8" x14ac:dyDescent="0.25">
      <c r="A27" s="25" t="str">
        <f>IF(Feuil1!E20,"true","")</f>
        <v/>
      </c>
      <c r="B27" s="24" t="str">
        <f>IF(AND(A27="TRUE",Feuil1!B$11="Legrabox"),(Feuil1!A$9-(2*Feuil1!G$8))-126,"")</f>
        <v/>
      </c>
      <c r="C27" s="24" t="str">
        <f>IF(B27="","",Feuil1!B20)</f>
        <v/>
      </c>
      <c r="D27" s="23" t="str">
        <f t="shared" ref="D27:D29" si="5">IF(C27="","",B27*C27)</f>
        <v/>
      </c>
      <c r="E27" s="23" t="str">
        <f>IF(D27="","0",D27*1.2)</f>
        <v>0</v>
      </c>
      <c r="F27" s="23"/>
      <c r="G27" s="26" t="s">
        <v>49</v>
      </c>
      <c r="H27" s="27">
        <f>ROUNDUP((E26+E27+E28+E29)/1043.2,0)</f>
        <v>0</v>
      </c>
    </row>
    <row r="28" spans="1:8" x14ac:dyDescent="0.25">
      <c r="A28" s="25" t="str">
        <f>IF(Feuil1!E21,"true","")</f>
        <v/>
      </c>
      <c r="B28" s="24" t="str">
        <f>IF(AND(A28="TRUE",Feuil1!B$11="Legrabox"),(Feuil1!A$9-(2*Feuil1!G$8))-126,"")</f>
        <v/>
      </c>
      <c r="C28" s="24" t="str">
        <f>IF(B28="","",Feuil1!B21)</f>
        <v/>
      </c>
      <c r="D28" s="23" t="str">
        <f t="shared" si="5"/>
        <v/>
      </c>
      <c r="E28" s="23" t="str">
        <f>IF(D28="","0",D28*1.2)</f>
        <v>0</v>
      </c>
      <c r="F28" s="23"/>
      <c r="G28" s="23"/>
      <c r="H28" s="23"/>
    </row>
    <row r="29" spans="1:8" x14ac:dyDescent="0.25">
      <c r="A29" s="25" t="str">
        <f>IF(Feuil1!E22,"true","")</f>
        <v/>
      </c>
      <c r="B29" s="24" t="str">
        <f>IF(AND(A29="TRUE",Feuil1!B$11="Legrabox"),(Feuil1!A$9-(2*Feuil1!G$8))-126,"")</f>
        <v/>
      </c>
      <c r="C29" s="24" t="str">
        <f>IF(B29="","",Feuil1!B22)</f>
        <v/>
      </c>
      <c r="D29" s="23" t="str">
        <f t="shared" si="5"/>
        <v/>
      </c>
      <c r="E29" s="23" t="str">
        <f>IF(D29="","0",D29*1.2)</f>
        <v>0</v>
      </c>
      <c r="F29" s="23"/>
      <c r="G29" s="23"/>
      <c r="H29" s="23"/>
    </row>
    <row r="30" spans="1:8" x14ac:dyDescent="0.25">
      <c r="A30" s="25"/>
      <c r="B30" s="23"/>
      <c r="C30" s="23"/>
      <c r="D30" s="23"/>
      <c r="E30" s="23"/>
      <c r="F30" s="23"/>
      <c r="G30" s="23"/>
      <c r="H30" s="23"/>
    </row>
    <row r="31" spans="1:8" ht="18.75" x14ac:dyDescent="0.3">
      <c r="A31" s="60" t="s">
        <v>53</v>
      </c>
      <c r="B31" s="60"/>
      <c r="C31" s="23"/>
      <c r="D31" s="23"/>
      <c r="E31" s="23"/>
      <c r="F31" s="23"/>
      <c r="G31" s="23"/>
      <c r="H31" s="23"/>
    </row>
    <row r="32" spans="1:8" x14ac:dyDescent="0.25">
      <c r="A32" s="23"/>
      <c r="B32" s="23"/>
      <c r="C32" s="23"/>
      <c r="D32" s="23"/>
      <c r="E32" s="23"/>
      <c r="F32" s="23"/>
      <c r="G32" s="23"/>
      <c r="H32" s="23"/>
    </row>
    <row r="33" spans="1:8" x14ac:dyDescent="0.25">
      <c r="A33" s="23"/>
      <c r="B33" s="24" t="s">
        <v>46</v>
      </c>
      <c r="C33" s="24" t="s">
        <v>32</v>
      </c>
      <c r="D33" s="23" t="s">
        <v>47</v>
      </c>
      <c r="E33" s="23" t="s">
        <v>48</v>
      </c>
      <c r="F33" s="23"/>
      <c r="G33" s="23"/>
      <c r="H33" s="23"/>
    </row>
    <row r="34" spans="1:8" x14ac:dyDescent="0.25">
      <c r="A34" s="25" t="str">
        <f>IF(Feuil1!E14,"true","")</f>
        <v/>
      </c>
      <c r="B34" s="23" t="str">
        <f>IF(AND(A34="TRUE",Feuil1!B$11="Legrabox"),(Feuil1!A$9-(2*Feuil1!G$8))-126,"")</f>
        <v/>
      </c>
      <c r="C34" s="23" t="str">
        <f>IF(B34="","",Feuil1!B14)</f>
        <v/>
      </c>
      <c r="D34" s="23" t="str">
        <f>IF(C34="","",B34*C34)</f>
        <v/>
      </c>
      <c r="E34" s="23" t="str">
        <f>IF(D34="","0",D34*1.2)</f>
        <v>0</v>
      </c>
      <c r="F34" s="23"/>
      <c r="G34" s="23"/>
      <c r="H34" s="23"/>
    </row>
    <row r="35" spans="1:8" x14ac:dyDescent="0.25">
      <c r="A35" s="25" t="str">
        <f>IF(Feuil1!E15,"true","")</f>
        <v/>
      </c>
      <c r="B35" s="23" t="str">
        <f>IF(AND(A35="TRUE",Feuil1!B$11="Legrabox"),(Feuil1!A$9-(2*Feuil1!G$8))-126,"")</f>
        <v/>
      </c>
      <c r="C35" s="23" t="str">
        <f>IF(B35="","",Feuil1!B37)</f>
        <v/>
      </c>
      <c r="D35" s="23" t="str">
        <f t="shared" ref="D35:D37" si="6">IF(C35="","",B35*C35)</f>
        <v/>
      </c>
      <c r="E35" s="23" t="str">
        <f t="shared" ref="E35:E37" si="7">IF(D35="","0",D35*1.2)</f>
        <v>0</v>
      </c>
      <c r="F35" s="23"/>
      <c r="G35" s="26" t="s">
        <v>49</v>
      </c>
      <c r="H35" s="23">
        <f>ROUNDUP((E34+E35+E36+E37)/1043.2,0)</f>
        <v>0</v>
      </c>
    </row>
    <row r="36" spans="1:8" x14ac:dyDescent="0.25">
      <c r="A36" s="25" t="str">
        <f>IF(Feuil1!E16,"true","")</f>
        <v/>
      </c>
      <c r="B36" s="23" t="str">
        <f>IF(AND(A36="TRUE",Feuil1!B$11="Legrabox"),(Feuil1!A$9-(2*Feuil1!G$8))-126,"")</f>
        <v/>
      </c>
      <c r="C36" s="23" t="str">
        <f>IF(B36="","",Feuil1!B38)</f>
        <v/>
      </c>
      <c r="D36" s="23" t="str">
        <f t="shared" si="6"/>
        <v/>
      </c>
      <c r="E36" s="23" t="str">
        <f t="shared" si="7"/>
        <v>0</v>
      </c>
      <c r="F36" s="23"/>
      <c r="G36" s="23"/>
      <c r="H36" s="23"/>
    </row>
    <row r="37" spans="1:8" x14ac:dyDescent="0.25">
      <c r="A37" s="25" t="str">
        <f>IF(Feuil1!E17,"true","")</f>
        <v/>
      </c>
      <c r="B37" s="23" t="str">
        <f>IF(AND(A37="TRUE",Feuil1!B$11="Legrabox"),(Feuil1!A$9-(2*Feuil1!G$8))-126,"")</f>
        <v/>
      </c>
      <c r="C37" s="23" t="str">
        <f>IF(B37="","",Feuil1!B39)</f>
        <v/>
      </c>
      <c r="D37" s="23" t="str">
        <f t="shared" si="6"/>
        <v/>
      </c>
      <c r="E37" s="23" t="str">
        <f t="shared" si="7"/>
        <v>0</v>
      </c>
      <c r="F37" s="23"/>
      <c r="G37" s="23"/>
      <c r="H37" s="23"/>
    </row>
    <row r="38" spans="1:8" x14ac:dyDescent="0.25">
      <c r="A38" s="23"/>
      <c r="B38" s="23"/>
      <c r="C38" s="23"/>
      <c r="D38" s="23"/>
      <c r="E38" s="23"/>
      <c r="F38" s="23"/>
      <c r="G38" s="23"/>
      <c r="H38" s="23"/>
    </row>
    <row r="39" spans="1:8" x14ac:dyDescent="0.25">
      <c r="A39" s="23"/>
      <c r="B39" s="24" t="s">
        <v>46</v>
      </c>
      <c r="C39" s="24" t="s">
        <v>32</v>
      </c>
      <c r="D39" s="23" t="s">
        <v>47</v>
      </c>
      <c r="E39" s="23" t="s">
        <v>48</v>
      </c>
      <c r="F39" s="23"/>
      <c r="G39" s="23"/>
      <c r="H39" s="23"/>
    </row>
    <row r="40" spans="1:8" x14ac:dyDescent="0.25">
      <c r="A40" s="25" t="str">
        <f>IF(Feuil1!E14,"true","")</f>
        <v/>
      </c>
      <c r="B40" s="23" t="str">
        <f>IF(AND(A40="TRUE",Feuil1!B$11="Legrabox"),(Feuil1!A$9-(2*Feuil1!G$8))-90,"")</f>
        <v/>
      </c>
      <c r="C40" s="23" t="str">
        <f>IF(B40="","",Feuil1!B14)</f>
        <v/>
      </c>
      <c r="D40" s="23" t="str">
        <f>IF(C40="","",B40*C40)</f>
        <v/>
      </c>
      <c r="E40" s="23" t="str">
        <f>IF(D40="","0",D40*1.2)</f>
        <v>0</v>
      </c>
      <c r="F40" s="23"/>
      <c r="G40" s="23"/>
      <c r="H40" s="23"/>
    </row>
    <row r="41" spans="1:8" x14ac:dyDescent="0.25">
      <c r="A41" s="25" t="str">
        <f>IF(Feuil1!E15,"true","")</f>
        <v/>
      </c>
      <c r="B41" s="23" t="str">
        <f>IF(AND(A41="TRUE",Feuil1!B$11="Legrabox"),(Feuil1!A$9-(2*Feuil1!G$8))-90,"")</f>
        <v/>
      </c>
      <c r="C41" s="23" t="str">
        <f>IF(B41="","",Feuil1!B15)</f>
        <v/>
      </c>
      <c r="D41" s="23" t="str">
        <f t="shared" ref="D41:D43" si="8">IF(C41="","",B41*C41)</f>
        <v/>
      </c>
      <c r="E41" s="23" t="str">
        <f t="shared" ref="E41:E43" si="9">IF(D41="","0",D41*1.2)</f>
        <v>0</v>
      </c>
      <c r="F41" s="23"/>
      <c r="G41" s="26" t="s">
        <v>51</v>
      </c>
      <c r="H41" s="23">
        <f>ROUNDUP((E40+E41+E42+E43)/1080.2,0)</f>
        <v>0</v>
      </c>
    </row>
    <row r="42" spans="1:8" x14ac:dyDescent="0.25">
      <c r="A42" s="25" t="str">
        <f>IF(Feuil1!E16,"true","")</f>
        <v/>
      </c>
      <c r="B42" s="23" t="str">
        <f>IF(AND(A42="TRUE",Feuil1!B$11="Legrabox"),(Feuil1!A$9-(2*Feuil1!G$8))-90,"")</f>
        <v/>
      </c>
      <c r="C42" s="23" t="str">
        <f>IF(B42="","",Feuil1!B16)</f>
        <v/>
      </c>
      <c r="D42" s="23" t="str">
        <f t="shared" si="8"/>
        <v/>
      </c>
      <c r="E42" s="23" t="str">
        <f t="shared" si="9"/>
        <v>0</v>
      </c>
      <c r="F42" s="23"/>
      <c r="G42" s="23"/>
      <c r="H42" s="23"/>
    </row>
    <row r="43" spans="1:8" x14ac:dyDescent="0.25">
      <c r="A43" s="25" t="str">
        <f>IF(Feuil1!E17,"true","")</f>
        <v/>
      </c>
      <c r="B43" s="23" t="str">
        <f>IF(AND(A43="TRUE",Feuil1!B$11="Legrabox"),(Feuil1!A$9-(2*Feuil1!G$8))-90,"")</f>
        <v/>
      </c>
      <c r="C43" s="23" t="str">
        <f>IF(B43="","",Feuil1!B17)</f>
        <v/>
      </c>
      <c r="D43" s="23" t="str">
        <f t="shared" si="8"/>
        <v/>
      </c>
      <c r="E43" s="23" t="str">
        <f t="shared" si="9"/>
        <v>0</v>
      </c>
      <c r="F43" s="23"/>
      <c r="G43" s="23"/>
      <c r="H43" s="23"/>
    </row>
    <row r="44" spans="1:8" x14ac:dyDescent="0.25">
      <c r="A44" s="23"/>
      <c r="B44" s="23"/>
      <c r="C44" s="23"/>
      <c r="D44" s="23"/>
      <c r="E44" s="23"/>
      <c r="F44" s="23"/>
      <c r="G44" s="23"/>
      <c r="H44" s="23"/>
    </row>
  </sheetData>
  <mergeCells count="6">
    <mergeCell ref="A31:B31"/>
    <mergeCell ref="B1:F1"/>
    <mergeCell ref="A2:B2"/>
    <mergeCell ref="A9:B9"/>
    <mergeCell ref="B23:F23"/>
    <mergeCell ref="A24:B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22722-FCC6-40B9-A12E-992FB791323C}">
  <sheetPr codeName="Feuil6"/>
  <dimension ref="A1:I13"/>
  <sheetViews>
    <sheetView tabSelected="1" workbookViewId="0">
      <selection activeCell="I24" sqref="I24"/>
    </sheetView>
  </sheetViews>
  <sheetFormatPr baseColWidth="10" defaultRowHeight="15" x14ac:dyDescent="0.25"/>
  <cols>
    <col min="1" max="1" width="30.85546875" customWidth="1"/>
    <col min="3" max="3" width="14" customWidth="1"/>
  </cols>
  <sheetData>
    <row r="1" spans="1:9" x14ac:dyDescent="0.25">
      <c r="A1" s="74" t="s">
        <v>54</v>
      </c>
    </row>
    <row r="2" spans="1:9" x14ac:dyDescent="0.25">
      <c r="B2" s="17" t="s">
        <v>55</v>
      </c>
      <c r="C2" s="17" t="s">
        <v>56</v>
      </c>
      <c r="D2" s="17" t="s">
        <v>57</v>
      </c>
      <c r="E2" s="17" t="s">
        <v>36</v>
      </c>
    </row>
    <row r="3" spans="1:9" x14ac:dyDescent="0.25">
      <c r="A3" s="73" t="s">
        <v>58</v>
      </c>
      <c r="B3" s="12">
        <f>(Feuil1!B14+Feuil1!B15+Feuil1!B16+Feuil1!B17+Feuil1!B19+Feuil1!B20+Feuil1!B21+Feuil1!B22)*4</f>
        <v>56</v>
      </c>
      <c r="C3" s="12" t="str">
        <f>[3]Feuil1!$C$33</f>
        <v>BUT591190TR</v>
      </c>
      <c r="D3" s="12">
        <f>[3]Feuil1!$D$33</f>
        <v>0.05</v>
      </c>
      <c r="E3" s="12">
        <f>B3*D3</f>
        <v>2.8000000000000003</v>
      </c>
    </row>
    <row r="4" spans="1:9" x14ac:dyDescent="0.25">
      <c r="A4" s="73" t="s">
        <v>59</v>
      </c>
      <c r="B4" s="12">
        <f>IF(Feuil1!B11="Merivobox",(Feuil1!B14+Feuil1!B15+Feuil1!B16+Feuil1!B17+Feuil1!B19+Feuil1!B20+Feuil1!B21+Feuil1!B22)*2,"0")</f>
        <v>28</v>
      </c>
      <c r="C4" s="12">
        <f>[3]Feuil1!$C$19</f>
        <v>237153</v>
      </c>
      <c r="D4" s="12">
        <f>[3]Feuil1!$D$19</f>
        <v>0.33</v>
      </c>
      <c r="E4" s="12">
        <f>B4*D4</f>
        <v>9.24</v>
      </c>
    </row>
    <row r="5" spans="1:9" x14ac:dyDescent="0.25">
      <c r="A5" s="73" t="s">
        <v>60</v>
      </c>
      <c r="B5" s="12">
        <f>IF(Feuil1!B11="Merivobox",(Feuil1!B14+Feuil1!B15+Feuil1!B16+Feuil1!B17)*2,"0")</f>
        <v>20</v>
      </c>
      <c r="C5" s="12" t="str">
        <f>[3]Feuil1!$C$20</f>
        <v>237167 </v>
      </c>
      <c r="D5" s="12">
        <f>[3]Feuil1!$D$20</f>
        <v>0.39</v>
      </c>
      <c r="E5" s="12">
        <f>B5*D5</f>
        <v>7.8000000000000007</v>
      </c>
    </row>
    <row r="6" spans="1:9" x14ac:dyDescent="0.25">
      <c r="A6" s="73" t="s">
        <v>61</v>
      </c>
      <c r="B6" s="12">
        <f>SUM(F6:I6)</f>
        <v>4</v>
      </c>
      <c r="C6" s="1">
        <f>[3]Feuil1!$C$18</f>
        <v>282115</v>
      </c>
      <c r="D6" s="1">
        <f>[3]Feuil1!$D$18</f>
        <v>28.3</v>
      </c>
      <c r="E6" s="12">
        <f>B6*D6</f>
        <v>113.2</v>
      </c>
      <c r="F6">
        <f>IF(AND(Feuil1!B$11="Merivobox",Feuil1!C$14=270),Feuil1!B$14,0)</f>
        <v>0</v>
      </c>
      <c r="G6">
        <f>IF(AND(Feuil1!B$11="Merivobox",Feuil1!C$15=270),Feuil1!B$15,0)</f>
        <v>0</v>
      </c>
      <c r="H6">
        <f>IF(AND(Feuil1!B$11="Merivobox",Feuil1!C$16=270),Feuil1!B$16,0)</f>
        <v>0</v>
      </c>
      <c r="I6">
        <f>IF(AND(Feuil1!B$11="Merivobox",Feuil1!C$17=270),Feuil1!B$17,0)</f>
        <v>4</v>
      </c>
    </row>
    <row r="7" spans="1:9" x14ac:dyDescent="0.25">
      <c r="A7" s="73" t="s">
        <v>62</v>
      </c>
      <c r="B7" s="12">
        <f t="shared" ref="B7:B13" si="0">SUM(F7:I7)</f>
        <v>6</v>
      </c>
      <c r="C7" s="1">
        <f>[3]Feuil1!$C$14</f>
        <v>282475</v>
      </c>
      <c r="D7" s="1">
        <f>[3]Feuil1!$D$14</f>
        <v>28.3</v>
      </c>
      <c r="E7" s="12">
        <f>B7*D7</f>
        <v>169.8</v>
      </c>
      <c r="F7">
        <f>IF(AND(Feuil1!B$11="Merivobox",Feuil1!C$14=300),Feuil1!B$14,0)</f>
        <v>1</v>
      </c>
      <c r="G7">
        <f>IF(AND(Feuil1!B$11="Merivobox",Feuil1!C$15=300),Feuil1!B$15,0)</f>
        <v>2</v>
      </c>
      <c r="H7">
        <f>IF(AND(Feuil1!B$11="Merivobox",Feuil1!C$16=300),Feuil1!B$16,0)</f>
        <v>3</v>
      </c>
      <c r="I7">
        <f>IF(AND(Feuil1!B$11="Merivobox",Feuil1!C$17=300),Feuil1!B$17,0)</f>
        <v>0</v>
      </c>
    </row>
    <row r="8" spans="1:9" x14ac:dyDescent="0.25">
      <c r="A8" s="73" t="s">
        <v>63</v>
      </c>
      <c r="B8" s="12">
        <f t="shared" si="0"/>
        <v>0</v>
      </c>
      <c r="C8" s="1"/>
      <c r="D8" s="1"/>
      <c r="F8">
        <f>IF(AND(Feuil1!B$11="Merivobox",Feuil1!C$14=350),Feuil1!B$14,0)</f>
        <v>0</v>
      </c>
      <c r="G8">
        <f>IF(AND(Feuil1!B$11="Merivobox",Feuil1!C$15=350),Feuil1!B$15,0)</f>
        <v>0</v>
      </c>
      <c r="H8">
        <f>IF(AND(Feuil1!B$11="Merivobox",Feuil1!C$16=350),Feuil1!B$16,0)</f>
        <v>0</v>
      </c>
      <c r="I8">
        <f>IF(AND(Feuil1!B$11="Merivobox",Feuil1!C$17=350),Feuil1!B$17,0)</f>
        <v>0</v>
      </c>
    </row>
    <row r="9" spans="1:9" x14ac:dyDescent="0.25">
      <c r="A9" s="73" t="s">
        <v>64</v>
      </c>
      <c r="B9" s="12">
        <f t="shared" si="0"/>
        <v>0</v>
      </c>
      <c r="C9" s="1"/>
      <c r="D9" s="1"/>
      <c r="F9">
        <f>IF(AND(Feuil1!B$11="Merivobox",Feuil1!C$14=400),Feuil1!B$14,0)</f>
        <v>0</v>
      </c>
      <c r="G9">
        <f>IF(AND(Feuil1!B$11="Merivobox",Feuil1!C$15=400),Feuil1!B$15,0)</f>
        <v>0</v>
      </c>
      <c r="H9">
        <f>IF(AND(Feuil1!B$11="Merivobox",Feuil1!C$16=400),Feuil1!B$16,0)</f>
        <v>0</v>
      </c>
      <c r="I9">
        <f>IF(AND(Feuil1!B$11="Merivobox",Feuil1!C$17=400),Feuil1!B$17,0)</f>
        <v>0</v>
      </c>
    </row>
    <row r="10" spans="1:9" x14ac:dyDescent="0.25">
      <c r="A10" s="73" t="s">
        <v>65</v>
      </c>
      <c r="B10" s="12">
        <f t="shared" si="0"/>
        <v>0</v>
      </c>
      <c r="C10" s="1"/>
      <c r="D10" s="1"/>
      <c r="F10">
        <f>IF(AND(Feuil1!B$11="Merivobox",Feuil1!C$14=450),Feuil1!B$14,0)</f>
        <v>0</v>
      </c>
      <c r="G10">
        <f>IF(AND(Feuil1!B$11="Merivobox",Feuil1!C$15=450),Feuil1!B$15,0)</f>
        <v>0</v>
      </c>
      <c r="H10">
        <f>IF(AND(Feuil1!B$11="Merivobox",Feuil1!C$16=450),Feuil1!B$16,0)</f>
        <v>0</v>
      </c>
      <c r="I10">
        <f>IF(AND(Feuil1!B$11="Merivobox",Feuil1!C$17=450),Feuil1!B$17,0)</f>
        <v>0</v>
      </c>
    </row>
    <row r="11" spans="1:9" x14ac:dyDescent="0.25">
      <c r="A11" s="73" t="s">
        <v>66</v>
      </c>
      <c r="B11" s="12">
        <f t="shared" si="0"/>
        <v>0</v>
      </c>
      <c r="C11" s="1"/>
      <c r="D11" s="1"/>
      <c r="F11">
        <f>IF(AND(Feuil1!B$11="Merivobox",Feuil1!C$14=500),Feuil1!B$14,0)</f>
        <v>0</v>
      </c>
      <c r="G11">
        <f>IF(AND(Feuil1!B$11="Merivobox",Feuil1!C$15=500),Feuil1!B$15,0)</f>
        <v>0</v>
      </c>
      <c r="H11">
        <f>IF(AND(Feuil1!B$11="Merivobox",Feuil1!C$16=500),Feuil1!B$16,0)</f>
        <v>0</v>
      </c>
      <c r="I11">
        <f>IF(AND(Feuil1!B$11="Merivobox",Feuil1!C$17=500),Feuil1!B$17,0)</f>
        <v>0</v>
      </c>
    </row>
    <row r="12" spans="1:9" x14ac:dyDescent="0.25">
      <c r="A12" s="73" t="s">
        <v>67</v>
      </c>
      <c r="B12" s="12">
        <f t="shared" si="0"/>
        <v>0</v>
      </c>
      <c r="C12" s="1"/>
      <c r="D12" s="1"/>
      <c r="F12">
        <f>IF(AND(Feuil1!B$11="Merivobox",Feuil1!C$14=550),Feuil1!B$14,0)</f>
        <v>0</v>
      </c>
      <c r="G12">
        <f>IF(AND(Feuil1!B$11="Merivobox",Feuil1!C$15=550),Feuil1!B$15,0)</f>
        <v>0</v>
      </c>
      <c r="H12">
        <f>IF(AND(Feuil1!B$11="Merivobox",Feuil1!C$16=550),Feuil1!B$16,0)</f>
        <v>0</v>
      </c>
      <c r="I12">
        <f>IF(AND(Feuil1!B$11="Merivobox",Feuil1!C$17=550),Feuil1!B$17,0)</f>
        <v>0</v>
      </c>
    </row>
    <row r="13" spans="1:9" x14ac:dyDescent="0.25">
      <c r="A13" s="73" t="s">
        <v>68</v>
      </c>
      <c r="B13" s="12">
        <f t="shared" si="0"/>
        <v>0</v>
      </c>
      <c r="C13" s="1"/>
      <c r="D13" s="1"/>
      <c r="F13">
        <f>IF(AND(Feuil1!B$11="Merivobox",Feuil1!C$14=600),Feuil1!B$14,0)</f>
        <v>0</v>
      </c>
      <c r="G13">
        <f>IF(AND(Feuil1!B$11="Merivobox",Feuil1!C$15=600),Feuil1!B$15,0)</f>
        <v>0</v>
      </c>
      <c r="H13">
        <f>IF(AND(Feuil1!B$11="Merivobox",Feuil1!C$16=600),Feuil1!B$16,0)</f>
        <v>0</v>
      </c>
      <c r="I13">
        <f>IF(AND(Feuil1!B$11="Merivobox",Feuil1!C$17=600),Feuil1!B$17,0)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Feuil1</vt:lpstr>
      <vt:lpstr>Feuil2</vt:lpstr>
      <vt:lpstr>Parametrage</vt:lpstr>
      <vt:lpstr>Tiroirs Merivobox</vt:lpstr>
      <vt:lpstr>Tiroirs Legrabox</vt:lpstr>
      <vt:lpstr>Tiroirs Anglaise</vt:lpstr>
      <vt:lpstr>Article</vt:lpstr>
      <vt:lpstr>Vasque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valentin3</dc:creator>
  <cp:lastModifiedBy>valentin3</cp:lastModifiedBy>
  <cp:lastPrinted>2024-10-21T15:20:34Z</cp:lastPrinted>
  <dcterms:created xsi:type="dcterms:W3CDTF">2024-10-21T15:19:38Z</dcterms:created>
  <dcterms:modified xsi:type="dcterms:W3CDTF">2024-10-25T08:13:30Z</dcterms:modified>
</cp:coreProperties>
</file>