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iairegp\Desktop\"/>
    </mc:Choice>
  </mc:AlternateContent>
  <xr:revisionPtr revIDLastSave="0" documentId="8_{4BFF38F3-B973-4D36-ADB0-39BE6D0785A2}" xr6:coauthVersionLast="36" xr6:coauthVersionMax="36" xr10:uidLastSave="{00000000-0000-0000-0000-000000000000}"/>
  <bookViews>
    <workbookView xWindow="0" yWindow="0" windowWidth="28800" windowHeight="11505" firstSheet="1" activeTab="1" xr2:uid="{BCDF260C-FD09-46A1-A27C-3C8DE476A44E}"/>
  </bookViews>
  <sheets>
    <sheet name="__FDSCACHE__" sheetId="4" state="veryHidden" r:id="rId1"/>
    <sheet name="210723" sheetId="5" r:id="rId2"/>
    <sheet name="240723" sheetId="3" r:id="rId3"/>
    <sheet name="250723" sheetId="2" r:id="rId4"/>
  </sheets>
  <externalReferences>
    <externalReference r:id="rId5"/>
    <externalReference r:id="rId6"/>
    <externalReference r:id="rId7"/>
  </externalReferences>
  <definedNames>
    <definedName name="COURS" localSheetId="1">#REF!</definedName>
    <definedName name="COURS" localSheetId="2">#REF!</definedName>
    <definedName name="COURS" localSheetId="3">#REF!</definedName>
    <definedName name="COURS">#REF!</definedName>
    <definedName name="DATEVL" localSheetId="1">'210723'!$N$3:$N$27</definedName>
    <definedName name="DATEVL" localSheetId="2">'240723'!$N$3:$N$27</definedName>
    <definedName name="DATEVL" localSheetId="3">'250723'!$N$3:$N$27</definedName>
    <definedName name="DATEVL">#REF!</definedName>
    <definedName name="INDICES" localSheetId="1">'210723'!$C$48:$C$56</definedName>
    <definedName name="INDICES" localSheetId="2">'240723'!$C$48:$C$56</definedName>
    <definedName name="INDICES" localSheetId="3">'250723'!$C$48:$C$56</definedName>
    <definedName name="INDICES">#REF!</definedName>
    <definedName name="MOUVEMENTS" localSheetId="1">'210723'!$R$3:$R$11</definedName>
    <definedName name="MOUVEMENTS" localSheetId="2">'240723'!$R$3:$R$11</definedName>
    <definedName name="MOUVEMENTS" localSheetId="3">'250723'!$R$3:$R$11</definedName>
    <definedName name="MOUVEMENTS">#REF!</definedName>
    <definedName name="Pays" localSheetId="1">'[3]161219'!$AR$33:$AR$45</definedName>
    <definedName name="Pays" localSheetId="2">'[3]161219'!$AR$33:$AR$45</definedName>
    <definedName name="Pays" localSheetId="3">'[3]161219'!$AR$33:$AR$45</definedName>
    <definedName name="Sectors" localSheetId="1">'[3]161219'!$AP$33:$AP$55</definedName>
    <definedName name="Sectors" localSheetId="2">'[3]161219'!$AP$33:$AP$55</definedName>
    <definedName name="Sectors" localSheetId="3">'[3]161219'!$AP$33:$AP$55</definedName>
    <definedName name="VARIATIONS" localSheetId="1">#REF!</definedName>
    <definedName name="VARIATIONS" localSheetId="2">#REF!</definedName>
    <definedName name="VARIATIONS" localSheetId="3">#REF!</definedName>
    <definedName name="VARIATIONS">#REF!</definedName>
    <definedName name="VARINDICES" localSheetId="1">'210723'!$E$48:$E$56</definedName>
    <definedName name="VARINDICES" localSheetId="2">'240723'!$E$48:$E$56</definedName>
    <definedName name="VARINDICES" localSheetId="3">'250723'!$E$48:$E$56</definedName>
    <definedName name="VARINDICES">#REF!</definedName>
    <definedName name="VLC" localSheetId="1">'210723'!$H$42</definedName>
    <definedName name="VLC" localSheetId="2">'240723'!$H$42</definedName>
    <definedName name="VLC" localSheetId="3">'250723'!$H$42</definedName>
    <definedName name="VLC">#REF!</definedName>
    <definedName name="_xlnm.Print_Area" localSheetId="1">'210723'!$A$2:$Y$57</definedName>
    <definedName name="_xlnm.Print_Area" localSheetId="2">'240723'!$A$2:$Y$57</definedName>
    <definedName name="_xlnm.Print_Area" localSheetId="3">'250723'!$A$2:$Y$57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7" i="5" l="1"/>
  <c r="H45" i="2" a="1"/>
  <c r="H45" i="2" l="1"/>
  <c r="H45" i="3" a="1"/>
  <c r="H45" i="3" l="1"/>
  <c r="H45" i="5" a="1"/>
  <c r="H45" i="5" l="1"/>
  <c r="H55" i="5" l="1"/>
  <c r="H46" i="5"/>
  <c r="H43" i="5"/>
  <c r="BS4" i="5" s="1"/>
  <c r="H41" i="5"/>
  <c r="M33" i="5"/>
  <c r="L33" i="5"/>
  <c r="K33" i="5"/>
  <c r="H32" i="5"/>
  <c r="AR28" i="5"/>
  <c r="BN14" i="5"/>
  <c r="BN12" i="5"/>
  <c r="BN11" i="5"/>
  <c r="T28" i="5"/>
  <c r="H31" i="5" s="1"/>
  <c r="BN5" i="5"/>
  <c r="BT4" i="5"/>
  <c r="BR4" i="5"/>
  <c r="Q28" i="5"/>
  <c r="H36" i="5" s="1"/>
  <c r="BN3" i="5" l="1"/>
  <c r="BN15" i="5"/>
  <c r="BN8" i="5"/>
  <c r="BN9" i="5"/>
  <c r="BN13" i="5"/>
  <c r="BN10" i="5"/>
  <c r="BN16" i="5"/>
  <c r="BN4" i="5"/>
  <c r="BN6" i="5"/>
  <c r="BN7" i="5"/>
  <c r="P28" i="5" l="1"/>
  <c r="H30" i="5"/>
  <c r="H33" i="5" s="1"/>
  <c r="H37" i="5" l="1"/>
  <c r="H38" i="5" s="1"/>
  <c r="AL28" i="5"/>
  <c r="I31" i="5"/>
  <c r="I30" i="5"/>
  <c r="AJ28" i="5"/>
  <c r="AU28" i="5"/>
  <c r="I28" i="5"/>
  <c r="AH28" i="5" l="1"/>
  <c r="AG28" i="5"/>
  <c r="AQ28" i="5"/>
  <c r="AM28" i="5"/>
  <c r="AX28" i="5"/>
  <c r="AD28" i="5"/>
  <c r="BF28" i="5"/>
  <c r="AW28" i="5"/>
  <c r="AI28" i="5"/>
  <c r="AS28" i="5"/>
  <c r="L28" i="5"/>
  <c r="AB28" i="5"/>
  <c r="AF28" i="5"/>
  <c r="AE28" i="5"/>
  <c r="AN28" i="5"/>
  <c r="AP28" i="5"/>
  <c r="AO28" i="5"/>
  <c r="AT28" i="5"/>
  <c r="AK28" i="5"/>
  <c r="AV28" i="5"/>
  <c r="AC28" i="5"/>
  <c r="H55" i="3" l="1"/>
  <c r="H46" i="3"/>
  <c r="H43" i="3"/>
  <c r="H41" i="3"/>
  <c r="BT4" i="3"/>
  <c r="H32" i="3"/>
  <c r="H31" i="3"/>
  <c r="AR28" i="3"/>
  <c r="T28" i="3"/>
  <c r="Q28" i="3"/>
  <c r="H36" i="3" s="1"/>
  <c r="BN14" i="3"/>
  <c r="BN13" i="3"/>
  <c r="BN12" i="3"/>
  <c r="BN11" i="3"/>
  <c r="BN10" i="3"/>
  <c r="BN8" i="3"/>
  <c r="BN7" i="3"/>
  <c r="BN6" i="3"/>
  <c r="BN5" i="3"/>
  <c r="BS4" i="3"/>
  <c r="BR4" i="3"/>
  <c r="BN3" i="3"/>
  <c r="H55" i="2"/>
  <c r="H46" i="2"/>
  <c r="H43" i="2"/>
  <c r="H41" i="2"/>
  <c r="BT4" i="2"/>
  <c r="H32" i="2"/>
  <c r="H31" i="2"/>
  <c r="AR28" i="2"/>
  <c r="T28" i="2"/>
  <c r="Q28" i="2"/>
  <c r="H36" i="2" s="1"/>
  <c r="BN15" i="2"/>
  <c r="BN14" i="2"/>
  <c r="BN13" i="2"/>
  <c r="BN12" i="2"/>
  <c r="BN10" i="2"/>
  <c r="BN9" i="2"/>
  <c r="BN8" i="2"/>
  <c r="BN7" i="2"/>
  <c r="BN6" i="2"/>
  <c r="BN5" i="2"/>
  <c r="BS4" i="2"/>
  <c r="BR4" i="2"/>
  <c r="BN9" i="3" l="1"/>
  <c r="BN15" i="3"/>
  <c r="BN4" i="3"/>
  <c r="BN16" i="3"/>
  <c r="BN3" i="2"/>
  <c r="BN11" i="2"/>
  <c r="BN4" i="2"/>
  <c r="BN16" i="2"/>
  <c r="H49" i="2"/>
  <c r="H30" i="3" l="1"/>
  <c r="H33" i="3" s="1"/>
  <c r="P28" i="3"/>
  <c r="H30" i="2"/>
  <c r="P28" i="2"/>
  <c r="I31" i="3" l="1"/>
  <c r="H37" i="3"/>
  <c r="H38" i="3" s="1"/>
  <c r="I30" i="3"/>
  <c r="H33" i="2"/>
  <c r="I30" i="2" s="1"/>
  <c r="AM28" i="3" l="1"/>
  <c r="AX28" i="3"/>
  <c r="AL28" i="3"/>
  <c r="AW28" i="3"/>
  <c r="AK28" i="3"/>
  <c r="AV28" i="3"/>
  <c r="AJ28" i="3"/>
  <c r="AU28" i="3"/>
  <c r="AI28" i="3"/>
  <c r="I28" i="3"/>
  <c r="AT28" i="3"/>
  <c r="AH28" i="3"/>
  <c r="AS28" i="3"/>
  <c r="AG28" i="3"/>
  <c r="AF28" i="3"/>
  <c r="AQ28" i="3"/>
  <c r="AE28" i="3"/>
  <c r="AN28" i="3"/>
  <c r="AP28" i="3"/>
  <c r="AD28" i="3"/>
  <c r="AB28" i="3"/>
  <c r="AO28" i="3"/>
  <c r="AC28" i="3"/>
  <c r="BF28" i="3"/>
  <c r="H47" i="3" s="1"/>
  <c r="I31" i="2"/>
  <c r="L28" i="3" l="1"/>
  <c r="AM28" i="2"/>
  <c r="AX28" i="2"/>
  <c r="AL28" i="2"/>
  <c r="AW28" i="2"/>
  <c r="AK28" i="2"/>
  <c r="AV28" i="2"/>
  <c r="AJ28" i="2"/>
  <c r="AU28" i="2"/>
  <c r="AI28" i="2"/>
  <c r="I28" i="2"/>
  <c r="AT28" i="2"/>
  <c r="AH28" i="2"/>
  <c r="AS28" i="2"/>
  <c r="AG28" i="2"/>
  <c r="AF28" i="2"/>
  <c r="AQ28" i="2"/>
  <c r="AE28" i="2"/>
  <c r="AP28" i="2"/>
  <c r="AD28" i="2"/>
  <c r="AO28" i="2"/>
  <c r="AC28" i="2"/>
  <c r="AN28" i="2"/>
  <c r="AB28" i="2"/>
  <c r="BF28" i="2"/>
  <c r="H47" i="2" s="1"/>
  <c r="L28" i="2" l="1"/>
  <c r="H37" i="2" l="1"/>
  <c r="H38" i="2" s="1"/>
  <c r="S22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Stagiaire GP</author>
  </authors>
  <commentList>
    <comment ref="A1" authorId="0" shapeId="0" xr:uid="{630332C6-AB82-4EF0-BE9F-C0F8F44011F3}">
      <text>
        <r>
          <rPr>
            <b/>
            <sz val="9"/>
            <color indexed="81"/>
            <rFont val="Tahoma"/>
            <family val="2"/>
          </rPr>
          <t>&lt;?xml version="1.0" encoding="utf-8"?&gt;&lt;Schema xmlns:xsd="http://www.w3.org/2001/XMLSchema" xmlns:xsi="http://www.w3.org/2001/XMLSchema-instance" Version="2" Timestamp="1690532564"&gt;&lt;FQL&gt;&lt;Q&gt;FR0011408426^MSTAR_KID_ONGOING_CHRG()&lt;/Q&gt;&lt;R&gt;1&lt;/R&gt;&lt;C&gt;1&lt;/C&gt;&lt;D xsi:type="xsd:double"&gt;0.6&lt;/D&gt;&lt;/FQL&gt;&lt;FQL&gt;&lt;Q&gt;FR0013202140^MSTAR_KID_ONGOING_CHRG()&lt;/Q&gt;&lt;R&gt;1&lt;/R&gt;&lt;C&gt;1&lt;/C&gt;&lt;D xsi:type="xsd:double"&gt;0.6&lt;/D&gt;&lt;/FQL&gt;&lt;FQL&gt;&lt;Q&gt;FR0000097495^MSTAR_KID_ONGOING_CHRG()&lt;/Q&gt;&lt;R&gt;1&lt;/R&gt;&lt;C&gt;1&lt;/C&gt;&lt;D xsi:type="xsd:double"&gt;1.02&lt;/D&gt;&lt;/FQL&gt;&lt;FQL&gt;&lt;Q&gt;FR0013496213^MSTAR_KID_ONGOING_CHRG()&lt;/Q&gt;&lt;R&gt;1&lt;/R&gt;&lt;C&gt;1&lt;/C&gt;&lt;D xsi:type="xsd:double"&gt;0.61&lt;/D&gt;&lt;/FQL&gt;&lt;FQL&gt;&lt;Q&gt;FR0000098683^MSTAR_KID_ONGOING_CHRG()&lt;/Q&gt;&lt;R&gt;1&lt;/R&gt;&lt;C&gt;1&lt;/C&gt;&lt;D xsi:type="xsd:double"&gt;1.04&lt;/D&gt;&lt;/FQL&gt;&lt;FQL&gt;&lt;Q&gt;FR0013432143^MSTAR_KID_ONGOING_CHRG()&lt;/Q&gt;&lt;R&gt;1&lt;/R&gt;&lt;C&gt;1&lt;/C&gt;&lt;D xsi:type="xsd:double"&gt;0.62&lt;/D&gt;&lt;/FQL&gt;&lt;FQL&gt;&lt;Q&gt;LU0438548280^MSTAR_KID_ONGOING_CHRG()&lt;/Q&gt;&lt;R&gt;1&lt;/R&gt;&lt;C&gt;1&lt;/C&gt;&lt;D xsi:type="xsd:double"&gt;0.51&lt;/D&gt;&lt;/FQL&gt;&lt;FQL&gt;&lt;Q&gt;LU0113258742^MSTAR_KID_ONGOING_CHRG()&lt;/Q&gt;&lt;R&gt;1&lt;/R&gt;&lt;C&gt;1&lt;/C&gt;&lt;D xsi:type="xsd:double"&gt;0.63&lt;/D&gt;&lt;/FQL&gt;&lt;FQL&gt;&lt;Q&gt;LU1694789378^MSTAR_KID_ONGOING_CHRG()&lt;/Q&gt;&lt;R&gt;1&lt;/R&gt;&lt;C&gt;1&lt;/C&gt;&lt;D xsi:type="xsd:double"&gt;0.69&lt;/D&gt;&lt;/FQL&gt;&lt;FQL&gt;&lt;Q&gt;LU1876459725^MSTAR_KID_ONGOING_CHRG()&lt;/Q&gt;&lt;R&gt;1&lt;/R&gt;&lt;C&gt;1&lt;/C&gt;&lt;D xsi:type="xsd:double"&gt;1.13&lt;/D&gt;&lt;/FQL&gt;&lt;FQL&gt;&lt;Q&gt;FR0013302965^MSTAR_KID_ONGOING_CHRG()&lt;/Q&gt;&lt;R&gt;1&lt;/R&gt;&lt;C&gt;1&lt;/C&gt;&lt;D xsi:type="xsd:double"&gt;0.9&lt;/D&gt;&lt;/FQL&gt;&lt;FQL&gt;&lt;Q&gt;FR0011381227^MSTAR_KID_ONGOING_CHRG()&lt;/Q&gt;&lt;R&gt;1&lt;/R&gt;&lt;C&gt;1&lt;/C&gt;&lt;D xsi:type="xsd:double"&gt;0.05&lt;/D&gt;&lt;/FQL&gt;&lt;FQL&gt;&lt;Q&gt;FR0000009987^MSTAR_KID_ONGOING_CHRG()&lt;/Q&gt;&lt;R&gt;1&lt;/R&gt;&lt;C&gt;1&lt;/C&gt;&lt;D xsi:type="xsd:double"&gt;0.07&lt;/D&gt;&lt;/FQL&gt;&lt;FQL&gt;&lt;Q&gt;LU0638557669^MSTAR_KID_ONGOING_CHRG()&lt;/Q&gt;&lt;R&gt;1&lt;/R&gt;&lt;C&gt;1&lt;/C&gt;&lt;D xsi:type="xsd:double"&gt;1.13&lt;/D&gt;&lt;/FQL&gt;&lt;FQL&gt;&lt;Q&gt;LU1569900605^MSTAR_KID_ONGOING_CHRG()&lt;/Q&gt;&lt;R&gt;1&lt;/R&gt;&lt;C&gt;1&lt;/C&gt;&lt;D xsi:type="xsd:double"&gt;1.37&lt;/D&gt;&lt;/FQL&gt;&lt;FQL&gt;&lt;Q&gt;LU1331973468^MSTAR_KID_ONGOING_CHRG()&lt;/Q&gt;&lt;R&gt;1&lt;/R&gt;&lt;C&gt;1&lt;/C&gt;&lt;D xsi:type="xsd:double"&gt;1.13&lt;/D&gt;&lt;/FQL&gt;&lt;FQL&gt;&lt;Q&gt;FR0013456886^MSTAR_KID_ONGOING_CHRG()&lt;/Q&gt;&lt;R&gt;1&lt;/R&gt;&lt;C&gt;1&lt;/C&gt;&lt;D xsi:type="xsd:double"&gt;0.9&lt;/D&gt;&lt;/FQL&gt;&lt;FQL&gt;&lt;Q&gt;FR0011646454^MSTAR_KID_ONGOING_CHRG()&lt;/Q&gt;&lt;R&gt;1&lt;/R&gt;&lt;C&gt;1&lt;/C&gt;&lt;D xsi:type="xsd:double"&gt;1.79&lt;/D&gt;&lt;/FQL&gt;&lt;FQL&gt;&lt;Q&gt;LU2261172709^MSTAR_KID_ONGOING_CHRG()&lt;/Q&gt;&lt;R&gt;1&lt;/R&gt;&lt;C&gt;1&lt;/C&gt;&lt;D xsi:type="xsd:double"&gt;0.7&lt;/D&gt;&lt;/FQL&gt;&lt;FQL&gt;&lt;Q&gt;FR0013179603^MSTAR_KID_ONGOING_CHRG()&lt;/Q&gt;&lt;R&gt;1&lt;/R&gt;&lt;C&gt;1&lt;/C&gt;&lt;D xsi:type="xsd:double"&gt;1.29&lt;/D&gt;&lt;/FQL&gt;&lt;FQL&gt;&lt;Q&gt;LU0661986264^MSTAR_KID_ONGOING_CHRG()&lt;/Q&gt;&lt;R&gt;1&lt;/R&gt;&lt;C&gt;1&lt;/C&gt;&lt;D xsi:type="xsd:double"&gt;0.95&lt;/D&gt;&lt;/FQL&gt;&lt;FQL&gt;&lt;Q&gt;LU2022049295^MSTAR_KID_ONGOING_CHRG()&lt;/Q&gt;&lt;R&gt;1&lt;/R&gt;&lt;C&gt;1&lt;/C&gt;&lt;D xsi:type="xsd:double"&gt;1.29&lt;/D&gt;&lt;/FQL&gt;&lt;FQL&gt;&lt;Q&gt;LU1103304132^MSTAR_KID_ONGOING_CHRG()&lt;/Q&gt;&lt;R&gt;1&lt;/R&gt;&lt;C&gt;1&lt;/C&gt;&lt;D xsi:type="xsd:double"&gt;1.55&lt;/D&gt;&lt;/FQL&gt;&lt;FQL&gt;&lt;Q&gt;FR0011400738^MSTAR_KID_ONGOING_CHRG()&lt;/Q&gt;&lt;R&gt;1&lt;/R&gt;&lt;C&gt;1&lt;/C&gt;&lt;D xsi:type="xsd:double"&gt;1.26&lt;/D&gt;&lt;/FQL&gt;&lt;FQL&gt;&lt;Q&gt;FR0011408426^FFD_UCITS_SRRI()&lt;/Q&gt;&lt;R&gt;1&lt;/R&gt;&lt;C&gt;1&lt;/C&gt;&lt;D xsi:type="xsd:string"&gt;4&lt;/D&gt;&lt;/FQL&gt;&lt;FQL&gt;&lt;Q&gt;FR0013202140^FFD_UCITS_SRRI()&lt;/Q&gt;&lt;R&gt;1&lt;/R&gt;&lt;C&gt;1&lt;/C&gt;&lt;D xsi:type="xsd:string"&gt;3&lt;/D&gt;&lt;/FQL&gt;&lt;FQL&gt;&lt;Q&gt;FR0000097495^FFD_UCITS_SRRI()&lt;/Q&gt;&lt;R&gt;0&lt;/R&gt;&lt;C&gt;0&lt;/C&gt;&lt;/FQL&gt;&lt;FQL&gt;&lt;Q&gt;FR0013496213^FFD_UCITS_SRRI()&lt;/Q&gt;&lt;R&gt;1&lt;/R&gt;&lt;C&gt;1&lt;/C&gt;&lt;D xsi:type="xsd:string"&gt;4&lt;/D&gt;&lt;/FQL&gt;&lt;FQL&gt;&lt;Q&gt;FR0000098683^FFD_UCITS_SRRI()&lt;/Q&gt;&lt;R&gt;1&lt;/R&gt;&lt;C&gt;1&lt;/C&gt;&lt;D xsi:type="xsd:string"&gt;5&lt;/D&gt;&lt;/FQL&gt;&lt;FQL&gt;&lt;Q&gt;FR0013432143^FFD_UCITS_SRRI()&lt;/Q&gt;&lt;R&gt;0&lt;/R&gt;&lt;C&gt;0&lt;/C&gt;&lt;/FQL&gt;&lt;FQL&gt;&lt;Q&gt;LU0438548280^FFD_UCITS_SRRI()&lt;/Q&gt;&lt;R&gt;1&lt;/R&gt;&lt;C&gt;1&lt;/C&gt;&lt;D xsi:type="xsd:string"&gt;3&lt;/D&gt;&lt;/FQL&gt;&lt;FQL&gt;&lt;Q&gt;LU0113258742^FFD_UCITS_SRRI()&lt;/Q&gt;&lt;R&gt;1&lt;/R&gt;&lt;C&gt;1&lt;/C&gt;&lt;D xsi:type="xsd:string"&gt;3&lt;/D&gt;&lt;/FQL&gt;&lt;FQL&gt;&lt;Q&gt;LU1694789378^FFD_UCITS_SRRI()&lt;/Q&gt;&lt;R&gt;1&lt;/R&gt;&lt;C&gt;1&lt;/C&gt;&lt;D xsi:type="xsd:string"&gt;3&lt;/D&gt;&lt;/FQL&gt;&lt;FQL&gt;&lt;Q&gt;LU1876459725^FFD_UCITS_SRRI()&lt;/Q&gt;&lt;R&gt;1&lt;/R&gt;&lt;C&gt;1&lt;/C&gt;&lt;D xsi:type="xsd:string"&gt;3&lt;/D&gt;&lt;/FQL&gt;&lt;FQL&gt;&lt;Q&gt;FR0013302965^FFD_UCITS_SRRI()&lt;/Q&gt;&lt;R&gt;1&lt;/R&gt;&lt;C&gt;1&lt;/C&gt;&lt;D xsi:type="xsd:string"&gt;3&lt;/D&gt;&lt;/FQL&gt;&lt;FQL&gt;&lt;Q&gt;FR0011381227^FFD_UCITS_SRRI()&lt;/Q&gt;&lt;R&gt;1&lt;/R&gt;&lt;C&gt;1&lt;/C&gt;&lt;D xsi:type="xsd:string"&gt;1&lt;/D&gt;&lt;/FQL&gt;&lt;FQL&gt;&lt;Q&gt;FR0000009987^FFD_UCITS_SRRI()&lt;/Q&gt;&lt;R&gt;1&lt;/R&gt;&lt;C&gt;1&lt;/C&gt;&lt;D xsi:type="xsd:string"&gt;1&lt;/D&gt;&lt;/FQL&gt;&lt;FQL&gt;&lt;Q&gt;LU0638557669^FFD_UCITS_SRRI()&lt;/Q&gt;&lt;R&gt;1&lt;/R&gt;&lt;C&gt;1&lt;/C&gt;&lt;D xsi:type="xsd:string"&gt;4&lt;/D&gt;&lt;/FQL&gt;&lt;FQL&gt;&lt;Q&gt;LU1569900605^FFD_UCITS_SRRI()&lt;/Q&gt;&lt;R&gt;1&lt;/R&gt;&lt;C&gt;1&lt;/C&gt;&lt;D xsi:type="xsd:string"&gt;3&lt;/D&gt;&lt;/FQL&gt;&lt;FQL&gt;&lt;Q&gt;LU1331973468^FFD_UCITS_SRRI()&lt;/Q&gt;&lt;R&gt;1&lt;/R&gt;&lt;C&gt;1&lt;/C&gt;&lt;D xsi:type="xsd:string"&gt;4&lt;/D&gt;&lt;/FQL&gt;&lt;FQL&gt;&lt;Q&gt;FR0013456886^FFD_UCITS_SRRI()&lt;/Q&gt;&lt;R&gt;1&lt;/R&gt;&lt;C&gt;1&lt;/C&gt;&lt;D xsi:type="xsd:string"&gt;6&lt;/D&gt;&lt;/FQL&gt;&lt;FQL&gt;&lt;Q&gt;FR0011646454^FFD_UCITS_SRRI()&lt;/Q&gt;&lt;R&gt;1&lt;/R&gt;&lt;C&gt;1&lt;/C&gt;&lt;D xsi:type="xsd:string"&gt;6&lt;/D&gt;&lt;/FQL&gt;&lt;FQL&gt;&lt;Q&gt;LU2261172709^FFD_UCITS_SRRI()&lt;/Q&gt;&lt;R&gt;0&lt;/R&gt;&lt;C&gt;0&lt;/C&gt;&lt;/FQL&gt;&lt;FQL&gt;&lt;Q&gt;FR0013179603^FFD_UCITS_SRRI()&lt;/Q&gt;&lt;R&gt;1&lt;/R&gt;&lt;C&gt;1&lt;/C&gt;&lt;D xsi:type="xsd:string"&gt;6&lt;/D&gt;&lt;/FQL&gt;&lt;FQL&gt;&lt;Q&gt;LU0661986264^FFD_UCITS_SRRI()&lt;/Q&gt;&lt;R&gt;1&lt;/R&gt;&lt;C&gt;1&lt;/C&gt;&lt;D xsi:type="xsd:string"&gt;6&lt;/D&gt;&lt;/FQL&gt;&lt;FQL&gt;&lt;Q&gt;LU2022049295^FFD_UCITS_SRRI()&lt;/Q&gt;&lt;R&gt;0&lt;/R&gt;&lt;C&gt;0&lt;/C&gt;&lt;/FQL&gt;&lt;FQL&gt;&lt;Q&gt;LU1103304132^FFD_UCITS_SRRI()&lt;/Q&gt;&lt;R&gt;1&lt;/R&gt;&lt;C&gt;1&lt;/C&gt;&lt;D xsi:type="xsd:string"&gt;6&lt;/D&gt;&lt;/FQL&gt;&lt;FQL&gt;&lt;Q&gt;FR0011400738^FFD_UCITS_SRRI()&lt;/Q&gt;&lt;R&gt;1&lt;/R&gt;&lt;C&gt;1&lt;/C&gt;&lt;D xsi:type="xsd:string"&gt;6&lt;/D&gt;&lt;/FQL&gt;&lt;FQL&gt;&lt;Q&gt;FR0013202140^MSTAR_TNA_FUND_LEVEL(45132,45132)&lt;/Q&gt;&lt;R&gt;1&lt;/R&gt;&lt;C&gt;1&lt;/C&gt;&lt;D xsi:type="xsd:double"&gt;214409265.28&lt;/D&gt;&lt;/FQL&gt;&lt;FQL&gt;&lt;Q&gt;FR0011408426^MSTAR_TNA_FUND_LEVEL(45132,45132)&lt;/Q&gt;&lt;R&gt;1&lt;/R&gt;&lt;C&gt;1&lt;/C&gt;&lt;D xsi:type="xsd:double"&gt;239930235.07&lt;/D&gt;&lt;/FQL&gt;&lt;FQL&gt;&lt;Q&gt;FR0000097495^MSTAR_TNA_FUND_LEVEL(45132,45132)&lt;/Q&gt;&lt;R&gt;1&lt;/R&gt;&lt;C&gt;1&lt;/C&gt;&lt;D xsi:type="xsd:double"&gt;294523728.2&lt;/D&gt;&lt;/FQL&gt;&lt;FQL&gt;&lt;Q&gt;FR0013496213^MSTAR_TNA_FUND_LEVEL(45132,45132)&lt;/Q&gt;&lt;R&gt;1&lt;/R&gt;&lt;C&gt;1&lt;/C&gt;&lt;D xsi:type="xsd:double"&gt;271298995.69&lt;/D&gt;&lt;/FQL&gt;&lt;FQL&gt;&lt;Q&gt;FR0000098683^MSTAR_TNA_FUND_LEVEL(45132,45132)&lt;/Q&gt;&lt;R&gt;1&lt;/R&gt;&lt;C&gt;1&lt;/C&gt;&lt;D xsi:type="xsd:double"&gt;3765585974.82&lt;/D&gt;&lt;/FQL&gt;&lt;FQL&gt;&lt;Q&gt;FR0013432143^MSTAR_TNA_FUND_LEVEL(45132,45132)&lt;/Q&gt;&lt;R&gt;1&lt;/R&gt;&lt;C&gt;1&lt;/C&gt;&lt;D xsi:type="xsd:double"&gt;1219378563.89&lt;/D&gt;&lt;/FQL&gt;&lt;FQL&gt;&lt;Q&gt;LU0438548280^MSTAR_TNA_FUND_LEVEL(45132,45132)&lt;/Q&gt;&lt;R&gt;1&lt;/R&gt;&lt;C&gt;1&lt;/C&gt;&lt;D xsi:type="xsd:double"&gt;159727191.37&lt;/D&gt;&lt;/FQL&gt;&lt;FQL&gt;&lt;Q&gt;LU0113258742^MSTAR_TNA_FUND_LEVEL(45132,45132)&lt;/Q&gt;&lt;R&gt;1&lt;/R&gt;&lt;C&gt;1&lt;/C&gt;&lt;D xsi:type="xsd:double"&gt;8755141198.7&lt;/D&gt;&lt;/FQL&gt;&lt;FQL&gt;&lt;Q&gt;LU1694789378^MSTAR_TNA_FUND_LEVEL(45132,45132)&lt;/Q&gt;&lt;R&gt;1&lt;/R&gt;&lt;C&gt;1&lt;/C&gt;&lt;D xsi:type="xsd:double"&gt;7311145400.05&lt;/D&gt;&lt;/FQL&gt;&lt;FQL&gt;&lt;Q&gt;LU1876459725^MSTAR_TNA_FUND_LEVEL(45132,45132)&lt;/Q&gt;&lt;R&gt;1&lt;/R&gt;&lt;C&gt;1&lt;/C&gt;&lt;D xsi:type="xsd:double"&gt;447075286&lt;/D&gt;&lt;/FQL&gt;&lt;FQL&gt;&lt;Q&gt;FR0013302965^MSTAR_TNA_FUND_LEVEL(45132,45132)&lt;/Q&gt;&lt;R&gt;1&lt;/R&gt;&lt;C&gt;1&lt;/C&gt;&lt;D xsi:type="xsd:double"&gt;66080561.03&lt;/D&gt;&lt;/FQL&gt;&lt;FQL&gt;&lt;Q&gt;FR0011381227^MSTAR_TNA_FUND_LEVEL(45132,45132)&lt;/Q&gt;&lt;R&gt;1&lt;/R&gt;&lt;C&gt;1&lt;/C&gt;&lt;D xsi:type="xsd:double"&gt;4365139781.95&lt;/D&gt;&lt;/FQL&gt;&lt;FQL&gt;&lt;Q&gt;FR0000009987^MSTAR_TNA_FUND_LEVEL(45132,45132)&lt;/Q&gt;&lt;R&gt;1&lt;/R&gt;&lt;C&gt;1&lt;/C&gt;&lt;D xsi:type="xsd:double"&gt;11372602977&lt;/D&gt;&lt;/FQL&gt;&lt;FQL&gt;&lt;Q&gt;LU0638557669^MSTAR_TNA_FUND_LEVEL(45132,45132)&lt;/Q&gt;&lt;R&gt;1&lt;/R&gt;&lt;C&gt;1&lt;/C&gt;&lt;D xsi:type="xsd:double"&gt;6199509286.96&lt;/D&gt;&lt;/FQL&gt;&lt;FQL&gt;&lt;Q&gt;LU1569900605^MSTAR_TNA_FUND_LEVEL(45132,45132)&lt;/Q&gt;&lt;R&gt;1&lt;/R&gt;&lt;C&gt;1&lt;/C&gt;&lt;D xsi:type="xsd:double"&gt;1096700275.38&lt;/D&gt;&lt;/FQL&gt;&lt;FQL&gt;&lt;Q&gt;LU1331973468^MSTAR_TNA_FUND_LEVEL(45132,45132)&lt;/Q&gt;&lt;R&gt;1&lt;/R&gt;&lt;C&gt;1&lt;/C&gt;&lt;D xsi:type="xsd:double"&gt;3891142325.1&lt;/D&gt;&lt;/FQL&gt;&lt;FQL&gt;&lt;Q&gt;FR0013456886^MSTAR_TNA_FUND_LEVEL(45132,45132)&lt;/Q&gt;&lt;R&gt;1&lt;/R&gt;&lt;C&gt;1&lt;/C&gt;&lt;D xsi:type="xsd:double"&gt;102908706.08&lt;/D&gt;&lt;/FQL&gt;&lt;FQL&gt;&lt;Q&gt;FR0011646454^MSTAR_TNA_FUND_LEVEL(45132,45132)&lt;/Q&gt;&lt;R&gt;1&lt;/R&gt;&lt;C&gt;1&lt;/C&gt;&lt;D xsi:type="xsd:double"&gt;344941326&lt;/D&gt;&lt;/FQL&gt;&lt;FQL&gt;&lt;Q&gt;LU2261172709^MSTAR_TNA_FUND_LEVEL(45132,45132)&lt;/Q&gt;&lt;R&gt;1&lt;/R&gt;&lt;C&gt;1&lt;/C&gt;&lt;D xsi:type="xsd:double"&gt;160354238.67&lt;/D&gt;&lt;/FQL&gt;&lt;FQL&gt;&lt;Q&gt;FR0013179603^MSTAR_TNA_FUND_LEVEL(45132,45132)&lt;/Q&gt;&lt;R&gt;1&lt;/R&gt;&lt;C&gt;1&lt;/C&gt;&lt;D xsi:type="xsd:double"&gt;2749310551.39&lt;/D&gt;&lt;/FQL&gt;&lt;FQL&gt;&lt;Q&gt;LU0661986264^MSTAR_TNA_FUND_LEVEL(45132,45132)&lt;/Q&gt;&lt;R&gt;1&lt;/R&gt;&lt;C&gt;1&lt;/C&gt;&lt;D xsi:type="xsd:double"&gt;108936110.77&lt;/D&gt;&lt;/FQL&gt;&lt;FQL&gt;&lt;Q&gt;LU2022049295^MSTAR_TNA_FUND_LEVEL(45132,45132)&lt;/Q&gt;&lt;R&gt;1&lt;/R&gt;&lt;C&gt;1&lt;/C&gt;&lt;D xsi:type="xsd:double"&gt;69966525.08&lt;/D&gt;&lt;/FQL&gt;&lt;FQL&gt;&lt;Q&gt;LU1103304132^MSTAR_TNA_FUND_LEVEL(45132,45132)&lt;/Q&gt;&lt;R&gt;1&lt;/R&gt;&lt;C&gt;1&lt;/C&gt;&lt;D xsi:type="xsd:double"&gt;331534382.35&lt;/D&gt;&lt;/FQL&gt;&lt;FQL&gt;&lt;Q&gt;FR0011400738^MSTAR_TNA_FUND_LEVEL(45132,45132)&lt;/Q&gt;&lt;R&gt;1&lt;/R&gt;&lt;C&gt;1&lt;/C&gt;&lt;D xsi:type="xsd:double"&gt;131235700&lt;/D&gt;&lt;/FQL&gt;&lt;FQL&gt;&lt;Q&gt;FR0011400738^P_CURRENCY("ISO")&lt;/Q&gt;&lt;R&gt;1&lt;/R&gt;&lt;C&gt;1&lt;/C&gt;&lt;D xsi:type="xsd:string"&gt;EUR&lt;/D&gt;&lt;/FQL&gt;&lt;FQL&gt;&lt;Q&gt;FR0011408426^MSTAR_TNA_FUND_LEVEL(45131,45131)&lt;/Q&gt;&lt;R&gt;1&lt;/R&gt;&lt;C&gt;1&lt;/C&gt;&lt;D xsi:type="xsd:double"&gt;239930235.07&lt;/D&gt;&lt;/FQL&gt;&lt;FQL&gt;&lt;Q&gt;FR0013202140^MSTAR_TNA_FUND_LEVEL(45131,45131)&lt;/Q&gt;&lt;R&gt;1&lt;/R&gt;&lt;C&gt;1&lt;/C&gt;&lt;D xsi:type="xsd:double"&gt;214409265.28&lt;/D&gt;&lt;/FQL&gt;&lt;FQL&gt;&lt;Q&gt;FR0000097495^MSTAR_TNA_FUND_LEVEL(45131,45131)&lt;/Q&gt;&lt;R&gt;1&lt;/R&gt;&lt;C&gt;1&lt;/C&gt;&lt;D xsi:type="xsd:double"&gt;294523728.2&lt;/D&gt;&lt;/FQL&gt;&lt;FQL&gt;&lt;Q&gt;FR0013496213^MSTAR_TNA_FUND_LEVEL(45131,45131)&lt;/Q&gt;&lt;R&gt;1&lt;/R&gt;&lt;C&gt;1&lt;/C&gt;&lt;D xsi:type="xsd:double"&gt;271298995.69&lt;/D&gt;&lt;/FQL&gt;&lt;FQL&gt;&lt;Q&gt;FR0000098683^MSTAR_TNA_FUND_LEVEL(45131,45131)&lt;/Q&gt;&lt;R&gt;1&lt;/R&gt;&lt;C&gt;1&lt;/C&gt;&lt;D xsi:type="xsd:double"&gt;3765585974.82&lt;/D&gt;&lt;/FQL&gt;&lt;FQL&gt;&lt;Q&gt;FR0013432143^MSTAR_TNA_FUND_LEVEL(45131,45131)&lt;/Q&gt;&lt;R&gt;1&lt;/R&gt;&lt;C&gt;1&lt;/C&gt;&lt;D xsi:type="xsd:double"&gt;1219378563.89&lt;/D&gt;&lt;/FQL&gt;&lt;FQL&gt;&lt;Q&gt;LU0438548280^MSTAR_TNA_FUND_LEVEL(45131,45131)&lt;/Q&gt;&lt;R&gt;1&lt;/R&gt;&lt;C&gt;1&lt;/C&gt;&lt;D xsi:type="xsd:double"&gt;159727191.37&lt;/D&gt;&lt;/FQL&gt;&lt;FQL&gt;&lt;Q&gt;LU0113258742^MSTAR_TNA_FUND_LEVEL(45131,45131)&lt;/Q&gt;&lt;R&gt;1&lt;/R&gt;&lt;C&gt;1&lt;/C&gt;&lt;D xsi:type="xsd:double"&gt;8755141198.7&lt;/D&gt;&lt;/FQL&gt;&lt;FQL&gt;&lt;Q&gt;LU1694789378^MSTAR_TNA_FUND_LEVEL(45131,45131)&lt;/Q&gt;&lt;R&gt;1&lt;/R&gt;&lt;C&gt;1&lt;/C&gt;&lt;D xsi:type="xsd:double"&gt;7311145400.05&lt;/D&gt;&lt;/FQL&gt;&lt;FQL&gt;&lt;Q&gt;LU1876459725^MSTAR_TNA_FUND_LEVEL(45131,45131)&lt;/Q&gt;&lt;R&gt;1&lt;/R&gt;&lt;C&gt;1&lt;/C&gt;&lt;D xsi:type="xsd:double"&gt;447075286&lt;/D&gt;&lt;/FQL&gt;&lt;FQL&gt;&lt;Q&gt;FR0013302965^MSTAR_TNA_FUND_LEVEL(45131,45131)&lt;/Q&gt;&lt;R&gt;1&lt;/R&gt;&lt;C&gt;1&lt;/C&gt;&lt;D xsi:type="xsd:double"&gt;66080561.03&lt;/D&gt;&lt;/FQL&gt;&lt;FQL&gt;&lt;Q&gt;FR0011381227^MSTAR_TNA_FUND_LEVEL(45131,45131)&lt;/Q&gt;&lt;R&gt;1&lt;/R&gt;&lt;C&gt;1&lt;/C&gt;&lt;D xsi:type="xsd:double"&gt;4365139781.95&lt;/D&gt;&lt;/FQL&gt;&lt;FQL&gt;&lt;Q&gt;FR0000009987^MSTAR_TNA_FUND_LEVEL(45131,45131)&lt;/Q&gt;&lt;R&gt;1&lt;/R&gt;&lt;C&gt;1&lt;/C&gt;&lt;D xsi:type="xsd:double"&gt;11372602977&lt;/D&gt;&lt;/FQL&gt;&lt;FQL&gt;&lt;Q&gt;LU0638557669^MSTAR_TNA_FUND_LEVEL(45131,45131)&lt;/Q&gt;&lt;R&gt;1&lt;/R&gt;&lt;C&gt;1&lt;/C&gt;&lt;D xsi:type="xsd:double"&gt;6199509286.96&lt;/D&gt;&lt;/FQL&gt;&lt;FQL&gt;&lt;Q&gt;LU1569900605^MSTAR_TNA_FUND_LEVEL(45131,45131)&lt;/Q&gt;&lt;R&gt;1&lt;/R&gt;&lt;C&gt;1&lt;/C&gt;&lt;D xsi:type="xsd:double"&gt;1096700275.38&lt;/D&gt;&lt;/FQL&gt;&lt;FQL&gt;&lt;Q&gt;LU1331973468^MSTAR_TNA_FUND_LEVEL(45131,45131)&lt;/Q&gt;&lt;R&gt;1&lt;/R&gt;&lt;C&gt;1&lt;/C&gt;&lt;D xsi:type="xsd:double"&gt;3891142325.1&lt;/D&gt;&lt;/FQL&gt;&lt;FQL&gt;&lt;Q&gt;FR0013456886^MSTAR_TNA_FUND_LEVEL(45131,45131)&lt;/Q&gt;&lt;R&gt;1&lt;/R&gt;&lt;C&gt;1&lt;/C&gt;&lt;D xsi:type="xsd:double"&gt;102908706.08&lt;/D&gt;&lt;/FQL&gt;&lt;FQL&gt;&lt;Q&gt;FR0011646454^MSTAR_TNA_FUND_LEVEL(45131,45131)&lt;/Q&gt;&lt;R&gt;1&lt;/R&gt;&lt;C&gt;1&lt;/C&gt;&lt;D xsi:type="xsd:double"&gt;344941326&lt;/D&gt;&lt;/FQL&gt;&lt;FQL&gt;&lt;Q&gt;LU2261172709^MSTAR_TNA_FUND_LEVEL(45131,45131)&lt;/Q&gt;&lt;R&gt;1&lt;/R&gt;&lt;C&gt;1&lt;/C&gt;&lt;D xsi:type="xsd:double"&gt;160354238.67&lt;/D&gt;&lt;/FQL&gt;&lt;FQL&gt;&lt;Q&gt;FR0013179603^MSTAR_TNA_FUND_LEVEL(45131,45131)&lt;/Q&gt;&lt;R&gt;1&lt;/R&gt;&lt;C&gt;1&lt;/C&gt;&lt;D xsi:type="xsd:double"&gt;2749310551.39&lt;/D&gt;&lt;/FQL&gt;&lt;FQL&gt;&lt;Q&gt;LU0661986264^MSTAR_TNA_FUND_LEVEL(45131,45131)&lt;/Q&gt;&lt;R&gt;1&lt;/R&gt;&lt;C&gt;1&lt;/C&gt;&lt;D xsi:type="xsd:double"&gt;108936110.77&lt;/D&gt;&lt;/FQL&gt;&lt;FQL&gt;&lt;Q&gt;LU2022049295^MSTAR_TNA_FUND_LEVEL(45131,45131)&lt;/Q&gt;&lt;R&gt;1&lt;/R&gt;&lt;C&gt;1&lt;/C&gt;&lt;D xsi:type="xsd:double"&gt;69966525.08&lt;/D&gt;&lt;/FQL&gt;&lt;FQL&gt;&lt;Q&gt;LU1103304132^MSTAR_TNA_FUND_LEVEL(45131,45131)&lt;/Q&gt;&lt;R&gt;1&lt;/R&gt;&lt;C&gt;1&lt;/C&gt;&lt;D xsi:type="xsd:double"&gt;331534382.35&lt;/D&gt;&lt;/FQL&gt;&lt;FQL&gt;&lt;Q&gt;FR0011400738^MSTAR_TNA_FUND_LEVEL(45131,45131)&lt;/Q&gt;&lt;R&gt;1&lt;/R&gt;&lt;C&gt;1&lt;/C&gt;&lt;D xsi:type="xsd:double"&gt;131235700&lt;/D&gt;&lt;/FQL&gt;&lt;FQL&gt;&lt;Q&gt;FR0011400738^FIRST_DATE_AV(MSTAR_PRICE(45131,45131-10D,,"NAV"),P_DATE(45131,45131-10D,,"DATEI"))&lt;/Q&gt;&lt;R&gt;1&lt;/R&gt;&lt;C&gt;1&lt;/C&gt;&lt;D xsi:type="xsd:string"&gt;24/07/2023&lt;/D&gt;&lt;/FQL&gt;&lt;FQL&gt;&lt;Q&gt;EURUSD^FG_PRICE(45131,45131)&lt;/Q&gt;&lt;R&gt;1&lt;/R&gt;&lt;C&gt;1&lt;/C&gt;&lt;D xsi:type="xsd:double"&gt;1.1079999&lt;/D&gt;&lt;/FQL&gt;&lt;FQL&gt;&lt;Q&gt;FR0011408426^FIRST_ITEM_AV(MSTAR_PRICE(45131,45131-10D,,"NAV"))&lt;/Q&gt;&lt;R&gt;1&lt;/R&gt;&lt;C&gt;1&lt;/C&gt;&lt;D xsi:type="xsd:double"&gt;127.7&lt;/D&gt;&lt;/FQL&gt;&lt;FQL&gt;&lt;Q&gt;FR0011408426^FIRST_ITEM_AV(MSTAR_PRICE(45131-1D,45131-10D,D,"NAV"))&lt;/Q&gt;&lt;R&gt;1&lt;/R&gt;&lt;C&gt;1&lt;/C&gt;&lt;D xsi:type="xsd:double"&gt;127.65&lt;/D&gt;&lt;/FQL&gt;&lt;FQL&gt;&lt;Q&gt;FR0013202140^FIRST_ITEM_AV(MSTAR_PRICE(45131,45131-10D,,"NAV"))&lt;/Q&gt;&lt;R&gt;1&lt;/R&gt;&lt;C&gt;1&lt;/C&gt;&lt;D xsi:type="xsd:double"&gt;5477.77&lt;/D&gt;&lt;/FQL&gt;&lt;FQL&gt;&lt;Q&gt;FR0013202140^FIRST_ITEM_AV(MSTAR_PRICE(45131-1D,45131-10D,D,"NAV"))&lt;/Q&gt;&lt;R&gt;1&lt;/R&gt;&lt;C&gt;1&lt;/C&gt;&lt;D xsi:type="xsd:double"&gt;5480.24&lt;/D&gt;&lt;/FQL&gt;&lt;FQL&gt;&lt;Q&gt;FR0000097495^FIRST_ITEM_AV(MSTAR_PRICE(45131,45131-10D,,"NAV"))&lt;/Q&gt;&lt;R&gt;1&lt;/R&gt;&lt;C&gt;1&lt;/C&gt;&lt;D xsi:type="xsd:double"&gt;106.94&lt;/D&gt;&lt;/FQL&gt;&lt;FQL&gt;&lt;Q&gt;FR0000097495^FIRST_ITEM_AV(MSTAR_PRICE(45131-1D,45131-10D,D,"NAV"))&lt;/Q&gt;&lt;R&gt;1&lt;/R&gt;&lt;C&gt;1&lt;/C&gt;&lt;D xsi:type="xsd:double"&gt;106.86&lt;/D&gt;&lt;/FQL&gt;&lt;FQL&gt;&lt;Q&gt;FR0013496213^FIRST_ITEM_AV(MSTAR_PRICE(45131,45131-10D,,"NAV"))&lt;/Q&gt;&lt;R&gt;1&lt;/R&gt;&lt;C&gt;1&lt;/C&gt;&lt;D xsi:type="xsd:double"&gt;1040.08&lt;/D&gt;&lt;/FQL&gt;&lt;FQL&gt;&lt;Q&gt;FR0013496213^FIRST_ITEM_AV(MSTAR_PRICE(45131-1D,45131-10D,D,"NAV"))&lt;/Q&gt;&lt;R&gt;1&lt;/R&gt;&lt;C&gt;1&lt;/C&gt;&lt;D xsi:type="xsd:double"&gt;1039.69&lt;/D&gt;&lt;/FQL&gt;&lt;FQL&gt;&lt;Q&gt;FR0000098683^FIRST_ITEM_AV(MSTAR_PRICE(45131,45131-10D,,"NAV"))&lt;/Q&gt;&lt;R&gt;1&lt;/R&gt;&lt;C&gt;1&lt;/C&gt;&lt;D xsi:type="xsd:double"&gt;1735.07&lt;/D&gt;&lt;/FQL&gt;&lt;FQL&gt;&lt;Q&gt;FR0000098683^FIRST_ITEM_AV(MSTAR_PRICE(45131-1D,45131-10D,D,"NAV"))&lt;/Q&gt;&lt;R&gt;1&lt;/R&gt;&lt;C&gt;1&lt;/C&gt;&lt;D xsi:type="xsd:double"&gt;1732.43&lt;/D&gt;&lt;/FQL&gt;&lt;FQL&gt;&lt;Q&gt;FR0013432143^FIRST_ITEM_AV(MSTAR_PRICE(45131,45131-10D,,"NAV"))&lt;/Q&gt;&lt;R&gt;1&lt;/R&gt;&lt;C&gt;1&lt;/C&gt;&lt;D xsi:type="xsd:double"&gt;1166.82&lt;/D&gt;&lt;/FQL&gt;&lt;FQL&gt;&lt;Q&gt;FR0013432143^FIRST_ITEM_AV(MSTAR_PRICE(45131-1D,45131-10D,D,"NAV"))&lt;/Q&gt;&lt;R&gt;1&lt;/R&gt;&lt;C&gt;1&lt;/C&gt;&lt;D xsi:type="xsd:double"&gt;1168.24&lt;/D&gt;&lt;/FQL&gt;&lt;FQL&gt;&lt;Q&gt;LU0438548280^FIRST_ITEM_AV(MSTAR_PRICE(45131,45131-10D,,"NAV"))&lt;/Q&gt;&lt;R&gt;1&lt;/R&gt;&lt;C&gt;1&lt;/C&gt;&lt;D xsi:type="xsd:double"&gt;122.674&lt;/D&gt;&lt;/FQL&gt;&lt;FQL&gt;&lt;Q&gt;LU0438548280^FIRST_ITEM_AV(MSTAR_PRICE(45131-1D,45131-10D,D,"NAV"))&lt;/Q&gt;&lt;R&gt;1&lt;/R&gt;&lt;C&gt;1&lt;/C&gt;&lt;D xsi:type="xsd:double"&gt;122.597&lt;/D&gt;&lt;/FQL&gt;&lt;FQL&gt;&lt;Q&gt;LU0113258742^FIRST_ITEM_AV(MSTAR_PRICE(45131,45131-10D,,"NAV"))&lt;/Q&gt;&lt;R&gt;1&lt;/R&gt;&lt;C&gt;1&lt;/C&gt;&lt;D xsi:type="xsd:double"&gt;23.4911&lt;/D&gt;&lt;/FQL&gt;&lt;FQL&gt;&lt;Q&gt;LU0113258742^FIRST_ITEM_AV(MSTAR_PRICE(45131-1D,45131-10D,D,"NAV"))&lt;/Q&gt;&lt;R&gt;1&lt;/R&gt;&lt;C&gt;1&lt;/C&gt;&lt;D xsi:type="xsd:double"&gt;23.4192&lt;/D&gt;&lt;/FQL&gt;&lt;FQL&gt;&lt;Q&gt;LU1694789378^FIRST_ITEM_AV(MSTAR_PRICE(45131,45131-10D,,"NAV"))&lt;/Q&gt;&lt;R&gt;1&lt;/R&gt;&lt;C&gt;1&lt;/C&gt;&lt;D xsi:type="xsd:double"&gt;121.23&lt;/D&gt;&lt;/FQL&gt;&lt;FQL&gt;&lt;Q&gt;LU1694789378^FIRST_ITEM_AV(MSTAR_PRICE(45131-1D,45131-10D,D,"NAV"))&lt;/Q&gt;&lt;R&gt;1&lt;/R&gt;&lt;C&gt;1&lt;/C&gt;&lt;D xsi:type="xsd:double"&gt;121.12&lt;/D&gt;&lt;/FQL&gt;&lt;FQL&gt;&lt;Q&gt;LU1876459725^FIRST_ITEM_AV(MSTAR_PRICE(45131,45131-10D,,"NAV"))&lt;/Q&gt;&lt;R&gt;1&lt;/R&gt;&lt;C&gt;1&lt;/C&gt;&lt;D xsi:type="xsd:double"&gt;1162.7&lt;/D&gt;&lt;/FQL&gt;&lt;FQL&gt;&lt;Q&gt;LU1876459725^FIRST_ITEM_AV(MSTAR_PRICE(45131-1D,45131-10D,D,"NAV"))&lt;/Q&gt;&lt;R&gt;1&lt;/R&gt;&lt;C&gt;1&lt;/C&gt;&lt;D xsi:type="xsd:double"&gt;1162&lt;/D&gt;&lt;/FQL&gt;&lt;FQL&gt;&lt;Q&gt;FR0013302965^FIRST_ITEM_AV(MSTAR_PRICE(45131,45131-10D,,"NAV"))&lt;/Q&gt;&lt;R&gt;1&lt;/R&gt;&lt;C&gt;1&lt;/C&gt;&lt;D xsi:type="xsd:double"&gt;1004.51&lt;/D&gt;&lt;/FQL&gt;&lt;FQL&gt;&lt;Q&gt;FR0013302965^FIRST_ITEM_AV(MSTAR_PRICE(45131-1D,45131-10D,D,"NAV"))&lt;/Q&gt;&lt;R&gt;1&lt;/R&gt;&lt;C&gt;1&lt;/C&gt;&lt;D xsi:type="xsd:double"&gt;1005.08&lt;/D&gt;&lt;/FQL&gt;&lt;FQL&gt;&lt;Q&gt;FR0011381227^FIRST_ITEM_AV(MSTAR_PRICE(45131,45131-10D,,"NAV"))&lt;/Q&gt;&lt;R&gt;1&lt;/R&gt;&lt;C&gt;1&lt;/C&gt;&lt;D xsi:type="xsd:double"&gt;101546.13&lt;/D&gt;&lt;/FQL&gt;&lt;FQL&gt;&lt;Q&gt;FR0011381227^FIRST_ITEM_AV(MSTAR_PRICE(45131-1D,45131-10D,D,"NAV"))&lt;/Q&gt;&lt;R&gt;1&lt;/R&gt;&lt;C&gt;1&lt;/C&gt;&lt;D xsi:type="xsd:double"&gt;101504.71&lt;/D&gt;&lt;/FQL&gt;&lt;FQL&gt;&lt;Q&gt;FR0000009987^FIRST_ITEM_AV(MSTAR_PRICE(45131,45131-10D,,"NAV"))&lt;/Q&gt;&lt;R&gt;1&lt;/R&gt;&lt;C&gt;1&lt;/C&gt;&lt;D xsi:type="xsd:double"&gt;191720.49&lt;/D&gt;&lt;/FQL&gt;&lt;FQL&gt;&lt;Q&gt;FR0000009987^FIRST_ITEM_AV(MSTAR_PRICE(45131-1D,45131-10D,D,"NAV"))&lt;/Q&gt;&lt;R&gt;1&lt;/R&gt;&lt;C&gt;1&lt;/C&gt;&lt;D xsi:type="xsd:double"&gt;191701.7&lt;/D&gt;&lt;/FQL&gt;&lt;FQL&gt;&lt;Q&gt;LU0638557669^FIRST_ITEM_AV(MSTAR_PRICE(45131,45131-10D,,"NAV"))&lt;/Q&gt;&lt;R&gt;1&lt;/R&gt;&lt;C&gt;1&lt;/C&gt;&lt;D xsi:type="xsd:double"&gt;1.5528&lt;/D&gt;&lt;/FQL&gt;&lt;FQL&gt;&lt;Q&gt;LU0638557669^FIRST_ITEM_AV(MSTAR_PRICE(45131-1D,45131-10D,D,"NAV"))&lt;/Q&gt;&lt;R&gt;1&lt;/R&gt;&lt;C&gt;1&lt;/C&gt;&lt;D xsi:type="xsd:double"&gt;1.5493&lt;/D&gt;&lt;/FQL&gt;&lt;FQL&gt;&lt;Q&gt;LU1569900605^FIRST_ITEM_AV(MSTAR_PRICE(45131,45131-10D,,"NAV"))&lt;/Q&gt;&lt;R&gt;1&lt;/R&gt;&lt;C&gt;1&lt;/C&gt;&lt;D xsi:type="xsd:double"&gt;1178&lt;/D&gt;&lt;/FQL&gt;&lt;FQL&gt;&lt;Q&gt;LU1569900605^FIRST_ITEM_AV(MSTAR_PRICE(45131-1D,45131-10D,D,"NAV"))&lt;/Q&gt;&lt;R&gt;1&lt;/R&gt;&lt;C&gt;1&lt;/C&gt;&lt;D xsi:type="xsd:double"&gt;1177.978&lt;/D&gt;&lt;/FQL&gt;&lt;FQL&gt;&lt;Q&gt;LU1331973468^FIRST_ITEM_AV(MSTAR_PRICE(45131,45131-10D,,"NAV"))&lt;/Q&gt;&lt;R&gt;1&lt;/R&gt;&lt;C&gt;1&lt;/C&gt;&lt;D xsi:type="xsd:double"&gt;141.62&lt;/D&gt;&lt;/FQL&gt;&lt;FQL&gt;&lt;Q&gt;LU1331973468^FIRST_ITEM_AV(MSTAR_PRICE(45131-1D,45131-10D,D,"NAV"))&lt;/Q&gt;&lt;R&gt;1&lt;/R&gt;&lt;C&gt;1&lt;/C&gt;&lt;D xsi:type="xsd:double"&gt;141.92&lt;/D&gt;&lt;/FQL&gt;&lt;FQL&gt;&lt;Q&gt;FR0013456886^FIRST_ITEM_AV(MSTAR_PRICE(45131,45131-10D,,"NAV"))&lt;/Q&gt;&lt;R&gt;1&lt;/R&gt;&lt;C&gt;1&lt;/C&gt;&lt;D xsi:type="xsd:double"&gt;151.87&lt;/D&gt;&lt;/FQL&gt;&lt;FQL&gt;&lt;Q&gt;FR0013456886^FIRST_ITEM_AV(MSTAR_PRICE(45131-1D,45131-10D,D,"NAV"))&lt;/Q&gt;&lt;R&gt;1&lt;/R&gt;&lt;C&gt;1&lt;/C&gt;&lt;D xsi:type="xsd:double"&gt;151.23&lt;/D&gt;&lt;/FQL&gt;&lt;FQL&gt;&lt;Q&gt;FR0011646454^FIRST_ITEM_AV(MSTAR_PRICE(45131,45131-10D,,"NAV"))&lt;/Q&gt;&lt;R&gt;1&lt;/R&gt;&lt;C&gt;1&lt;/C&gt;&lt;D xsi:type="xsd:double"&gt;2450.09&lt;/D&gt;&lt;/FQL&gt;&lt;FQL&gt;&lt;Q&gt;FR0011646454^FIRST_ITEM_AV(MSTAR_PRICE(45131-1D,45131-10D,D,"NAV"))&lt;/Q&gt;&lt;R&gt;1&lt;/R&gt;&lt;C&gt;1&lt;/C&gt;&lt;D xsi:type="xsd:double"&gt;2465.22&lt;/D&gt;&lt;/FQL&gt;&lt;FQL&gt;&lt;Q&gt;LU2261172709^FIRST_ITEM_AV(MSTAR_PRICE(45131,45131-10D,,"NAV"))&lt;/Q&gt;&lt;R&gt;1&lt;/R&gt;&lt;C&gt;1&lt;/C&gt;&lt;D xsi:type="xsd:double"&gt;1121.499&lt;/D&gt;&lt;/FQL&gt;&lt;FQL&gt;&lt;Q&gt;LU2261172709^FIRST_ITEM_AV(MSTAR_PRICE(45131-1D,45131-10D,D,"NAV"))&lt;/Q&gt;&lt;R&gt;1&lt;/R&gt;&lt;C&gt;1&lt;/C&gt;&lt;D xsi:type="xsd:double"&gt;1116.58&lt;/D&gt;&lt;/FQL&gt;&lt;FQL&gt;&lt;Q&gt;FR0013179603^FIRST_ITEM_AV(MSTAR_PRICE(45131,45131-10D,,"NAV"))&lt;/Q&gt;&lt;R&gt;1&lt;/R&gt;&lt;C&gt;1&lt;/C&gt;&lt;D xsi:type="xsd:double"&gt;888.25&lt;/D&gt;&lt;/FQL&gt;&lt;FQL&gt;&lt;Q&gt;FR0013179603^FIRST_ITEM_AV(MSTAR_PRICE(45131-1D,45131-10D,D,"NAV"))&lt;/Q&gt;&lt;R&gt;1&lt;/R&gt;&lt;C&gt;1&lt;/C&gt;&lt;D xsi:type="xsd:double"&gt;886.24&lt;/D&gt;&lt;/FQL&gt;&lt;FQL&gt;&lt;Q&gt;LU0661986264^FIRST_ITEM_AV(MSTAR_PRICE(45131,45131-10D,,"NAV"))&lt;/Q&gt;&lt;R&gt;1&lt;/R&gt;&lt;C&gt;1&lt;/C&gt;&lt;D xsi:type="xsd:double"&gt;203.11&lt;/D&gt;&lt;/FQL&gt;&lt;FQL&gt;&lt;Q&gt;LU0661986264^FIRST_ITEM_AV(MSTAR_PRICE(45131-1D,45131-10D,D,"NAV"))&lt;/Q&gt;&lt;R&gt;1&lt;/R&gt;&lt;C&gt;1&lt;/C&gt;&lt;D xsi:type="xsd:double"&gt;203.59&lt;/D&gt;&lt;/FQL&gt;&lt;FQL&gt;&lt;Q&gt;LU2022049295^FIRST_ITEM_AV(MSTAR_PRICE(45131,45131-10D,,"NAV"))&lt;/Q&gt;&lt;R&gt;1&lt;/R&gt;&lt;C&gt;1&lt;/C&gt;&lt;D xsi:type="xsd:double"&gt;220.1&lt;/D&gt;&lt;/FQL&gt;&lt;FQL&gt;&lt;Q&gt;LU2022049295^FIRST_ITEM_AV(MSTAR_PRICE(45131-1D,45131-10D,D,"NAV"))&lt;/Q&gt;&lt;R&gt;1&lt;/R&gt;&lt;C&gt;1&lt;/C&gt;&lt;D xsi:type="xsd:double"&gt;219.76&lt;/D&gt;&lt;/FQL&gt;&lt;FQL&gt;&lt;Q&gt;LU1103304132^FIRST_ITEM_AV(MSTAR_PRICE(45131,45131-10D,,"NAV"))&lt;/Q&gt;&lt;R&gt;1&lt;/R&gt;&lt;C&gt;1&lt;/C&gt;&lt;D xsi:type="xsd:double"&gt;403.12&lt;/D&gt;&lt;/FQL&gt;&lt;FQL&gt;&lt;Q&gt;LU1103304132^FIRST_ITEM_AV(MSTAR_PRICE(45131-1D,45131-10D,D,"NAV"))&lt;/Q&gt;&lt;R&gt;1&lt;/R&gt;&lt;C&gt;1&lt;/C&gt;&lt;D xsi:type="xsd:double"&gt;398.14&lt;/D&gt;&lt;/FQL&gt;&lt;FQL&gt;&lt;Q&gt;FR0011400738^FIRST_ITEM_AV(MSTAR_PRICE(45131,45131-10D,,"NAV"))&lt;/Q&gt;&lt;R&gt;1&lt;/R&gt;&lt;C&gt;1&lt;/C&gt;&lt;D xsi:type="xsd:double"&gt;67414.37&lt;/D&gt;&lt;/FQL&gt;&lt;FQL&gt;&lt;Q&gt;FR0011400738^FIRST_ITEM_AV(MSTAR_PRICE(45131-1D,45131-10D,D,"NAV"))&lt;/Q&gt;&lt;R&gt;1&lt;/R&gt;&lt;C&gt;1&lt;/C&gt;&lt;D xsi:type="xsd:double"&gt;67288.21&lt;/D&gt;&lt;/FQL&gt;&lt;FQL&gt;&lt;Q&gt;FR0011400738^FIRST_DATE_AV(MSTAR_PRICE(45132,45132-10D,,"NAV"),P_DATE(45132,45132-10D,,"DATEI"))&lt;/Q&gt;&lt;R&gt;1&lt;/R&gt;&lt;C&gt;1&lt;/C&gt;&lt;D xsi:type="xsd:string"&gt;25/07/2023&lt;/D&gt;&lt;/FQL&gt;&lt;FQL&gt;&lt;Q&gt;LU2022049295^P_CURRENCY("ISO")&lt;/Q&gt;&lt;R&gt;1&lt;/R&gt;&lt;C&gt;1&lt;/C&gt;&lt;D xsi:type="xsd:string"&gt;EUR&lt;/D&gt;&lt;/FQL&gt;&lt;FQL&gt;&lt;Q&gt;LHMN2500^FG_TRET_PCHG_IDX(45131,0CY,,EUR,"NET")&lt;/Q&gt;&lt;R&gt;1&lt;/R&gt;&lt;C&gt;1&lt;/C&gt;&lt;D xsi:type="xsd:double"&gt;5.59314277725522&lt;/D&gt;&lt;/FQL&gt;&lt;FQL&gt;&lt;Q&gt;LHMN9006^FG_TRET_PCHG_IDX(45131,0CY,,EUR,"NET")&lt;/Q&gt;&lt;R&gt;1&lt;/R&gt;&lt;C&gt;1&lt;/C&gt;&lt;D xsi:type="xsd:double"&gt;2.5294852390507&lt;/D&gt;&lt;/FQL&gt;&lt;FQL&gt;&lt;Q&gt;892400^FG_TRET_PCHG_IDX(45131,0CY,,EUR,"NET")&lt;/Q&gt;&lt;R&gt;1&lt;/R&gt;&lt;C&gt;1&lt;/C&gt;&lt;D xsi:type="xsd:double"&gt;12.46009570617&lt;/D&gt;&lt;/FQL&gt;&lt;FQL&gt;&lt;Q&gt;COMP^FG_PRICE(45131,,,EUR)/FG_PRICE(44926,,,EUR)-1&lt;/Q&gt;&lt;R&gt;1&lt;/R&gt;&lt;C&gt;1&lt;/C&gt;&lt;D xsi:type="xsd:double"&gt;0.293826305470276&lt;/D&gt;&lt;/FQL&gt;&lt;FQL&gt;&lt;Q&gt;SP50^FG_TRET_PCHG_IDX(45131,0CY,,EUR,"NET")&lt;/Q&gt;&lt;R&gt;1&lt;/R&gt;&lt;C&gt;1&lt;/C&gt;&lt;D xsi:type="xsd:double"&gt;15.0001014003375&lt;/D&gt;&lt;/FQL&gt;&lt;FQL&gt;&lt;Q&gt;183659^FG_TRET_PCHG_IDX(45131,0CY,,EUR,"NET")&lt;/Q&gt;&lt;R&gt;1&lt;/R&gt;&lt;C&gt;1&lt;/C&gt;&lt;D xsi:type="xsd:double"&gt;15.4895601527649&lt;/D&gt;&lt;/FQL&gt;&lt;FQL&gt;&lt;Q&gt;PXL-ENX^FG_TRET_PCHG_IDX(45131,0CY,,EUR,"NET")&lt;/Q&gt;&lt;R&gt;1&lt;/R&gt;&lt;C&gt;1&lt;/C&gt;&lt;D xsi:type="xsd:double"&gt;17.1521576105915&lt;/D&gt;&lt;/FQL&gt;&lt;FQL&gt;&lt;Q&gt;LHMN2500^FG_TRET_PCHG_IDX(45131,0CM,,EUR,"NET")&lt;/Q&gt;&lt;R&gt;1&lt;/R&gt;&lt;C&gt;1&lt;/C&gt;&lt;D xsi:type="xsd:double"&gt;0.764852585499054&lt;/D&gt;&lt;/FQL&gt;&lt;FQL&gt;&lt;Q&gt;LHMN9006^FG_TRET_PCHG_IDX(45131,0CM,,EUR,"NET")&lt;/Q&gt;&lt;R&gt;1&lt;/R&gt;&lt;C&gt;1&lt;/C&gt;&lt;D xsi:type="xsd:double"&gt;0.259963858538503&lt;/D&gt;&lt;/FQL&gt;&lt;FQL&gt;&lt;Q&gt;892400^FG_TRET_PCHG_IDX(45131,0CM,,EUR,"NET")&lt;/Q&gt;&lt;R&gt;1&lt;/R&gt;&lt;C&gt;1&lt;/C&gt;&lt;D xsi:type="xsd:double"&gt;0.90256574886054&lt;/D&gt;&lt;/FQL&gt;&lt;FQL&gt;&lt;Q&gt;SP50^FG_TRET_PCHG_IDX(45131,0CM,,EUR,"NET")&lt;/Q&gt;&lt;R&gt;1&lt;/R&gt;&lt;C&gt;1&lt;/C&gt;&lt;D xsi:type="xsd:double"&gt;0.823948393855667&lt;/D&gt;&lt;/FQL&gt;&lt;FQL&gt;&lt;Q&gt;183659^FG_TRET_PCHG_IDX(45131,0CM,,EUR,"NET")&lt;/Q&gt;&lt;R&gt;1&lt;/R&gt;&lt;C&gt;1&lt;/C&gt;&lt;D xsi:type="xsd:double"&gt;0.596246300894032&lt;/D&gt;&lt;/FQL&gt;&lt;FQL&gt;&lt;Q&gt;PXL-ENX^FG_TRET_PCHG_IDX(45131,0CM,,EUR,"NET")&lt;/Q&gt;&lt;R&gt;1&lt;/R&gt;&lt;C&gt;1&lt;/C&gt;&lt;D xsi:type="xsd:double"&gt;0.426289516683753&lt;/D&gt;&lt;/FQL&gt;&lt;FQL&gt;&lt;Q&gt;^P_EXCH_RATE(USD,EUR,45128,45128)&lt;/Q&gt;&lt;R&gt;1&lt;/R&gt;&lt;C&gt;1&lt;/C&gt;&lt;D xsi:type="xsd:double"&gt;0.8998066&lt;/D&gt;&lt;/FQL&gt;&lt;FQL&gt;&lt;Q&gt;LHMN2500^FG_TRET_PCHG_IDX(45131,45128,,EUR,"NET")&lt;/Q&gt;&lt;R&gt;1&lt;/R&gt;&lt;C&gt;1&lt;/C&gt;&lt;D xsi:type="xsd:double"&gt;0.101386635222545&lt;/D&gt;&lt;/FQL&gt;&lt;FQL&gt;&lt;Q&gt;LHMN9006^FG_TRET_PCHG_IDX(45131,45128,,EUR,"NET")&lt;/Q&gt;&lt;R&gt;1&lt;/R&gt;&lt;C&gt;1&lt;/C&gt;&lt;D xsi:type="xsd:double"&gt;0.232004538514241&lt;/D&gt;&lt;/FQL&gt;&lt;FQL&gt;&lt;Q&gt;892400^FG_TRET_PCHG_IDX(45131,45128,,EUR,"NET")&lt;/Q&gt;&lt;R&gt;1&lt;/R&gt;&lt;C&gt;1&lt;/C&gt;&lt;D xsi:type="xsd:double"&gt;0.553208783913561&lt;/D&gt;&lt;/FQL&gt;&lt;FQL&gt;&lt;Q&gt;COMP^FG_PRICE(45131,,,EUR)/FG_PRICE(45128,,,EUR)-1&lt;/Q&gt;&lt;R&gt;1&lt;/R&gt;&lt;C&gt;1&lt;/C&gt;&lt;D xsi:type="xsd:double"&gt;0.00488626977043283&lt;/D&gt;&lt;/FQL&gt;&lt;FQL&gt;&lt;Q&gt;SP50^FG_TRET_PCHG_IDX(45131,45128,,EUR,"NET")&lt;/Q&gt;&lt;R&gt;1&lt;/R&gt;&lt;C&gt;1&lt;/C&gt;&lt;D xsi:type="xsd:double"&gt;0.70815409611098&lt;/D&gt;&lt;/FQL&gt;&lt;FQL&gt;&lt;Q&gt;183659^FG_TRET_PCHG_IDX(45131,45128,,EUR,"NET")&lt;/Q&gt;&lt;R&gt;1&lt;/R&gt;&lt;C&gt;1&lt;/C&gt;&lt;D xsi:type="xsd:double"&gt;-0.0906121512229019&lt;/D&gt;&lt;/FQL&gt;&lt;FQL&gt;&lt;Q&gt;PXL-ENX^FG_TRET_PCHG_IDX(45131,45128,,EUR,"NET")&lt;/Q&gt;&lt;R&gt;1&lt;/R&gt;&lt;C&gt;1&lt;/C&gt;&lt;D xsi:type="xsd:double"&gt;-0.0735055066082957&lt;/D&gt;&lt;/FQL&gt;&lt;FQL&gt;&lt;Q&gt;FR0011408426^MSTAR_TNA_FUND_LEVEL(45128,45128)&lt;/Q&gt;&lt;R&gt;1&lt;/R&gt;&lt;C&gt;1&lt;/C&gt;&lt;D xsi:type="xsd:double"&gt;239930235.07&lt;/D&gt;&lt;/FQL&gt;&lt;FQL&gt;&lt;Q&gt;FR0013202140^MSTAR_TNA_FUND_LEVEL(45128,45128)&lt;/Q&gt;&lt;R&gt;1&lt;/R&gt;&lt;C&gt;1&lt;/C&gt;&lt;D xsi:type="xsd:double"&gt;214409265.28&lt;/D&gt;&lt;/FQL&gt;&lt;FQL&gt;&lt;Q&gt;FR0000097495^MSTAR_TNA_FUND_LEVEL(45128,45128)&lt;/Q&gt;&lt;R&gt;1&lt;/R&gt;&lt;C&gt;1&lt;/C&gt;&lt;D xsi:type="xsd:double"&gt;294523728.2&lt;/D&gt;&lt;/FQL&gt;&lt;FQL&gt;&lt;Q&gt;FR0013496213^MSTAR_TNA_FUND_LEVEL(45128,45128)&lt;/Q&gt;&lt;R&gt;1&lt;/R&gt;&lt;C&gt;1&lt;/C&gt;&lt;D xsi:type="xsd:double"&gt;271298995.69&lt;/D&gt;&lt;/FQL&gt;&lt;FQL&gt;&lt;Q&gt;FR0000098683^MSTAR_TNA_FUND_LEVEL(45128,45128)&lt;/Q&gt;&lt;R&gt;1&lt;/R&gt;&lt;C&gt;1&lt;/C&gt;&lt;D xsi:type="xsd:double"&gt;3765585974.82&lt;/D&gt;&lt;/FQL&gt;&lt;FQL&gt;&lt;Q&gt;FR0013432143^MSTAR_TNA_FUND_LEVEL(45128,45128)&lt;/Q&gt;&lt;R&gt;1&lt;/R&gt;&lt;C&gt;1&lt;/C&gt;&lt;D xsi:type="xsd:double"&gt;1219378563.89&lt;/D&gt;&lt;/FQL&gt;&lt;FQL&gt;&lt;Q&gt;LU0438548280^MSTAR_TNA_FUND_LEVEL(45128,45128)&lt;/Q&gt;&lt;R&gt;1&lt;/R&gt;&lt;C&gt;1&lt;/C&gt;&lt;D xsi:type="xsd:double"&gt;159727191.37&lt;/D&gt;&lt;/FQL&gt;&lt;FQL&gt;&lt;Q&gt;LU0113258742^MSTAR_TNA_FUND_LEVEL(45128,45128)&lt;/Q&gt;&lt;R&gt;1&lt;/R&gt;&lt;C&gt;1&lt;/C&gt;&lt;D xsi:type="xsd:double"&gt;8755141198.7&lt;/D&gt;&lt;/FQL&gt;&lt;FQL&gt;&lt;Q&gt;LU1694789378^MSTAR_TNA_FUND_LEVEL(45128,45128)&lt;/Q&gt;&lt;R&gt;1&lt;/R&gt;&lt;C&gt;1&lt;/C&gt;&lt;D xsi:type="xsd:double"&gt;7311145400.05&lt;/D&gt;&lt;/FQL&gt;&lt;FQL&gt;&lt;Q&gt;LU1876459725^MSTAR_TNA_FUND_LEVEL(45128,45128)&lt;/Q&gt;&lt;R&gt;1&lt;/R&gt;&lt;C&gt;1&lt;/C&gt;&lt;D xsi:type="xsd:double"&gt;447075286&lt;/D&gt;&lt;/FQL&gt;&lt;FQL&gt;&lt;Q&gt;FR0013302965^MSTAR_TNA_FUND_LEVEL(45128,45128)&lt;/Q&gt;&lt;R&gt;1&lt;/R&gt;&lt;C&gt;1&lt;/C&gt;&lt;D xsi:type="xsd:double"&gt;66080561.03&lt;/D&gt;&lt;/FQL&gt;&lt;FQL&gt;&lt;Q&gt;FR0011381227^MSTAR_TNA_FUND_LEVEL(45128,45128)&lt;/Q&gt;&lt;R&gt;1&lt;/R&gt;&lt;C&gt;1&lt;/C&gt;&lt;D xsi:type="xsd:double"&gt;4365139781.95&lt;/D&gt;&lt;/FQL&gt;&lt;FQL&gt;&lt;Q&gt;FR0000009987^MSTAR_TNA_FUND_LEVEL(45128,45128)&lt;/Q&gt;&lt;R&gt;1&lt;/R&gt;&lt;C&gt;1&lt;/C&gt;&lt;D xsi:type="xsd:double"&gt;11372602977&lt;/D&gt;&lt;/FQL&gt;&lt;FQL&gt;&lt;Q&gt;LU0638557669^MSTAR_TNA_FUND_LEVEL(45128,45128)&lt;/Q&gt;&lt;R&gt;1&lt;/R&gt;&lt;C&gt;1&lt;/C&gt;&lt;D xsi:type="xsd:double"&gt;6199509286.96&lt;/D&gt;&lt;/FQL&gt;&lt;FQL&gt;&lt;Q&gt;LU1569900605^MSTAR_TNA_FUND_LEVEL(45128,45128)&lt;/Q&gt;&lt;R&gt;1&lt;/R&gt;&lt;C&gt;1&lt;/C&gt;&lt;D xsi:type="xsd:double"&gt;1096700275.38&lt;/D&gt;&lt;/FQL&gt;&lt;FQL&gt;&lt;Q&gt;LU1331973468^MSTAR_TNA_FUND_LEVEL(45128,45128)&lt;/Q&gt;&lt;R&gt;1&lt;/R&gt;&lt;C&gt;1&lt;/C&gt;&lt;D xsi:type="xsd:double"&gt;3891142325.1&lt;/D&gt;&lt;/FQL&gt;&lt;FQL&gt;&lt;Q&gt;FR0013456886^MSTAR_TNA_FUND_LEVEL(45128,45128)&lt;/Q&gt;&lt;R&gt;1&lt;/R&gt;&lt;C&gt;1&lt;/C&gt;&lt;D xsi:type="xsd:double"&gt;102908706.08&lt;/D&gt;&lt;/FQL&gt;&lt;FQL&gt;&lt;Q&gt;FR0011646454^MSTAR_TNA_FUND_LEVEL(45128,45128)&lt;/Q&gt;&lt;R&gt;1&lt;/R&gt;&lt;C&gt;1&lt;/C&gt;&lt;D xsi:type="xsd:double"&gt;344941326&lt;/D&gt;&lt;/FQL&gt;&lt;FQL&gt;&lt;Q&gt;LU2261172709^MSTAR_TNA_FUND_LEVEL(45128,45128)&lt;/Q&gt;&lt;R&gt;1&lt;/R&gt;&lt;C&gt;1&lt;/C&gt;&lt;D xsi:type="xsd:double"&gt;160354238.67&lt;/D&gt;&lt;/FQL&gt;&lt;FQL&gt;&lt;Q&gt;FR0013179603^MSTAR_TNA_FUND_LEVEL(45128,45128)&lt;/Q&gt;&lt;R&gt;1&lt;/R&gt;&lt;C&gt;1&lt;/C&gt;&lt;D xsi:type="xsd:double"&gt;2749310551.39&lt;/D&gt;&lt;/FQL&gt;&lt;FQL&gt;&lt;Q&gt;LU0661986264^MSTAR_TNA_FUND_LEVEL(45128,45128)&lt;/Q&gt;&lt;R&gt;1&lt;/R&gt;&lt;C&gt;1&lt;/C&gt;&lt;D xsi:type="xsd:double"&gt;108936110.77&lt;/D&gt;&lt;/FQL&gt;&lt;FQL&gt;&lt;Q&gt;LU2022049295^MSTAR_TNA_FUND_LEVEL(45128,45128)&lt;/Q&gt;&lt;R&gt;1&lt;/R&gt;&lt;C&gt;1&lt;/C&gt;&lt;D xsi:type="xsd:double"&gt;69966525.08&lt;/D&gt;&lt;/FQL&gt;&lt;FQL&gt;&lt;Q&gt;LU1103304132^MSTAR_TNA_FUND_LEVEL(45128,45128)&lt;/Q&gt;&lt;R&gt;1&lt;/R&gt;&lt;C&gt;1&lt;/C&gt;&lt;D xsi:type="xsd:double"&gt;331534382.35&lt;/D&gt;&lt;/FQL&gt;&lt;FQL&gt;&lt;Q&gt;FR0011400738^MSTAR_TNA_FUND_LEVEL(45128,45128)&lt;/Q&gt;&lt;R&gt;1&lt;/R&gt;&lt;C&gt;1&lt;/C&gt;&lt;D xsi:type="xsd:double"&gt;131235700&lt;/D&gt;&lt;/FQL&gt;&lt;FQL&gt;&lt;Q&gt;FR0011400738^FIRST_DATE_AV(MSTAR_PRICE(45128,45128-10D,,"NAV"),P_DATE(45128,45128-10D,,"DATEI"))&lt;/Q&gt;&lt;R&gt;1&lt;/R&gt;&lt;C&gt;1&lt;/C&gt;&lt;D xsi:type="xsd:string"&gt;21/07/2023&lt;/D&gt;&lt;/FQL&gt;&lt;FQL&gt;&lt;Q&gt;EURUSD^FG_PRICE(45128,45128)&lt;/Q&gt;&lt;R&gt;1&lt;/R&gt;&lt;C&gt;1&lt;/C&gt;&lt;D xsi:type="xsd:double"&gt;1.1113499&lt;/D&gt;&lt;/FQL&gt;&lt;FQL&gt;&lt;Q&gt;FR0011408426^FIRST_ITEM_AV(MSTAR_PRICE(45128,45128-10D,,"NAV"))&lt;/Q&gt;&lt;R&gt;1&lt;/R&gt;&lt;C&gt;1&lt;/C&gt;&lt;D xsi:type="xsd:double"&gt;127.65&lt;/D&gt;&lt;/FQL&gt;&lt;FQL&gt;&lt;Q&gt;FR0011408426^FIRST_ITEM_AV(MSTAR_PRICE(45128-1D,45128-10D,D,"NAV"))&lt;/Q&gt;&lt;R&gt;1&lt;/R&gt;&lt;C&gt;1&lt;/C&gt;&lt;D xsi:type="xsd:double"&gt;127.61&lt;/D&gt;&lt;/FQL&gt;&lt;FQL&gt;&lt;Q&gt;FR0013202140^FIRST_ITEM_AV(MSTAR_PRICE(45128,45128-10D,,"NAV"))&lt;/Q&gt;&lt;R&gt;1&lt;/R&gt;&lt;C&gt;1&lt;/C&gt;&lt;D xsi:type="xsd:double"&gt;5480.24&lt;/D&gt;&lt;/FQL&gt;&lt;FQL&gt;&lt;Q&gt;FR0013202140^FIRST_ITEM_AV(MSTAR_PRICE(45128-1D,45128-10D,D,"NAV"))&lt;/Q&gt;&lt;R&gt;1&lt;/R&gt;&lt;C&gt;1&lt;/C&gt;&lt;D xsi:type="xsd:double"&gt;5474.42&lt;/D&gt;&lt;/FQL&gt;&lt;FQL&gt;&lt;Q&gt;FR0000097495^FIRST_ITEM_AV(MSTAR_PRICE(45128,45128-10D,,"NAV"))&lt;/Q&gt;&lt;R&gt;1&lt;/R&gt;&lt;C&gt;1&lt;/C&gt;&lt;D xsi:type="xsd:double"&gt;106.86&lt;/D&gt;&lt;/FQL&gt;&lt;FQL&gt;&lt;Q&gt;FR0000097495^FIRST_ITEM_AV(MSTAR_PRICE(45128-1D,45128-10D,D,"NAV"))&lt;/Q&gt;&lt;R&gt;1&lt;/R&gt;&lt;C&gt;1&lt;/C&gt;&lt;D xsi:type="xsd:double"&gt;106.74&lt;/D&gt;&lt;/FQL&gt;&lt;FQL&gt;&lt;Q&gt;FR0013496213^FIRST_ITEM_AV(MSTAR_PRICE(45128,45128-10D,,"NAV"))&lt;/Q&gt;&lt;R&gt;1&lt;/R&gt;&lt;C&gt;1&lt;/C&gt;&lt;D xsi:type="xsd:double"&gt;1039.69&lt;/D&gt;&lt;/FQL&gt;&lt;FQL&gt;&lt;Q&gt;FR0013496213^FIRST_ITEM_AV(MSTAR_PRICE(45128-1D,45128-10D,D,"NAV"))&lt;/Q&gt;&lt;R&gt;1&lt;/R&gt;&lt;C&gt;1&lt;/C&gt;&lt;D xsi:type="xsd:double"&gt;1039.45&lt;/D&gt;&lt;/FQL&gt;&lt;FQL&gt;&lt;Q&gt;FR0000098683^FIRST_ITEM_AV(MSTAR_PRICE(45128,45128-10D,,"NAV"))&lt;/Q&gt;&lt;R&gt;1&lt;/R&gt;&lt;C&gt;1&lt;/C&gt;&lt;D xsi:type="xsd:double"&gt;1732.43&lt;/D&gt;&lt;/FQL&gt;&lt;FQL&gt;&lt;Q&gt;FR0000098683^FIRST_ITEM_AV(MSTAR_PRICE(45128-1D,45128-10D,D,"NAV"))&lt;/Q&gt;&lt;R&gt;1&lt;/R&gt;&lt;C&gt;1&lt;/C&gt;&lt;D xsi:type="xsd:double"&gt;1726.31&lt;/D&gt;&lt;/FQL&gt;&lt;FQL&gt;&lt;Q&gt;FR0013432143^FIRST_ITEM_AV(MSTAR_PRICE(45128,45128-10D,,"NAV"))&lt;/Q&gt;&lt;R&gt;1&lt;/R&gt;&lt;C&gt;1&lt;/C&gt;&lt;D xsi:type="xsd:double"&gt;1168.24&lt;/D&gt;&lt;/FQL&gt;&lt;FQL&gt;&lt;Q&gt;FR0013432143^FIRST_ITEM_AV(MSTAR_PRICE(45128-1D,45128-10D,D,"NAV"))&lt;/Q&gt;&lt;R&gt;1&lt;/R&gt;&lt;C&gt;1&lt;/C&gt;&lt;D xsi:type="xsd:double"&gt;1169.28&lt;/D&gt;&lt;/FQL&gt;&lt;FQL&gt;&lt;Q&gt;LU0438548280^FIRST_ITEM_AV(MSTAR_PRICE(45128,45128-10D,,"NAV"))&lt;/Q&gt;&lt;R&gt;1&lt;/R&gt;&lt;C&gt;1&lt;/C&gt;&lt;D xsi:type="xsd:double"&gt;122.597&lt;/D&gt;&lt;/FQL&gt;&lt;FQL&gt;&lt;Q&gt;LU0438548280^FIRST_ITEM_AV(MSTAR_PRICE(45128-1D,45128-10D,D,"NAV"))&lt;/Q&gt;&lt;R&gt;1&lt;/R&gt;&lt;C&gt;1&lt;/C&gt;&lt;D xsi:type="xsd:double"&gt;122.628&lt;/D&gt;&lt;/FQL&gt;&lt;FQL&gt;&lt;Q&gt;LU0113258742^FIRST_ITEM_AV(MSTAR_PRICE(45128,45128-10D,,"NAV"))&lt;/Q&gt;&lt;R&gt;1&lt;/R&gt;&lt;C&gt;1&lt;/C&gt;&lt;D xsi:type="xsd:double"&gt;23.4192&lt;/D&gt;&lt;/FQL&gt;&lt;FQL&gt;&lt;Q&gt;LU0113258742^FIRST_ITEM_AV(MSTAR_PRICE(45128-1D,45128-10D,D,"NAV"))&lt;/Q&gt;&lt;R&gt;1&lt;/R&gt;&lt;C&gt;1&lt;/C&gt;&lt;D xsi:type="xsd:double"&gt;23.4241&lt;/D&gt;&lt;/FQL&gt;&lt;FQL&gt;&lt;Q&gt;LU1694789378^FIRST_ITEM_AV(MSTAR_PRICE(45128,45128-10D,,"NAV"))&lt;/Q&gt;&lt;R&gt;1&lt;/R&gt;&lt;C&gt;1&lt;/C&gt;&lt;D xsi:type="xsd:double"&gt;121.12&lt;/D&gt;&lt;/FQL&gt;&lt;FQL&gt;&lt;Q&gt;LU1694789378^FIRST_ITEM_AV(MSTAR_PRICE(45128-1D,45128-10D,D,"NAV"))&lt;/Q&gt;&lt;R&gt;1&lt;/R&gt;&lt;C&gt;1&lt;/C&gt;&lt;D xsi:type="xsd:double"&gt;121.18&lt;/D&gt;&lt;/FQL&gt;&lt;FQL&gt;&lt;Q&gt;LU1876459725^FIRST_ITEM_AV(MSTAR_PRICE(45128,45128-10D,,"NAV"))&lt;/Q&gt;&lt;R&gt;1&lt;/R&gt;&lt;C&gt;1&lt;/C&gt;&lt;D xsi:type="xsd:double"&gt;1162&lt;/D&gt;&lt;/FQL&gt;&lt;FQL&gt;&lt;Q&gt;LU1876459725^FIRST_ITEM_AV(MSTAR_PRICE(45128-1D,45128-10D,D,"NAV"))&lt;/Q&gt;&lt;R&gt;1&lt;/R&gt;&lt;C&gt;1&lt;/C&gt;&lt;D xsi:type="xsd:double"&gt;1161.68&lt;/D&gt;&lt;/FQL&gt;&lt;FQL&gt;&lt;Q&gt;FR0013302965^FIRST_ITEM_AV(MSTAR_PRICE(45128,45128-10D,,"NAV"))&lt;/Q&gt;&lt;R&gt;1&lt;/R&gt;&lt;C&gt;1&lt;/C&gt;&lt;D xsi:type="xsd:double"&gt;1005.08&lt;/D&gt;&lt;/FQL&gt;&lt;FQL&gt;&lt;Q&gt;FR0013302965^FIRST_ITEM_AV(MSTAR_PRICE(45128-1D,45128-10D,D,"NAV"))&lt;/Q&gt;&lt;R&gt;1&lt;/R&gt;&lt;C&gt;1&lt;/C&gt;&lt;D xsi:type="xsd:double"&gt;1005&lt;/D&gt;&lt;/FQL&gt;&lt;FQL&gt;&lt;Q&gt;FR0011381227^FIRST_ITEM_AV(MSTAR_PRICE(45128,45128-10D,,"NAV"))&lt;/Q&gt;&lt;R&gt;1&lt;/R&gt;&lt;C&gt;1&lt;/C&gt;&lt;D xsi:type="xsd:double"&gt;101504.71&lt;/D&gt;&lt;/FQL&gt;&lt;FQL&gt;&lt;Q&gt;FR0011381227^FIRST_ITEM_AV(MSTAR_PRICE(45128-1D,45128-10D,D,"NAV"))&lt;/Q&gt;&lt;R&gt;1&lt;/R&gt;&lt;C&gt;1&lt;/C&gt;&lt;D xsi:type="xsd:double"&gt;101504.71&lt;/D&gt;&lt;/FQL&gt;&lt;FQL&gt;&lt;Q&gt;FR0000009987^FIRST_ITEM_AV(MSTAR_PRICE(45128,45128-10D,,"NAV"))&lt;/Q&gt;&lt;R&gt;1&lt;/R&gt;&lt;C&gt;1&lt;/C&gt;&lt;D xsi:type="xsd:double"&gt;191701.7&lt;/D&gt;&lt;/FQL&gt;&lt;FQL&gt;&lt;Q&gt;FR0000009987^FIRST_ITEM_AV(MSTAR_PRICE(45128-1D,45128-10D,D,"NAV"))&lt;/Q&gt;&lt;R&gt;1&lt;/R&gt;&lt;C&gt;1&lt;/C&gt;&lt;D xsi:type="xsd:double"&gt;191646.45&lt;/D&gt;&lt;/FQL&gt;&lt;FQL&gt;&lt;Q&gt;LU0638557669^FIRST_ITEM_AV(MSTAR_PRICE(45128,45128-10D,,"NAV"))&lt;/Q&gt;&lt;R&gt;1&lt;/R&gt;&lt;C&gt;1&lt;/C&gt;&lt;D xsi:type="xsd:double"&gt;1.5493&lt;/D&gt;&lt;/FQL&gt;&lt;FQL&gt;&lt;Q&gt;LU0638557669^FIRST_ITEM_AV(MSTAR_PRICE(45128-1D,45128-10D,D,"NAV"))&lt;/Q&gt;&lt;R&gt;1&lt;/R&gt;&lt;C&gt;1&lt;/C&gt;&lt;D xsi:type="xsd:double"&gt;1.5508&lt;/D&gt;&lt;/FQL&gt;&lt;FQL&gt;&lt;Q&gt;LU1569900605^FIRST_ITEM_AV(MSTAR_PRICE(45128,45128-10D,,"NAV"))&lt;/Q&gt;&lt;R&gt;1&lt;/R&gt;&lt;C&gt;1&lt;/C&gt;&lt;D xsi:type="xsd:double"&gt;1177.978&lt;/D&gt;&lt;/FQL&gt;&lt;FQL&gt;&lt;Q&gt;LU1569900605^FIRST_ITEM_AV(MSTAR_PRICE(45128-1D,45128-10D,D,"NAV"))&lt;/Q&gt;&lt;R&gt;1&lt;/R&gt;&lt;C&gt;1&lt;/C&gt;&lt;D xsi:type="xsd:double"&gt;1177.902&lt;/D&gt;&lt;/FQL&gt;&lt;FQL&gt;&lt;Q&gt;LU1331973468^FIRST_ITEM_AV(MSTAR_PRICE(45128,45128-10D,,"NAV"))&lt;/Q&gt;&lt;R&gt;1&lt;/R&gt;&lt;C&gt;1&lt;/C&gt;&lt;D xsi:type="xsd:double"&gt;141.92&lt;/D&gt;&lt;/FQL&gt;&lt;FQL&gt;&lt;Q&gt;LU1331973468^FIRST_ITEM_AV(MSTAR_PRICE(45128-1D,45128-10D,D,"NAV"))&lt;/Q&gt;&lt;R&gt;1&lt;/R&gt;&lt;C&gt;1&lt;/C&gt;&lt;D xsi:type="xsd:double"&gt;141.53&lt;/D&gt;&lt;/FQL&gt;&lt;FQL&gt;&lt;Q&gt;FR0013456886^FIRST_ITEM_AV(MSTAR_PRICE(45128,45128-10D,,"NAV"))&lt;/Q&gt;&lt;R&gt;1&lt;/R&gt;&lt;C&gt;1&lt;/C&gt;&lt;D xsi:type="xsd:double"&gt;151.23&lt;/D&gt;&lt;/FQL&gt;&lt;FQL&gt;&lt;Q&gt;FR0013456886^FIRST_ITEM_AV(MSTAR_PRICE(45128-1D,45128-10D,D,"NAV"))&lt;/Q&gt;&lt;R&gt;1&lt;/R&gt;&lt;C&gt;1&lt;/C&gt;&lt;D xsi:type="xsd:double"&gt;150.6&lt;/D&gt;&lt;/FQL&gt;&lt;FQL&gt;&lt;Q&gt;FR0011646454^FIRST_ITEM_AV(MSTAR_PRICE(45128,45128-10D,,"NAV"))&lt;/Q&gt;&lt;R&gt;1&lt;/R&gt;&lt;C&gt;1&lt;/C&gt;&lt;D xsi:type="xsd:double"&gt;2465.22&lt;/D&gt;&lt;/FQL&gt;&lt;FQL&gt;&lt;Q&gt;FR0011646454^FIRST_ITEM_AV(MSTAR_PRICE(45128-1D,45128-10D,D,"NAV"))&lt;/Q&gt;&lt;R&gt;1&lt;/R&gt;&lt;C&gt;1&lt;/C&gt;&lt;D xsi:type="xsd:double"&gt;2450.25&lt;/D&gt;&lt;/FQL&gt;&lt;FQL&gt;&lt;Q&gt;LU2261172709^FIRST_ITEM_AV(MSTAR_PRICE(45128,45128-10D,,"NAV"))&lt;/Q&gt;&lt;R&gt;1&lt;/R&gt;&lt;C&gt;1&lt;/C&gt;&lt;D xsi:type="xsd:double"&gt;1116.58&lt;/D&gt;&lt;/FQL&gt;&lt;FQL&gt;&lt;Q&gt;LU2261172709^FIRST_ITEM_AV(MSTAR_PRICE(45128-1D,45128-10D,D,"NAV"))&lt;/Q&gt;&lt;R&gt;1&lt;/R&gt;&lt;C&gt;1&lt;/C&gt;&lt;D xsi:type="xsd:double"&gt;1110.09&lt;/D&gt;&lt;/FQL&gt;&lt;FQL&gt;&lt;Q&gt;FR0013179603^FIRST_ITEM_AV(MSTAR_PRICE(45128,45128-10D,,"NAV"))&lt;/Q&gt;&lt;R&gt;1&lt;/R&gt;&lt;C&gt;1&lt;/C&gt;&lt;D xsi:type="xsd:double"&gt;886.24&lt;/D&gt;&lt;/FQL&gt;&lt;FQL&gt;&lt;Q&gt;FR0013179603^FIRST_ITEM_AV(MSTAR_PRICE(45128-1D,45128-10D,D,"NAV"))&lt;/Q&gt;&lt;R&gt;1&lt;/R&gt;&lt;C&gt;1&lt;/C&gt;&lt;D xsi:type="xsd:double"&gt;885.07&lt;/D&gt;&lt;/FQL&gt;&lt;FQL&gt;&lt;Q&gt;LU0661986264^FIRST_ITEM_AV(MSTAR_PRICE(45128,45128-10D,,"NAV"))&lt;/Q&gt;&lt;R&gt;1&lt;/R&gt;&lt;C&gt;1&lt;/C&gt;&lt;D xsi:type="xsd:double"&gt;203.59&lt;/D&gt;&lt;/FQL&gt;&lt;FQL&gt;&lt;Q&gt;LU0661986264^FIRST_ITEM_AV(MSTAR_PRICE(45128-1D,45128-10D,D,"NAV"))&lt;/Q&gt;&lt;R&gt;1&lt;/R&gt;&lt;C&gt;1&lt;/C&gt;&lt;D xsi:type="xsd:double"&gt;203.71&lt;/D&gt;&lt;/FQL&gt;&lt;FQL&gt;&lt;Q&gt;LU2022049295^FIRST_ITEM_AV(MSTAR_PRICE(45128,45128-10D,,"NAV"))&lt;/Q&gt;&lt;R&gt;1&lt;/R&gt;&lt;C&gt;1&lt;/C&gt;&lt;D xsi:type="xsd:double"&gt;219.76&lt;/D&gt;&lt;/FQL&gt;&lt;FQL&gt;&lt;Q&gt;LU2022049295^FIRST_ITEM_AV(MSTAR_PRICE(45128-1D,45128-10D,D,"NAV"))&lt;/Q&gt;&lt;R&gt;1&lt;/R&gt;&lt;C&gt;1&lt;/C&gt;&lt;D xsi:type="xsd:double"&gt;220.16&lt;/D&gt;&lt;/FQL&gt;&lt;FQL&gt;&lt;Q&gt;LU1103304132^FIRST_ITEM_AV(MSTAR_PRICE(45128,45128-10D,,"NAV"))&lt;/Q&gt;&lt;R&gt;1&lt;/R&gt;&lt;C&gt;1&lt;/C&gt;&lt;D xsi:type="xsd:double"&gt;398.14&lt;/D&gt;&lt;/FQL&gt;&lt;FQL&gt;&lt;Q&gt;LU1103304132^FIRST_ITEM_AV(MSTAR_PRICE(45128-1D,45128-10D,D,"NAV"))&lt;/Q&gt;&lt;R&gt;1&lt;/R&gt;&lt;C&gt;1&lt;/C&gt;&lt;D xsi:type="xsd:double"&gt;396.18&lt;/D&gt;&lt;/FQL&gt;&lt;FQL&gt;&lt;Q&gt;FR0011400738^FIRST_ITEM_AV(MSTAR_PRICE(45128,45128-10D,,"NAV"))&lt;/Q&gt;&lt;R&gt;1&lt;/R&gt;&lt;C&gt;1&lt;/C&gt;&lt;D xsi:type="xsd:double"&gt;67288.21&lt;/D&gt;&lt;/FQL&gt;&lt;FQL&gt;&lt;Q&gt;FR0011400738^FIRST_ITEM_AV(MSTAR_PRICE(45128-1D,45128-10D,D,"NAV"))&lt;/Q&gt;&lt;R&gt;1&lt;/R&gt;&lt;C&gt;1&lt;/C&gt;&lt;D xsi:type="xsd:double"&gt;66992.16&lt;/D&gt;&lt;/FQL&gt;&lt;FQL&gt;&lt;Q&gt;LHMN2500^FG_TRET_PCHG_IDX(45128,0CY,,EUR,"NET")&lt;/Q&gt;&lt;R&gt;1&lt;/R&gt;&lt;C&gt;1&lt;/C&gt;&lt;D xsi:type="xsd:double"&gt;5.48619387466136&lt;/D&gt;&lt;/FQL&gt;&lt;FQL&gt;&lt;Q&gt;LHMN9006^FG_TRET_PCHG_IDX(45128,0CY,,EUR,"NET")&lt;/Q&gt;&lt;R&gt;1&lt;/R&gt;&lt;C&gt;1&lt;/C&gt;&lt;D xsi:type="xsd:double"&gt;2.29216277885937&lt;/D&gt;&lt;/FQL&gt;&lt;FQL&gt;&lt;Q&gt;892400^FG_TRET_PCHG_IDX(45128,0CY,,EUR,"NET")&lt;/Q&gt;&lt;R&gt;1&lt;/R&gt;&lt;C&gt;1&lt;/C&gt;&lt;D xsi:type="xsd:double"&gt;11.8413793714371&lt;/D&gt;&lt;/FQL&gt;&lt;FQL&gt;&lt;Q&gt;COMP^FG_PRICE(45128,,,EUR)/FG_PRICE(44926,,,EUR)-1&lt;/Q&gt;&lt;R&gt;1&lt;/R&gt;&lt;C&gt;1&lt;/C&gt;&lt;D xsi:type="xsd:double"&gt;0.287535061819336&lt;/D&gt;&lt;/FQL&gt;&lt;FQL&gt;&lt;Q&gt;SP50^FG_TRET_PCHG_IDX(45128,0CY,,EUR,"NET")&lt;/Q&gt;&lt;R&gt;1&lt;/R&gt;&lt;C&gt;1&lt;/C&gt;&lt;D xsi:type="xsd:double"&gt;14.1914499699667&lt;/D&gt;&lt;/FQL&gt;&lt;FQL&gt;&lt;Q&gt;183659^FG_TRET_PCHG_IDX(45128,0CY,,EUR,"NET")&lt;/Q&gt;&lt;R&gt;1&lt;/R&gt;&lt;C&gt;1&lt;/C&gt;&lt;D xsi:type="xsd:double"&gt;15.5943026370754&lt;/D&gt;&lt;/FQL&gt;&lt;FQL&gt;&lt;Q&gt;PXL-ENX^FG_TRET_PCHG_IDX(45128,0CY,,EUR,"NET")&lt;/Q&gt;&lt;R&gt;1&lt;/R&gt;&lt;C&gt;1&lt;/C&gt;&lt;D xsi:type="xsd:double"&gt;17.2383342421153&lt;/D&gt;&lt;/FQL&gt;&lt;FQL&gt;&lt;Q&gt;LHMN2500^FG_TRET_PCHG_IDX(45128,0CM,,EUR,"NET")&lt;/Q&gt;&lt;R&gt;1&lt;/R&gt;&lt;C&gt;1&lt;/C&gt;&lt;D xsi:type="xsd:double"&gt;0.662793965776132&lt;/D&gt;&lt;/FQL&gt;&lt;FQL&gt;&lt;Q&gt;LHMN9006^FG_TRET_PCHG_IDX(45128,0CM,,EUR,"NET")&lt;/Q&gt;&lt;R&gt;1&lt;/R&gt;&lt;C&gt;1&lt;/C&gt;&lt;D xsi:type="xsd:double"&gt;0.0278946032786775&lt;/D&gt;&lt;/FQL&gt;&lt;FQL&gt;&lt;Q&gt;892400^FG_TRET_PCHG_IDX(45128,0CM,,EUR,"NET")&lt;/Q&gt;&lt;R&gt;1&lt;/R&gt;&lt;C&gt;1&lt;/C&gt;&lt;D xsi:type="xsd:double"&gt;0.347434924426682&lt;/D&gt;&lt;/FQL&gt;&lt;FQL&gt;&lt;Q&gt;SP50^FG_TRET_PCHG_IDX(45128,0CM,,EUR,"NET")&lt;/Q&gt;&lt;R&gt;1&lt;/R&gt;&lt;C&gt;1&lt;/C&gt;&lt;D xsi:type="xsd:double"&gt;0.114980061727854&lt;/D&gt;&lt;/FQL&gt;&lt;FQL&gt;&lt;Q&gt;183659^FG_TRET_PCHG_IDX(45128,0CM,,EUR,"NET")&lt;/Q&gt;&lt;R&gt;1&lt;/R&gt;&lt;C&gt;1&lt;/C&gt;&lt;D xsi:type="xsd:double"&gt;0.687481393797107&lt;/D&gt;&lt;/FQL&gt;&lt;FQL&gt;&lt;Q&gt;PXL-ENX^FG_TRET_PCHG_IDX(45128,0CM,,EUR,"NET")&lt;/Q&gt;&lt;R&gt;1&lt;/R&gt;&lt;C&gt;1&lt;/C&gt;&lt;D xsi:type="xsd:double"&gt;0.500162670396787&lt;/D&gt;&lt;/FQL&gt;&lt;FQL&gt;&lt;Q&gt;LHMN2500^FG_TRET_PCHG_IDX(45128,45128,,EUR,"NET")&lt;/Q&gt;&lt;R&gt;1&lt;/R&gt;&lt;C&gt;1&lt;/C&gt;&lt;D xsi:type="xsd:double"&gt;0&lt;/D&gt;&lt;/FQL&gt;&lt;FQL&gt;&lt;Q&gt;LHMN9006^FG_TRET_PCHG_IDX(45128,45128,,EUR,"NET")&lt;/Q&gt;&lt;R&gt;1&lt;/R&gt;&lt;C&gt;1&lt;/C&gt;&lt;D xsi:type="xsd:double"&gt;0&lt;/D&gt;&lt;/FQL&gt;&lt;FQL&gt;&lt;Q&gt;892400^FG_TRET_PCHG_IDX(45128,45128,,EUR,"NET")&lt;/Q&gt;&lt;R&gt;1&lt;/R&gt;&lt;C&gt;1&lt;/C&gt;&lt;D xsi:type="xsd:double"&gt;0&lt;/D&gt;&lt;/FQL&gt;&lt;FQL&gt;&lt;Q&gt;COMP^FG_PRICE(45128,,,EUR)/FG_PRICE(45128,,,EUR)-1&lt;/Q&gt;&lt;R&gt;1&lt;/R&gt;&lt;C&gt;1&lt;/C&gt;&lt;D xsi:type="xsd:double"&gt;0&lt;/D&gt;&lt;/FQL&gt;&lt;FQL&gt;&lt;Q&gt;SP50^FG_TRET_PCHG_IDX(45128,45128,,EUR,"NET")&lt;/Q&gt;&lt;R&gt;1&lt;/R&gt;&lt;C&gt;1&lt;/C&gt;&lt;D xsi:type="xsd:double"&gt;0&lt;/D&gt;&lt;/FQL&gt;&lt;FQL&gt;&lt;Q&gt;183659^FG_TRET_PCHG_IDX(45128,45128,,EUR,"NET")&lt;/Q&gt;&lt;R&gt;1&lt;/R&gt;&lt;C&gt;1&lt;/C&gt;&lt;D xsi:type="xsd:double"&gt;0&lt;/D&gt;&lt;/FQL&gt;&lt;FQL&gt;&lt;Q&gt;PXL-ENX^FG_TRET_PCHG_IDX(45128,45128,,EUR,"NET")&lt;/Q&gt;&lt;R&gt;1&lt;/R&gt;&lt;C&gt;1&lt;/C&gt;&lt;D xsi:type="xsd:double"&gt;0&lt;/D&gt;&lt;/FQL&gt;&lt;FQL&gt;&lt;Q&gt;EURUSD^FG_PRICE(45132,45132)&lt;/Q&gt;&lt;R&gt;1&lt;/R&gt;&lt;C&gt;1&lt;/C&gt;&lt;D xsi:type="xsd:double"&gt;1.10445&lt;/D&gt;&lt;/FQL&gt;&lt;FQL&gt;&lt;Q&gt;FR0011408426^FIRST_ITEM_AV(MSTAR_PRICE(45132,45132-10D,,"NAV"))&lt;/Q&gt;&lt;R&gt;1&lt;/R&gt;&lt;C&gt;1&lt;/C&gt;&lt;D xsi:type="xsd:double"&gt;127.77&lt;/D&gt;&lt;/FQL&gt;&lt;FQL&gt;&lt;Q&gt;FR0011408426^FIRST_ITEM_AV(MSTAR_PRICE(45132-1D,45132-10D,D,"NAV"))&lt;/Q&gt;&lt;R&gt;1&lt;/R&gt;&lt;C&gt;1&lt;/C&gt;&lt;D xsi:type="xsd:double"&gt;127.7&lt;/D&gt;&lt;/FQL&gt;&lt;FQL&gt;&lt;Q&gt;FR0013202140^FIRST_ITEM_AV(MSTAR_PRICE(45132,4</t>
        </r>
      </text>
    </comment>
    <comment ref="A2" authorId="0" shapeId="0" xr:uid="{26AF7FE9-D9EE-446F-814A-1DDF59CF2B7D}">
      <text>
        <r>
          <rPr>
            <b/>
            <sz val="9"/>
            <color indexed="81"/>
            <rFont val="Tahoma"/>
            <family val="2"/>
          </rPr>
          <t>5132-10D,,"NAV"))&lt;/Q&gt;&lt;R&gt;1&lt;/R&gt;&lt;C&gt;1&lt;/C&gt;&lt;D xsi:type="xsd:double"&gt;5477.28&lt;/D&gt;&lt;/FQL&gt;&lt;FQL&gt;&lt;Q&gt;FR0013202140^FIRST_ITEM_AV(MSTAR_PRICE(45132-1D,45132-10D,D,"NAV"))&lt;/Q&gt;&lt;R&gt;1&lt;/R&gt;&lt;C&gt;1&lt;/C&gt;&lt;D xsi:type="xsd:double"&gt;5477.77&lt;/D&gt;&lt;/FQL&gt;&lt;FQL&gt;&lt;Q&gt;FR0000097495^FIRST_ITEM_AV(MSTAR_PRICE(45132,45132-10D,,"NAV"))&lt;/Q&gt;&lt;R&gt;1&lt;/R&gt;&lt;C&gt;1&lt;/C&gt;&lt;D xsi:type="xsd:double"&gt;106.91&lt;/D&gt;&lt;/FQL&gt;&lt;FQL&gt;&lt;Q&gt;FR0000097495^FIRST_ITEM_AV(MSTAR_PRICE(45132-1D,45132-10D,D,"NAV"))&lt;/Q&gt;&lt;R&gt;1&lt;/R&gt;&lt;C&gt;1&lt;/C&gt;&lt;D xsi:type="xsd:double"&gt;106.94&lt;/D&gt;&lt;/FQL&gt;&lt;FQL&gt;&lt;Q&gt;FR0013496213^FIRST_ITEM_AV(MSTAR_PRICE(45132,45132-10D,,"NAV"))&lt;/Q&gt;&lt;R&gt;1&lt;/R&gt;&lt;C&gt;1&lt;/C&gt;&lt;D xsi:type="xsd:double"&gt;1040.34&lt;/D&gt;&lt;/FQL&gt;&lt;FQL&gt;&lt;Q&gt;FR0013496213^FIRST_ITEM_AV(MSTAR_PRICE(45132-1D,45132-10D,D,"NAV"))&lt;/Q&gt;&lt;R&gt;1&lt;/R&gt;&lt;C&gt;1&lt;/C&gt;&lt;D xsi:type="xsd:double"&gt;1040.08&lt;/D&gt;&lt;/FQL&gt;&lt;FQL&gt;&lt;Q&gt;FR0000098683^FIRST_ITEM_AV(MSTAR_PRICE(45132,45132-10D,,"NAV"))&lt;/Q&gt;&lt;R&gt;1&lt;/R&gt;&lt;C&gt;1&lt;/C&gt;&lt;D xsi:type="xsd:double"&gt;1742.1&lt;/D&gt;&lt;/FQL&gt;&lt;FQL&gt;&lt;Q&gt;FR0000098683^FIRST_ITEM_AV(MSTAR_PRICE(45132-1D,45132-10D,D,"NAV"))&lt;/Q&gt;&lt;R&gt;1&lt;/R&gt;&lt;C&gt;1&lt;/C&gt;&lt;D xsi:type="xsd:double"&gt;1735.07&lt;/D&gt;&lt;/FQL&gt;&lt;FQL&gt;&lt;Q&gt;FR0013432143^FIRST_ITEM_AV(MSTAR_PRICE(45132,45132-10D,,"NAV"))&lt;/Q&gt;&lt;R&gt;1&lt;/R&gt;&lt;C&gt;1&lt;/C&gt;&lt;D xsi:type="xsd:double"&gt;1164.23&lt;/D&gt;&lt;/FQL&gt;&lt;FQL&gt;&lt;Q&gt;FR0013432143^FIRST_ITEM_AV(MSTAR_PRICE(45132-1D,45132-10D,D,"NAV"))&lt;/Q&gt;&lt;R&gt;1&lt;/R&gt;&lt;C&gt;1&lt;/C&gt;&lt;D xsi:type="xsd:double"&gt;1166.82&lt;/D&gt;&lt;/FQL&gt;&lt;FQL&gt;&lt;Q&gt;LU0438548280^FIRST_ITEM_AV(MSTAR_PRICE(45132,45132-10D,,"NAV"))&lt;/Q&gt;&lt;R&gt;1&lt;/R&gt;&lt;C&gt;1&lt;/C&gt;&lt;D xsi:type="xsd:double"&gt;122.638&lt;/D&gt;&lt;/FQL&gt;&lt;FQL&gt;&lt;Q&gt;LU0438548280^FIRST_ITEM_AV(MSTAR_PRICE(45132-1D,45132-10D,D,"NAV"))&lt;/Q&gt;&lt;R&gt;1&lt;/R&gt;&lt;C&gt;1&lt;/C&gt;&lt;D xsi:type="xsd:double"&gt;122.674&lt;/D&gt;&lt;/FQL&gt;&lt;FQL&gt;&lt;Q&gt;LU0113258742^FIRST_ITEM_AV(MSTAR_PRICE(45132,45132-10D,,"NAV"))&lt;/Q&gt;&lt;R&gt;1&lt;/R&gt;&lt;C&gt;1&lt;/C&gt;&lt;D xsi:type="xsd:double"&gt;23.4673&lt;/D&gt;&lt;/FQL&gt;&lt;FQL&gt;&lt;Q&gt;LU0113258742^FIRST_ITEM_AV(MSTAR_PRICE(45132-1D,45132-10D,D,"NAV"))&lt;/Q&gt;&lt;R&gt;1&lt;/R&gt;&lt;C&gt;1&lt;/C&gt;&lt;D xsi:type="xsd:double"&gt;23.4911&lt;/D&gt;&lt;/FQL&gt;&lt;FQL&gt;&lt;Q&gt;LU1694789378^FIRST_ITEM_AV(MSTAR_PRICE(45132,45132-10D,,"NAV"))&lt;/Q&gt;&lt;R&gt;1&lt;/R&gt;&lt;C&gt;1&lt;/C&gt;&lt;D xsi:type="xsd:double"&gt;121.35&lt;/D&gt;&lt;/FQL&gt;&lt;FQL&gt;&lt;Q&gt;LU1694789378^FIRST_ITEM_AV(MSTAR_PRICE(45132-1D,45132-10D,D,"NAV"))&lt;/Q&gt;&lt;R&gt;1&lt;/R&gt;&lt;C&gt;1&lt;/C&gt;&lt;D xsi:type="xsd:double"&gt;121.23&lt;/D&gt;&lt;/FQL&gt;&lt;FQL&gt;&lt;Q&gt;LU1876459725^FIRST_ITEM_AV(MSTAR_PRICE(45132,45132-10D,,"NAV"))&lt;/Q&gt;&lt;R&gt;1&lt;/R&gt;&lt;C&gt;1&lt;/C&gt;&lt;D xsi:type="xsd:double"&gt;1163.53&lt;/D&gt;&lt;/FQL&gt;&lt;FQL&gt;&lt;Q&gt;LU1876459725^FIRST_ITEM_AV(MSTAR_PRICE(45132-1D,45132-10D,D,"NAV"))&lt;/Q&gt;&lt;R&gt;1&lt;/R&gt;&lt;C&gt;1&lt;/C&gt;&lt;D xsi:type="xsd:double"&gt;1162.7&lt;/D&gt;&lt;/FQL&gt;&lt;FQL&gt;&lt;Q&gt;FR0013302965^FIRST_ITEM_AV(MSTAR_PRICE(45132,45132-10D,,"NAV"))&lt;/Q&gt;&lt;R&gt;1&lt;/R&gt;&lt;C&gt;1&lt;/C&gt;&lt;D xsi:type="xsd:double"&gt;1004.87&lt;/D&gt;&lt;/FQL&gt;&lt;FQL&gt;&lt;Q&gt;FR0013302965^FIRST_ITEM_AV(MSTAR_PRICE(45132-1D,45132-10D,D,"NAV"))&lt;/Q&gt;&lt;R&gt;1&lt;/R&gt;&lt;C&gt;1&lt;/C&gt;&lt;D xsi:type="xsd:double"&gt;1004.51&lt;/D&gt;&lt;/FQL&gt;&lt;FQL&gt;&lt;Q&gt;FR0011381227^FIRST_ITEM_AV(MSTAR_PRICE(45132,45132-10D,,"NAV"))&lt;/Q&gt;&lt;R&gt;1&lt;/R&gt;&lt;C&gt;1&lt;/C&gt;&lt;D xsi:type="xsd:double"&gt;101554.51&lt;/D&gt;&lt;/FQL&gt;&lt;FQL&gt;&lt;Q&gt;FR0011381227^FIRST_ITEM_AV(MSTAR_PRICE(45132-1D,45132-10D,D,"NAV"))&lt;/Q&gt;&lt;R&gt;1&lt;/R&gt;&lt;C&gt;1&lt;/C&gt;&lt;D xsi:type="xsd:double"&gt;101546.13&lt;/D&gt;&lt;/FQL&gt;&lt;FQL&gt;&lt;Q&gt;FR0000009987^FIRST_ITEM_AV(MSTAR_PRICE(45132,45132-10D,,"NAV"))&lt;/Q&gt;&lt;R&gt;1&lt;/R&gt;&lt;C&gt;1&lt;/C&gt;&lt;D xsi:type="xsd:double"&gt;191738.94&lt;/D&gt;&lt;/FQL&gt;&lt;FQL&gt;&lt;Q&gt;FR0000009987^FIRST_ITEM_AV(MSTAR_PRICE(45132-1D,45132-10D,D,"NAV"))&lt;/Q&gt;&lt;R&gt;1&lt;/R&gt;&lt;C&gt;1&lt;/C&gt;&lt;D xsi:type="xsd:double"&gt;191720.49&lt;/D&gt;&lt;/FQL&gt;&lt;FQL&gt;&lt;Q&gt;FR0011408426^MSTAR_NAV(12/31/2022,12/31/2022)&lt;/Q&gt;&lt;R&gt;1&lt;/R&gt;&lt;C&gt;1&lt;/C&gt;&lt;D xsi:type="xsd:double"&gt;121.31&lt;/D&gt;&lt;/FQL&gt;&lt;FQL&gt;&lt;Q&gt;FR0013202140^MSTAR_NAV(12/31/2022,12/31/2022)&lt;/Q&gt;&lt;R&gt;1&lt;/R&gt;&lt;C&gt;1&lt;/C&gt;&lt;D xsi:type="xsd:double"&gt;5372.81&lt;/D&gt;&lt;/FQL&gt;&lt;FQL&gt;&lt;Q&gt;FR0000097495^MSTAR_NAV(12/31/2022,12/31/2022)&lt;/Q&gt;&lt;R&gt;1&lt;/R&gt;&lt;C&gt;1&lt;/C&gt;&lt;D xsi:type="xsd:double"&gt;103.15&lt;/D&gt;&lt;/FQL&gt;&lt;FQL&gt;&lt;Q&gt;FR0013496213^MSTAR_NAV(12/31/2022,12/31/2022)&lt;/Q&gt;&lt;R&gt;1&lt;/R&gt;&lt;C&gt;1&lt;/C&gt;&lt;D xsi:type="xsd:double"&gt;993.04&lt;/D&gt;&lt;/FQL&gt;&lt;FQL&gt;&lt;Q&gt;FR0000098683^MSTAR_NAV(12/31/2022,12/31/2022)&lt;/Q&gt;&lt;R&gt;1&lt;/R&gt;&lt;C&gt;1&lt;/C&gt;&lt;D xsi:type="xsd:double"&gt;1621.27&lt;/D&gt;&lt;/FQL&gt;&lt;FQL&gt;&lt;Q&gt;FR0013432143^MSTAR_NAV(12/31/2022,12/31/2022)&lt;/Q&gt;&lt;R&gt;1&lt;/R&gt;&lt;C&gt;1&lt;/C&gt;&lt;D xsi:type="xsd:double"&gt;1204.5&lt;/D&gt;&lt;/FQL&gt;&lt;FQL&gt;&lt;Q&gt;LU0438548280^MSTAR_NAV(12/31/2022,12/31/2022)&lt;/Q&gt;&lt;R&gt;1&lt;/R&gt;&lt;C&gt;1&lt;/C&gt;&lt;D xsi:type="xsd:double"&gt;120.177&lt;/D&gt;&lt;/FQL&gt;&lt;FQL&gt;&lt;Q&gt;LU0113258742^MSTAR_NAV(12/31/2022,12/31/2022)&lt;/Q&gt;&lt;R&gt;1&lt;/R&gt;&lt;C&gt;1&lt;/C&gt;&lt;D xsi:type="xsd:double"&gt;22.5586&lt;/D&gt;&lt;/FQL&gt;&lt;FQL&gt;&lt;Q&gt;LU1694789378^MSTAR_NAV(12/31/2022,12/31/2022)&lt;/Q&gt;&lt;R&gt;1&lt;/R&gt;&lt;C&gt;1&lt;/C&gt;&lt;D xsi:type="xsd:double"&gt;116.89&lt;/D&gt;&lt;/FQL&gt;&lt;FQL&gt;&lt;Q&gt;LU1876459725^MSTAR_NAV(12/31/2022,12/31/2022)&lt;/Q&gt;&lt;R&gt;1&lt;/R&gt;&lt;C&gt;1&lt;/C&gt;&lt;D xsi:type="xsd:double"&gt;1142.03&lt;/D&gt;&lt;/FQL&gt;&lt;FQL&gt;&lt;Q&gt;FR0013302965^MSTAR_NAV(12/31/2022,12/31/2022)&lt;/Q&gt;&lt;R&gt;1&lt;/R&gt;&lt;C&gt;1&lt;/C&gt;&lt;D xsi:type="xsd:double"&gt;989.02&lt;/D&gt;&lt;/FQL&gt;&lt;FQL&gt;&lt;Q&gt;FR0000009987^MSTAR_NAV(12/31/2022,12/31/2022)&lt;/Q&gt;&lt;R&gt;1&lt;/R&gt;&lt;C&gt;1&lt;/C&gt;&lt;D xsi:type="xsd:double"&gt;188644.5&lt;/D&gt;&lt;/FQL&gt;&lt;FQL&gt;&lt;Q&gt;LU0638557669^FIRST_ITEM_AV(MSTAR_PRICE(45132,45132-10D,,"NAV"))&lt;/Q&gt;&lt;R&gt;1&lt;/R&gt;&lt;C&gt;1&lt;/C&gt;&lt;D xsi:type="xsd:double"&gt;1.5527&lt;/D&gt;&lt;/FQL&gt;&lt;FQL&gt;&lt;Q&gt;LU0638557669^FIRST_ITEM_AV(MSTAR_PRICE(45132-1D,45132-10D,D,"NAV"))&lt;/Q&gt;&lt;R&gt;1&lt;/R&gt;&lt;C&gt;1&lt;/C&gt;&lt;D xsi:type="xsd:double"&gt;1.5528&lt;/D&gt;&lt;/FQL&gt;&lt;FQL&gt;&lt;Q&gt;LU0638557669^MSTAR_NAV(12/31/2022,12/31/2022)&lt;/Q&gt;&lt;R&gt;1&lt;/R&gt;&lt;C&gt;1&lt;/C&gt;&lt;D xsi:type="xsd:double"&gt;1.6804&lt;/D&gt;&lt;/FQL&gt;&lt;FQL&gt;&lt;Q&gt;LU1569900605^FIRST_ITEM_AV(MSTAR_PRICE(45132,45132-10D,,"NAV"))&lt;/Q&gt;&lt;R&gt;1&lt;/R&gt;&lt;C&gt;1&lt;/C&gt;&lt;D xsi:type="xsd:double"&gt;1178.176&lt;/D&gt;&lt;/FQL&gt;&lt;FQL&gt;&lt;Q&gt;LU1569900605^FIRST_ITEM_AV(MSTAR_PRICE(45132-1D,45132-10D,D,"NAV"))&lt;/Q&gt;&lt;R&gt;1&lt;/R&gt;&lt;C&gt;1&lt;/C&gt;&lt;D xsi:type="xsd:double"&gt;1178&lt;/D&gt;&lt;/FQL&gt;&lt;FQL&gt;&lt;Q&gt;LU1569900605^MSTAR_NAV(12/31/2022,12/31/2022)&lt;/Q&gt;&lt;R&gt;1&lt;/R&gt;&lt;C&gt;1&lt;/C&gt;&lt;D xsi:type="xsd:double"&gt;1152.399&lt;/D&gt;&lt;/FQL&gt;&lt;FQL&gt;&lt;Q&gt;LU1331973468^FIRST_ITEM_AV(MSTAR_PRICE(45132,45132-10D,,"NAV"))&lt;/Q&gt;&lt;R&gt;1&lt;/R&gt;&lt;C&gt;1&lt;/C&gt;&lt;D xsi:type="xsd:double"&gt;141.71&lt;/D&gt;&lt;/FQL&gt;&lt;FQL&gt;&lt;Q&gt;LU1331973468^FIRST_ITEM_AV(MSTAR_PRICE(45132-1D,45132-10D,D,"NAV"))&lt;/Q&gt;&lt;R&gt;1&lt;/R&gt;&lt;C&gt;1&lt;/C&gt;&lt;D xsi:type="xsd:double"&gt;141.62&lt;/D&gt;&lt;/FQL&gt;&lt;FQL&gt;&lt;Q&gt;LU1331973468^MSTAR_NAV(12/31/2022,12/31/2022)&lt;/Q&gt;&lt;R&gt;1&lt;/R&gt;&lt;C&gt;1&lt;/C&gt;&lt;D xsi:type="xsd:double"&gt;137.82&lt;/D&gt;&lt;/FQL&gt;&lt;FQL&gt;&lt;Q&gt;FR0013456886^FIRST_ITEM_AV(MSTAR_PRICE(45132,45132-10D,,"NAV"))&lt;/Q&gt;&lt;R&gt;1&lt;/R&gt;&lt;C&gt;1&lt;/C&gt;&lt;D xsi:type="xsd:double"&gt;152.38&lt;/D&gt;&lt;/FQL&gt;&lt;FQL&gt;&lt;Q&gt;FR0013456886^FIRST_ITEM_AV(MSTAR_PRICE(45132-1D,45132-10D,D,"NAV"))&lt;/Q&gt;&lt;R&gt;1&lt;/R&gt;&lt;C&gt;1&lt;/C&gt;&lt;D xsi:type="xsd:double"&gt;151.87&lt;/D&gt;&lt;/FQL&gt;&lt;FQL&gt;&lt;Q&gt;FR0013456886^MSTAR_NAV(12/31/2022,12/31/2022)&lt;/Q&gt;&lt;R&gt;1&lt;/R&gt;&lt;C&gt;1&lt;/C&gt;&lt;D xsi:type="xsd:double"&gt;130.66&lt;/D&gt;&lt;/FQL&gt;&lt;FQL&gt;&lt;Q&gt;FR0011646454^FIRST_ITEM_AV(MSTAR_PRICE(45132,45132-10D,,"NAV"))&lt;/Q&gt;&lt;R&gt;1&lt;/R&gt;&lt;C&gt;1&lt;/C&gt;&lt;D xsi:type="xsd:double"&gt;2464.27&lt;/D&gt;&lt;/FQL&gt;&lt;FQL&gt;&lt;Q&gt;FR0011646454^FIRST_ITEM_AV(MSTAR_PRICE(45132-1D,45132-10D,D,"NAV"))&lt;/Q&gt;&lt;R&gt;1&lt;/R&gt;&lt;C&gt;1&lt;/C&gt;&lt;D xsi:type="xsd:double"&gt;2450.09&lt;/D&gt;&lt;/FQL&gt;&lt;FQL&gt;&lt;Q&gt;FR0011646454^MSTAR_NAV(12/31/2022,12/31/2022)&lt;/Q&gt;&lt;R&gt;1&lt;/R&gt;&lt;C&gt;1&lt;/C&gt;&lt;D xsi:type="xsd:double"&gt;2053.09&lt;/D&gt;&lt;/FQL&gt;&lt;FQL&gt;&lt;Q&gt;LU2261172709^FIRST_ITEM_AV(MSTAR_PRICE(45132,45132-10D,,"NAV"))&lt;/Q&gt;&lt;R&gt;1&lt;/R&gt;&lt;C&gt;1&lt;/C&gt;&lt;D xsi:type="xsd:double"&gt;1132.316&lt;/D&gt;&lt;/FQL&gt;&lt;FQL&gt;&lt;Q&gt;LU2261172709^FIRST_ITEM_AV(MSTAR_PRICE(45132-1D,45132-10D,D,"NAV"))&lt;/Q&gt;&lt;R&gt;1&lt;/R&gt;&lt;C&gt;1&lt;/C&gt;&lt;D xsi:type="xsd:double"&gt;1121.499&lt;/D&gt;&lt;/FQL&gt;&lt;FQL&gt;&lt;Q&gt;LU2261172709^MSTAR_NAV(12/31/2022,12/31/2022)&lt;/Q&gt;&lt;R&gt;1&lt;/R&gt;&lt;C&gt;1&lt;/C&gt;&lt;D xsi:type="xsd:double"&gt;1114.982&lt;/D&gt;&lt;/FQL&gt;&lt;FQL&gt;&lt;Q&gt;FR0013179603^FIRST_ITEM_AV(MSTAR_PRICE(45132,45132-10D,,"NAV"))&lt;/Q&gt;&lt;R&gt;1&lt;/R&gt;&lt;C&gt;1&lt;/C&gt;&lt;D xsi:type="xsd:double"&gt;888.04&lt;/D&gt;&lt;/FQL&gt;&lt;FQL&gt;&lt;Q&gt;FR0013179603^FIRST_ITEM_AV(MSTAR_PRICE(45132-1D,45132-10D,D,"NAV"))&lt;/Q&gt;&lt;R&gt;1&lt;/R&gt;&lt;C&gt;1&lt;/C&gt;&lt;D xsi:type="xsd:double"&gt;888.25&lt;/D&gt;&lt;/FQL&gt;&lt;FQL&gt;&lt;Q&gt;FR0013179603^MSTAR_NAV(12/31/2022,12/31/2022)&lt;/Q&gt;&lt;R&gt;1&lt;/R&gt;&lt;C&gt;1&lt;/C&gt;&lt;D xsi:type="xsd:double"&gt;821.36&lt;/D&gt;&lt;/FQL&gt;&lt;FQL&gt;&lt;Q&gt;LU0661986264^FIRST_ITEM_AV(MSTAR_PRICE(45132,45132-10D,,"NAV"))&lt;/Q&gt;&lt;R&gt;1&lt;/R&gt;&lt;C&gt;1&lt;/C&gt;&lt;D xsi:type="xsd:double"&gt;203.58&lt;/D&gt;&lt;/FQL&gt;&lt;FQL&gt;&lt;Q&gt;LU0661986264^FIRST_ITEM_AV(MSTAR_PRICE(45132-1D,45132-10D,D,"NAV"))&lt;/Q&gt;&lt;R&gt;1&lt;/R&gt;&lt;C&gt;1&lt;/C&gt;&lt;D xsi:type="xsd:double"&gt;203.11&lt;/D&gt;&lt;/FQL&gt;&lt;FQL&gt;&lt;Q&gt;LU0661986264^MSTAR_NAV(12/31/2022,12/31/2022)&lt;/Q&gt;&lt;R&gt;1&lt;/R&gt;&lt;C&gt;1&lt;/C&gt;&lt;D xsi:type="xsd:double"&gt;178.83&lt;/D&gt;&lt;/FQL&gt;&lt;FQL&gt;&lt;Q&gt;LU2022049295^FIRST_ITEM_AV(MSTAR_PRICE(45132,45132-10D,,"NAV"))&lt;/Q&gt;&lt;R&gt;1&lt;/R&gt;&lt;C&gt;1&lt;/C&gt;&lt;D xsi:type="xsd:double"&gt;221.03&lt;/D&gt;&lt;/FQL&gt;&lt;FQL&gt;&lt;Q&gt;LU2022049295^FIRST_ITEM_AV(MSTAR_PRICE(45132-1D,45132-10D,D,"NAV"))&lt;/Q&gt;&lt;R&gt;1&lt;/R&gt;&lt;C&gt;1&lt;/C&gt;&lt;D xsi:type="xsd:double"&gt;220.1&lt;/D&gt;&lt;/FQL&gt;&lt;FQL&gt;&lt;Q&gt;LU2022049295^MSTAR_NAV(12/31/2022,12/31/2022)&lt;/Q&gt;&lt;R&gt;1&lt;/R&gt;&lt;C&gt;1&lt;/C&gt;&lt;D xsi:type="xsd:double"&gt;212.85&lt;/D&gt;&lt;/FQL&gt;&lt;FQL&gt;&lt;Q&gt;LU1103304132^FIRST_ITEM_AV(MSTAR_PRICE(45132,45132-10D,,"NAV"))&lt;/Q&gt;&lt;R&gt;1&lt;/R&gt;&lt;C&gt;1&lt;/C&gt;&lt;D xsi:type="xsd:double"&gt;404.68&lt;/D&gt;&lt;/FQL&gt;&lt;FQL&gt;&lt;Q&gt;LU1103304132^FIRST_ITEM_AV(MSTAR_PRICE(45132-1D,45132-10D,D,"NAV"))&lt;/Q&gt;&lt;R&gt;1&lt;/R&gt;&lt;C&gt;1&lt;/C&gt;&lt;D xsi:type="xsd:double"&gt;403.12&lt;/D&gt;&lt;/FQL&gt;&lt;FQL&gt;&lt;Q&gt;LU1103304132^MSTAR_NAV(12/31/2022,12/31/2022)&lt;/Q&gt;&lt;R&gt;1&lt;/R&gt;&lt;C&gt;1&lt;/C&gt;&lt;D xsi:type="xsd:double"&gt;382.69&lt;/D&gt;&lt;/FQL&gt;&lt;FQL&gt;&lt;Q&gt;FR0011400738^FIRST_ITEM_AV(MSTAR_PRICE(45132,45132-10D,,"NAV"))&lt;/Q&gt;&lt;R&gt;1&lt;/R&gt;&lt;C&gt;1&lt;/C&gt;&lt;D xsi:type="xsd:double"&gt;67474.94&lt;/D&gt;&lt;/FQL&gt;&lt;FQL&gt;&lt;Q&gt;FR0011400738^FIRST_ITEM_AV(MSTAR_PRICE(45132-1D,45132-10D,D,"NAV"))&lt;/Q&gt;&lt;R&gt;1&lt;/R&gt;&lt;C&gt;1&lt;/C&gt;&lt;D xsi:type="xsd:double"&gt;67414.37&lt;/D&gt;&lt;/FQL&gt;&lt;FQL&gt;&lt;Q&gt;FR0011400738^MSTAR_NAV(12/31/2022,12/31/2022)&lt;/Q&gt;&lt;R&gt;1&lt;/R&gt;&lt;C&gt;1&lt;/C&gt;&lt;D xsi:type="xsd:double"&gt;55458.88&lt;/D&gt;&lt;/FQL&gt;&lt;FQL&gt;&lt;Q&gt;^P_EXCH_RATE(USD,EUR,45132,45132)&lt;/Q&gt;&lt;R&gt;1&lt;/R&gt;&lt;C&gt;1&lt;/C&gt;&lt;D xsi:type="xsd:double"&gt;0.90542805&lt;/D&gt;&lt;/FQL&gt;&lt;FQL&gt;&lt;Q&gt;^P_EXCH_RATE(USD,EUR,12/31/2022,12/31/2022)&lt;/Q&gt;&lt;R&gt;1&lt;/R&gt;&lt;C&gt;1&lt;/C&gt;&lt;D xsi:type="xsd:double"&gt;0.9369876&lt;/D&gt;&lt;/FQL&gt;&lt;FQL&gt;&lt;Q&gt;LHMN2500^FG_TRET_PCHG_IDX(45132,0CY,,EUR,"NET")&lt;/Q&gt;&lt;R&gt;1&lt;/R&gt;&lt;C&gt;1&lt;/C&gt;&lt;D xsi:type="xsd:double"&gt;5.7059971666255&lt;/D&gt;&lt;/FQL&gt;&lt;FQL&gt;&lt;Q&gt;LHMN9006^FG_TRET_PCHG_IDX(45132,0CY,,EUR,"NET")&lt;/Q&gt;&lt;R&gt;1&lt;/R&gt;&lt;C&gt;1&lt;/C&gt;&lt;D xsi:type="xsd:double"&gt;2.39979630135765&lt;/D&gt;&lt;/FQL&gt;&lt;FQL&gt;&lt;Q&gt;892400^FG_TRET_PCHG_IDX(45132,0CY,,EUR,"NET")&lt;/Q&gt;&lt;R&gt;1&lt;/R&gt;&lt;C&gt;1&lt;/C&gt;&lt;D xsi:type="xsd:double"&gt;13.3096176987735&lt;/D&gt;&lt;/FQL&gt;&lt;FQL&gt;&lt;Q&gt;COMP^FG_PRICE(45132,,,EUR)/FG_PRICE(44926,,,EUR)-1&lt;/Q&gt;&lt;R&gt;1&lt;/R&gt;&lt;C&gt;1&lt;/C&gt;&lt;D xsi:type="xsd:double"&gt;0.305896197844715&lt;/D&gt;&lt;/FQL&gt;&lt;FQL&gt;&lt;Q&gt;SP50^FG_TRET_PCHG_IDX(45132,0CY,,EUR,"NET")&lt;/Q&gt;&lt;R&gt;1&lt;/R&gt;&lt;C&gt;1&lt;/C&gt;&lt;D xsi:type="xsd:double"&gt;15.6959297866074&lt;/D&gt;&lt;/FQL&gt;&lt;FQL&gt;&lt;Q&gt;183659^FG_TRET_PCHG_IDX(45132,0CY,,EUR,"NET")&lt;/Q&gt;&lt;R&gt;1&lt;/R&gt;&lt;C&gt;1&lt;/C&gt;&lt;D xsi:type="xsd:double"&gt;15.7268822819276&lt;/D&gt;&lt;/FQL&gt;&lt;FQL&gt;&lt;Q&gt;PXL-ENX^FG_TRET_PCHG_IDX(45132,0CY,,EUR,"NET")&lt;/Q&gt;&lt;R&gt;1&lt;/R&gt;&lt;C&gt;1&lt;/C&gt;&lt;D xsi:type="xsd:double"&gt;16.9651745245685&lt;/D&gt;&lt;/FQL&gt;&lt;FQL&gt;&lt;Q&gt;LHMN2500^FG_TRET_PCHG_IDX(45132,0CM,,EUR,"NET")&lt;/Q&gt;&lt;R&gt;1&lt;/R&gt;&lt;C&gt;1&lt;/C&gt;&lt;D xsi:type="xsd:double"&gt;0.872546661169404&lt;/D&gt;&lt;/FQL&gt;&lt;FQL&gt;&lt;Q&gt;LHMN9006^FG_TRET_PCHG_IDX(45132,0CM,,EUR,"NET")&lt;/Q&gt;&lt;R&gt;1&lt;/R&gt;&lt;C&gt;1&lt;/C&gt;&lt;D xsi:type="xsd:double"&gt;0.133145624977282&lt;/D&gt;&lt;/FQL&gt;&lt;FQL&gt;&lt;Q&gt;892400^FG_TRET_PCHG_IDX(45132,0CM,,EUR,"NET")&lt;/Q&gt;&lt;R&gt;1&lt;/R&gt;&lt;C&gt;1&lt;/C&gt;&lt;D xsi:type="xsd:double"&gt;1.66478232155258&lt;/D&gt;&lt;/FQL&gt;&lt;FQL&gt;&lt;Q&gt;SP50^FG_TRET_PCHG_IDX(45132,0CM,,EUR,"NET")&lt;/Q&gt;&lt;R&gt;1&lt;/R&gt;&lt;C&gt;1&lt;/C&gt;&lt;D xsi:type="xsd:double"&gt;1.43400146732238&lt;/D&gt;&lt;/FQL&gt;&lt;FQL&gt;&lt;Q&gt;183659^FG_TRET_PCHG_IDX(45132,0CM,,EUR,"NET")&lt;/Q&gt;&lt;R&gt;1&lt;/R&gt;&lt;C&gt;1&lt;/C&gt;&lt;D xsi:type="xsd:double"&gt;0.802963820004177&lt;/D&gt;&lt;/FQL&gt;&lt;FQL&gt;&lt;Q&gt;PXL-ENX^FG_TRET_PCHG_IDX(45132,0CM,,EUR,"NET")&lt;/Q&gt;&lt;R&gt;1&lt;/R&gt;&lt;C&gt;1&lt;/C&gt;&lt;D xsi:type="xsd:double"&gt;0.266002092920803&lt;/D&gt;&lt;/FQL&gt;&lt;FQL&gt;&lt;Q&gt;^P_EXCH_RATE(USD,EUR,45131,45131)&lt;/Q&gt;&lt;R&gt;1&lt;/R&gt;&lt;C&gt;1&lt;/C&gt;&lt;D xsi:type="xsd:double"&gt;0.90252714999999994&lt;/D&gt;&lt;/FQL&gt;&lt;FQL&gt;&lt;Q&gt;LHMN2500^FG_TRET_PCHG_IDX(45132,45131,,EUR,"NET")&lt;/Q&gt;&lt;R&gt;1&lt;/R&gt;&lt;C&gt;1&lt;/C&gt;&lt;D xsi:type="xsd:double"&gt;0.106876627025243&lt;/D&gt;&lt;/FQL&gt;&lt;FQL&gt;&lt;Q&gt;LHMN9006^FG_TRET_PCHG_IDX(45132,45131,,EUR,"NET")&lt;/Q&gt;&lt;R&gt;1&lt;/R&gt;&lt;C&gt;1&lt;/C&gt;&lt;D xsi:type="xsd:double"&gt;-0.12648940681862&lt;/D&gt;&lt;/FQL&gt;&lt;FQL&gt;&lt;Q&gt;892400^FG_TRET_PCHG_IDX(45132,45131,,EUR,"NET")&lt;/Q&gt;&lt;R&gt;1&lt;/R&gt;&lt;C&gt;1&lt;/C&gt;&lt;D xsi:type="xsd:double"&gt;0.755398603628321&lt;/D&gt;&lt;/FQL&gt;&lt;FQL&gt;&lt;Q&gt;COMP^FG_PRICE(45132,,,EUR)/FG_PRICE(45131,,,EUR)-1&lt;/Q&gt;&lt;R&gt;1&lt;/R&gt;&lt;C&gt;1&lt;/C&gt;&lt;D xsi:type="xsd:double"&gt;0.00932883519480776&lt;/D&gt;&lt;/FQL&gt;&lt;FQL&gt;&lt;Q&gt;SP50^FG_TRET_PCHG_IDX(45132,45131,,EUR,"NET")&lt;/Q&gt;&lt;R&gt;1&lt;/R&gt;&lt;C&gt;1&lt;/C&gt;&lt;D xsi:type="xsd:double"&gt;0.605067628460287&lt;/D&gt;&lt;/FQL&gt;&lt;FQL&gt;&lt;Q&gt;183659^FG_TRET_PCHG_IDX(45132,45131,,EUR,"NET")&lt;/Q&gt;&lt;R&gt;1&lt;/R&gt;&lt;C&gt;1&lt;/C&gt;&lt;D xsi:type="xsd:double"&gt;0.205492278997998&lt;/D&gt;&lt;/FQL&gt;&lt;FQL&gt;&lt;Q&gt;PXL-ENX^FG_TRET_PCHG_IDX(45132,45131,,EUR,"NET")&lt;/Q&gt;&lt;R&gt;1&lt;/R&gt;&lt;C&gt;1&lt;/C&gt;&lt;D xsi:type="xsd:double"&gt;-0.159607035701859&lt;/D&gt;&lt;/FQL&gt;&lt;/Schema&gt;</t>
        </r>
      </text>
    </comment>
  </commentList>
</comments>
</file>

<file path=xl/sharedStrings.xml><?xml version="1.0" encoding="utf-8"?>
<sst xmlns="http://schemas.openxmlformats.org/spreadsheetml/2006/main" count="280" uniqueCount="98">
  <si>
    <t>Variations du jour</t>
  </si>
  <si>
    <t>Ordres en cours</t>
  </si>
  <si>
    <t>Ordres exécutés sur la séance</t>
  </si>
  <si>
    <t>COLONNES CALCULEES</t>
  </si>
  <si>
    <t>DONNEES TRANSPARISEES - FONDS ACTION/FLEXIBLE/CONVERTIBLE</t>
  </si>
  <si>
    <t>DONNEES TRANSPARISEES - FONDS OBLIGATION/FLEXIBLE/CONVERTIBLE</t>
  </si>
  <si>
    <t>TOUS FONDS</t>
  </si>
  <si>
    <t>Colonne1</t>
  </si>
  <si>
    <t>code isin</t>
  </si>
  <si>
    <t>Nom</t>
  </si>
  <si>
    <t>Colonne7</t>
  </si>
  <si>
    <t xml:space="preserve">Nombre de parts </t>
  </si>
  <si>
    <t xml:space="preserve">VL 30/12/2022
en devise locale </t>
  </si>
  <si>
    <t>Dernière VL
en devise locale</t>
  </si>
  <si>
    <t>Valorisation
en euros</t>
  </si>
  <si>
    <t>% Ptf</t>
  </si>
  <si>
    <t>Classe d'actifs</t>
  </si>
  <si>
    <t>Variation jour</t>
  </si>
  <si>
    <t>CTB</t>
  </si>
  <si>
    <t>YTD%</t>
  </si>
  <si>
    <t xml:space="preserve">Date VL </t>
  </si>
  <si>
    <t>Montant</t>
  </si>
  <si>
    <t>Frais</t>
  </si>
  <si>
    <t>Quantité2</t>
  </si>
  <si>
    <t>Cours d'exécution</t>
  </si>
  <si>
    <t xml:space="preserve">Total </t>
  </si>
  <si>
    <t>H Cut off</t>
  </si>
  <si>
    <t xml:space="preserve">Risque liquidité (délai de réalisation en jours) RACHATS </t>
  </si>
  <si>
    <t>Devise</t>
  </si>
  <si>
    <t>% Sensi actions</t>
  </si>
  <si>
    <t>%
High Yield</t>
  </si>
  <si>
    <t>CTB sensibilité actions</t>
  </si>
  <si>
    <t>CTB Oblig HY</t>
  </si>
  <si>
    <t>Exp nette action</t>
  </si>
  <si>
    <t>Expo nette action Europe (Suisse et UK inclus) %</t>
  </si>
  <si>
    <t xml:space="preserve">Expo nette action USA &amp; Canada % </t>
  </si>
  <si>
    <t>Expo nette action Asie &amp; Japon %</t>
  </si>
  <si>
    <t>Expo nette action Reste du monde %</t>
  </si>
  <si>
    <r>
      <t xml:space="preserve">Expo nette action pays émergents  </t>
    </r>
    <r>
      <rPr>
        <b/>
        <i/>
        <sz val="8"/>
        <color theme="0"/>
        <rFont val="Trebuchet MS"/>
        <family val="2"/>
      </rPr>
      <t>(pays présents dans le MSCI Emerging &amp; Frontier Markets)</t>
    </r>
  </si>
  <si>
    <t>Expo nette action petites capitalisations (capi &lt; 500 M d'euros) (%)</t>
  </si>
  <si>
    <t xml:space="preserve">Expo nette obligataire </t>
  </si>
  <si>
    <t>Expo nette taux spéculatifs (inf ou = à BB+, incluant les émissions NR) (%)</t>
  </si>
  <si>
    <t>Expo nette taux Invesment Grade (notation comprise entre AAA et BBB- ) (%)</t>
  </si>
  <si>
    <t>Expo nette taux pays émergents (pays présents dans le MSCI Emerging &amp; Frontier Markets) (%)</t>
  </si>
  <si>
    <t>Expo nette obligataire convertibles</t>
  </si>
  <si>
    <t>Expo nette Subordonnées financières (%)</t>
  </si>
  <si>
    <t>Sensibilité taux</t>
  </si>
  <si>
    <t>Maturité moyenne</t>
  </si>
  <si>
    <t>Taux de rendement à maturité</t>
  </si>
  <si>
    <t>Notation moyenne</t>
  </si>
  <si>
    <t>Sensibilité actions (oligations convertibles)</t>
  </si>
  <si>
    <t>Exposition nette OPC %</t>
  </si>
  <si>
    <t>Dérivés (swap, CDS, futures, options)</t>
  </si>
  <si>
    <t xml:space="preserve">% Liquidités et équivalents (obligations arrivant à maturité, billets de trésorerie et dépots) </t>
  </si>
  <si>
    <t>Risque devise USD</t>
  </si>
  <si>
    <t xml:space="preserve">Risque de change (% devises non hédgées hors Euro) </t>
  </si>
  <si>
    <t>Encours sous
gestion en euros</t>
  </si>
  <si>
    <t>Ratio
d'emprise</t>
  </si>
  <si>
    <t xml:space="preserve">Détention max OPC </t>
  </si>
  <si>
    <t xml:space="preserve">SRRI </t>
  </si>
  <si>
    <t>Classe d'actif
Tiepolo II</t>
  </si>
  <si>
    <t xml:space="preserve">Periodicité VL </t>
  </si>
  <si>
    <t>FRAIS COURTAGE</t>
  </si>
  <si>
    <t xml:space="preserve">Frais courants % </t>
  </si>
  <si>
    <t>Transparisation 
Commentaire</t>
  </si>
  <si>
    <t>TP;</t>
  </si>
  <si>
    <t>NE PAS TOUCHER</t>
  </si>
  <si>
    <t>x</t>
  </si>
  <si>
    <t>Total en cours</t>
  </si>
  <si>
    <t>Total exécution</t>
  </si>
  <si>
    <t>Investi</t>
  </si>
  <si>
    <t>Liquidités</t>
  </si>
  <si>
    <t>YTD</t>
  </si>
  <si>
    <t xml:space="preserve">Mois en </t>
  </si>
  <si>
    <t>Origine</t>
  </si>
  <si>
    <t>Type</t>
  </si>
  <si>
    <t>Contrainte</t>
  </si>
  <si>
    <t>Lim. Max</t>
  </si>
  <si>
    <t>Fonds</t>
  </si>
  <si>
    <t>Anomalie</t>
  </si>
  <si>
    <t>Répartition par classe d'actifs</t>
  </si>
  <si>
    <t>Répartition des obligations par stratégie</t>
  </si>
  <si>
    <t>Souscriptions</t>
  </si>
  <si>
    <t>cours</t>
  </si>
  <si>
    <t>Agios cash</t>
  </si>
  <si>
    <t>F Courtage</t>
  </si>
  <si>
    <t>F Gestion</t>
  </si>
  <si>
    <t>Total yc FG</t>
  </si>
  <si>
    <t>Date VL</t>
  </si>
  <si>
    <t>Nb de parts</t>
  </si>
  <si>
    <t>VL</t>
  </si>
  <si>
    <t>var</t>
  </si>
  <si>
    <t>Cours EURUSD</t>
  </si>
  <si>
    <t>Collecte jour</t>
  </si>
  <si>
    <t>Frais induits</t>
  </si>
  <si>
    <t>Date VL J-1</t>
  </si>
  <si>
    <t xml:space="preserve"> </t>
  </si>
  <si>
    <t>This sheet contains FactSet XML data for use with this workbook's =FDS codes.  Modifying the worksheet's contents may damage the workbook's =FDS functionality.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</si>
</sst>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3">
    <numFmt numFmtId="43" formatCode="_-* #,##0.00\ _€_-;\-* #,##0.00\ _€_-;_-* &quot;-&quot;??\ _€_-;_-@_-"/>
    <numFmt numFmtId="164" formatCode="_-* #,##0\ _€_-;\-* #,##0\ _€_-;_-* &quot;-&quot;??\ _€_-;_-@_-"/>
    <numFmt numFmtId="165" formatCode="#,##0.00_ ;\-#,##0.00\ "/>
    <numFmt numFmtId="166" formatCode="0.0"/>
    <numFmt numFmtId="167" formatCode="0.0%"/>
    <numFmt numFmtId="168" formatCode="0.0%;\-0.0%;;@"/>
    <numFmt numFmtId="169" formatCode="0.0;\-0.0;;@"/>
    <numFmt numFmtId="170" formatCode="0.000"/>
    <numFmt numFmtId="171" formatCode="d/m;@"/>
    <numFmt numFmtId="172" formatCode="#,##0.000"/>
    <numFmt numFmtId="173" formatCode="_-* #,##0.0\ _€_-;\-* #,##0.0\ _€_-;_-* &quot;-&quot;??\ _€_-;_-@_-"/>
    <numFmt numFmtId="174" formatCode="_(* #,##0.00_);_(* \(#,##0.00\);_(* &quot;-&quot;??_);_(@_)"/>
    <numFmt numFmtId="175" formatCode="#,##0.00\ &quot;€&quot;"/>
    <numFmt numFmtId="176" formatCode="#,##0.0"/>
    <numFmt numFmtId="177" formatCode="0.000%"/>
    <numFmt numFmtId="178" formatCode="_-* #,##0.0000\ _€_-;\-* #,##0.0000\ _€_-;_-* &quot;-&quot;????\ _€_-;_-@_-"/>
    <numFmt numFmtId="179" formatCode="\+0.00%;\-0.00%"/>
    <numFmt numFmtId="180" formatCode="&quot;€&quot;#,##0.000"/>
    <numFmt numFmtId="181" formatCode="#,##0.0\ &quot;€&quot;"/>
    <numFmt numFmtId="182" formatCode="_-* #,##0.000\ _€_-;\-* #,##0.000\ _€_-;_-* &quot;-&quot;??\ _€_-;_-@_-"/>
    <numFmt numFmtId="183" formatCode="_-* #,##0.0000\ _€_-;\-* #,##0.0000\ _€_-;_-* &quot;-&quot;??\ _€_-;_-@_-"/>
    <numFmt numFmtId="184" formatCode="#,##0_ ;\-#,##0\ "/>
    <numFmt numFmtId="185" formatCode="0.0000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Trebuchet MS"/>
      <family val="2"/>
    </font>
    <font>
      <b/>
      <sz val="11"/>
      <color theme="1"/>
      <name val="Trebuchet MS"/>
      <family val="2"/>
    </font>
    <font>
      <b/>
      <sz val="10"/>
      <color theme="1"/>
      <name val="Trebuchet MS"/>
      <family val="2"/>
    </font>
    <font>
      <sz val="11"/>
      <color theme="0"/>
      <name val="Trebuchet MS"/>
      <family val="2"/>
    </font>
    <font>
      <b/>
      <sz val="8"/>
      <color theme="1"/>
      <name val="Trebuchet MS"/>
      <family val="2"/>
    </font>
    <font>
      <b/>
      <sz val="9"/>
      <color theme="1"/>
      <name val="Trebuchet MS"/>
      <family val="2"/>
    </font>
    <font>
      <b/>
      <sz val="8"/>
      <color theme="0"/>
      <name val="Trebuchet MS"/>
      <family val="2"/>
    </font>
    <font>
      <b/>
      <i/>
      <sz val="8"/>
      <color theme="0"/>
      <name val="Trebuchet MS"/>
      <family val="2"/>
    </font>
    <font>
      <sz val="8"/>
      <color theme="1"/>
      <name val="Trebuchet MS"/>
      <family val="2"/>
    </font>
    <font>
      <sz val="7"/>
      <color theme="1"/>
      <name val="Trebuchet MS"/>
      <family val="2"/>
    </font>
    <font>
      <sz val="11"/>
      <name val="Trebuchet MS"/>
      <family val="2"/>
    </font>
    <font>
      <b/>
      <sz val="11"/>
      <color theme="0"/>
      <name val="Trebuchet MS"/>
      <family val="2"/>
    </font>
    <font>
      <b/>
      <sz val="11"/>
      <color theme="1" tint="0.34998626667073579"/>
      <name val="Trebuchet MS"/>
      <family val="2"/>
    </font>
    <font>
      <b/>
      <sz val="11"/>
      <color rgb="FF5A6F54"/>
      <name val="Trebuchet MS"/>
      <family val="2"/>
    </font>
    <font>
      <sz val="11"/>
      <color rgb="FF5A6F54"/>
      <name val="Trebuchet MS"/>
      <family val="2"/>
    </font>
    <font>
      <b/>
      <sz val="11"/>
      <color rgb="FF963634"/>
      <name val="Trebuchet MS"/>
      <family val="2"/>
    </font>
    <font>
      <sz val="11"/>
      <color rgb="FF963634"/>
      <name val="Trebuchet MS"/>
      <family val="2"/>
    </font>
    <font>
      <sz val="11"/>
      <color rgb="FFFF0000"/>
      <name val="Trebuchet MS"/>
      <family val="2"/>
    </font>
    <font>
      <sz val="9"/>
      <color theme="1"/>
      <name val="Trebuchet MS"/>
      <family val="2"/>
    </font>
    <font>
      <sz val="10"/>
      <color theme="1"/>
      <name val="Trebuchet MS"/>
      <family val="2"/>
    </font>
    <font>
      <i/>
      <sz val="10"/>
      <color theme="1"/>
      <name val="Trebuchet MS"/>
      <family val="2"/>
    </font>
    <font>
      <i/>
      <sz val="11"/>
      <color theme="1"/>
      <name val="Trebuchet MS"/>
      <family val="2"/>
    </font>
    <font>
      <b/>
      <sz val="9"/>
      <color theme="0"/>
      <name val="Trebuchet MS"/>
      <family val="2"/>
    </font>
    <font>
      <b/>
      <sz val="10"/>
      <color rgb="FF963634"/>
      <name val="Trebuchet MS"/>
      <family val="2"/>
    </font>
    <font>
      <b/>
      <i/>
      <sz val="11"/>
      <color theme="0"/>
      <name val="Trebuchet MS"/>
      <family val="2"/>
    </font>
    <font>
      <b/>
      <i/>
      <sz val="11"/>
      <color theme="1"/>
      <name val="Trebuchet MS"/>
      <family val="2"/>
    </font>
    <font>
      <b/>
      <i/>
      <sz val="9"/>
      <color theme="1"/>
      <name val="Trebuchet MS"/>
      <family val="2"/>
    </font>
    <font>
      <sz val="11"/>
      <color rgb="FF0420EC"/>
      <name val="Trebuchet MS"/>
      <family val="2"/>
    </font>
    <font>
      <b/>
      <sz val="10"/>
      <color theme="0"/>
      <name val="Trebuchet MS"/>
      <family val="2"/>
    </font>
    <font>
      <sz val="12"/>
      <color theme="1"/>
      <name val="Trebuchet MS"/>
      <family val="2"/>
    </font>
    <font>
      <b/>
      <sz val="9"/>
      <color indexed="81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963634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D9D9D9"/>
        <bgColor indexed="64"/>
      </patternFill>
    </fill>
  </fills>
  <borders count="77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/>
      <top/>
      <bottom/>
      <diagonal/>
    </border>
    <border>
      <left style="thin">
        <color theme="0" tint="-0.499984740745262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thin">
        <color theme="0" tint="-0.34998626667073579"/>
      </right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34998626667073579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499984740745262"/>
      </bottom>
      <diagonal/>
    </border>
    <border>
      <left style="thin">
        <color theme="0" tint="-0.34998626667073579"/>
      </left>
      <right style="thin">
        <color theme="2" tint="-0.249977111117893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77111117893"/>
      </top>
      <bottom/>
      <diagonal/>
    </border>
    <border>
      <left style="thin">
        <color theme="0" tint="-0.34998626667073579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medium">
        <color indexed="64"/>
      </left>
      <right style="medium">
        <color rgb="FF5A6F54"/>
      </right>
      <top style="medium">
        <color indexed="64"/>
      </top>
      <bottom style="medium">
        <color indexed="64"/>
      </bottom>
      <diagonal/>
    </border>
    <border>
      <left style="medium">
        <color rgb="FF5A6F5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rgb="FF963634"/>
      </left>
      <right/>
      <top style="medium">
        <color rgb="FF963634"/>
      </top>
      <bottom style="medium">
        <color rgb="FF963634"/>
      </bottom>
      <diagonal/>
    </border>
    <border>
      <left/>
      <right/>
      <top style="medium">
        <color rgb="FF963634"/>
      </top>
      <bottom style="medium">
        <color rgb="FF963634"/>
      </bottom>
      <diagonal/>
    </border>
    <border>
      <left/>
      <right style="medium">
        <color rgb="FF963634"/>
      </right>
      <top style="medium">
        <color rgb="FF963634"/>
      </top>
      <bottom style="medium">
        <color rgb="FF96363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34998626667073579"/>
      </bottom>
      <diagonal/>
    </border>
    <border>
      <left/>
      <right style="thin">
        <color theme="0" tint="-0.499984740745262"/>
      </right>
      <top/>
      <bottom style="thin">
        <color indexed="64"/>
      </bottom>
      <diagonal/>
    </border>
    <border>
      <left style="thin">
        <color theme="0" tint="-0.499984740745262"/>
      </left>
      <right/>
      <top/>
      <bottom style="thin">
        <color indexed="64"/>
      </bottom>
      <diagonal/>
    </border>
    <border>
      <left style="thin">
        <color theme="0" tint="-0.499984740745262"/>
      </left>
      <right/>
      <top style="thin">
        <color theme="2"/>
      </top>
      <bottom style="thin">
        <color theme="2"/>
      </bottom>
      <diagonal/>
    </border>
    <border>
      <left/>
      <right style="thin">
        <color theme="0" tint="-0.499984740745262"/>
      </right>
      <top style="thin">
        <color theme="2"/>
      </top>
      <bottom style="thin">
        <color theme="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2"/>
      </top>
      <bottom style="thin">
        <color theme="2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theme="0" tint="-0.499984740745262"/>
      </left>
      <right/>
      <top style="thin">
        <color theme="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2"/>
      </right>
      <top style="thin">
        <color theme="0" tint="-0.499984740745262"/>
      </top>
      <bottom style="thin">
        <color theme="2"/>
      </bottom>
      <diagonal/>
    </border>
    <border>
      <left style="thin">
        <color theme="2"/>
      </left>
      <right style="thin">
        <color theme="0" tint="-0.499984740745262"/>
      </right>
      <top style="thin">
        <color theme="0" tint="-0.499984740745262"/>
      </top>
      <bottom style="thin">
        <color theme="2"/>
      </bottom>
      <diagonal/>
    </border>
    <border>
      <left style="thin">
        <color theme="0" tint="-0.49998474074526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0" tint="-0.499984740745262"/>
      </right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 style="thin">
        <color theme="0" tint="-0.499984740745262"/>
      </left>
      <right/>
      <top style="thin">
        <color theme="2"/>
      </top>
      <bottom/>
      <diagonal/>
    </border>
    <border>
      <left/>
      <right style="thin">
        <color theme="0" tint="-0.499984740745262"/>
      </right>
      <top style="thin">
        <color theme="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2"/>
      </top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 style="thin">
        <color theme="0" tint="-0.49998474074526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0" tint="-0.499984740745262"/>
      </right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0" tint="-0.499984740745262"/>
      </right>
      <top/>
      <bottom/>
      <diagonal/>
    </border>
    <border>
      <left/>
      <right/>
      <top style="thin">
        <color theme="2"/>
      </top>
      <bottom style="thin">
        <color theme="0" tint="-0.499984740745262"/>
      </bottom>
      <diagonal/>
    </border>
    <border>
      <left/>
      <right style="thin">
        <color theme="2"/>
      </right>
      <top/>
      <bottom style="thin">
        <color theme="0" tint="-0.499984740745262"/>
      </bottom>
      <diagonal/>
    </border>
    <border>
      <left style="thin">
        <color theme="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2"/>
      </left>
      <right style="thin">
        <color theme="2"/>
      </right>
      <top style="thin">
        <color theme="0" tint="-0.499984740745262"/>
      </top>
      <bottom style="thin">
        <color theme="2"/>
      </bottom>
      <diagonal/>
    </border>
  </borders>
  <cellStyleXfs count="10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1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174" fontId="1" fillId="0" borderId="0" applyFont="0" applyFill="0" applyBorder="0" applyAlignment="0" applyProtection="0"/>
    <xf numFmtId="174" fontId="3" fillId="0" borderId="0" applyFont="0" applyFill="0" applyBorder="0" applyAlignment="0" applyProtection="0"/>
  </cellStyleXfs>
  <cellXfs count="430">
    <xf numFmtId="0" fontId="0" fillId="0" borderId="0" xfId="0"/>
    <xf numFmtId="0" fontId="3" fillId="2" borderId="0" xfId="3" applyFill="1" applyAlignment="1">
      <alignment horizontal="center" vertical="center"/>
    </xf>
    <xf numFmtId="0" fontId="3" fillId="2" borderId="0" xfId="3" applyFill="1" applyAlignment="1">
      <alignment vertical="center"/>
    </xf>
    <xf numFmtId="0" fontId="3" fillId="2" borderId="0" xfId="3" applyFill="1" applyAlignment="1">
      <alignment horizontal="center" vertical="center"/>
    </xf>
    <xf numFmtId="0" fontId="4" fillId="2" borderId="1" xfId="3" applyFont="1" applyFill="1" applyBorder="1" applyAlignment="1">
      <alignment horizontal="right" vertical="center"/>
    </xf>
    <xf numFmtId="0" fontId="5" fillId="2" borderId="2" xfId="3" applyFont="1" applyFill="1" applyBorder="1" applyAlignment="1">
      <alignment horizontal="center" vertical="center"/>
    </xf>
    <xf numFmtId="0" fontId="5" fillId="2" borderId="3" xfId="3" applyFont="1" applyFill="1" applyBorder="1" applyAlignment="1">
      <alignment horizontal="center" vertical="center"/>
    </xf>
    <xf numFmtId="0" fontId="4" fillId="2" borderId="4" xfId="3" applyFont="1" applyFill="1" applyBorder="1" applyAlignment="1">
      <alignment horizontal="center" vertical="center"/>
    </xf>
    <xf numFmtId="0" fontId="4" fillId="2" borderId="5" xfId="3" applyFont="1" applyFill="1" applyBorder="1" applyAlignment="1">
      <alignment horizontal="center" vertical="center"/>
    </xf>
    <xf numFmtId="10" fontId="3" fillId="2" borderId="0" xfId="2" applyNumberFormat="1" applyFont="1" applyFill="1" applyBorder="1" applyAlignment="1">
      <alignment vertical="center"/>
    </xf>
    <xf numFmtId="0" fontId="6" fillId="3" borderId="0" xfId="3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6" fillId="4" borderId="0" xfId="3" applyFont="1" applyFill="1" applyAlignment="1">
      <alignment vertical="center"/>
    </xf>
    <xf numFmtId="0" fontId="3" fillId="4" borderId="0" xfId="3" applyFill="1" applyAlignment="1">
      <alignment horizontal="center" vertical="center"/>
    </xf>
    <xf numFmtId="0" fontId="3" fillId="5" borderId="0" xfId="3" applyFill="1" applyAlignment="1">
      <alignment horizontal="center" vertical="center"/>
    </xf>
    <xf numFmtId="0" fontId="6" fillId="5" borderId="0" xfId="3" applyFont="1" applyFill="1" applyAlignment="1">
      <alignment vertical="center"/>
    </xf>
    <xf numFmtId="0" fontId="3" fillId="5" borderId="0" xfId="0" applyFont="1" applyFill="1" applyAlignment="1">
      <alignment horizontal="center" vertical="center"/>
    </xf>
    <xf numFmtId="43" fontId="3" fillId="6" borderId="0" xfId="1" applyFont="1" applyFill="1" applyBorder="1" applyAlignment="1">
      <alignment vertical="center"/>
    </xf>
    <xf numFmtId="0" fontId="3" fillId="6" borderId="0" xfId="0" applyFont="1" applyFill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7" fillId="7" borderId="0" xfId="3" applyFont="1" applyFill="1" applyAlignment="1">
      <alignment horizontal="center" vertical="center" wrapText="1"/>
    </xf>
    <xf numFmtId="0" fontId="4" fillId="7" borderId="0" xfId="3" applyFont="1" applyFill="1" applyAlignment="1">
      <alignment horizontal="center" vertical="center" wrapText="1"/>
    </xf>
    <xf numFmtId="0" fontId="4" fillId="7" borderId="6" xfId="3" applyFont="1" applyFill="1" applyBorder="1" applyAlignment="1">
      <alignment horizontal="center" vertical="center" wrapText="1"/>
    </xf>
    <xf numFmtId="0" fontId="5" fillId="7" borderId="7" xfId="3" applyFont="1" applyFill="1" applyBorder="1" applyAlignment="1">
      <alignment horizontal="center" vertical="center" wrapText="1"/>
    </xf>
    <xf numFmtId="0" fontId="4" fillId="7" borderId="7" xfId="3" applyFont="1" applyFill="1" applyBorder="1" applyAlignment="1">
      <alignment horizontal="center" vertical="center" wrapText="1"/>
    </xf>
    <xf numFmtId="0" fontId="8" fillId="7" borderId="8" xfId="3" applyFont="1" applyFill="1" applyBorder="1" applyAlignment="1">
      <alignment horizontal="center" vertical="center" wrapText="1"/>
    </xf>
    <xf numFmtId="164" fontId="4" fillId="7" borderId="9" xfId="3" applyNumberFormat="1" applyFont="1" applyFill="1" applyBorder="1" applyAlignment="1">
      <alignment horizontal="center" vertical="center" wrapText="1"/>
    </xf>
    <xf numFmtId="164" fontId="4" fillId="7" borderId="10" xfId="3" applyNumberFormat="1" applyFont="1" applyFill="1" applyBorder="1" applyAlignment="1">
      <alignment horizontal="center" vertical="center" wrapText="1"/>
    </xf>
    <xf numFmtId="164" fontId="5" fillId="8" borderId="1" xfId="3" applyNumberFormat="1" applyFont="1" applyFill="1" applyBorder="1" applyAlignment="1">
      <alignment horizontal="center" vertical="center" wrapText="1"/>
    </xf>
    <xf numFmtId="0" fontId="5" fillId="9" borderId="1" xfId="3" applyFont="1" applyFill="1" applyBorder="1" applyAlignment="1">
      <alignment horizontal="center" vertical="center" wrapText="1"/>
    </xf>
    <xf numFmtId="0" fontId="4" fillId="7" borderId="8" xfId="3" applyFont="1" applyFill="1" applyBorder="1" applyAlignment="1">
      <alignment horizontal="center" vertical="center" wrapText="1"/>
    </xf>
    <xf numFmtId="0" fontId="7" fillId="7" borderId="9" xfId="3" applyFont="1" applyFill="1" applyBorder="1" applyAlignment="1">
      <alignment horizontal="center" vertical="center" wrapText="1"/>
    </xf>
    <xf numFmtId="164" fontId="7" fillId="10" borderId="9" xfId="3" applyNumberFormat="1" applyFont="1" applyFill="1" applyBorder="1" applyAlignment="1">
      <alignment horizontal="center" vertical="center" wrapText="1"/>
    </xf>
    <xf numFmtId="10" fontId="7" fillId="10" borderId="9" xfId="2" applyNumberFormat="1" applyFont="1" applyFill="1" applyBorder="1" applyAlignment="1">
      <alignment horizontal="center" vertical="center" wrapText="1"/>
    </xf>
    <xf numFmtId="164" fontId="7" fillId="3" borderId="9" xfId="3" applyNumberFormat="1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164" fontId="9" fillId="3" borderId="9" xfId="3" applyNumberFormat="1" applyFont="1" applyFill="1" applyBorder="1" applyAlignment="1">
      <alignment horizontal="center" vertical="center" wrapText="1"/>
    </xf>
    <xf numFmtId="164" fontId="7" fillId="4" borderId="9" xfId="3" applyNumberFormat="1" applyFont="1" applyFill="1" applyBorder="1" applyAlignment="1">
      <alignment horizontal="center" vertical="center" wrapText="1"/>
    </xf>
    <xf numFmtId="164" fontId="9" fillId="4" borderId="9" xfId="3" applyNumberFormat="1" applyFont="1" applyFill="1" applyBorder="1" applyAlignment="1">
      <alignment horizontal="center" vertical="center" wrapText="1"/>
    </xf>
    <xf numFmtId="164" fontId="7" fillId="5" borderId="9" xfId="3" applyNumberFormat="1" applyFont="1" applyFill="1" applyBorder="1" applyAlignment="1">
      <alignment horizontal="center" vertical="center" wrapText="1"/>
    </xf>
    <xf numFmtId="164" fontId="9" fillId="5" borderId="9" xfId="3" applyNumberFormat="1" applyFont="1" applyFill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  <xf numFmtId="43" fontId="7" fillId="10" borderId="9" xfId="1" applyFont="1" applyFill="1" applyBorder="1" applyAlignment="1">
      <alignment horizontal="center" vertical="center" wrapText="1"/>
    </xf>
    <xf numFmtId="0" fontId="7" fillId="11" borderId="9" xfId="3" applyFont="1" applyFill="1" applyBorder="1" applyAlignment="1">
      <alignment horizontal="center" vertical="center" wrapText="1"/>
    </xf>
    <xf numFmtId="0" fontId="7" fillId="0" borderId="9" xfId="4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0" borderId="0" xfId="0" applyFont="1" applyAlignment="1">
      <alignment vertical="center"/>
    </xf>
    <xf numFmtId="0" fontId="3" fillId="0" borderId="13" xfId="3" applyBorder="1" applyAlignment="1">
      <alignment vertical="center"/>
    </xf>
    <xf numFmtId="0" fontId="3" fillId="12" borderId="14" xfId="3" applyFill="1" applyBorder="1" applyAlignment="1">
      <alignment horizontal="center" vertical="center"/>
    </xf>
    <xf numFmtId="0" fontId="3" fillId="0" borderId="14" xfId="3" applyBorder="1" applyAlignment="1">
      <alignment vertical="center"/>
    </xf>
    <xf numFmtId="3" fontId="3" fillId="12" borderId="14" xfId="5" applyNumberFormat="1" applyFont="1" applyFill="1" applyBorder="1" applyAlignment="1">
      <alignment vertical="center"/>
    </xf>
    <xf numFmtId="4" fontId="3" fillId="0" borderId="15" xfId="1" applyNumberFormat="1" applyFont="1" applyFill="1" applyBorder="1" applyAlignment="1">
      <alignment vertical="center"/>
    </xf>
    <xf numFmtId="4" fontId="3" fillId="0" borderId="16" xfId="1" applyNumberFormat="1" applyFont="1" applyFill="1" applyBorder="1" applyAlignment="1">
      <alignment horizontal="right" vertical="center"/>
    </xf>
    <xf numFmtId="165" fontId="3" fillId="0" borderId="16" xfId="1" applyNumberFormat="1" applyFont="1" applyFill="1" applyBorder="1" applyAlignment="1">
      <alignment vertical="center"/>
    </xf>
    <xf numFmtId="10" fontId="3" fillId="0" borderId="17" xfId="2" applyNumberFormat="1" applyFont="1" applyFill="1" applyBorder="1" applyAlignment="1">
      <alignment vertical="center"/>
    </xf>
    <xf numFmtId="10" fontId="3" fillId="0" borderId="14" xfId="2" applyNumberFormat="1" applyFont="1" applyFill="1" applyBorder="1" applyAlignment="1">
      <alignment horizontal="center" vertical="center"/>
    </xf>
    <xf numFmtId="10" fontId="13" fillId="0" borderId="18" xfId="6" applyNumberFormat="1" applyFont="1" applyFill="1" applyBorder="1" applyAlignment="1">
      <alignment horizontal="center" vertical="center"/>
    </xf>
    <xf numFmtId="166" fontId="13" fillId="0" borderId="19" xfId="5" applyNumberFormat="1" applyFont="1" applyFill="1" applyBorder="1" applyAlignment="1">
      <alignment horizontal="center" vertical="center"/>
    </xf>
    <xf numFmtId="10" fontId="13" fillId="0" borderId="20" xfId="6" applyNumberFormat="1" applyFont="1" applyFill="1" applyBorder="1" applyAlignment="1">
      <alignment horizontal="center" vertical="center"/>
    </xf>
    <xf numFmtId="14" fontId="3" fillId="0" borderId="20" xfId="6" applyNumberFormat="1" applyFont="1" applyFill="1" applyBorder="1" applyAlignment="1">
      <alignment horizontal="center" vertical="center"/>
    </xf>
    <xf numFmtId="1" fontId="3" fillId="0" borderId="13" xfId="6" applyNumberFormat="1" applyFont="1" applyFill="1" applyBorder="1" applyAlignment="1">
      <alignment horizontal="center" vertical="center"/>
    </xf>
    <xf numFmtId="164" fontId="3" fillId="0" borderId="17" xfId="1" applyNumberFormat="1" applyFont="1" applyFill="1" applyBorder="1" applyAlignment="1">
      <alignment horizontal="center" vertical="center"/>
    </xf>
    <xf numFmtId="1" fontId="3" fillId="0" borderId="13" xfId="5" applyNumberFormat="1" applyFont="1" applyFill="1" applyBorder="1" applyAlignment="1">
      <alignment horizontal="center" vertical="center"/>
    </xf>
    <xf numFmtId="164" fontId="3" fillId="0" borderId="14" xfId="1" applyNumberFormat="1" applyFont="1" applyFill="1" applyBorder="1" applyAlignment="1">
      <alignment horizontal="right" vertical="center"/>
    </xf>
    <xf numFmtId="43" fontId="3" fillId="0" borderId="14" xfId="1" applyFont="1" applyFill="1" applyBorder="1" applyAlignment="1">
      <alignment horizontal="right" vertical="center"/>
    </xf>
    <xf numFmtId="43" fontId="3" fillId="0" borderId="17" xfId="1" applyFont="1" applyFill="1" applyBorder="1" applyAlignment="1">
      <alignment vertical="center"/>
    </xf>
    <xf numFmtId="43" fontId="3" fillId="0" borderId="21" xfId="1" applyFont="1" applyFill="1" applyBorder="1" applyAlignment="1">
      <alignment horizontal="center" vertical="center"/>
    </xf>
    <xf numFmtId="1" fontId="3" fillId="0" borderId="21" xfId="7" applyNumberFormat="1" applyFont="1" applyFill="1" applyBorder="1" applyAlignment="1">
      <alignment horizontal="center" vertical="center"/>
    </xf>
    <xf numFmtId="2" fontId="13" fillId="0" borderId="21" xfId="3" applyNumberFormat="1" applyFont="1" applyBorder="1" applyAlignment="1">
      <alignment horizontal="center" vertical="center"/>
    </xf>
    <xf numFmtId="167" fontId="3" fillId="0" borderId="21" xfId="2" applyNumberFormat="1" applyFont="1" applyFill="1" applyBorder="1" applyAlignment="1">
      <alignment horizontal="right" vertical="center"/>
    </xf>
    <xf numFmtId="168" fontId="3" fillId="0" borderId="21" xfId="7" applyNumberFormat="1" applyFont="1" applyFill="1" applyBorder="1" applyAlignment="1">
      <alignment horizontal="right" vertical="center"/>
    </xf>
    <xf numFmtId="169" fontId="3" fillId="0" borderId="21" xfId="7" applyNumberFormat="1" applyFont="1" applyFill="1" applyBorder="1" applyAlignment="1">
      <alignment horizontal="center" vertical="center"/>
    </xf>
    <xf numFmtId="43" fontId="3" fillId="0" borderId="21" xfId="1" applyFont="1" applyFill="1" applyBorder="1" applyAlignment="1">
      <alignment horizontal="right" vertical="center"/>
    </xf>
    <xf numFmtId="164" fontId="3" fillId="0" borderId="20" xfId="1" applyNumberFormat="1" applyFont="1" applyFill="1" applyBorder="1" applyAlignment="1">
      <alignment horizontal="right" vertical="center"/>
    </xf>
    <xf numFmtId="9" fontId="3" fillId="0" borderId="21" xfId="2" applyFont="1" applyFill="1" applyBorder="1" applyAlignment="1">
      <alignment horizontal="right" vertical="center"/>
    </xf>
    <xf numFmtId="9" fontId="3" fillId="0" borderId="21" xfId="2" applyFont="1" applyFill="1" applyBorder="1" applyAlignment="1">
      <alignment horizontal="center" vertical="center"/>
    </xf>
    <xf numFmtId="167" fontId="3" fillId="0" borderId="20" xfId="2" applyNumberFormat="1" applyFont="1" applyFill="1" applyBorder="1" applyAlignment="1">
      <alignment horizontal="left" vertical="center"/>
    </xf>
    <xf numFmtId="0" fontId="3" fillId="0" borderId="21" xfId="0" applyFont="1" applyBorder="1" applyAlignment="1">
      <alignment vertical="center"/>
    </xf>
    <xf numFmtId="1" fontId="3" fillId="13" borderId="21" xfId="2" applyNumberFormat="1" applyFont="1" applyFill="1" applyBorder="1" applyAlignment="1">
      <alignment horizontal="center" vertical="center"/>
    </xf>
    <xf numFmtId="170" fontId="3" fillId="0" borderId="0" xfId="0" applyNumberFormat="1" applyFont="1" applyAlignment="1">
      <alignment vertical="center"/>
    </xf>
    <xf numFmtId="0" fontId="3" fillId="0" borderId="18" xfId="3" applyBorder="1" applyAlignment="1">
      <alignment vertical="center"/>
    </xf>
    <xf numFmtId="0" fontId="13" fillId="14" borderId="22" xfId="0" applyFont="1" applyFill="1" applyBorder="1" applyAlignment="1">
      <alignment horizontal="center" vertical="center"/>
    </xf>
    <xf numFmtId="0" fontId="3" fillId="0" borderId="22" xfId="3" applyBorder="1" applyAlignment="1">
      <alignment vertical="center"/>
    </xf>
    <xf numFmtId="3" fontId="3" fillId="12" borderId="22" xfId="5" applyNumberFormat="1" applyFont="1" applyFill="1" applyBorder="1" applyAlignment="1">
      <alignment vertical="center"/>
    </xf>
    <xf numFmtId="165" fontId="13" fillId="0" borderId="16" xfId="1" applyNumberFormat="1" applyFont="1" applyFill="1" applyBorder="1" applyAlignment="1">
      <alignment vertical="center"/>
    </xf>
    <xf numFmtId="1" fontId="3" fillId="0" borderId="18" xfId="1" applyNumberFormat="1" applyFont="1" applyFill="1" applyBorder="1" applyAlignment="1">
      <alignment horizontal="center" vertical="center"/>
    </xf>
    <xf numFmtId="164" fontId="3" fillId="0" borderId="22" xfId="1" applyNumberFormat="1" applyFont="1" applyFill="1" applyBorder="1" applyAlignment="1">
      <alignment horizontal="right" vertical="center"/>
    </xf>
    <xf numFmtId="43" fontId="3" fillId="0" borderId="22" xfId="1" applyFont="1" applyFill="1" applyBorder="1" applyAlignment="1">
      <alignment horizontal="right" vertical="center"/>
    </xf>
    <xf numFmtId="43" fontId="3" fillId="0" borderId="20" xfId="1" applyFont="1" applyFill="1" applyBorder="1" applyAlignment="1">
      <alignment horizontal="center" vertical="center"/>
    </xf>
    <xf numFmtId="1" fontId="3" fillId="0" borderId="20" xfId="7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vertical="center"/>
    </xf>
    <xf numFmtId="1" fontId="3" fillId="0" borderId="20" xfId="2" applyNumberFormat="1" applyFont="1" applyFill="1" applyBorder="1" applyAlignment="1">
      <alignment horizontal="center" vertical="center"/>
    </xf>
    <xf numFmtId="0" fontId="3" fillId="15" borderId="0" xfId="0" applyFont="1" applyFill="1" applyAlignment="1">
      <alignment vertical="center"/>
    </xf>
    <xf numFmtId="10" fontId="3" fillId="15" borderId="0" xfId="0" applyNumberFormat="1" applyFont="1" applyFill="1" applyAlignment="1">
      <alignment vertical="center"/>
    </xf>
    <xf numFmtId="0" fontId="3" fillId="12" borderId="22" xfId="3" applyFill="1" applyBorder="1" applyAlignment="1">
      <alignment horizontal="center" vertical="center"/>
    </xf>
    <xf numFmtId="171" fontId="3" fillId="0" borderId="20" xfId="6" applyNumberFormat="1" applyFont="1" applyFill="1" applyBorder="1" applyAlignment="1">
      <alignment horizontal="center" vertical="center"/>
    </xf>
    <xf numFmtId="1" fontId="3" fillId="0" borderId="18" xfId="6" applyNumberFormat="1" applyFont="1" applyFill="1" applyBorder="1" applyAlignment="1">
      <alignment horizontal="center" vertical="center"/>
    </xf>
    <xf numFmtId="1" fontId="3" fillId="0" borderId="21" xfId="2" applyNumberFormat="1" applyFont="1" applyFill="1" applyBorder="1" applyAlignment="1">
      <alignment horizontal="center" vertical="center"/>
    </xf>
    <xf numFmtId="165" fontId="3" fillId="0" borderId="19" xfId="1" applyNumberFormat="1" applyFont="1" applyFill="1" applyBorder="1" applyAlignment="1">
      <alignment vertical="center"/>
    </xf>
    <xf numFmtId="166" fontId="13" fillId="0" borderId="23" xfId="5" applyNumberFormat="1" applyFont="1" applyFill="1" applyBorder="1" applyAlignment="1">
      <alignment horizontal="center" vertical="center"/>
    </xf>
    <xf numFmtId="10" fontId="13" fillId="0" borderId="17" xfId="6" applyNumberFormat="1" applyFont="1" applyFill="1" applyBorder="1" applyAlignment="1">
      <alignment horizontal="center" vertical="center"/>
    </xf>
    <xf numFmtId="14" fontId="3" fillId="0" borderId="21" xfId="6" applyNumberFormat="1" applyFont="1" applyFill="1" applyBorder="1" applyAlignment="1">
      <alignment horizontal="center" vertical="center"/>
    </xf>
    <xf numFmtId="167" fontId="3" fillId="0" borderId="21" xfId="2" applyNumberFormat="1" applyFont="1" applyFill="1" applyBorder="1" applyAlignment="1">
      <alignment horizontal="left" vertical="center"/>
    </xf>
    <xf numFmtId="4" fontId="3" fillId="0" borderId="15" xfId="1" applyNumberFormat="1" applyFont="1" applyFill="1" applyBorder="1" applyAlignment="1">
      <alignment horizontal="right" vertical="center"/>
    </xf>
    <xf numFmtId="165" fontId="3" fillId="0" borderId="15" xfId="1" applyNumberFormat="1" applyFont="1" applyFill="1" applyBorder="1" applyAlignment="1">
      <alignment vertical="center"/>
    </xf>
    <xf numFmtId="1" fontId="3" fillId="0" borderId="22" xfId="6" applyNumberFormat="1" applyFont="1" applyFill="1" applyBorder="1" applyAlignment="1">
      <alignment horizontal="center" vertical="center"/>
    </xf>
    <xf numFmtId="1" fontId="3" fillId="0" borderId="20" xfId="2" applyNumberFormat="1" applyFont="1" applyBorder="1" applyAlignment="1">
      <alignment horizontal="center" vertical="center"/>
    </xf>
    <xf numFmtId="43" fontId="3" fillId="0" borderId="24" xfId="1" applyFont="1" applyFill="1" applyBorder="1" applyAlignment="1">
      <alignment horizontal="center" vertical="center"/>
    </xf>
    <xf numFmtId="0" fontId="3" fillId="0" borderId="22" xfId="3" applyBorder="1" applyAlignment="1">
      <alignment horizontal="left" vertical="center"/>
    </xf>
    <xf numFmtId="43" fontId="3" fillId="0" borderId="1" xfId="1" applyFont="1" applyFill="1" applyBorder="1" applyAlignment="1">
      <alignment horizontal="center" vertical="center"/>
    </xf>
    <xf numFmtId="1" fontId="3" fillId="0" borderId="25" xfId="7" applyNumberFormat="1" applyFont="1" applyFill="1" applyBorder="1" applyAlignment="1">
      <alignment horizontal="center" vertical="center"/>
    </xf>
    <xf numFmtId="165" fontId="13" fillId="0" borderId="15" xfId="1" applyNumberFormat="1" applyFont="1" applyFill="1" applyBorder="1" applyAlignment="1">
      <alignment vertical="center"/>
    </xf>
    <xf numFmtId="1" fontId="3" fillId="0" borderId="20" xfId="2" applyNumberFormat="1" applyFont="1" applyFill="1" applyBorder="1" applyAlignment="1">
      <alignment horizontal="left" vertical="center"/>
    </xf>
    <xf numFmtId="43" fontId="3" fillId="0" borderId="17" xfId="1" applyFont="1" applyFill="1" applyBorder="1" applyAlignment="1">
      <alignment horizontal="center" vertical="center"/>
    </xf>
    <xf numFmtId="4" fontId="3" fillId="0" borderId="26" xfId="1" applyNumberFormat="1" applyFont="1" applyFill="1" applyBorder="1" applyAlignment="1">
      <alignment vertical="center"/>
    </xf>
    <xf numFmtId="4" fontId="3" fillId="0" borderId="26" xfId="1" applyNumberFormat="1" applyFont="1" applyFill="1" applyBorder="1" applyAlignment="1">
      <alignment horizontal="right" vertical="center"/>
    </xf>
    <xf numFmtId="165" fontId="13" fillId="0" borderId="26" xfId="1" applyNumberFormat="1" applyFont="1" applyFill="1" applyBorder="1" applyAlignment="1">
      <alignment vertical="center"/>
    </xf>
    <xf numFmtId="10" fontId="3" fillId="0" borderId="25" xfId="2" applyNumberFormat="1" applyFont="1" applyFill="1" applyBorder="1" applyAlignment="1">
      <alignment vertical="center"/>
    </xf>
    <xf numFmtId="10" fontId="3" fillId="0" borderId="22" xfId="2" applyNumberFormat="1" applyFont="1" applyFill="1" applyBorder="1" applyAlignment="1">
      <alignment horizontal="center" vertical="center"/>
    </xf>
    <xf numFmtId="10" fontId="13" fillId="0" borderId="25" xfId="6" applyNumberFormat="1" applyFont="1" applyFill="1" applyBorder="1" applyAlignment="1">
      <alignment horizontal="center" vertical="center"/>
    </xf>
    <xf numFmtId="1" fontId="3" fillId="0" borderId="22" xfId="1" applyNumberFormat="1" applyFont="1" applyFill="1" applyBorder="1" applyAlignment="1">
      <alignment horizontal="center" vertical="center"/>
    </xf>
    <xf numFmtId="164" fontId="3" fillId="0" borderId="25" xfId="1" applyNumberFormat="1" applyFont="1" applyFill="1" applyBorder="1" applyAlignment="1">
      <alignment horizontal="center" vertical="center"/>
    </xf>
    <xf numFmtId="1" fontId="3" fillId="0" borderId="18" xfId="5" applyNumberFormat="1" applyFont="1" applyFill="1" applyBorder="1" applyAlignment="1">
      <alignment horizontal="center" vertical="center"/>
    </xf>
    <xf numFmtId="43" fontId="3" fillId="0" borderId="25" xfId="1" applyFont="1" applyFill="1" applyBorder="1" applyAlignment="1">
      <alignment vertical="center"/>
    </xf>
    <xf numFmtId="43" fontId="3" fillId="0" borderId="25" xfId="1" applyFont="1" applyFill="1" applyBorder="1" applyAlignment="1">
      <alignment horizontal="center" vertical="center"/>
    </xf>
    <xf numFmtId="2" fontId="13" fillId="0" borderId="20" xfId="3" applyNumberFormat="1" applyFont="1" applyBorder="1" applyAlignment="1">
      <alignment horizontal="center" vertical="center"/>
    </xf>
    <xf numFmtId="168" fontId="3" fillId="0" borderId="20" xfId="7" applyNumberFormat="1" applyFont="1" applyFill="1" applyBorder="1" applyAlignment="1">
      <alignment horizontal="right" vertical="center"/>
    </xf>
    <xf numFmtId="169" fontId="3" fillId="0" borderId="20" xfId="7" applyNumberFormat="1" applyFont="1" applyFill="1" applyBorder="1" applyAlignment="1">
      <alignment horizontal="center" vertical="center"/>
    </xf>
    <xf numFmtId="167" fontId="3" fillId="0" borderId="20" xfId="2" applyNumberFormat="1" applyFont="1" applyFill="1" applyBorder="1" applyAlignment="1">
      <alignment horizontal="right" vertical="center"/>
    </xf>
    <xf numFmtId="43" fontId="3" fillId="0" borderId="20" xfId="1" applyFont="1" applyFill="1" applyBorder="1" applyAlignment="1">
      <alignment horizontal="right" vertical="center"/>
    </xf>
    <xf numFmtId="9" fontId="3" fillId="0" borderId="20" xfId="2" applyFont="1" applyFill="1" applyBorder="1" applyAlignment="1">
      <alignment horizontal="right" vertical="center"/>
    </xf>
    <xf numFmtId="9" fontId="3" fillId="0" borderId="20" xfId="2" applyFont="1" applyFill="1" applyBorder="1" applyAlignment="1">
      <alignment horizontal="center" vertical="center"/>
    </xf>
    <xf numFmtId="1" fontId="3" fillId="0" borderId="22" xfId="2" applyNumberFormat="1" applyFont="1" applyFill="1" applyBorder="1" applyAlignment="1">
      <alignment horizontal="left" vertical="center"/>
    </xf>
    <xf numFmtId="172" fontId="3" fillId="12" borderId="22" xfId="5" applyNumberFormat="1" applyFont="1" applyFill="1" applyBorder="1" applyAlignment="1">
      <alignment vertical="center"/>
    </xf>
    <xf numFmtId="165" fontId="13" fillId="0" borderId="19" xfId="1" applyNumberFormat="1" applyFont="1" applyFill="1" applyBorder="1" applyAlignment="1">
      <alignment vertical="center"/>
    </xf>
    <xf numFmtId="173" fontId="3" fillId="0" borderId="22" xfId="1" applyNumberFormat="1" applyFont="1" applyFill="1" applyBorder="1" applyAlignment="1">
      <alignment vertical="center"/>
    </xf>
    <xf numFmtId="43" fontId="3" fillId="0" borderId="22" xfId="1" applyFont="1" applyFill="1" applyBorder="1" applyAlignment="1">
      <alignment vertical="center"/>
    </xf>
    <xf numFmtId="4" fontId="3" fillId="12" borderId="22" xfId="5" applyNumberFormat="1" applyFont="1" applyFill="1" applyBorder="1" applyAlignment="1">
      <alignment vertical="center"/>
    </xf>
    <xf numFmtId="166" fontId="13" fillId="0" borderId="27" xfId="5" applyNumberFormat="1" applyFont="1" applyFill="1" applyBorder="1" applyAlignment="1">
      <alignment horizontal="center" vertical="center"/>
    </xf>
    <xf numFmtId="10" fontId="13" fillId="0" borderId="28" xfId="6" applyNumberFormat="1" applyFont="1" applyFill="1" applyBorder="1" applyAlignment="1">
      <alignment horizontal="center" vertical="center"/>
    </xf>
    <xf numFmtId="164" fontId="3" fillId="0" borderId="22" xfId="1" applyNumberFormat="1" applyFont="1" applyFill="1" applyBorder="1" applyAlignment="1">
      <alignment vertical="center"/>
    </xf>
    <xf numFmtId="166" fontId="13" fillId="0" borderId="29" xfId="5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horizontal="left" vertical="center"/>
    </xf>
    <xf numFmtId="164" fontId="3" fillId="0" borderId="17" xfId="5" applyNumberFormat="1" applyFont="1" applyFill="1" applyBorder="1" applyAlignment="1">
      <alignment vertical="center"/>
    </xf>
    <xf numFmtId="165" fontId="3" fillId="0" borderId="30" xfId="1" applyNumberFormat="1" applyFont="1" applyFill="1" applyBorder="1" applyAlignment="1">
      <alignment vertical="center"/>
    </xf>
    <xf numFmtId="171" fontId="3" fillId="0" borderId="17" xfId="6" applyNumberFormat="1" applyFont="1" applyFill="1" applyBorder="1" applyAlignment="1">
      <alignment horizontal="center" vertical="center"/>
    </xf>
    <xf numFmtId="165" fontId="3" fillId="0" borderId="31" xfId="1" applyNumberFormat="1" applyFont="1" applyFill="1" applyBorder="1" applyAlignment="1">
      <alignment vertical="center"/>
    </xf>
    <xf numFmtId="10" fontId="3" fillId="0" borderId="32" xfId="2" applyNumberFormat="1" applyFont="1" applyFill="1" applyBorder="1" applyAlignment="1">
      <alignment vertical="center"/>
    </xf>
    <xf numFmtId="0" fontId="14" fillId="16" borderId="33" xfId="3" applyFont="1" applyFill="1" applyBorder="1" applyAlignment="1">
      <alignment vertical="center"/>
    </xf>
    <xf numFmtId="0" fontId="15" fillId="16" borderId="33" xfId="3" applyFont="1" applyFill="1" applyBorder="1" applyAlignment="1">
      <alignment vertical="center"/>
    </xf>
    <xf numFmtId="43" fontId="14" fillId="16" borderId="33" xfId="5" applyFont="1" applyFill="1" applyBorder="1" applyAlignment="1">
      <alignment vertical="center"/>
    </xf>
    <xf numFmtId="43" fontId="14" fillId="16" borderId="33" xfId="1" applyFont="1" applyFill="1" applyBorder="1" applyAlignment="1">
      <alignment vertical="center"/>
    </xf>
    <xf numFmtId="164" fontId="14" fillId="16" borderId="33" xfId="1" applyNumberFormat="1" applyFont="1" applyFill="1" applyBorder="1" applyAlignment="1">
      <alignment vertical="center"/>
    </xf>
    <xf numFmtId="167" fontId="14" fillId="16" borderId="33" xfId="2" applyNumberFormat="1" applyFont="1" applyFill="1" applyBorder="1" applyAlignment="1">
      <alignment vertical="center"/>
    </xf>
    <xf numFmtId="10" fontId="14" fillId="16" borderId="33" xfId="2" applyNumberFormat="1" applyFont="1" applyFill="1" applyBorder="1" applyAlignment="1">
      <alignment vertical="center"/>
    </xf>
    <xf numFmtId="164" fontId="14" fillId="16" borderId="0" xfId="3" applyNumberFormat="1" applyFont="1" applyFill="1" applyAlignment="1">
      <alignment vertical="center"/>
    </xf>
    <xf numFmtId="173" fontId="14" fillId="16" borderId="33" xfId="3" applyNumberFormat="1" applyFont="1" applyFill="1" applyBorder="1" applyAlignment="1">
      <alignment vertical="center"/>
    </xf>
    <xf numFmtId="164" fontId="14" fillId="16" borderId="33" xfId="3" applyNumberFormat="1" applyFont="1" applyFill="1" applyBorder="1" applyAlignment="1">
      <alignment vertical="center"/>
    </xf>
    <xf numFmtId="0" fontId="3" fillId="0" borderId="34" xfId="0" applyFont="1" applyBorder="1" applyAlignment="1">
      <alignment vertical="center"/>
    </xf>
    <xf numFmtId="164" fontId="16" fillId="0" borderId="35" xfId="3" applyNumberFormat="1" applyFont="1" applyBorder="1" applyAlignment="1">
      <alignment horizontal="right" vertical="center"/>
    </xf>
    <xf numFmtId="164" fontId="17" fillId="0" borderId="36" xfId="1" applyNumberFormat="1" applyFont="1" applyFill="1" applyBorder="1" applyAlignment="1">
      <alignment vertical="center"/>
    </xf>
    <xf numFmtId="43" fontId="18" fillId="0" borderId="37" xfId="1" applyFont="1" applyBorder="1" applyAlignment="1">
      <alignment vertical="center"/>
    </xf>
    <xf numFmtId="43" fontId="18" fillId="0" borderId="38" xfId="1" applyFont="1" applyBorder="1" applyAlignment="1">
      <alignment vertical="center"/>
    </xf>
    <xf numFmtId="173" fontId="19" fillId="0" borderId="39" xfId="1" applyNumberFormat="1" applyFont="1" applyBorder="1" applyAlignment="1">
      <alignment vertical="center"/>
    </xf>
    <xf numFmtId="0" fontId="14" fillId="16" borderId="33" xfId="0" applyFont="1" applyFill="1" applyBorder="1" applyAlignment="1">
      <alignment vertical="center"/>
    </xf>
    <xf numFmtId="0" fontId="14" fillId="16" borderId="33" xfId="0" applyFont="1" applyFill="1" applyBorder="1" applyAlignment="1">
      <alignment horizontal="center" vertical="center"/>
    </xf>
    <xf numFmtId="10" fontId="14" fillId="16" borderId="33" xfId="2" applyNumberFormat="1" applyFont="1" applyFill="1" applyBorder="1" applyAlignment="1">
      <alignment horizontal="center" vertical="center"/>
    </xf>
    <xf numFmtId="167" fontId="14" fillId="16" borderId="33" xfId="2" applyNumberFormat="1" applyFont="1" applyFill="1" applyBorder="1" applyAlignment="1">
      <alignment horizontal="center" vertical="center"/>
    </xf>
    <xf numFmtId="166" fontId="14" fillId="16" borderId="33" xfId="2" applyNumberFormat="1" applyFont="1" applyFill="1" applyBorder="1" applyAlignment="1">
      <alignment horizontal="center" vertical="center"/>
    </xf>
    <xf numFmtId="2" fontId="14" fillId="16" borderId="33" xfId="2" applyNumberFormat="1" applyFont="1" applyFill="1" applyBorder="1" applyAlignment="1">
      <alignment horizontal="center" vertical="center"/>
    </xf>
    <xf numFmtId="164" fontId="3" fillId="0" borderId="0" xfId="5" applyNumberFormat="1" applyFont="1" applyBorder="1" applyAlignment="1">
      <alignment vertical="center"/>
    </xf>
    <xf numFmtId="43" fontId="3" fillId="0" borderId="5" xfId="1" applyFont="1" applyBorder="1" applyAlignment="1">
      <alignment vertical="center"/>
    </xf>
    <xf numFmtId="164" fontId="3" fillId="0" borderId="5" xfId="1" applyNumberFormat="1" applyFont="1" applyBorder="1" applyAlignment="1">
      <alignment vertical="center"/>
    </xf>
    <xf numFmtId="10" fontId="3" fillId="0" borderId="0" xfId="2" applyNumberFormat="1" applyFont="1" applyBorder="1" applyAlignment="1">
      <alignment vertical="center"/>
    </xf>
    <xf numFmtId="0" fontId="20" fillId="0" borderId="0" xfId="3" applyFont="1" applyAlignment="1">
      <alignment horizontal="center" vertical="center"/>
    </xf>
    <xf numFmtId="173" fontId="3" fillId="0" borderId="0" xfId="3" applyNumberFormat="1" applyAlignment="1">
      <alignment horizontal="center" vertical="center"/>
    </xf>
    <xf numFmtId="164" fontId="20" fillId="0" borderId="40" xfId="3" applyNumberFormat="1" applyFont="1" applyBorder="1" applyAlignment="1">
      <alignment horizontal="center" vertical="center"/>
    </xf>
    <xf numFmtId="0" fontId="3" fillId="0" borderId="41" xfId="0" applyFont="1" applyBorder="1" applyAlignment="1">
      <alignment vertical="center"/>
    </xf>
    <xf numFmtId="0" fontId="2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0" fontId="14" fillId="17" borderId="33" xfId="2" applyNumberFormat="1" applyFont="1" applyFill="1" applyBorder="1" applyAlignment="1">
      <alignment horizontal="center" vertical="center"/>
    </xf>
    <xf numFmtId="2" fontId="6" fillId="17" borderId="33" xfId="0" applyNumberFormat="1" applyFont="1" applyFill="1" applyBorder="1" applyAlignment="1">
      <alignment horizontal="center" vertical="center"/>
    </xf>
    <xf numFmtId="0" fontId="3" fillId="0" borderId="0" xfId="0" applyFont="1"/>
    <xf numFmtId="2" fontId="14" fillId="17" borderId="33" xfId="2" applyNumberFormat="1" applyFont="1" applyFill="1" applyBorder="1" applyAlignment="1">
      <alignment horizontal="center" vertical="center"/>
    </xf>
    <xf numFmtId="43" fontId="3" fillId="0" borderId="0" xfId="1" applyFont="1" applyFill="1" applyAlignment="1">
      <alignment vertical="center"/>
    </xf>
    <xf numFmtId="2" fontId="6" fillId="17" borderId="0" xfId="0" applyNumberFormat="1" applyFont="1" applyFill="1" applyAlignment="1">
      <alignment horizontal="center" vertical="center"/>
    </xf>
    <xf numFmtId="0" fontId="14" fillId="8" borderId="42" xfId="0" applyFont="1" applyFill="1" applyBorder="1" applyAlignment="1">
      <alignment horizontal="left" vertical="center"/>
    </xf>
    <xf numFmtId="0" fontId="14" fillId="8" borderId="33" xfId="0" applyFont="1" applyFill="1" applyBorder="1" applyAlignment="1">
      <alignment horizontal="center" vertical="center"/>
    </xf>
    <xf numFmtId="167" fontId="14" fillId="8" borderId="33" xfId="0" applyNumberFormat="1" applyFont="1" applyFill="1" applyBorder="1" applyAlignment="1">
      <alignment horizontal="center" vertical="center"/>
    </xf>
    <xf numFmtId="174" fontId="3" fillId="0" borderId="5" xfId="8" applyFont="1" applyFill="1" applyBorder="1" applyAlignment="1">
      <alignment horizontal="center" vertical="center"/>
    </xf>
    <xf numFmtId="175" fontId="22" fillId="0" borderId="5" xfId="1" applyNumberFormat="1" applyFont="1" applyFill="1" applyBorder="1" applyAlignment="1">
      <alignment horizontal="right" vertical="center"/>
    </xf>
    <xf numFmtId="10" fontId="23" fillId="0" borderId="0" xfId="2" applyNumberFormat="1" applyFont="1" applyAlignment="1">
      <alignment vertical="center"/>
    </xf>
    <xf numFmtId="9" fontId="3" fillId="0" borderId="0" xfId="2" applyFont="1" applyAlignment="1">
      <alignment horizontal="center" vertical="center"/>
    </xf>
    <xf numFmtId="43" fontId="3" fillId="0" borderId="0" xfId="2" applyNumberFormat="1" applyFont="1" applyBorder="1" applyAlignment="1">
      <alignment horizontal="right" vertical="center"/>
    </xf>
    <xf numFmtId="43" fontId="3" fillId="0" borderId="0" xfId="2" applyNumberFormat="1" applyFont="1" applyBorder="1" applyAlignment="1">
      <alignment horizontal="center" vertical="center"/>
    </xf>
    <xf numFmtId="9" fontId="21" fillId="0" borderId="0" xfId="2" applyFont="1" applyBorder="1" applyAlignment="1">
      <alignment horizontal="center" vertical="center"/>
    </xf>
    <xf numFmtId="164" fontId="3" fillId="0" borderId="0" xfId="1" applyNumberFormat="1" applyFont="1" applyAlignment="1">
      <alignment vertical="center"/>
    </xf>
    <xf numFmtId="43" fontId="3" fillId="0" borderId="0" xfId="1" applyFont="1" applyAlignment="1">
      <alignment vertical="center"/>
    </xf>
    <xf numFmtId="43" fontId="3" fillId="0" borderId="0" xfId="1" applyFont="1" applyBorder="1" applyAlignment="1">
      <alignment vertical="center"/>
    </xf>
    <xf numFmtId="43" fontId="3" fillId="0" borderId="0" xfId="1" applyFont="1" applyBorder="1" applyAlignment="1">
      <alignment horizontal="center" vertical="center"/>
    </xf>
    <xf numFmtId="10" fontId="3" fillId="0" borderId="0" xfId="2" applyNumberFormat="1" applyFont="1" applyAlignment="1">
      <alignment vertical="center"/>
    </xf>
    <xf numFmtId="10" fontId="3" fillId="0" borderId="0" xfId="2" applyNumberFormat="1" applyFont="1" applyFill="1" applyBorder="1" applyAlignment="1">
      <alignment vertical="center" wrapText="1"/>
    </xf>
    <xf numFmtId="0" fontId="3" fillId="17" borderId="10" xfId="0" applyFont="1" applyFill="1" applyBorder="1" applyAlignment="1">
      <alignment horizontal="right" vertical="center"/>
    </xf>
    <xf numFmtId="0" fontId="3" fillId="17" borderId="0" xfId="0" applyFont="1" applyFill="1" applyAlignment="1">
      <alignment vertical="center"/>
    </xf>
    <xf numFmtId="167" fontId="3" fillId="17" borderId="8" xfId="2" applyNumberFormat="1" applyFont="1" applyFill="1" applyBorder="1" applyAlignment="1">
      <alignment horizontal="center" vertical="center"/>
    </xf>
    <xf numFmtId="174" fontId="3" fillId="0" borderId="43" xfId="8" applyFont="1" applyFill="1" applyBorder="1" applyAlignment="1">
      <alignment horizontal="center" vertical="center"/>
    </xf>
    <xf numFmtId="175" fontId="22" fillId="18" borderId="43" xfId="1" applyNumberFormat="1" applyFont="1" applyFill="1" applyBorder="1" applyAlignment="1">
      <alignment horizontal="right" vertical="center"/>
    </xf>
    <xf numFmtId="167" fontId="24" fillId="0" borderId="0" xfId="2" applyNumberFormat="1" applyFont="1" applyAlignment="1">
      <alignment vertical="center"/>
    </xf>
    <xf numFmtId="10" fontId="3" fillId="0" borderId="0" xfId="2" applyNumberFormat="1" applyFont="1" applyAlignment="1">
      <alignment horizontal="center" vertical="center"/>
    </xf>
    <xf numFmtId="0" fontId="6" fillId="8" borderId="10" xfId="0" applyFont="1" applyFill="1" applyBorder="1" applyAlignment="1">
      <alignment horizontal="center" vertical="center" wrapText="1"/>
    </xf>
    <xf numFmtId="0" fontId="6" fillId="8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14" fillId="8" borderId="18" xfId="0" applyFont="1" applyFill="1" applyBorder="1" applyAlignment="1">
      <alignment vertical="center" wrapText="1"/>
    </xf>
    <xf numFmtId="0" fontId="14" fillId="8" borderId="25" xfId="0" applyFont="1" applyFill="1" applyBorder="1" applyAlignment="1">
      <alignment vertical="center" wrapText="1"/>
    </xf>
    <xf numFmtId="0" fontId="14" fillId="9" borderId="20" xfId="0" applyFont="1" applyFill="1" applyBorder="1" applyAlignment="1">
      <alignment horizontal="left" vertical="center"/>
    </xf>
    <xf numFmtId="0" fontId="9" fillId="9" borderId="20" xfId="0" applyFont="1" applyFill="1" applyBorder="1" applyAlignment="1">
      <alignment horizontal="center" vertical="center"/>
    </xf>
    <xf numFmtId="0" fontId="14" fillId="19" borderId="20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67" fontId="3" fillId="0" borderId="0" xfId="2" applyNumberFormat="1" applyFont="1" applyFill="1" applyBorder="1" applyAlignment="1">
      <alignment horizontal="center" vertical="center"/>
    </xf>
    <xf numFmtId="0" fontId="3" fillId="20" borderId="10" xfId="0" applyFont="1" applyFill="1" applyBorder="1" applyAlignment="1">
      <alignment horizontal="right" vertical="center"/>
    </xf>
    <xf numFmtId="0" fontId="3" fillId="20" borderId="0" xfId="0" applyFont="1" applyFill="1" applyAlignment="1">
      <alignment vertical="center"/>
    </xf>
    <xf numFmtId="10" fontId="3" fillId="20" borderId="8" xfId="2" applyNumberFormat="1" applyFont="1" applyFill="1" applyBorder="1" applyAlignment="1">
      <alignment horizontal="center" vertical="center"/>
    </xf>
    <xf numFmtId="0" fontId="3" fillId="0" borderId="44" xfId="0" applyFont="1" applyBorder="1" applyAlignment="1">
      <alignment horizontal="center" vertical="center"/>
    </xf>
    <xf numFmtId="0" fontId="3" fillId="0" borderId="0" xfId="4" applyFont="1" applyAlignment="1">
      <alignment horizontal="center" vertical="center"/>
    </xf>
    <xf numFmtId="0" fontId="25" fillId="0" borderId="0" xfId="0" applyFont="1" applyAlignment="1">
      <alignment horizontal="center" vertical="center" wrapText="1"/>
    </xf>
    <xf numFmtId="0" fontId="26" fillId="0" borderId="20" xfId="0" applyFont="1" applyBorder="1" applyAlignment="1">
      <alignment horizontal="center" vertical="center" wrapText="1"/>
    </xf>
    <xf numFmtId="0" fontId="3" fillId="0" borderId="45" xfId="0" applyFont="1" applyBorder="1" applyAlignment="1">
      <alignment vertical="center"/>
    </xf>
    <xf numFmtId="0" fontId="3" fillId="0" borderId="46" xfId="0" applyFont="1" applyBorder="1" applyAlignment="1">
      <alignment vertical="center"/>
    </xf>
    <xf numFmtId="9" fontId="24" fillId="0" borderId="47" xfId="0" applyNumberFormat="1" applyFont="1" applyBorder="1" applyAlignment="1">
      <alignment horizontal="center" vertical="center"/>
    </xf>
    <xf numFmtId="10" fontId="3" fillId="0" borderId="47" xfId="0" applyNumberFormat="1" applyFont="1" applyBorder="1" applyAlignment="1">
      <alignment horizontal="right" vertical="center"/>
    </xf>
    <xf numFmtId="0" fontId="3" fillId="0" borderId="48" xfId="0" applyFont="1" applyBorder="1" applyAlignment="1">
      <alignment horizontal="center" vertical="center"/>
    </xf>
    <xf numFmtId="0" fontId="14" fillId="9" borderId="49" xfId="0" applyFont="1" applyFill="1" applyBorder="1" applyAlignment="1">
      <alignment vertical="center"/>
    </xf>
    <xf numFmtId="0" fontId="14" fillId="9" borderId="5" xfId="0" applyFont="1" applyFill="1" applyBorder="1" applyAlignment="1">
      <alignment horizontal="center" vertical="center"/>
    </xf>
    <xf numFmtId="10" fontId="3" fillId="17" borderId="8" xfId="2" applyNumberFormat="1" applyFont="1" applyFill="1" applyBorder="1" applyAlignment="1">
      <alignment horizontal="center" vertical="center"/>
    </xf>
    <xf numFmtId="4" fontId="3" fillId="0" borderId="0" xfId="0" applyNumberFormat="1" applyFont="1" applyAlignment="1">
      <alignment vertical="center"/>
    </xf>
    <xf numFmtId="10" fontId="3" fillId="0" borderId="44" xfId="2" applyNumberFormat="1" applyFont="1" applyBorder="1" applyAlignment="1">
      <alignment horizontal="center" vertical="center"/>
    </xf>
    <xf numFmtId="10" fontId="4" fillId="0" borderId="50" xfId="6" applyNumberFormat="1" applyFont="1" applyBorder="1" applyAlignment="1">
      <alignment horizontal="center" vertical="center"/>
    </xf>
    <xf numFmtId="10" fontId="4" fillId="0" borderId="0" xfId="6" applyNumberFormat="1" applyFont="1" applyBorder="1" applyAlignment="1">
      <alignment horizontal="center" vertical="center"/>
    </xf>
    <xf numFmtId="10" fontId="4" fillId="0" borderId="51" xfId="6" applyNumberFormat="1" applyFont="1" applyBorder="1" applyAlignment="1">
      <alignment horizontal="center" vertical="center"/>
    </xf>
    <xf numFmtId="0" fontId="3" fillId="0" borderId="52" xfId="0" applyFont="1" applyBorder="1" applyAlignment="1">
      <alignment vertical="center"/>
    </xf>
    <xf numFmtId="0" fontId="3" fillId="0" borderId="53" xfId="0" applyFont="1" applyBorder="1" applyAlignment="1">
      <alignment vertical="center"/>
    </xf>
    <xf numFmtId="9" fontId="24" fillId="0" borderId="54" xfId="0" applyNumberFormat="1" applyFont="1" applyBorder="1" applyAlignment="1">
      <alignment horizontal="center" vertical="center"/>
    </xf>
    <xf numFmtId="10" fontId="3" fillId="0" borderId="54" xfId="0" applyNumberFormat="1" applyFont="1" applyBorder="1" applyAlignment="1">
      <alignment horizontal="right" vertical="center"/>
    </xf>
    <xf numFmtId="0" fontId="3" fillId="0" borderId="9" xfId="0" applyFont="1" applyBorder="1" applyAlignment="1">
      <alignment horizontal="center" vertical="center"/>
    </xf>
    <xf numFmtId="43" fontId="3" fillId="0" borderId="0" xfId="1" applyFont="1" applyFill="1" applyBorder="1" applyAlignment="1">
      <alignment horizontal="right" vertical="center"/>
    </xf>
    <xf numFmtId="0" fontId="3" fillId="0" borderId="43" xfId="0" applyFont="1" applyBorder="1" applyAlignment="1">
      <alignment horizontal="left" vertical="center"/>
    </xf>
    <xf numFmtId="176" fontId="3" fillId="0" borderId="43" xfId="8" applyNumberFormat="1" applyFont="1" applyFill="1" applyBorder="1" applyAlignment="1">
      <alignment horizontal="right" vertical="center" indent="1"/>
    </xf>
    <xf numFmtId="167" fontId="3" fillId="0" borderId="43" xfId="2" applyNumberFormat="1" applyFont="1" applyFill="1" applyBorder="1" applyAlignment="1">
      <alignment horizontal="right" vertical="center" indent="1"/>
    </xf>
    <xf numFmtId="0" fontId="3" fillId="0" borderId="43" xfId="0" applyFont="1" applyFill="1" applyBorder="1" applyAlignment="1">
      <alignment horizontal="left" vertical="center"/>
    </xf>
    <xf numFmtId="0" fontId="3" fillId="20" borderId="13" xfId="0" applyFont="1" applyFill="1" applyBorder="1" applyAlignment="1">
      <alignment horizontal="right" vertical="center"/>
    </xf>
    <xf numFmtId="0" fontId="3" fillId="20" borderId="14" xfId="0" applyFont="1" applyFill="1" applyBorder="1" applyAlignment="1">
      <alignment vertical="center"/>
    </xf>
    <xf numFmtId="10" fontId="3" fillId="20" borderId="17" xfId="2" applyNumberFormat="1" applyFont="1" applyFill="1" applyBorder="1" applyAlignment="1">
      <alignment horizontal="center" vertical="center"/>
    </xf>
    <xf numFmtId="174" fontId="3" fillId="0" borderId="43" xfId="8" applyFont="1" applyBorder="1" applyAlignment="1">
      <alignment horizontal="center" vertical="center"/>
    </xf>
    <xf numFmtId="43" fontId="3" fillId="0" borderId="43" xfId="1" applyFont="1" applyBorder="1" applyAlignment="1">
      <alignment horizontal="right" vertical="center"/>
    </xf>
    <xf numFmtId="0" fontId="4" fillId="0" borderId="40" xfId="0" applyFont="1" applyBorder="1" applyAlignment="1">
      <alignment vertical="center"/>
    </xf>
    <xf numFmtId="10" fontId="8" fillId="0" borderId="0" xfId="6" applyNumberFormat="1" applyFont="1" applyBorder="1" applyAlignment="1">
      <alignment horizontal="center" vertical="center"/>
    </xf>
    <xf numFmtId="0" fontId="27" fillId="8" borderId="33" xfId="0" applyFont="1" applyFill="1" applyBorder="1" applyAlignment="1">
      <alignment horizontal="right" vertical="center"/>
    </xf>
    <xf numFmtId="167" fontId="14" fillId="8" borderId="24" xfId="2" applyNumberFormat="1" applyFont="1" applyFill="1" applyBorder="1" applyAlignment="1">
      <alignment horizontal="center" vertical="center"/>
    </xf>
    <xf numFmtId="175" fontId="22" fillId="0" borderId="43" xfId="8" applyNumberFormat="1" applyFont="1" applyFill="1" applyBorder="1" applyAlignment="1">
      <alignment horizontal="right" vertical="center"/>
    </xf>
    <xf numFmtId="0" fontId="14" fillId="9" borderId="10" xfId="0" applyFont="1" applyFill="1" applyBorder="1" applyAlignment="1">
      <alignment vertical="center"/>
    </xf>
    <xf numFmtId="0" fontId="3" fillId="8" borderId="0" xfId="0" applyFont="1" applyFill="1" applyAlignment="1">
      <alignment vertical="center"/>
    </xf>
    <xf numFmtId="0" fontId="14" fillId="9" borderId="0" xfId="0" applyFont="1" applyFill="1" applyBorder="1" applyAlignment="1">
      <alignment horizontal="center" vertical="center"/>
    </xf>
    <xf numFmtId="10" fontId="3" fillId="0" borderId="0" xfId="2" applyNumberFormat="1" applyFont="1" applyFill="1" applyBorder="1" applyAlignment="1">
      <alignment horizontal="center" vertical="center"/>
    </xf>
    <xf numFmtId="10" fontId="21" fillId="0" borderId="0" xfId="2" applyNumberFormat="1" applyFont="1" applyFill="1" applyBorder="1" applyAlignment="1">
      <alignment horizontal="center" vertical="center"/>
    </xf>
    <xf numFmtId="177" fontId="3" fillId="0" borderId="43" xfId="2" applyNumberFormat="1" applyFont="1" applyBorder="1" applyAlignment="1">
      <alignment horizontal="left" vertical="center"/>
    </xf>
    <xf numFmtId="0" fontId="3" fillId="0" borderId="0" xfId="0" applyFont="1" applyFill="1" applyAlignment="1">
      <alignment vertical="center"/>
    </xf>
    <xf numFmtId="2" fontId="3" fillId="0" borderId="0" xfId="2" applyNumberFormat="1" applyFont="1" applyFill="1" applyBorder="1" applyAlignment="1">
      <alignment vertical="center"/>
    </xf>
    <xf numFmtId="0" fontId="3" fillId="0" borderId="10" xfId="0" applyFont="1" applyBorder="1" applyAlignment="1">
      <alignment vertical="center"/>
    </xf>
    <xf numFmtId="167" fontId="3" fillId="0" borderId="0" xfId="0" applyNumberFormat="1" applyFont="1" applyAlignment="1">
      <alignment horizontal="right" vertical="center"/>
    </xf>
    <xf numFmtId="167" fontId="3" fillId="0" borderId="8" xfId="2" applyNumberFormat="1" applyFont="1" applyBorder="1" applyAlignment="1">
      <alignment horizontal="right" vertical="center"/>
    </xf>
    <xf numFmtId="175" fontId="22" fillId="18" borderId="43" xfId="8" applyNumberFormat="1" applyFont="1" applyFill="1" applyBorder="1" applyAlignment="1">
      <alignment horizontal="right" vertical="center"/>
    </xf>
    <xf numFmtId="178" fontId="3" fillId="0" borderId="0" xfId="0" applyNumberFormat="1" applyFont="1" applyAlignment="1">
      <alignment vertical="center"/>
    </xf>
    <xf numFmtId="0" fontId="4" fillId="0" borderId="5" xfId="0" applyFont="1" applyBorder="1" applyAlignment="1">
      <alignment horizontal="center" vertical="center"/>
    </xf>
    <xf numFmtId="176" fontId="4" fillId="0" borderId="5" xfId="8" applyNumberFormat="1" applyFont="1" applyFill="1" applyBorder="1" applyAlignment="1">
      <alignment horizontal="right" vertical="center" indent="1"/>
    </xf>
    <xf numFmtId="167" fontId="4" fillId="0" borderId="5" xfId="2" applyNumberFormat="1" applyFont="1" applyFill="1" applyBorder="1" applyAlignment="1">
      <alignment horizontal="right" vertical="center" indent="1"/>
    </xf>
    <xf numFmtId="179" fontId="28" fillId="0" borderId="0" xfId="0" applyNumberFormat="1" applyFont="1" applyAlignment="1">
      <alignment horizontal="center" vertical="center"/>
    </xf>
    <xf numFmtId="179" fontId="29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76" fontId="4" fillId="0" borderId="0" xfId="0" applyNumberFormat="1" applyFont="1" applyFill="1" applyAlignment="1">
      <alignment horizontal="center" vertical="center"/>
    </xf>
    <xf numFmtId="9" fontId="4" fillId="0" borderId="0" xfId="2" applyFont="1" applyFill="1" applyBorder="1" applyAlignment="1">
      <alignment horizontal="center" vertical="center"/>
    </xf>
    <xf numFmtId="0" fontId="3" fillId="20" borderId="10" xfId="0" applyFont="1" applyFill="1" applyBorder="1" applyAlignment="1">
      <alignment vertical="center"/>
    </xf>
    <xf numFmtId="167" fontId="3" fillId="20" borderId="0" xfId="2" applyNumberFormat="1" applyFont="1" applyFill="1" applyBorder="1" applyAlignment="1">
      <alignment horizontal="right" vertical="center"/>
    </xf>
    <xf numFmtId="167" fontId="3" fillId="20" borderId="8" xfId="2" applyNumberFormat="1" applyFont="1" applyFill="1" applyBorder="1" applyAlignment="1">
      <alignment horizontal="right" vertical="center"/>
    </xf>
    <xf numFmtId="180" fontId="22" fillId="18" borderId="43" xfId="1" applyNumberFormat="1" applyFont="1" applyFill="1" applyBorder="1" applyAlignment="1">
      <alignment horizontal="right" vertical="center"/>
    </xf>
    <xf numFmtId="164" fontId="21" fillId="0" borderId="0" xfId="1" applyNumberFormat="1" applyFont="1" applyFill="1" applyAlignment="1">
      <alignment vertical="center"/>
    </xf>
    <xf numFmtId="0" fontId="23" fillId="0" borderId="55" xfId="0" applyFont="1" applyBorder="1" applyAlignment="1">
      <alignment horizontal="center" vertical="center"/>
    </xf>
    <xf numFmtId="43" fontId="21" fillId="0" borderId="0" xfId="1" applyFont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3" fillId="0" borderId="56" xfId="3" applyBorder="1" applyAlignment="1">
      <alignment horizontal="center" vertical="center"/>
    </xf>
    <xf numFmtId="0" fontId="3" fillId="0" borderId="0" xfId="3" applyAlignment="1">
      <alignment vertical="center"/>
    </xf>
    <xf numFmtId="167" fontId="3" fillId="0" borderId="0" xfId="2" applyNumberFormat="1" applyFont="1" applyBorder="1" applyAlignment="1">
      <alignment horizontal="right" vertical="center"/>
    </xf>
    <xf numFmtId="174" fontId="4" fillId="0" borderId="43" xfId="8" applyFont="1" applyFill="1" applyBorder="1" applyAlignment="1">
      <alignment horizontal="center" vertical="center"/>
    </xf>
    <xf numFmtId="181" fontId="5" fillId="0" borderId="43" xfId="1" applyNumberFormat="1" applyFont="1" applyFill="1" applyBorder="1" applyAlignment="1">
      <alignment horizontal="right" vertical="center"/>
    </xf>
    <xf numFmtId="0" fontId="25" fillId="0" borderId="0" xfId="0" applyFont="1" applyAlignment="1">
      <alignment horizontal="center" vertical="center"/>
    </xf>
    <xf numFmtId="167" fontId="3" fillId="0" borderId="0" xfId="0" applyNumberFormat="1" applyFont="1" applyAlignment="1">
      <alignment vertical="center"/>
    </xf>
    <xf numFmtId="0" fontId="3" fillId="20" borderId="13" xfId="0" applyFont="1" applyFill="1" applyBorder="1" applyAlignment="1">
      <alignment vertical="center"/>
    </xf>
    <xf numFmtId="167" fontId="3" fillId="20" borderId="14" xfId="2" applyNumberFormat="1" applyFont="1" applyFill="1" applyBorder="1" applyAlignment="1">
      <alignment horizontal="right" vertical="center"/>
    </xf>
    <xf numFmtId="167" fontId="3" fillId="20" borderId="17" xfId="2" applyNumberFormat="1" applyFont="1" applyFill="1" applyBorder="1" applyAlignment="1">
      <alignment horizontal="right" vertical="center"/>
    </xf>
    <xf numFmtId="43" fontId="3" fillId="0" borderId="43" xfId="1" applyFont="1" applyBorder="1" applyAlignment="1">
      <alignment vertical="center"/>
    </xf>
    <xf numFmtId="164" fontId="3" fillId="0" borderId="0" xfId="1" applyNumberFormat="1" applyFont="1" applyFill="1" applyBorder="1" applyAlignment="1">
      <alignment vertical="center"/>
    </xf>
    <xf numFmtId="10" fontId="30" fillId="0" borderId="54" xfId="0" applyNumberFormat="1" applyFont="1" applyBorder="1" applyAlignment="1">
      <alignment horizontal="right" vertical="center"/>
    </xf>
    <xf numFmtId="0" fontId="4" fillId="0" borderId="0" xfId="0" applyFont="1" applyAlignment="1">
      <alignment horizontal="center" vertical="center"/>
    </xf>
    <xf numFmtId="176" fontId="4" fillId="0" borderId="0" xfId="0" applyNumberFormat="1" applyFont="1" applyAlignment="1">
      <alignment horizontal="center" vertical="center"/>
    </xf>
    <xf numFmtId="43" fontId="3" fillId="0" borderId="0" xfId="1" applyFont="1" applyFill="1" applyBorder="1" applyAlignment="1">
      <alignment vertical="center"/>
    </xf>
    <xf numFmtId="43" fontId="3" fillId="0" borderId="0" xfId="1" applyFont="1" applyFill="1" applyBorder="1" applyAlignment="1">
      <alignment horizontal="center" vertical="center"/>
    </xf>
    <xf numFmtId="167" fontId="14" fillId="8" borderId="24" xfId="0" applyNumberFormat="1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14" fontId="3" fillId="0" borderId="43" xfId="3" applyNumberFormat="1" applyBorder="1" applyAlignment="1">
      <alignment horizontal="center" vertical="center"/>
    </xf>
    <xf numFmtId="164" fontId="3" fillId="0" borderId="0" xfId="9" applyNumberFormat="1" applyFont="1" applyFill="1" applyBorder="1" applyAlignment="1">
      <alignment horizontal="center" vertical="center"/>
    </xf>
    <xf numFmtId="0" fontId="3" fillId="0" borderId="10" xfId="0" applyFont="1" applyBorder="1" applyAlignment="1">
      <alignment horizontal="left" vertical="center"/>
    </xf>
    <xf numFmtId="167" fontId="3" fillId="0" borderId="0" xfId="2" applyNumberFormat="1" applyFont="1" applyFill="1" applyBorder="1" applyAlignment="1">
      <alignment horizontal="right" vertical="center"/>
    </xf>
    <xf numFmtId="167" fontId="3" fillId="0" borderId="8" xfId="2" applyNumberFormat="1" applyFont="1" applyFill="1" applyBorder="1" applyAlignment="1">
      <alignment horizontal="right" vertical="center"/>
    </xf>
    <xf numFmtId="182" fontId="22" fillId="18" borderId="43" xfId="1" applyNumberFormat="1" applyFont="1" applyFill="1" applyBorder="1" applyAlignment="1">
      <alignment horizontal="left" vertical="center"/>
    </xf>
    <xf numFmtId="0" fontId="4" fillId="0" borderId="55" xfId="0" applyFont="1" applyBorder="1" applyAlignment="1">
      <alignment horizontal="center" vertical="center"/>
    </xf>
    <xf numFmtId="176" fontId="4" fillId="0" borderId="43" xfId="8" applyNumberFormat="1" applyFont="1" applyFill="1" applyBorder="1" applyAlignment="1">
      <alignment horizontal="right" vertical="center" indent="1"/>
    </xf>
    <xf numFmtId="167" fontId="4" fillId="0" borderId="43" xfId="2" applyNumberFormat="1" applyFont="1" applyFill="1" applyBorder="1" applyAlignment="1">
      <alignment horizontal="right" vertical="center" indent="1"/>
    </xf>
    <xf numFmtId="166" fontId="3" fillId="20" borderId="0" xfId="0" applyNumberFormat="1" applyFont="1" applyFill="1" applyAlignment="1">
      <alignment horizontal="right" vertical="center"/>
    </xf>
    <xf numFmtId="166" fontId="3" fillId="20" borderId="8" xfId="2" applyNumberFormat="1" applyFont="1" applyFill="1" applyBorder="1" applyAlignment="1">
      <alignment horizontal="right" vertical="center"/>
    </xf>
    <xf numFmtId="175" fontId="3" fillId="0" borderId="43" xfId="1" applyNumberFormat="1" applyFont="1" applyFill="1" applyBorder="1" applyAlignment="1">
      <alignment horizontal="center" vertical="center"/>
    </xf>
    <xf numFmtId="10" fontId="4" fillId="0" borderId="55" xfId="2" applyNumberFormat="1" applyFont="1" applyBorder="1" applyAlignment="1">
      <alignment horizontal="center" vertical="center"/>
    </xf>
    <xf numFmtId="166" fontId="3" fillId="0" borderId="0" xfId="0" applyNumberFormat="1" applyFont="1" applyAlignment="1">
      <alignment horizontal="right" vertical="center"/>
    </xf>
    <xf numFmtId="166" fontId="3" fillId="0" borderId="8" xfId="0" applyNumberFormat="1" applyFont="1" applyBorder="1" applyAlignment="1">
      <alignment horizontal="right" vertical="center"/>
    </xf>
    <xf numFmtId="174" fontId="28" fillId="0" borderId="43" xfId="8" applyFont="1" applyFill="1" applyBorder="1" applyAlignment="1">
      <alignment horizontal="center" vertical="center"/>
    </xf>
    <xf numFmtId="10" fontId="28" fillId="18" borderId="43" xfId="2" applyNumberFormat="1" applyFont="1" applyFill="1" applyBorder="1" applyAlignment="1">
      <alignment horizontal="center" vertical="center"/>
    </xf>
    <xf numFmtId="183" fontId="3" fillId="0" borderId="0" xfId="9" applyNumberFormat="1" applyFont="1" applyFill="1" applyBorder="1" applyAlignment="1">
      <alignment horizontal="center" vertical="center"/>
    </xf>
    <xf numFmtId="176" fontId="24" fillId="0" borderId="43" xfId="8" applyNumberFormat="1" applyFont="1" applyFill="1" applyBorder="1" applyAlignment="1">
      <alignment horizontal="right" vertical="center" indent="1"/>
    </xf>
    <xf numFmtId="167" fontId="24" fillId="0" borderId="43" xfId="2" applyNumberFormat="1" applyFont="1" applyFill="1" applyBorder="1" applyAlignment="1">
      <alignment horizontal="right" vertical="center" indent="1"/>
    </xf>
    <xf numFmtId="10" fontId="3" fillId="20" borderId="0" xfId="2" applyNumberFormat="1" applyFont="1" applyFill="1" applyBorder="1" applyAlignment="1">
      <alignment horizontal="center" vertical="center"/>
    </xf>
    <xf numFmtId="10" fontId="3" fillId="20" borderId="8" xfId="2" applyNumberFormat="1" applyFont="1" applyFill="1" applyBorder="1" applyAlignment="1">
      <alignment horizontal="right" vertical="center"/>
    </xf>
    <xf numFmtId="2" fontId="3" fillId="0" borderId="0" xfId="9" applyNumberFormat="1" applyFont="1" applyFill="1" applyBorder="1" applyAlignment="1">
      <alignment horizontal="center" vertical="center"/>
    </xf>
    <xf numFmtId="0" fontId="22" fillId="0" borderId="10" xfId="0" applyFont="1" applyBorder="1" applyAlignment="1">
      <alignment horizontal="left" vertical="center"/>
    </xf>
    <xf numFmtId="0" fontId="22" fillId="0" borderId="22" xfId="0" applyFont="1" applyBorder="1" applyAlignment="1">
      <alignment vertical="center"/>
    </xf>
    <xf numFmtId="170" fontId="22" fillId="21" borderId="22" xfId="3" applyNumberFormat="1" applyFont="1" applyFill="1" applyBorder="1" applyAlignment="1">
      <alignment horizontal="center" vertical="center"/>
    </xf>
    <xf numFmtId="10" fontId="28" fillId="0" borderId="0" xfId="2" applyNumberFormat="1" applyFont="1" applyFill="1" applyBorder="1" applyAlignment="1">
      <alignment horizontal="center" vertical="center"/>
    </xf>
    <xf numFmtId="0" fontId="22" fillId="20" borderId="10" xfId="0" applyFont="1" applyFill="1" applyBorder="1" applyAlignment="1">
      <alignment horizontal="left" vertical="center"/>
    </xf>
    <xf numFmtId="167" fontId="3" fillId="20" borderId="0" xfId="0" applyNumberFormat="1" applyFont="1" applyFill="1" applyAlignment="1">
      <alignment horizontal="right" vertical="center"/>
    </xf>
    <xf numFmtId="182" fontId="22" fillId="18" borderId="43" xfId="1" applyNumberFormat="1" applyFont="1" applyFill="1" applyBorder="1" applyAlignment="1">
      <alignment horizontal="center" vertical="center"/>
    </xf>
    <xf numFmtId="177" fontId="4" fillId="0" borderId="55" xfId="2" applyNumberFormat="1" applyFont="1" applyBorder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10" fontId="21" fillId="0" borderId="0" xfId="0" applyNumberFormat="1" applyFont="1" applyAlignment="1">
      <alignment horizontal="center" vertical="center"/>
    </xf>
    <xf numFmtId="0" fontId="3" fillId="0" borderId="57" xfId="0" applyFont="1" applyBorder="1" applyAlignment="1">
      <alignment vertical="center"/>
    </xf>
    <xf numFmtId="0" fontId="3" fillId="0" borderId="58" xfId="0" applyFont="1" applyBorder="1" applyAlignment="1">
      <alignment vertical="center"/>
    </xf>
    <xf numFmtId="10" fontId="30" fillId="0" borderId="59" xfId="0" applyNumberFormat="1" applyFont="1" applyBorder="1" applyAlignment="1">
      <alignment horizontal="right" vertical="center"/>
    </xf>
    <xf numFmtId="0" fontId="3" fillId="0" borderId="13" xfId="0" applyFont="1" applyBorder="1" applyAlignment="1">
      <alignment vertical="center"/>
    </xf>
    <xf numFmtId="0" fontId="3" fillId="0" borderId="14" xfId="0" applyFont="1" applyBorder="1" applyAlignment="1">
      <alignment vertical="center"/>
    </xf>
    <xf numFmtId="167" fontId="3" fillId="0" borderId="14" xfId="2" applyNumberFormat="1" applyFont="1" applyFill="1" applyBorder="1" applyAlignment="1">
      <alignment horizontal="right" vertical="center"/>
    </xf>
    <xf numFmtId="167" fontId="3" fillId="0" borderId="17" xfId="2" applyNumberFormat="1" applyFont="1" applyFill="1" applyBorder="1" applyAlignment="1">
      <alignment horizontal="right" vertical="center"/>
    </xf>
    <xf numFmtId="2" fontId="22" fillId="0" borderId="43" xfId="2" applyNumberFormat="1" applyFont="1" applyFill="1" applyBorder="1" applyAlignment="1">
      <alignment horizontal="center" vertical="center"/>
    </xf>
    <xf numFmtId="10" fontId="11" fillId="0" borderId="0" xfId="2" applyNumberFormat="1" applyFont="1" applyFill="1" applyBorder="1" applyAlignment="1">
      <alignment horizontal="center" vertical="center"/>
    </xf>
    <xf numFmtId="0" fontId="3" fillId="0" borderId="60" xfId="0" applyFont="1" applyBorder="1" applyAlignment="1">
      <alignment vertical="center"/>
    </xf>
    <xf numFmtId="0" fontId="3" fillId="0" borderId="61" xfId="0" applyFont="1" applyBorder="1" applyAlignment="1">
      <alignment vertical="center"/>
    </xf>
    <xf numFmtId="10" fontId="3" fillId="0" borderId="43" xfId="2" applyNumberFormat="1" applyFont="1" applyBorder="1" applyAlignment="1">
      <alignment horizontal="left" vertical="center"/>
    </xf>
    <xf numFmtId="14" fontId="3" fillId="0" borderId="33" xfId="3" applyNumberFormat="1" applyBorder="1" applyAlignment="1">
      <alignment horizontal="center" vertical="center"/>
    </xf>
    <xf numFmtId="0" fontId="31" fillId="9" borderId="45" xfId="0" applyFont="1" applyFill="1" applyBorder="1" applyAlignment="1">
      <alignment horizontal="left" vertical="center"/>
    </xf>
    <xf numFmtId="0" fontId="14" fillId="9" borderId="46" xfId="0" applyFont="1" applyFill="1" applyBorder="1" applyAlignment="1">
      <alignment horizontal="right" vertical="center" indent="2"/>
    </xf>
    <xf numFmtId="0" fontId="14" fillId="9" borderId="46" xfId="0" applyFont="1" applyFill="1" applyBorder="1" applyAlignment="1">
      <alignment horizontal="center" vertical="center"/>
    </xf>
    <xf numFmtId="9" fontId="3" fillId="0" borderId="0" xfId="2" applyFont="1" applyFill="1" applyBorder="1" applyAlignment="1">
      <alignment horizontal="center" vertical="center"/>
    </xf>
    <xf numFmtId="9" fontId="21" fillId="0" borderId="0" xfId="2" applyFont="1" applyFill="1" applyBorder="1" applyAlignment="1">
      <alignment horizontal="center" vertical="center"/>
    </xf>
    <xf numFmtId="0" fontId="3" fillId="0" borderId="62" xfId="0" applyFont="1" applyBorder="1" applyAlignment="1">
      <alignment vertical="center"/>
    </xf>
    <xf numFmtId="0" fontId="3" fillId="0" borderId="63" xfId="0" applyFont="1" applyBorder="1" applyAlignment="1">
      <alignment vertical="center"/>
    </xf>
    <xf numFmtId="10" fontId="13" fillId="0" borderId="64" xfId="9" applyNumberFormat="1" applyFont="1" applyFill="1" applyBorder="1" applyAlignment="1">
      <alignment horizontal="center" vertical="center"/>
    </xf>
    <xf numFmtId="0" fontId="3" fillId="0" borderId="65" xfId="0" applyFont="1" applyBorder="1" applyAlignment="1">
      <alignment vertical="center"/>
    </xf>
    <xf numFmtId="10" fontId="3" fillId="0" borderId="66" xfId="2" applyNumberFormat="1" applyFont="1" applyFill="1" applyBorder="1" applyAlignment="1">
      <alignment horizontal="right" vertical="center"/>
    </xf>
    <xf numFmtId="10" fontId="3" fillId="17" borderId="67" xfId="2" applyNumberFormat="1" applyFont="1" applyFill="1" applyBorder="1" applyAlignment="1">
      <alignment horizontal="right" vertical="center"/>
    </xf>
    <xf numFmtId="43" fontId="11" fillId="0" borderId="0" xfId="0" applyNumberFormat="1" applyFont="1" applyAlignment="1">
      <alignment vertical="center"/>
    </xf>
    <xf numFmtId="14" fontId="11" fillId="0" borderId="0" xfId="0" applyNumberFormat="1" applyFont="1" applyAlignment="1">
      <alignment horizontal="center" vertical="center"/>
    </xf>
    <xf numFmtId="184" fontId="3" fillId="0" borderId="0" xfId="0" applyNumberFormat="1" applyFont="1" applyAlignment="1">
      <alignment vertical="center"/>
    </xf>
    <xf numFmtId="184" fontId="21" fillId="0" borderId="0" xfId="0" applyNumberFormat="1" applyFont="1" applyAlignment="1">
      <alignment vertical="center"/>
    </xf>
    <xf numFmtId="0" fontId="13" fillId="20" borderId="68" xfId="0" applyFont="1" applyFill="1" applyBorder="1" applyAlignment="1">
      <alignment horizontal="center" vertical="center"/>
    </xf>
    <xf numFmtId="10" fontId="3" fillId="22" borderId="8" xfId="2" applyNumberFormat="1" applyFont="1" applyFill="1" applyBorder="1" applyAlignment="1">
      <alignment horizontal="right" vertical="center"/>
    </xf>
    <xf numFmtId="10" fontId="3" fillId="22" borderId="9" xfId="2" applyNumberFormat="1" applyFont="1" applyFill="1" applyBorder="1" applyAlignment="1">
      <alignment horizontal="right" vertical="center"/>
    </xf>
    <xf numFmtId="185" fontId="3" fillId="0" borderId="0" xfId="3" applyNumberFormat="1" applyAlignment="1">
      <alignment horizontal="center" vertical="center"/>
    </xf>
    <xf numFmtId="0" fontId="3" fillId="0" borderId="69" xfId="0" applyFont="1" applyBorder="1" applyAlignment="1">
      <alignment vertical="center"/>
    </xf>
    <xf numFmtId="0" fontId="3" fillId="0" borderId="70" xfId="0" applyFont="1" applyBorder="1" applyAlignment="1">
      <alignment vertical="center"/>
    </xf>
    <xf numFmtId="9" fontId="24" fillId="0" borderId="67" xfId="0" applyNumberFormat="1" applyFont="1" applyBorder="1" applyAlignment="1">
      <alignment horizontal="center" vertical="center"/>
    </xf>
    <xf numFmtId="10" fontId="3" fillId="0" borderId="67" xfId="0" applyNumberFormat="1" applyFont="1" applyBorder="1" applyAlignment="1">
      <alignment horizontal="right" vertical="center"/>
    </xf>
    <xf numFmtId="0" fontId="3" fillId="0" borderId="2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0" fontId="3" fillId="0" borderId="8" xfId="2" applyNumberFormat="1" applyFont="1" applyFill="1" applyBorder="1" applyAlignment="1">
      <alignment horizontal="right" vertical="center"/>
    </xf>
    <xf numFmtId="10" fontId="3" fillId="0" borderId="9" xfId="2" applyNumberFormat="1" applyFont="1" applyFill="1" applyBorder="1" applyAlignment="1">
      <alignment horizontal="right" vertical="center"/>
    </xf>
    <xf numFmtId="179" fontId="3" fillId="0" borderId="0" xfId="6" applyNumberFormat="1" applyFont="1" applyFill="1" applyBorder="1" applyAlignment="1">
      <alignment horizontal="center" vertical="center"/>
    </xf>
    <xf numFmtId="43" fontId="32" fillId="0" borderId="0" xfId="0" applyNumberFormat="1" applyFont="1" applyAlignment="1">
      <alignment vertical="center"/>
    </xf>
    <xf numFmtId="0" fontId="4" fillId="0" borderId="55" xfId="0" applyFont="1" applyBorder="1" applyAlignment="1">
      <alignment vertical="center"/>
    </xf>
    <xf numFmtId="0" fontId="26" fillId="0" borderId="42" xfId="0" applyFont="1" applyBorder="1" applyAlignment="1">
      <alignment horizontal="center" vertical="center" wrapText="1"/>
    </xf>
    <xf numFmtId="0" fontId="26" fillId="0" borderId="24" xfId="0" applyFont="1" applyBorder="1" applyAlignment="1">
      <alignment horizontal="center" vertical="center" wrapText="1"/>
    </xf>
    <xf numFmtId="0" fontId="3" fillId="0" borderId="45" xfId="1" applyNumberFormat="1" applyFont="1" applyFill="1" applyBorder="1" applyAlignment="1">
      <alignment vertical="center"/>
    </xf>
    <xf numFmtId="0" fontId="3" fillId="0" borderId="46" xfId="1" applyNumberFormat="1" applyFont="1" applyFill="1" applyBorder="1" applyAlignment="1">
      <alignment vertical="center"/>
    </xf>
    <xf numFmtId="164" fontId="3" fillId="0" borderId="0" xfId="0" applyNumberFormat="1" applyFont="1" applyAlignment="1">
      <alignment vertical="center"/>
    </xf>
    <xf numFmtId="177" fontId="3" fillId="0" borderId="0" xfId="2" applyNumberFormat="1" applyFont="1" applyAlignment="1">
      <alignment horizontal="center" vertical="center"/>
    </xf>
    <xf numFmtId="177" fontId="21" fillId="0" borderId="0" xfId="2" applyNumberFormat="1" applyFont="1" applyAlignment="1">
      <alignment horizontal="center" vertical="center"/>
    </xf>
    <xf numFmtId="0" fontId="26" fillId="0" borderId="10" xfId="0" applyFont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0" fontId="3" fillId="0" borderId="52" xfId="0" applyFont="1" applyBorder="1" applyAlignment="1">
      <alignment horizontal="left" vertical="center"/>
    </xf>
    <xf numFmtId="0" fontId="3" fillId="0" borderId="53" xfId="0" applyFont="1" applyBorder="1" applyAlignment="1">
      <alignment horizontal="left" vertical="center"/>
    </xf>
    <xf numFmtId="0" fontId="14" fillId="9" borderId="42" xfId="0" applyFont="1" applyFill="1" applyBorder="1" applyAlignment="1">
      <alignment vertical="center"/>
    </xf>
    <xf numFmtId="0" fontId="14" fillId="9" borderId="33" xfId="0" applyFont="1" applyFill="1" applyBorder="1" applyAlignment="1">
      <alignment vertical="center"/>
    </xf>
    <xf numFmtId="0" fontId="14" fillId="9" borderId="24" xfId="0" applyFont="1" applyFill="1" applyBorder="1" applyAlignment="1">
      <alignment vertical="center"/>
    </xf>
    <xf numFmtId="43" fontId="3" fillId="0" borderId="0" xfId="0" applyNumberFormat="1" applyFont="1" applyAlignment="1">
      <alignment vertical="center"/>
    </xf>
    <xf numFmtId="0" fontId="3" fillId="0" borderId="71" xfId="0" applyFont="1" applyBorder="1" applyAlignment="1">
      <alignment vertical="center"/>
    </xf>
    <xf numFmtId="1" fontId="3" fillId="0" borderId="72" xfId="6" applyNumberFormat="1" applyFont="1" applyFill="1" applyBorder="1" applyAlignment="1">
      <alignment horizontal="center" vertical="center"/>
    </xf>
    <xf numFmtId="0" fontId="13" fillId="0" borderId="73" xfId="0" applyFont="1" applyBorder="1" applyAlignment="1">
      <alignment horizontal="center" vertical="center"/>
    </xf>
    <xf numFmtId="10" fontId="3" fillId="0" borderId="8" xfId="0" applyNumberFormat="1" applyFont="1" applyBorder="1" applyAlignment="1">
      <alignment horizontal="right" vertical="center"/>
    </xf>
    <xf numFmtId="10" fontId="3" fillId="0" borderId="9" xfId="2" applyNumberFormat="1" applyFont="1" applyBorder="1" applyAlignment="1">
      <alignment horizontal="right" vertical="center"/>
    </xf>
    <xf numFmtId="10" fontId="3" fillId="0" borderId="0" xfId="0" applyNumberFormat="1" applyFont="1" applyAlignment="1">
      <alignment vertical="center"/>
    </xf>
    <xf numFmtId="0" fontId="3" fillId="20" borderId="71" xfId="0" applyFont="1" applyFill="1" applyBorder="1" applyAlignment="1">
      <alignment vertical="center"/>
    </xf>
    <xf numFmtId="167" fontId="3" fillId="20" borderId="72" xfId="2" applyNumberFormat="1" applyFont="1" applyFill="1" applyBorder="1" applyAlignment="1">
      <alignment horizontal="center" vertical="center"/>
    </xf>
    <xf numFmtId="10" fontId="3" fillId="20" borderId="17" xfId="0" applyNumberFormat="1" applyFont="1" applyFill="1" applyBorder="1" applyAlignment="1">
      <alignment horizontal="right" vertical="center"/>
    </xf>
    <xf numFmtId="10" fontId="3" fillId="20" borderId="21" xfId="2" applyNumberFormat="1" applyFont="1" applyFill="1" applyBorder="1" applyAlignment="1">
      <alignment horizontal="right" vertical="center"/>
    </xf>
    <xf numFmtId="0" fontId="3" fillId="0" borderId="74" xfId="0" applyFont="1" applyBorder="1" applyAlignment="1">
      <alignment vertical="center"/>
    </xf>
    <xf numFmtId="167" fontId="3" fillId="0" borderId="75" xfId="2" applyNumberFormat="1" applyFont="1" applyFill="1" applyBorder="1" applyAlignment="1">
      <alignment horizontal="center" vertical="center"/>
    </xf>
    <xf numFmtId="0" fontId="26" fillId="0" borderId="13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9" fontId="24" fillId="0" borderId="59" xfId="0" applyNumberFormat="1" applyFont="1" applyBorder="1" applyAlignment="1">
      <alignment horizontal="center" vertical="center"/>
    </xf>
    <xf numFmtId="10" fontId="3" fillId="0" borderId="59" xfId="0" applyNumberFormat="1" applyFont="1" applyBorder="1" applyAlignment="1">
      <alignment horizontal="right" vertical="center"/>
    </xf>
    <xf numFmtId="14" fontId="3" fillId="0" borderId="0" xfId="1" applyNumberFormat="1" applyFont="1" applyBorder="1" applyAlignment="1">
      <alignment vertical="center"/>
    </xf>
    <xf numFmtId="43" fontId="3" fillId="0" borderId="0" xfId="1" applyFont="1" applyFill="1" applyAlignment="1">
      <alignment horizontal="center" vertical="center"/>
    </xf>
    <xf numFmtId="43" fontId="32" fillId="0" borderId="0" xfId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4" fillId="0" borderId="60" xfId="0" applyFont="1" applyBorder="1" applyAlignment="1">
      <alignment horizontal="center" vertical="center"/>
    </xf>
    <xf numFmtId="0" fontId="14" fillId="0" borderId="76" xfId="0" applyFont="1" applyBorder="1" applyAlignment="1">
      <alignment horizontal="center" vertical="center"/>
    </xf>
    <xf numFmtId="0" fontId="14" fillId="0" borderId="61" xfId="0" applyFont="1" applyBorder="1" applyAlignment="1">
      <alignment horizontal="center" vertical="center"/>
    </xf>
    <xf numFmtId="2" fontId="3" fillId="0" borderId="20" xfId="1" applyNumberFormat="1" applyFont="1" applyFill="1" applyBorder="1" applyAlignment="1">
      <alignment horizontal="right" vertical="center"/>
    </xf>
    <xf numFmtId="9" fontId="3" fillId="0" borderId="43" xfId="2" applyFont="1" applyFill="1" applyBorder="1" applyAlignment="1">
      <alignment horizontal="right" vertical="center" indent="1"/>
    </xf>
  </cellXfs>
  <cellStyles count="10">
    <cellStyle name="Milliers" xfId="1" builtinId="3"/>
    <cellStyle name="Milliers 2" xfId="5" xr:uid="{805B61BC-B950-46EE-B098-857B858CDE03}"/>
    <cellStyle name="Milliers 2 2" xfId="9" xr:uid="{740F2887-27EE-404D-8F59-C5FF9EFBEC88}"/>
    <cellStyle name="Milliers 3" xfId="8" xr:uid="{727B78D8-A2C9-4424-B219-34E99E28F0E5}"/>
    <cellStyle name="Normal" xfId="0" builtinId="0"/>
    <cellStyle name="Normal 2" xfId="3" xr:uid="{14A0ED07-737E-42D0-80E9-94B348ED76A9}"/>
    <cellStyle name="Normal 3" xfId="4" xr:uid="{E915EBF0-209C-42BD-9A02-D0C0CD429D9D}"/>
    <cellStyle name="Pourcentage" xfId="2" builtinId="5"/>
    <cellStyle name="Pourcentage 2" xfId="6" xr:uid="{4AD1CFC2-5DC7-4002-A335-DB617445A885}"/>
    <cellStyle name="Pourcentage 3" xfId="7" xr:uid="{8DBC3EEC-433D-478E-802F-D7400D0C107A}"/>
  </cellStyles>
  <dxfs count="327">
    <dxf>
      <font>
        <b/>
        <strike val="0"/>
        <outline val="0"/>
        <shadow val="0"/>
        <u val="none"/>
        <vertAlign val="baseline"/>
        <sz val="11"/>
        <color rgb="FF0420EC"/>
        <name val="Trebuchet MS"/>
        <family val="2"/>
        <scheme val="none"/>
      </font>
      <numFmt numFmtId="22" formatCode="mmm\-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7" formatCode="0.0%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9" formatCode="0.0;\-0.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9" formatCode="0.0;\-0.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71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66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84" formatCode="#,##0_ ;\-#,##0\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solid">
          <fgColor indexed="64"/>
          <bgColor theme="7" tint="0.79998168889431442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border>
        <top style="thin">
          <color rgb="FFA6A6A6"/>
        </top>
      </border>
    </dxf>
    <dxf>
      <border diagonalUp="0" diagonalDown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Trebuchet MS"/>
        <family val="2"/>
        <scheme val="none"/>
      </font>
      <alignment vertical="center" textRotation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strike val="0"/>
        <outline val="0"/>
        <shadow val="0"/>
        <u val="none"/>
        <vertAlign val="baseline"/>
        <sz val="11"/>
        <color rgb="FF0420EC"/>
        <name val="Trebuchet MS"/>
        <family val="2"/>
        <scheme val="none"/>
      </font>
      <numFmt numFmtId="22" formatCode="mmm\-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7" formatCode="0.0%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9" formatCode="0.0;\-0.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9" formatCode="0.0;\-0.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71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66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84" formatCode="#,##0_ ;\-#,##0\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solid">
          <fgColor indexed="64"/>
          <bgColor theme="7" tint="0.79998168889431442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border>
        <top style="thin">
          <color rgb="FFA6A6A6"/>
        </top>
      </border>
    </dxf>
    <dxf>
      <border diagonalUp="0" diagonalDown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Trebuchet MS"/>
        <family val="2"/>
        <scheme val="none"/>
      </font>
      <alignment vertical="center" textRotation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strike val="0"/>
        <outline val="0"/>
        <shadow val="0"/>
        <u val="none"/>
        <vertAlign val="baseline"/>
        <sz val="11"/>
        <color rgb="FF0420EC"/>
        <name val="Trebuchet MS"/>
        <family val="2"/>
        <scheme val="none"/>
      </font>
      <numFmt numFmtId="22" formatCode="mmm\-yy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" formatCode="0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7" formatCode="0.0%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/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9" formatCode="0.0;\-0.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9" formatCode="0.0;\-0.0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8" formatCode="0.0%;\-0.0%;;@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64" formatCode="_-* #,##0\ _€_-;\-* #,##0\ _€_-;_-* &quot;-&quot;??\ _€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71" formatCode="d/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66" formatCode="0.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4" formatCode="0.00%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84" formatCode="#,##0_ ;\-#,##0\ 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theme="0" tint="-0.34998626667073579"/>
        </right>
        <top/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 style="thin">
          <color theme="0" tint="-0.499984740745262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fill>
        <patternFill patternType="solid">
          <fgColor indexed="64"/>
          <bgColor theme="7" tint="0.79998168889431442"/>
        </patternFill>
      </fill>
      <alignment vertical="center" textRotation="0" indent="0" justifyLastLine="0" shrinkToFit="0" readingOrder="0"/>
      <border diagonalUp="0" diagonalDown="0" outline="0">
        <left/>
        <right/>
        <top style="thin">
          <color theme="0" tint="-0.499984740745262"/>
        </top>
        <bottom style="thin">
          <color theme="0" tint="-0.49998474074526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rebuchet MS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vertical="center" textRotation="0" indent="0" justifyLastLine="0" shrinkToFit="0" readingOrder="0"/>
      <border diagonalUp="0" diagonalDown="0" outline="0">
        <left style="thin">
          <color theme="0" tint="-0.499984740745262"/>
        </left>
        <right/>
        <top style="thin">
          <color theme="0" tint="-0.499984740745262"/>
        </top>
        <bottom style="thin">
          <color theme="0" tint="-0.499984740745262"/>
        </bottom>
      </border>
    </dxf>
    <dxf>
      <border>
        <top style="thin">
          <color rgb="FFA6A6A6"/>
        </top>
      </border>
    </dxf>
    <dxf>
      <border diagonalUp="0" diagonalDown="0">
        <left style="thin">
          <color rgb="FFA6A6A6"/>
        </left>
        <right style="thin">
          <color rgb="FFA6A6A6"/>
        </right>
        <top style="thin">
          <color rgb="FFA6A6A6"/>
        </top>
        <bottom style="thin">
          <color rgb="FFA6A6A6"/>
        </bottom>
      </border>
    </dxf>
    <dxf>
      <font>
        <strike val="0"/>
        <outline val="0"/>
        <shadow val="0"/>
        <u val="none"/>
        <vertAlign val="baseline"/>
        <sz val="11"/>
        <name val="Trebuchet MS"/>
        <family val="2"/>
        <scheme val="none"/>
      </font>
      <fill>
        <patternFill patternType="none">
          <fgColor rgb="FF000000"/>
          <bgColor auto="1"/>
        </patternFill>
      </fill>
      <alignment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Trebuchet MS"/>
        <family val="2"/>
        <scheme val="none"/>
      </font>
      <alignment vertical="center" textRotation="0" indent="0" justifyLastLine="0" shrinkToFit="0" readingOrder="0"/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5932274220193668"/>
          <c:y val="0.10158646134894424"/>
          <c:w val="0.49826176284102197"/>
          <c:h val="0.5533396757281946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08F-44FA-A26E-8159683B092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08F-44FA-A26E-8159683B092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08F-44FA-A26E-8159683B092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A08F-44FA-A26E-8159683B092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A08F-44FA-A26E-8159683B092E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A08F-44FA-A26E-8159683B092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'210723'!$AB$33:$AB$38</c:f>
              <c:numCache>
                <c:formatCode>0.000%</c:formatCode>
                <c:ptCount val="6"/>
              </c:numCache>
            </c:numRef>
          </c:cat>
          <c:val>
            <c:numRef>
              <c:f>'210723'!$AD$33:$AD$38</c:f>
              <c:numCache>
                <c:formatCode>0.0%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C-A08F-44FA-A26E-8159683B092E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8504444444444436E-2"/>
          <c:y val="0.73559758427298738"/>
          <c:w val="0.95158355479811341"/>
          <c:h val="0.264402415727012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000" b="1" i="0" u="none" strike="noStrike" kern="1200" baseline="0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paperSize="9"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5932274220193668"/>
          <c:y val="0.10158646134894424"/>
          <c:w val="0.49826176284102197"/>
          <c:h val="0.5533396757281946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9DE-40DC-B52B-55A009E2F8B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9DE-40DC-B52B-55A009E2F8B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9DE-40DC-B52B-55A009E2F8B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09DE-40DC-B52B-55A009E2F8B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09DE-40DC-B52B-55A009E2F8B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09DE-40DC-B52B-55A009E2F8B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'240723'!$AB$33:$AB$38</c:f>
              <c:numCache>
                <c:formatCode>0.000%</c:formatCode>
                <c:ptCount val="6"/>
              </c:numCache>
            </c:numRef>
          </c:cat>
          <c:val>
            <c:numRef>
              <c:f>'240723'!$AD$33:$AD$38</c:f>
              <c:numCache>
                <c:formatCode>0.0%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C-09DE-40DC-B52B-55A009E2F8B7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8504444444444436E-2"/>
          <c:y val="0.73559758427298738"/>
          <c:w val="0.95158355479811341"/>
          <c:h val="0.264402415727012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000" b="1" i="0" u="none" strike="noStrike" kern="1200" baseline="0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paperSize="9" orientation="portrait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25932274220193668"/>
          <c:y val="0.10158646134894424"/>
          <c:w val="0.49826176284102197"/>
          <c:h val="0.5533396757281946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3099-4CE7-B4AD-B7D5FF6C717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3099-4CE7-B4AD-B7D5FF6C717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3099-4CE7-B4AD-B7D5FF6C717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3099-4CE7-B4AD-B7D5FF6C717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3099-4CE7-B4AD-B7D5FF6C717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3099-4CE7-B4AD-B7D5FF6C71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numRef>
              <c:f>'250723'!$AB$33:$AB$38</c:f>
              <c:numCache>
                <c:formatCode>General</c:formatCode>
                <c:ptCount val="6"/>
              </c:numCache>
            </c:numRef>
          </c:cat>
          <c:val>
            <c:numRef>
              <c:f>'250723'!$AD$33:$AD$38</c:f>
              <c:numCache>
                <c:formatCode>0.0%</c:formatCode>
                <c:ptCount val="6"/>
              </c:numCache>
            </c:numRef>
          </c:val>
          <c:extLst>
            <c:ext xmlns:c16="http://schemas.microsoft.com/office/drawing/2014/chart" uri="{C3380CC4-5D6E-409C-BE32-E72D297353CC}">
              <c16:uniqueId val="{0000000C-3099-4CE7-B4AD-B7D5FF6C717F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2.8504444444444436E-2"/>
          <c:y val="0.73559758427298738"/>
          <c:w val="0.95158355479811341"/>
          <c:h val="0.264402415727012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000" b="1" i="0" u="none" strike="noStrike" kern="1200" baseline="0">
              <a:solidFill>
                <a:schemeClr val="tx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4803149606299213" l="0.70866141732283472" r="0.70866141732283472" t="0.74803149606299213" header="0.31496062992125984" footer="0.31496062992125984"/>
    <c:pageSetup paperSize="9"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32915</xdr:colOff>
      <xdr:row>0</xdr:row>
      <xdr:rowOff>11206</xdr:rowOff>
    </xdr:from>
    <xdr:to>
      <xdr:col>2</xdr:col>
      <xdr:colOff>1273968</xdr:colOff>
      <xdr:row>1</xdr:row>
      <xdr:rowOff>11906</xdr:rowOff>
    </xdr:to>
    <xdr:sp macro="[1]!NouvelOngletPiano" textlink="">
      <xdr:nvSpPr>
        <xdr:cNvPr id="2" name="ZoneTexte 1">
          <a:extLst>
            <a:ext uri="{FF2B5EF4-FFF2-40B4-BE49-F238E27FC236}">
              <a16:creationId xmlns:a16="http://schemas.microsoft.com/office/drawing/2014/main" id="{0ABC8E64-56FF-4AD9-92EE-028CE3743564}"/>
            </a:ext>
          </a:extLst>
        </xdr:cNvPr>
        <xdr:cNvSpPr txBox="1"/>
      </xdr:nvSpPr>
      <xdr:spPr>
        <a:xfrm>
          <a:off x="985415" y="11206"/>
          <a:ext cx="1241053" cy="210250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1.</a:t>
          </a:r>
          <a:r>
            <a:rPr lang="fr-FR" sz="1100" b="1" baseline="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Nouvel Onglet</a:t>
          </a:r>
        </a:p>
      </xdr:txBody>
    </xdr:sp>
    <xdr:clientData/>
  </xdr:twoCellAnchor>
  <xdr:twoCellAnchor>
    <xdr:from>
      <xdr:col>2</xdr:col>
      <xdr:colOff>1321593</xdr:colOff>
      <xdr:row>0</xdr:row>
      <xdr:rowOff>11206</xdr:rowOff>
    </xdr:from>
    <xdr:to>
      <xdr:col>2</xdr:col>
      <xdr:colOff>2376347</xdr:colOff>
      <xdr:row>1</xdr:row>
      <xdr:rowOff>11906</xdr:rowOff>
    </xdr:to>
    <xdr:sp macro="[1]!FigerCoursFactsetPiano" textlink="">
      <xdr:nvSpPr>
        <xdr:cNvPr id="3" name="ZoneTexte 2">
          <a:extLst>
            <a:ext uri="{FF2B5EF4-FFF2-40B4-BE49-F238E27FC236}">
              <a16:creationId xmlns:a16="http://schemas.microsoft.com/office/drawing/2014/main" id="{50A18DB6-BE59-4632-9E30-44BD9508AA34}"/>
            </a:ext>
          </a:extLst>
        </xdr:cNvPr>
        <xdr:cNvSpPr txBox="1"/>
      </xdr:nvSpPr>
      <xdr:spPr>
        <a:xfrm>
          <a:off x="2274093" y="11206"/>
          <a:ext cx="1054754" cy="210250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2. Figer</a:t>
          </a:r>
          <a:r>
            <a:rPr lang="fr-FR" sz="1100" b="1" baseline="0">
              <a:solidFill>
                <a:schemeClr val="bg1"/>
              </a:solidFill>
            </a:rPr>
            <a:t> Cours</a:t>
          </a:r>
          <a:r>
            <a:rPr lang="fr-FR" sz="1100" b="1">
              <a:solidFill>
                <a:schemeClr val="bg1"/>
              </a:solidFill>
            </a:rPr>
            <a:t> </a:t>
          </a:r>
        </a:p>
      </xdr:txBody>
    </xdr:sp>
    <xdr:clientData/>
  </xdr:twoCellAnchor>
  <xdr:twoCellAnchor>
    <xdr:from>
      <xdr:col>7</xdr:col>
      <xdr:colOff>963706</xdr:colOff>
      <xdr:row>0</xdr:row>
      <xdr:rowOff>6724</xdr:rowOff>
    </xdr:from>
    <xdr:to>
      <xdr:col>8</xdr:col>
      <xdr:colOff>705977</xdr:colOff>
      <xdr:row>1</xdr:row>
      <xdr:rowOff>0</xdr:rowOff>
    </xdr:to>
    <xdr:sp macro="[1]!OrdrePourcent" textlink="">
      <xdr:nvSpPr>
        <xdr:cNvPr id="4" name="ZoneTexte 3">
          <a:extLst>
            <a:ext uri="{FF2B5EF4-FFF2-40B4-BE49-F238E27FC236}">
              <a16:creationId xmlns:a16="http://schemas.microsoft.com/office/drawing/2014/main" id="{C9A2D19B-5816-45F1-A846-22A283447272}"/>
            </a:ext>
          </a:extLst>
        </xdr:cNvPr>
        <xdr:cNvSpPr txBox="1"/>
      </xdr:nvSpPr>
      <xdr:spPr>
        <a:xfrm>
          <a:off x="7288306" y="6724"/>
          <a:ext cx="809071" cy="202826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Tri</a:t>
          </a:r>
          <a:r>
            <a:rPr lang="fr-FR" sz="1100" b="1" baseline="0">
              <a:solidFill>
                <a:schemeClr val="bg1"/>
              </a:solidFill>
            </a:rPr>
            <a:t> %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147919</xdr:colOff>
      <xdr:row>0</xdr:row>
      <xdr:rowOff>13447</xdr:rowOff>
    </xdr:from>
    <xdr:to>
      <xdr:col>7</xdr:col>
      <xdr:colOff>874060</xdr:colOff>
      <xdr:row>1</xdr:row>
      <xdr:rowOff>1</xdr:rowOff>
    </xdr:to>
    <xdr:sp macro="[1]!OrdreAlpha3" textlink="">
      <xdr:nvSpPr>
        <xdr:cNvPr id="5" name="ZoneTexte 4">
          <a:extLst>
            <a:ext uri="{FF2B5EF4-FFF2-40B4-BE49-F238E27FC236}">
              <a16:creationId xmlns:a16="http://schemas.microsoft.com/office/drawing/2014/main" id="{BADEC633-ADCD-4881-8F5D-F3295883FDD2}"/>
            </a:ext>
          </a:extLst>
        </xdr:cNvPr>
        <xdr:cNvSpPr txBox="1"/>
      </xdr:nvSpPr>
      <xdr:spPr>
        <a:xfrm>
          <a:off x="6472519" y="13447"/>
          <a:ext cx="726141" cy="196104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Tri</a:t>
          </a:r>
          <a:r>
            <a:rPr lang="fr-FR" sz="1100" b="1" baseline="0">
              <a:solidFill>
                <a:schemeClr val="bg1"/>
              </a:solidFill>
            </a:rPr>
            <a:t> Alpha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728383</xdr:colOff>
      <xdr:row>48</xdr:row>
      <xdr:rowOff>214592</xdr:rowOff>
    </xdr:from>
    <xdr:to>
      <xdr:col>8</xdr:col>
      <xdr:colOff>0</xdr:colOff>
      <xdr:row>56</xdr:row>
      <xdr:rowOff>22411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A3EE72D3-A92A-4658-9FE8-E4552F1B65F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2495550</xdr:colOff>
          <xdr:row>0</xdr:row>
          <xdr:rowOff>0</xdr:rowOff>
        </xdr:from>
        <xdr:to>
          <xdr:col>5</xdr:col>
          <xdr:colOff>19050</xdr:colOff>
          <xdr:row>1</xdr:row>
          <xdr:rowOff>9525</xdr:rowOff>
        </xdr:to>
        <xdr:sp macro="" textlink="">
          <xdr:nvSpPr>
            <xdr:cNvPr id="3073" name="Button 1" descr="Envoie Mail VL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B5696A2-3832-49F2-8C21-BE9F8895D8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Envoie Mail Auto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32915</xdr:colOff>
      <xdr:row>0</xdr:row>
      <xdr:rowOff>11206</xdr:rowOff>
    </xdr:from>
    <xdr:to>
      <xdr:col>2</xdr:col>
      <xdr:colOff>1273968</xdr:colOff>
      <xdr:row>1</xdr:row>
      <xdr:rowOff>11906</xdr:rowOff>
    </xdr:to>
    <xdr:sp macro="[1]!NouvelOngletPiano" textlink="">
      <xdr:nvSpPr>
        <xdr:cNvPr id="2" name="ZoneTexte 1">
          <a:extLst>
            <a:ext uri="{FF2B5EF4-FFF2-40B4-BE49-F238E27FC236}">
              <a16:creationId xmlns:a16="http://schemas.microsoft.com/office/drawing/2014/main" id="{124A4232-8DB9-4474-B065-E6377A89D9A1}"/>
            </a:ext>
          </a:extLst>
        </xdr:cNvPr>
        <xdr:cNvSpPr txBox="1"/>
      </xdr:nvSpPr>
      <xdr:spPr>
        <a:xfrm>
          <a:off x="985415" y="11206"/>
          <a:ext cx="1241053" cy="210250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1.</a:t>
          </a:r>
          <a:r>
            <a:rPr lang="fr-FR" sz="1100" b="1" baseline="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Nouvel Onglet</a:t>
          </a:r>
        </a:p>
      </xdr:txBody>
    </xdr:sp>
    <xdr:clientData/>
  </xdr:twoCellAnchor>
  <xdr:twoCellAnchor>
    <xdr:from>
      <xdr:col>2</xdr:col>
      <xdr:colOff>1321593</xdr:colOff>
      <xdr:row>0</xdr:row>
      <xdr:rowOff>11206</xdr:rowOff>
    </xdr:from>
    <xdr:to>
      <xdr:col>2</xdr:col>
      <xdr:colOff>2376347</xdr:colOff>
      <xdr:row>1</xdr:row>
      <xdr:rowOff>11906</xdr:rowOff>
    </xdr:to>
    <xdr:sp macro="[1]!FigerCoursFactsetPiano" textlink="">
      <xdr:nvSpPr>
        <xdr:cNvPr id="3" name="ZoneTexte 2">
          <a:extLst>
            <a:ext uri="{FF2B5EF4-FFF2-40B4-BE49-F238E27FC236}">
              <a16:creationId xmlns:a16="http://schemas.microsoft.com/office/drawing/2014/main" id="{136458B3-1F16-4217-ABB0-5231E28F68E5}"/>
            </a:ext>
          </a:extLst>
        </xdr:cNvPr>
        <xdr:cNvSpPr txBox="1"/>
      </xdr:nvSpPr>
      <xdr:spPr>
        <a:xfrm>
          <a:off x="2274093" y="11206"/>
          <a:ext cx="1054754" cy="210250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2. Figer</a:t>
          </a:r>
          <a:r>
            <a:rPr lang="fr-FR" sz="1100" b="1" baseline="0">
              <a:solidFill>
                <a:schemeClr val="bg1"/>
              </a:solidFill>
            </a:rPr>
            <a:t> Cours</a:t>
          </a:r>
          <a:r>
            <a:rPr lang="fr-FR" sz="1100" b="1">
              <a:solidFill>
                <a:schemeClr val="bg1"/>
              </a:solidFill>
            </a:rPr>
            <a:t> </a:t>
          </a:r>
        </a:p>
      </xdr:txBody>
    </xdr:sp>
    <xdr:clientData/>
  </xdr:twoCellAnchor>
  <xdr:twoCellAnchor>
    <xdr:from>
      <xdr:col>7</xdr:col>
      <xdr:colOff>963706</xdr:colOff>
      <xdr:row>0</xdr:row>
      <xdr:rowOff>6724</xdr:rowOff>
    </xdr:from>
    <xdr:to>
      <xdr:col>8</xdr:col>
      <xdr:colOff>705977</xdr:colOff>
      <xdr:row>1</xdr:row>
      <xdr:rowOff>0</xdr:rowOff>
    </xdr:to>
    <xdr:sp macro="[1]!OrdrePourcent" textlink="">
      <xdr:nvSpPr>
        <xdr:cNvPr id="4" name="ZoneTexte 3">
          <a:extLst>
            <a:ext uri="{FF2B5EF4-FFF2-40B4-BE49-F238E27FC236}">
              <a16:creationId xmlns:a16="http://schemas.microsoft.com/office/drawing/2014/main" id="{071E407E-8793-460D-AF5B-B59575D30ED2}"/>
            </a:ext>
          </a:extLst>
        </xdr:cNvPr>
        <xdr:cNvSpPr txBox="1"/>
      </xdr:nvSpPr>
      <xdr:spPr>
        <a:xfrm>
          <a:off x="7288306" y="6724"/>
          <a:ext cx="809071" cy="202826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Tri</a:t>
          </a:r>
          <a:r>
            <a:rPr lang="fr-FR" sz="1100" b="1" baseline="0">
              <a:solidFill>
                <a:schemeClr val="bg1"/>
              </a:solidFill>
            </a:rPr>
            <a:t> %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147919</xdr:colOff>
      <xdr:row>0</xdr:row>
      <xdr:rowOff>13447</xdr:rowOff>
    </xdr:from>
    <xdr:to>
      <xdr:col>7</xdr:col>
      <xdr:colOff>874060</xdr:colOff>
      <xdr:row>1</xdr:row>
      <xdr:rowOff>1</xdr:rowOff>
    </xdr:to>
    <xdr:sp macro="[1]!OrdreAlpha3" textlink="">
      <xdr:nvSpPr>
        <xdr:cNvPr id="5" name="ZoneTexte 4">
          <a:extLst>
            <a:ext uri="{FF2B5EF4-FFF2-40B4-BE49-F238E27FC236}">
              <a16:creationId xmlns:a16="http://schemas.microsoft.com/office/drawing/2014/main" id="{69BF4C09-60A4-4ED7-90C7-A3C88EB4D816}"/>
            </a:ext>
          </a:extLst>
        </xdr:cNvPr>
        <xdr:cNvSpPr txBox="1"/>
      </xdr:nvSpPr>
      <xdr:spPr>
        <a:xfrm>
          <a:off x="6472519" y="13447"/>
          <a:ext cx="726141" cy="196104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Tri</a:t>
          </a:r>
          <a:r>
            <a:rPr lang="fr-FR" sz="1100" b="1" baseline="0">
              <a:solidFill>
                <a:schemeClr val="bg1"/>
              </a:solidFill>
            </a:rPr>
            <a:t> Alpha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728383</xdr:colOff>
      <xdr:row>48</xdr:row>
      <xdr:rowOff>214592</xdr:rowOff>
    </xdr:from>
    <xdr:to>
      <xdr:col>8</xdr:col>
      <xdr:colOff>0</xdr:colOff>
      <xdr:row>56</xdr:row>
      <xdr:rowOff>22411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5932604B-39EB-4CF0-92CD-D9D9BB41C86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2495550</xdr:colOff>
          <xdr:row>0</xdr:row>
          <xdr:rowOff>0</xdr:rowOff>
        </xdr:from>
        <xdr:to>
          <xdr:col>5</xdr:col>
          <xdr:colOff>19050</xdr:colOff>
          <xdr:row>1</xdr:row>
          <xdr:rowOff>9525</xdr:rowOff>
        </xdr:to>
        <xdr:sp macro="" textlink="">
          <xdr:nvSpPr>
            <xdr:cNvPr id="2049" name="Button 1" descr="Envoie Mail VL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78DBF157-75C5-4BD4-909F-25A9580CA67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Envoie Mail Auto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32915</xdr:colOff>
      <xdr:row>0</xdr:row>
      <xdr:rowOff>11206</xdr:rowOff>
    </xdr:from>
    <xdr:to>
      <xdr:col>2</xdr:col>
      <xdr:colOff>1273968</xdr:colOff>
      <xdr:row>1</xdr:row>
      <xdr:rowOff>11906</xdr:rowOff>
    </xdr:to>
    <xdr:sp macro="[1]!NouvelOngletPiano" textlink="">
      <xdr:nvSpPr>
        <xdr:cNvPr id="2" name="ZoneTexte 1">
          <a:extLst>
            <a:ext uri="{FF2B5EF4-FFF2-40B4-BE49-F238E27FC236}">
              <a16:creationId xmlns:a16="http://schemas.microsoft.com/office/drawing/2014/main" id="{D83FF2CD-C6BE-4080-80D6-D999DF862019}"/>
            </a:ext>
          </a:extLst>
        </xdr:cNvPr>
        <xdr:cNvSpPr txBox="1"/>
      </xdr:nvSpPr>
      <xdr:spPr>
        <a:xfrm>
          <a:off x="985415" y="11206"/>
          <a:ext cx="1241053" cy="210250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1.</a:t>
          </a:r>
          <a:r>
            <a:rPr lang="fr-FR" sz="1100" b="1" baseline="0">
              <a:solidFill>
                <a:schemeClr val="bg1"/>
              </a:solidFill>
            </a:rPr>
            <a:t> </a:t>
          </a:r>
          <a:r>
            <a:rPr lang="fr-FR" sz="1100" b="1">
              <a:solidFill>
                <a:schemeClr val="bg1"/>
              </a:solidFill>
            </a:rPr>
            <a:t>Nouvel Onglet</a:t>
          </a:r>
        </a:p>
      </xdr:txBody>
    </xdr:sp>
    <xdr:clientData/>
  </xdr:twoCellAnchor>
  <xdr:twoCellAnchor>
    <xdr:from>
      <xdr:col>2</xdr:col>
      <xdr:colOff>1321593</xdr:colOff>
      <xdr:row>0</xdr:row>
      <xdr:rowOff>11206</xdr:rowOff>
    </xdr:from>
    <xdr:to>
      <xdr:col>2</xdr:col>
      <xdr:colOff>2376347</xdr:colOff>
      <xdr:row>1</xdr:row>
      <xdr:rowOff>11906</xdr:rowOff>
    </xdr:to>
    <xdr:sp macro="[1]!FigerCoursFactsetPiano" textlink="">
      <xdr:nvSpPr>
        <xdr:cNvPr id="3" name="ZoneTexte 2">
          <a:extLst>
            <a:ext uri="{FF2B5EF4-FFF2-40B4-BE49-F238E27FC236}">
              <a16:creationId xmlns:a16="http://schemas.microsoft.com/office/drawing/2014/main" id="{E6EEC1D0-843E-4144-81AC-1EE98DAB7F4A}"/>
            </a:ext>
          </a:extLst>
        </xdr:cNvPr>
        <xdr:cNvSpPr txBox="1"/>
      </xdr:nvSpPr>
      <xdr:spPr>
        <a:xfrm>
          <a:off x="2274093" y="11206"/>
          <a:ext cx="1054754" cy="210250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2. Figer</a:t>
          </a:r>
          <a:r>
            <a:rPr lang="fr-FR" sz="1100" b="1" baseline="0">
              <a:solidFill>
                <a:schemeClr val="bg1"/>
              </a:solidFill>
            </a:rPr>
            <a:t> Cours</a:t>
          </a:r>
          <a:r>
            <a:rPr lang="fr-FR" sz="1100" b="1">
              <a:solidFill>
                <a:schemeClr val="bg1"/>
              </a:solidFill>
            </a:rPr>
            <a:t> </a:t>
          </a:r>
        </a:p>
      </xdr:txBody>
    </xdr:sp>
    <xdr:clientData/>
  </xdr:twoCellAnchor>
  <xdr:twoCellAnchor>
    <xdr:from>
      <xdr:col>7</xdr:col>
      <xdr:colOff>963706</xdr:colOff>
      <xdr:row>0</xdr:row>
      <xdr:rowOff>6724</xdr:rowOff>
    </xdr:from>
    <xdr:to>
      <xdr:col>8</xdr:col>
      <xdr:colOff>705977</xdr:colOff>
      <xdr:row>1</xdr:row>
      <xdr:rowOff>0</xdr:rowOff>
    </xdr:to>
    <xdr:sp macro="[1]!OrdrePourcent" textlink="">
      <xdr:nvSpPr>
        <xdr:cNvPr id="4" name="ZoneTexte 3">
          <a:extLst>
            <a:ext uri="{FF2B5EF4-FFF2-40B4-BE49-F238E27FC236}">
              <a16:creationId xmlns:a16="http://schemas.microsoft.com/office/drawing/2014/main" id="{BE083C21-07D3-4261-97C6-A854F1E793BA}"/>
            </a:ext>
          </a:extLst>
        </xdr:cNvPr>
        <xdr:cNvSpPr txBox="1"/>
      </xdr:nvSpPr>
      <xdr:spPr>
        <a:xfrm>
          <a:off x="7288306" y="6724"/>
          <a:ext cx="809071" cy="202826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Tri</a:t>
          </a:r>
          <a:r>
            <a:rPr lang="fr-FR" sz="1100" b="1" baseline="0">
              <a:solidFill>
                <a:schemeClr val="bg1"/>
              </a:solidFill>
            </a:rPr>
            <a:t> %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147919</xdr:colOff>
      <xdr:row>0</xdr:row>
      <xdr:rowOff>13447</xdr:rowOff>
    </xdr:from>
    <xdr:to>
      <xdr:col>7</xdr:col>
      <xdr:colOff>874060</xdr:colOff>
      <xdr:row>1</xdr:row>
      <xdr:rowOff>1</xdr:rowOff>
    </xdr:to>
    <xdr:sp macro="[1]!OrdreAlpha3" textlink="">
      <xdr:nvSpPr>
        <xdr:cNvPr id="5" name="ZoneTexte 4">
          <a:extLst>
            <a:ext uri="{FF2B5EF4-FFF2-40B4-BE49-F238E27FC236}">
              <a16:creationId xmlns:a16="http://schemas.microsoft.com/office/drawing/2014/main" id="{A4D727A5-A621-4782-BBAA-3EF80C55C82D}"/>
            </a:ext>
          </a:extLst>
        </xdr:cNvPr>
        <xdr:cNvSpPr txBox="1"/>
      </xdr:nvSpPr>
      <xdr:spPr>
        <a:xfrm>
          <a:off x="6472519" y="13447"/>
          <a:ext cx="726141" cy="196104"/>
        </a:xfrm>
        <a:prstGeom prst="rect">
          <a:avLst/>
        </a:prstGeom>
        <a:solidFill>
          <a:schemeClr val="accent1">
            <a:lumMod val="75000"/>
          </a:schemeClr>
        </a:solidFill>
        <a:ln w="9525" cap="sq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 b="1">
              <a:solidFill>
                <a:schemeClr val="bg1"/>
              </a:solidFill>
            </a:rPr>
            <a:t>Tri</a:t>
          </a:r>
          <a:r>
            <a:rPr lang="fr-FR" sz="1100" b="1" baseline="0">
              <a:solidFill>
                <a:schemeClr val="bg1"/>
              </a:solidFill>
            </a:rPr>
            <a:t> Alpha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728383</xdr:colOff>
      <xdr:row>48</xdr:row>
      <xdr:rowOff>214592</xdr:rowOff>
    </xdr:from>
    <xdr:to>
      <xdr:col>8</xdr:col>
      <xdr:colOff>0</xdr:colOff>
      <xdr:row>56</xdr:row>
      <xdr:rowOff>22411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A99FA438-E027-4CFF-B3A8-08E53E64515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2495550</xdr:colOff>
          <xdr:row>0</xdr:row>
          <xdr:rowOff>0</xdr:rowOff>
        </xdr:from>
        <xdr:to>
          <xdr:col>5</xdr:col>
          <xdr:colOff>19050</xdr:colOff>
          <xdr:row>1</xdr:row>
          <xdr:rowOff>9525</xdr:rowOff>
        </xdr:to>
        <xdr:sp macro="" textlink="">
          <xdr:nvSpPr>
            <xdr:cNvPr id="1025" name="Button 1" descr="Envoie Mail VL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A0C27A2-5CDE-42C0-8B95-6AF6A45D46C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Envoie Mail Auto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Collective\Tiepolo%20Patrimoine\T%20PATRIMOI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Privee\Stagiaire\Thibault\TEST\Calcul%20moyen%20de%20notation%20investment%20grad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estion%20Collective\Tiepolo%20Patrimoine\Tiepolo%20PIANO%20-%20en%20cours%20de%20construction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270223"/>
      <sheetName val="280223"/>
      <sheetName val="010323"/>
      <sheetName val="020323"/>
      <sheetName val="030323"/>
      <sheetName val="060323"/>
      <sheetName val="070323"/>
      <sheetName val="080323"/>
      <sheetName val="090323"/>
      <sheetName val="100323"/>
      <sheetName val="130323"/>
      <sheetName val="140323"/>
      <sheetName val="150323"/>
      <sheetName val="160323"/>
      <sheetName val="170323"/>
      <sheetName val="200323"/>
      <sheetName val="210323"/>
      <sheetName val="220323"/>
      <sheetName val="230323"/>
      <sheetName val="240323"/>
      <sheetName val="270323"/>
      <sheetName val="280323"/>
      <sheetName val="290323"/>
      <sheetName val="300323"/>
      <sheetName val="310323"/>
      <sheetName val="030423"/>
      <sheetName val="040423"/>
      <sheetName val="050423"/>
      <sheetName val="060423"/>
      <sheetName val="110423"/>
      <sheetName val="120423"/>
      <sheetName val="130423"/>
      <sheetName val="140423"/>
      <sheetName val="170423"/>
      <sheetName val="180423"/>
      <sheetName val="190423"/>
      <sheetName val="200423"/>
      <sheetName val="210423"/>
      <sheetName val="240423"/>
      <sheetName val="250423"/>
      <sheetName val="260423"/>
      <sheetName val="270423"/>
      <sheetName val="280423"/>
      <sheetName val="020523"/>
      <sheetName val="030523"/>
      <sheetName val="040523"/>
      <sheetName val="050523"/>
      <sheetName val="090523"/>
      <sheetName val="100523"/>
      <sheetName val="110523"/>
      <sheetName val="120523"/>
      <sheetName val="150523"/>
      <sheetName val="160523"/>
      <sheetName val="170523"/>
      <sheetName val="190523"/>
      <sheetName val="220523"/>
      <sheetName val="230523"/>
      <sheetName val="240523"/>
      <sheetName val="250523"/>
      <sheetName val="260523"/>
      <sheetName val="300523"/>
      <sheetName val="300523bis"/>
      <sheetName val="310523"/>
      <sheetName val="010623"/>
      <sheetName val="020623"/>
      <sheetName val="050623"/>
      <sheetName val="060623"/>
      <sheetName val="070623"/>
      <sheetName val="080623"/>
      <sheetName val="090623"/>
      <sheetName val="120623"/>
      <sheetName val="130623"/>
      <sheetName val="140623"/>
      <sheetName val="150623"/>
      <sheetName val="160623"/>
      <sheetName val="190623"/>
      <sheetName val="200623"/>
      <sheetName val="210623"/>
      <sheetName val="220623"/>
      <sheetName val="230623"/>
      <sheetName val="260623"/>
      <sheetName val="270623"/>
      <sheetName val="280623"/>
      <sheetName val="290623"/>
      <sheetName val="300623"/>
      <sheetName val="030723"/>
      <sheetName val="040723"/>
      <sheetName val="050723"/>
      <sheetName val="060723"/>
      <sheetName val="070723"/>
      <sheetName val="100723"/>
      <sheetName val="110723"/>
      <sheetName val="120723"/>
      <sheetName val="130723"/>
      <sheetName val="170723"/>
      <sheetName val="180723"/>
      <sheetName val="190723"/>
      <sheetName val="200723"/>
      <sheetName val="210723"/>
      <sheetName val="240723"/>
      <sheetName val="250723"/>
      <sheetName val="260723"/>
    </sheetNames>
    <definedNames>
      <definedName name="FigerCoursFactsetPiano"/>
      <definedName name="Mail_small_Text_Outlook"/>
      <definedName name="NouvelOngletPiano"/>
      <definedName name="OrdreAlpha3"/>
      <definedName name="OrdrePourcent"/>
      <definedName name="VLC" refersTo="='210723'!$H$42" sheetId="99"/>
      <definedName name="VLC" refersTo="='240723'!$H$42" sheetId="100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>
        <row r="31">
          <cell r="H31">
            <v>254484.8932099985</v>
          </cell>
        </row>
        <row r="32">
          <cell r="H32">
            <v>16720.59</v>
          </cell>
        </row>
        <row r="37">
          <cell r="H37">
            <v>23142.420897727894</v>
          </cell>
        </row>
        <row r="42">
          <cell r="H42">
            <v>10.47</v>
          </cell>
        </row>
      </sheetData>
      <sheetData sheetId="100">
        <row r="31">
          <cell r="H31">
            <v>1296623.3562099985</v>
          </cell>
        </row>
        <row r="32">
          <cell r="H32">
            <v>-2005.73576</v>
          </cell>
        </row>
        <row r="33">
          <cell r="AB33" t="str">
            <v>Obligations</v>
          </cell>
          <cell r="AD33">
            <v>0.46752970866597299</v>
          </cell>
        </row>
        <row r="34">
          <cell r="AB34" t="str">
            <v>Alternatifs</v>
          </cell>
          <cell r="AD34">
            <v>0.11311970154904</v>
          </cell>
        </row>
        <row r="35">
          <cell r="AB35" t="str">
            <v>Flexibles</v>
          </cell>
          <cell r="AD35">
            <v>0</v>
          </cell>
        </row>
        <row r="36">
          <cell r="AB36" t="str">
            <v>Actions</v>
          </cell>
          <cell r="AD36">
            <v>0.20931274199902319</v>
          </cell>
        </row>
        <row r="37">
          <cell r="H37">
            <v>26473.446329901373</v>
          </cell>
          <cell r="AB37" t="str">
            <v>Monétaire</v>
          </cell>
          <cell r="AD37">
            <v>0.19084163601174364</v>
          </cell>
        </row>
        <row r="38">
          <cell r="AB38" t="str">
            <v>Liquidités</v>
          </cell>
          <cell r="AD38">
            <v>1.9196211774220054E-2</v>
          </cell>
        </row>
        <row r="42">
          <cell r="H42">
            <v>10.48</v>
          </cell>
        </row>
      </sheetData>
      <sheetData sheetId="101">
        <row r="33">
          <cell r="AB33" t="str">
            <v>Flexibles</v>
          </cell>
          <cell r="AD33">
            <v>0</v>
          </cell>
        </row>
        <row r="34">
          <cell r="AB34" t="str">
            <v>Liquidités</v>
          </cell>
          <cell r="AD34">
            <v>1.9149879404513074E-2</v>
          </cell>
        </row>
        <row r="35">
          <cell r="AB35" t="str">
            <v>Alternatifs</v>
          </cell>
          <cell r="AD35">
            <v>0.11305286440662787</v>
          </cell>
        </row>
        <row r="36">
          <cell r="AB36" t="str">
            <v>Monétaire</v>
          </cell>
          <cell r="AD36">
            <v>0.19069300950083506</v>
          </cell>
        </row>
        <row r="37">
          <cell r="AB37" t="str">
            <v>Actions</v>
          </cell>
          <cell r="AD37">
            <v>0.2098727635438227</v>
          </cell>
        </row>
        <row r="38">
          <cell r="AB38" t="str">
            <v>Obligations</v>
          </cell>
          <cell r="AD38">
            <v>0.46723148314420132</v>
          </cell>
        </row>
      </sheetData>
      <sheetData sheetId="10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udent"/>
      <sheetName val="GPA"/>
      <sheetName val="Feuil1"/>
    </sheetNames>
    <sheetDataSet>
      <sheetData sheetId="0">
        <row r="1">
          <cell r="H1" t="str">
            <v>Grade</v>
          </cell>
        </row>
        <row r="17">
          <cell r="E17">
            <v>13</v>
          </cell>
        </row>
      </sheetData>
      <sheetData sheetId="1">
        <row r="1">
          <cell r="A1" t="str">
            <v>Grade</v>
          </cell>
          <cell r="B1" t="str">
            <v>GPA</v>
          </cell>
        </row>
        <row r="2">
          <cell r="A2" t="str">
            <v>NR</v>
          </cell>
          <cell r="B2">
            <v>0</v>
          </cell>
        </row>
        <row r="3">
          <cell r="A3" t="str">
            <v>D</v>
          </cell>
          <cell r="B3">
            <v>1</v>
          </cell>
        </row>
        <row r="4">
          <cell r="A4" t="str">
            <v>C</v>
          </cell>
          <cell r="B4">
            <v>2</v>
          </cell>
        </row>
        <row r="5">
          <cell r="A5" t="str">
            <v>CC</v>
          </cell>
          <cell r="B5">
            <v>3</v>
          </cell>
        </row>
        <row r="6">
          <cell r="A6" t="str">
            <v>CCC-</v>
          </cell>
          <cell r="B6">
            <v>4</v>
          </cell>
        </row>
        <row r="7">
          <cell r="A7" t="str">
            <v>B-</v>
          </cell>
          <cell r="B7">
            <v>7</v>
          </cell>
        </row>
        <row r="8">
          <cell r="A8" t="str">
            <v>CCC</v>
          </cell>
          <cell r="B8">
            <v>5</v>
          </cell>
        </row>
        <row r="9">
          <cell r="A9" t="str">
            <v>CCC+</v>
          </cell>
          <cell r="B9">
            <v>6</v>
          </cell>
        </row>
        <row r="10">
          <cell r="A10" t="str">
            <v>B</v>
          </cell>
          <cell r="B10">
            <v>8</v>
          </cell>
        </row>
        <row r="11">
          <cell r="A11" t="str">
            <v>B+</v>
          </cell>
          <cell r="B11">
            <v>9</v>
          </cell>
        </row>
        <row r="12">
          <cell r="A12" t="str">
            <v>BB-</v>
          </cell>
          <cell r="B12">
            <v>10</v>
          </cell>
        </row>
        <row r="13">
          <cell r="A13" t="str">
            <v>BB</v>
          </cell>
          <cell r="B13">
            <v>11</v>
          </cell>
        </row>
        <row r="14">
          <cell r="A14" t="str">
            <v>BB+</v>
          </cell>
          <cell r="B14">
            <v>12</v>
          </cell>
        </row>
        <row r="15">
          <cell r="A15" t="str">
            <v>BBB-</v>
          </cell>
          <cell r="B15">
            <v>13</v>
          </cell>
        </row>
        <row r="16">
          <cell r="A16" t="str">
            <v>BBB</v>
          </cell>
          <cell r="B16">
            <v>14</v>
          </cell>
        </row>
        <row r="17">
          <cell r="A17" t="str">
            <v>BBB+</v>
          </cell>
          <cell r="B17">
            <v>15</v>
          </cell>
        </row>
        <row r="18">
          <cell r="A18" t="str">
            <v>A-</v>
          </cell>
          <cell r="B18">
            <v>16</v>
          </cell>
        </row>
        <row r="19">
          <cell r="A19" t="str">
            <v>Au</v>
          </cell>
          <cell r="B19">
            <v>17</v>
          </cell>
        </row>
        <row r="20">
          <cell r="A20" t="str">
            <v>A+</v>
          </cell>
          <cell r="B20">
            <v>18</v>
          </cell>
        </row>
        <row r="21">
          <cell r="A21" t="str">
            <v>AA-</v>
          </cell>
          <cell r="B21">
            <v>19</v>
          </cell>
        </row>
        <row r="22">
          <cell r="A22" t="str">
            <v>AA</v>
          </cell>
          <cell r="B22">
            <v>20</v>
          </cell>
        </row>
        <row r="23">
          <cell r="A23" t="str">
            <v>AA+</v>
          </cell>
          <cell r="B23">
            <v>21</v>
          </cell>
        </row>
        <row r="24">
          <cell r="A24" t="str">
            <v>AAA</v>
          </cell>
          <cell r="B24">
            <v>22</v>
          </cell>
        </row>
        <row r="25">
          <cell r="A25" t="str">
            <v>A-</v>
          </cell>
          <cell r="B25">
            <v>16</v>
          </cell>
        </row>
        <row r="26">
          <cell r="A26" t="str">
            <v>A</v>
          </cell>
          <cell r="B26">
            <v>17</v>
          </cell>
        </row>
        <row r="27">
          <cell r="A27" t="str">
            <v>A+</v>
          </cell>
          <cell r="B27">
            <v>18</v>
          </cell>
        </row>
        <row r="28">
          <cell r="A28" t="str">
            <v>AA-</v>
          </cell>
          <cell r="B28">
            <v>19</v>
          </cell>
        </row>
        <row r="29">
          <cell r="A29" t="str">
            <v>AAu</v>
          </cell>
          <cell r="B29">
            <v>20</v>
          </cell>
        </row>
        <row r="30">
          <cell r="A30" t="str">
            <v>AA+</v>
          </cell>
          <cell r="B30">
            <v>21</v>
          </cell>
        </row>
        <row r="31">
          <cell r="A31" t="str">
            <v>AAAu</v>
          </cell>
          <cell r="B31">
            <v>22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300819"/>
      <sheetName val="020919"/>
      <sheetName val="030919"/>
      <sheetName val="040919"/>
      <sheetName val="050919"/>
      <sheetName val="060919"/>
      <sheetName val="090919"/>
      <sheetName val="100919"/>
      <sheetName val="110919"/>
      <sheetName val="120919"/>
      <sheetName val="130919"/>
      <sheetName val="160919"/>
      <sheetName val="170919"/>
      <sheetName val="180919"/>
      <sheetName val="190919"/>
      <sheetName val="200919"/>
      <sheetName val="230919"/>
      <sheetName val="240919"/>
      <sheetName val="250919"/>
      <sheetName val="260919"/>
      <sheetName val="270919"/>
      <sheetName val="300919"/>
      <sheetName val="011019"/>
      <sheetName val="021019"/>
      <sheetName val="031019"/>
      <sheetName val="041019"/>
      <sheetName val="071019"/>
      <sheetName val="081019"/>
      <sheetName val="091019"/>
      <sheetName val="101019"/>
      <sheetName val="111019"/>
      <sheetName val="141019"/>
      <sheetName val="151019"/>
      <sheetName val="161019"/>
      <sheetName val="171019"/>
      <sheetName val="181019"/>
      <sheetName val="211019"/>
      <sheetName val="221019"/>
      <sheetName val="231019"/>
      <sheetName val="241019"/>
      <sheetName val="251019"/>
      <sheetName val="281019"/>
      <sheetName val="291019"/>
      <sheetName val="301019"/>
      <sheetName val="311019"/>
      <sheetName val="041119"/>
      <sheetName val="051119"/>
      <sheetName val="061119"/>
      <sheetName val="071119"/>
      <sheetName val="081119"/>
      <sheetName val="121119"/>
      <sheetName val="131119"/>
      <sheetName val="141119"/>
      <sheetName val="151119"/>
      <sheetName val="181119"/>
      <sheetName val="191119"/>
      <sheetName val="201119"/>
      <sheetName val="211119"/>
      <sheetName val="221119"/>
      <sheetName val="251119"/>
      <sheetName val="261119"/>
      <sheetName val="271119"/>
      <sheetName val="281119"/>
      <sheetName val="291119"/>
      <sheetName val="021219"/>
      <sheetName val="031219"/>
      <sheetName val="041219"/>
      <sheetName val="051219"/>
      <sheetName val="061219"/>
      <sheetName val="091219"/>
      <sheetName val="101219"/>
      <sheetName val="111219"/>
      <sheetName val="121219"/>
      <sheetName val="131219"/>
      <sheetName val="161219"/>
      <sheetName val="17121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>
        <row r="33">
          <cell r="AP33" t="str">
            <v>Agroalimentaire-Boissons</v>
          </cell>
          <cell r="AR33" t="str">
            <v>France</v>
          </cell>
        </row>
        <row r="34">
          <cell r="AP34" t="str">
            <v>Autre</v>
          </cell>
          <cell r="AR34" t="str">
            <v>Allemagne</v>
          </cell>
        </row>
        <row r="35">
          <cell r="AP35" t="str">
            <v>Biens de consommation</v>
          </cell>
          <cell r="AR35" t="str">
            <v>Italie</v>
          </cell>
        </row>
        <row r="36">
          <cell r="AP36" t="str">
            <v>BTP-Concessions</v>
          </cell>
          <cell r="AR36" t="str">
            <v>Espagne</v>
          </cell>
        </row>
        <row r="37">
          <cell r="AP37" t="str">
            <v>Chimie</v>
          </cell>
          <cell r="AR37" t="str">
            <v>Pays-Bas</v>
          </cell>
        </row>
        <row r="38">
          <cell r="AP38" t="str">
            <v>Distribution</v>
          </cell>
          <cell r="AR38" t="str">
            <v>Finlande</v>
          </cell>
        </row>
        <row r="39">
          <cell r="AP39" t="str">
            <v>Energie-Services énergétiques</v>
          </cell>
          <cell r="AR39" t="str">
            <v>UK</v>
          </cell>
        </row>
        <row r="40">
          <cell r="AP40" t="str">
            <v>Finance</v>
          </cell>
          <cell r="AR40" t="str">
            <v>Suède</v>
          </cell>
        </row>
        <row r="41">
          <cell r="AP41" t="str">
            <v>Foncières</v>
          </cell>
          <cell r="AR41" t="str">
            <v>Suisse</v>
          </cell>
        </row>
        <row r="42">
          <cell r="AP42" t="str">
            <v>Holding</v>
          </cell>
          <cell r="AR42" t="str">
            <v>Norvège</v>
          </cell>
        </row>
        <row r="43">
          <cell r="AP43" t="str">
            <v>Hôtellerie-Loisirs</v>
          </cell>
          <cell r="AR43" t="str">
            <v>Liquidités</v>
          </cell>
        </row>
        <row r="44">
          <cell r="AP44" t="str">
            <v>Industrie</v>
          </cell>
          <cell r="AR44">
            <v>0</v>
          </cell>
        </row>
        <row r="45">
          <cell r="AP45" t="str">
            <v>Logiciels-Services Informatiques</v>
          </cell>
          <cell r="AR45">
            <v>0</v>
          </cell>
        </row>
        <row r="46">
          <cell r="AP46" t="str">
            <v>Luxe</v>
          </cell>
        </row>
        <row r="47">
          <cell r="AP47" t="str">
            <v>Matériaux de construction</v>
          </cell>
        </row>
        <row r="48">
          <cell r="AP48" t="str">
            <v>Matières premières</v>
          </cell>
        </row>
        <row r="49">
          <cell r="AP49" t="str">
            <v>Média</v>
          </cell>
        </row>
        <row r="50">
          <cell r="AP50" t="str">
            <v>Santé</v>
          </cell>
        </row>
        <row r="51">
          <cell r="AP51" t="str">
            <v>Services</v>
          </cell>
        </row>
        <row r="52">
          <cell r="AP52" t="str">
            <v>Télécoms</v>
          </cell>
        </row>
        <row r="53">
          <cell r="AP53" t="str">
            <v>Transport-Logistique</v>
          </cell>
        </row>
        <row r="54">
          <cell r="AP54" t="str">
            <v>Travail temporaire</v>
          </cell>
        </row>
        <row r="55">
          <cell r="AP55" t="str">
            <v>Liquidités</v>
          </cell>
        </row>
      </sheetData>
      <sheetData sheetId="76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4B7F6BC-2F20-4178-9DD2-A4486DF9C21C}" name="Tableau2407234" displayName="Tableau2407234" ref="A2:BG27" totalsRowShown="0" headerRowDxfId="62" dataDxfId="61" tableBorderDxfId="60" totalsRowBorderDxfId="59">
  <autoFilter ref="A2:BG27" xr:uid="{00000000-0009-0000-0100-000056000000}"/>
  <sortState ref="A3:BG27">
    <sortCondition ref="J2:J27"/>
  </sortState>
  <tableColumns count="59">
    <tableColumn id="1" xr3:uid="{D323781A-0726-49A3-9339-8C135CE3F33E}" name="Colonne1" dataDxfId="58" dataCellStyle="Normal 2"/>
    <tableColumn id="2" xr3:uid="{FC593287-DA38-4196-B3FD-6C8038D67C95}" name="code isin" dataDxfId="57" dataCellStyle="Normal 2"/>
    <tableColumn id="3" xr3:uid="{007F6598-576A-4A07-B2BF-90F4BBA531D7}" name="Nom" dataDxfId="56" dataCellStyle="Normal 2"/>
    <tableColumn id="42" xr3:uid="{B7B566EA-061A-4A12-B42F-C82A92FB992A}" name="Colonne7" dataDxfId="55" dataCellStyle="Normal 2"/>
    <tableColumn id="4" xr3:uid="{731CC321-9334-4CDD-90FD-F3756E610131}" name="Nombre de parts " dataDxfId="54" dataCellStyle="Milliers 2"/>
    <tableColumn id="48" xr3:uid="{D3327A51-2E35-4EF1-82C0-29C2FB95AB50}" name="VL 30/12/2022_x000a_en devise locale " dataDxfId="53" dataCellStyle="Milliers"/>
    <tableColumn id="5" xr3:uid="{A852F1A1-DFB7-41DA-BA0C-2327F363742D}" name="Dernière VL_x000a_en devise locale" dataDxfId="52" dataCellStyle="Milliers"/>
    <tableColumn id="6" xr3:uid="{8C4E822B-451F-44FD-956A-066B8D7A3706}" name="Valorisation_x000a_en euros" dataDxfId="51" dataCellStyle="Milliers"/>
    <tableColumn id="7" xr3:uid="{41C9DB92-EBD9-40C9-B267-DE089D569ABD}" name="% Ptf" dataDxfId="50" dataCellStyle="Pourcentage"/>
    <tableColumn id="25" xr3:uid="{D7C33E37-1E6C-459A-8A33-BA4B757D4220}" name="Classe d'actifs" dataDxfId="49" dataCellStyle="Pourcentage"/>
    <tableColumn id="8" xr3:uid="{C12472AE-5033-4C98-8BAA-6301618D46EC}" name="Variation jour" dataDxfId="48" dataCellStyle="Pourcentage 2"/>
    <tableColumn id="9" xr3:uid="{5DBA2A49-0734-4639-8679-C47BD3F7D4D2}" name="CTB" dataDxfId="47" dataCellStyle="Milliers 2"/>
    <tableColumn id="10" xr3:uid="{A1796BB0-BBA0-4DDF-9CA0-9C11B148CD24}" name="YTD%" dataDxfId="46" dataCellStyle="Pourcentage 2"/>
    <tableColumn id="49" xr3:uid="{9F030783-C86C-4E77-B1B8-2236FA794FF1}" name="Date VL " dataDxfId="45" dataCellStyle="Pourcentage 2"/>
    <tableColumn id="50" xr3:uid="{1743E815-5343-4547-BF61-2F9053B437E1}" name="Ordres en cours" dataDxfId="44" dataCellStyle="Pourcentage 2"/>
    <tableColumn id="11" xr3:uid="{AEF16344-EFB8-42DA-A2AA-614043D9C9E6}" name="Montant" dataDxfId="43" dataCellStyle="Milliers 2"/>
    <tableColumn id="12" xr3:uid="{E661FA22-DC21-42FB-A854-1523ACCC0F46}" name="Frais" dataDxfId="42" dataCellStyle="Milliers 2"/>
    <tableColumn id="13" xr3:uid="{5F0CB8CC-1BC0-4FDA-9932-4D3B0E2480F7}" name="Quantité2" dataDxfId="41" dataCellStyle="Milliers"/>
    <tableColumn id="56" xr3:uid="{24B59BF7-D275-407B-BF21-A26948000B6F}" name="Cours d'exécution" dataDxfId="40" dataCellStyle="Milliers"/>
    <tableColumn id="15" xr3:uid="{E700932B-93D4-4F34-9C87-4B6D8FC98C3B}" name="Total " dataDxfId="39" dataCellStyle="Milliers"/>
    <tableColumn id="16" xr3:uid="{E31377F6-0FDA-4A5A-A8C6-F835C370C7E5}" name="H Cut off" dataDxfId="38" dataCellStyle="Milliers"/>
    <tableColumn id="17" xr3:uid="{86BF3328-4B1E-4FD0-9AD3-B9D31E2F2344}" name="Risque liquidité (délai de réalisation en jours) RACHATS " dataDxfId="37" dataCellStyle="Pourcentage 3"/>
    <tableColumn id="18" xr3:uid="{CF035FC0-8FD8-4BCB-AD66-4E13842D8522}" name="Devise" dataDxfId="36" dataCellStyle="Normal 2"/>
    <tableColumn id="19" xr3:uid="{66FE16BA-384F-4C1B-A995-809E8B9CA56F}" name="% Sensi actions" dataDxfId="35" dataCellStyle="Pourcentage 3"/>
    <tableColumn id="64" xr3:uid="{80AFB148-A6F6-40C6-8243-BC6CC42B17CD}" name="%_x000a_High Yield" dataDxfId="34" dataCellStyle="Pourcentage"/>
    <tableColumn id="62" xr3:uid="{5E085764-B2D8-4830-BAD2-EB1A178920B3}" name="CTB sensibilité actions" dataDxfId="33" dataCellStyle="Pourcentage 3"/>
    <tableColumn id="63" xr3:uid="{C3134F93-76CC-46D2-B0AE-A0CA09CBCBD8}" name="CTB Oblig HY" dataDxfId="32" dataCellStyle="Pourcentage 3"/>
    <tableColumn id="20" xr3:uid="{98A42591-AB5D-431C-A11D-2C3AE2AC5AD4}" name="Exp nette action" dataDxfId="31" dataCellStyle="Normal 3"/>
    <tableColumn id="57" xr3:uid="{4352A408-6DB6-422A-9572-F138604E7043}" name="Expo nette action Europe (Suisse et UK inclus) %" dataDxfId="30"/>
    <tableColumn id="46" xr3:uid="{8FD19461-F0C0-4B3D-B117-D862F9E0710F}" name="Expo nette action USA &amp; Canada % " dataDxfId="29"/>
    <tableColumn id="58" xr3:uid="{3AD5737D-C0BA-4902-AD1C-FD6B9CC18A1C}" name="Expo nette action Asie &amp; Japon %" dataDxfId="28"/>
    <tableColumn id="37" xr3:uid="{1A753144-E9A3-4FCE-95FD-F56D477D211E}" name="Expo nette action Reste du monde %" dataDxfId="27"/>
    <tableColumn id="23" xr3:uid="{731D3BC2-7E2F-4718-9287-FA0BBBBECABF}" name="Expo nette action pays émergents  (pays présents dans le MSCI Emerging &amp; Frontier Markets)" dataDxfId="26" dataCellStyle="Normal 3"/>
    <tableColumn id="28" xr3:uid="{52271438-C668-4898-A6ED-6F979A5C4D48}" name="Expo nette action petites capitalisations (capi &lt; 500 M d'euros) (%)" dataDxfId="25" dataCellStyle="Normal 3"/>
    <tableColumn id="22" xr3:uid="{CF03EE7E-10FC-44FF-812B-5CB86905AFB0}" name="Expo nette obligataire " dataDxfId="24" dataCellStyle="Normal 3"/>
    <tableColumn id="36" xr3:uid="{E97B9D79-02B3-49C7-8624-10BC7965E4DC}" name="Expo nette taux spéculatifs (inf ou = à BB+, incluant les émissions NR) (%)" dataDxfId="23" dataCellStyle="Normal 3"/>
    <tableColumn id="14" xr3:uid="{9BA343C2-925A-4430-8265-FCA204AA2E65}" name="Expo nette taux Invesment Grade (notation comprise entre AAA et BBB- ) (%)" dataDxfId="22" dataCellStyle="Normal 3"/>
    <tableColumn id="21" xr3:uid="{CADAE083-7F20-44CE-8631-4C003D68B189}" name="Expo nette taux pays émergents (pays présents dans le MSCI Emerging &amp; Frontier Markets) (%)" dataDxfId="21" dataCellStyle="Normal 3"/>
    <tableColumn id="29" xr3:uid="{8791B988-17BA-45EA-AC3C-5FF399574DC1}" name="Expo nette obligataire convertibles" dataDxfId="20" dataCellStyle="Normal 3"/>
    <tableColumn id="41" xr3:uid="{6A96CFB3-2880-49F1-81C9-17377E02B178}" name="Expo nette Subordonnées financières (%)" dataDxfId="19" dataCellStyle="Normal 3"/>
    <tableColumn id="33" xr3:uid="{E19CB834-B2FD-4586-AAD4-F4D257991E7C}" name="Sensibilité taux" dataDxfId="18" dataCellStyle="Normal 3"/>
    <tableColumn id="52" xr3:uid="{BF355413-A724-4045-B669-AFCD1C876F07}" name="Maturité moyenne" dataDxfId="17" dataCellStyle="Normal 3"/>
    <tableColumn id="53" xr3:uid="{FDC4807E-D1B4-4AC0-AF1D-F262D6C75B61}" name="Taux de rendement à maturité" dataDxfId="16" dataCellStyle="Normal 3"/>
    <tableColumn id="31" xr3:uid="{8E17CD70-F8EE-424E-80B4-51F51DAA284A}" name="Notation moyenne" dataDxfId="15" dataCellStyle="Normal 3"/>
    <tableColumn id="55" xr3:uid="{87149DFB-B047-40ED-BDFF-710980535095}" name="Sensibilité actions (oligations convertibles)" dataDxfId="14" dataCellStyle="Normal 3"/>
    <tableColumn id="24" xr3:uid="{FAA323EE-F4D8-44ED-B09A-2643BA097587}" name="Exposition nette OPC %" dataDxfId="13" dataCellStyle="Normal 3"/>
    <tableColumn id="40" xr3:uid="{69303781-4A3E-44F8-842D-409FC6DBC199}" name="Dérivés (swap, CDS, futures, options)" dataDxfId="12" dataCellStyle="Normal 3"/>
    <tableColumn id="26" xr3:uid="{5AE0A36B-C95E-41AA-B436-254E306AEB5E}" name="% Liquidités et équivalents (obligations arrivant à maturité, billets de trésorerie et dépots) " dataDxfId="11" dataCellStyle="Normal 3"/>
    <tableColumn id="59" xr3:uid="{4A7075D8-7DEA-4EBE-B42F-DB7B34D51CF6}" name="Risque devise USD" dataDxfId="10" dataCellStyle="Normal 3"/>
    <tableColumn id="54" xr3:uid="{A1CCD1FC-43E2-4E0D-A180-18CFD3DEDDA4}" name="Risque de change (% devises non hédgées hors Euro) " dataDxfId="9" dataCellStyle="Normal 3"/>
    <tableColumn id="27" xr3:uid="{09FC2023-2258-4798-8A20-B872990BE7F6}" name="Encours sous_x000a_gestion en euros" dataDxfId="8" dataCellStyle="Milliers"/>
    <tableColumn id="30" xr3:uid="{702DFDCD-48FE-45A2-8E79-22A64E1C3133}" name="Ratio_x000a_d'emprise" dataDxfId="7" dataCellStyle="Pourcentage"/>
    <tableColumn id="38" xr3:uid="{ED2B704D-3B36-4AFD-A4C3-D4E42E5679A7}" name="Détention max OPC " dataDxfId="6" dataCellStyle="Pourcentage"/>
    <tableColumn id="39" xr3:uid="{17EF92CA-98D4-43A8-8337-688A24F258CA}" name="SRRI " dataDxfId="5" dataCellStyle="Pourcentage"/>
    <tableColumn id="45" xr3:uid="{3FF15D77-1A7B-4282-8670-CC87F3A62DAF}" name="Classe d'actif_x000a_Tiepolo II" dataDxfId="4" dataCellStyle="Pourcentage"/>
    <tableColumn id="43" xr3:uid="{F54DE3D6-BD68-451B-A1CE-D92FBEE4231C}" name="Periodicité VL " dataDxfId="3"/>
    <tableColumn id="35" xr3:uid="{935A2BE1-11A2-44D0-AE8A-C678B73836A2}" name="FRAIS COURTAGE" dataDxfId="2" dataCellStyle="Pourcentage"/>
    <tableColumn id="60" xr3:uid="{501C5DDD-1517-43AB-A4E7-F0CBFAC42602}" name="Frais courants % " dataDxfId="1" dataCellStyle="Milliers"/>
    <tableColumn id="34" xr3:uid="{B91E0D0B-3535-409B-AD2E-9B9B383A6CD5}" name="Transparisation _x000a_Commentaire" dataDxfId="0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9D626A-09EE-4BEA-A14E-5A7EBD611080}" name="Tableau240723" displayName="Tableau240723" ref="A2:BG27" totalsRowShown="0" headerRowDxfId="171" dataDxfId="170" tableBorderDxfId="169" totalsRowBorderDxfId="168">
  <autoFilter ref="A2:BG27" xr:uid="{00000000-0009-0000-0100-000056000000}"/>
  <sortState ref="A3:BG27">
    <sortCondition ref="J2:J27"/>
  </sortState>
  <tableColumns count="59">
    <tableColumn id="1" xr3:uid="{9CD39730-BED1-4F36-8BC6-92ECD83CB623}" name="Colonne1" dataDxfId="167" dataCellStyle="Normal 2"/>
    <tableColumn id="2" xr3:uid="{416F185E-F1BE-4D33-8CE4-52D93558C64A}" name="code isin" dataDxfId="166" dataCellStyle="Normal 2"/>
    <tableColumn id="3" xr3:uid="{1483DA82-77C0-4164-8D29-530C11A1C7CD}" name="Nom" dataDxfId="165" dataCellStyle="Normal 2"/>
    <tableColumn id="42" xr3:uid="{88074BE7-357F-4ADF-9606-57DDE4E7C03B}" name="Colonne7" dataDxfId="164" dataCellStyle="Normal 2"/>
    <tableColumn id="4" xr3:uid="{2EC2EC43-772C-4EFB-849C-D604A231DC9E}" name="Nombre de parts " dataDxfId="163" dataCellStyle="Milliers 2"/>
    <tableColumn id="48" xr3:uid="{AC54DAF7-B57E-4CB1-9A8A-2268CCD02E09}" name="VL 30/12/2022_x000a_en devise locale " dataDxfId="162" dataCellStyle="Milliers"/>
    <tableColumn id="5" xr3:uid="{CF6B50B2-EC9F-4589-92DA-C5C3A0869A77}" name="Dernière VL_x000a_en devise locale" dataDxfId="161" dataCellStyle="Milliers"/>
    <tableColumn id="6" xr3:uid="{FF4D3FDD-32C0-4AA0-9D41-728DAB6D496E}" name="Valorisation_x000a_en euros" dataDxfId="160" dataCellStyle="Milliers"/>
    <tableColumn id="7" xr3:uid="{88C3DD9E-12B2-4BF8-97B9-697576AF1D21}" name="% Ptf" dataDxfId="159" dataCellStyle="Pourcentage"/>
    <tableColumn id="25" xr3:uid="{4954E0CF-1FC9-4AE7-91CD-0098208B208A}" name="Classe d'actifs" dataDxfId="158" dataCellStyle="Pourcentage"/>
    <tableColumn id="8" xr3:uid="{199EFED1-72BF-4F81-9728-BC6AEA8A896F}" name="Variation jour" dataDxfId="157" dataCellStyle="Pourcentage 2"/>
    <tableColumn id="9" xr3:uid="{7E65B833-D5F5-4EBD-B431-4F3D136BB56D}" name="CTB" dataDxfId="156" dataCellStyle="Milliers 2"/>
    <tableColumn id="10" xr3:uid="{5095613B-217A-431C-8CE7-2EFEA4113617}" name="YTD%" dataDxfId="155" dataCellStyle="Pourcentage 2"/>
    <tableColumn id="49" xr3:uid="{6C7DD838-05FC-4B3B-ADEF-A5272860A488}" name="Date VL " dataDxfId="154" dataCellStyle="Pourcentage 2"/>
    <tableColumn id="50" xr3:uid="{6BCCD8CE-AD6A-499C-B39F-460A15236FB1}" name="Ordres en cours" dataDxfId="153" dataCellStyle="Pourcentage 2"/>
    <tableColumn id="11" xr3:uid="{C9F4113B-FF14-4ED1-9615-EABCFC433202}" name="Montant" dataDxfId="152" dataCellStyle="Milliers 2"/>
    <tableColumn id="12" xr3:uid="{010F3E51-CCE6-40A7-9B1A-F4B13BD59AE5}" name="Frais" dataDxfId="151" dataCellStyle="Milliers 2"/>
    <tableColumn id="13" xr3:uid="{DDEA031C-984D-4274-92AE-57B66769A032}" name="Quantité2" dataDxfId="150" dataCellStyle="Milliers"/>
    <tableColumn id="56" xr3:uid="{638AE026-E83D-41F9-A598-B9C1EF2F8D0C}" name="Cours d'exécution" dataDxfId="149" dataCellStyle="Milliers"/>
    <tableColumn id="15" xr3:uid="{FA38A001-283A-4FAE-82F2-2AE4DEB74FA2}" name="Total " dataDxfId="148" dataCellStyle="Milliers"/>
    <tableColumn id="16" xr3:uid="{84F79620-2758-4EA9-BD11-0B47BD796C5A}" name="H Cut off" dataDxfId="147" dataCellStyle="Milliers"/>
    <tableColumn id="17" xr3:uid="{0683F1C9-B18B-4747-BF80-65DAC55D64F3}" name="Risque liquidité (délai de réalisation en jours) RACHATS " dataDxfId="146" dataCellStyle="Pourcentage 3"/>
    <tableColumn id="18" xr3:uid="{9EF01532-C903-44D8-B4A5-1575F77F0C06}" name="Devise" dataDxfId="145" dataCellStyle="Normal 2"/>
    <tableColumn id="19" xr3:uid="{D6F7F4AA-98D7-430A-9425-BC8B55A61F19}" name="% Sensi actions" dataDxfId="144" dataCellStyle="Pourcentage 3"/>
    <tableColumn id="64" xr3:uid="{C398517E-02F7-4778-88E6-B93181B5F1B2}" name="%_x000a_High Yield" dataDxfId="143" dataCellStyle="Pourcentage"/>
    <tableColumn id="62" xr3:uid="{A5925BA9-3866-471B-AE69-4C4A49A3D97F}" name="CTB sensibilité actions" dataDxfId="142" dataCellStyle="Pourcentage 3"/>
    <tableColumn id="63" xr3:uid="{FE15596B-79E4-49B0-ABE6-0D1F877CBBB9}" name="CTB Oblig HY" dataDxfId="141" dataCellStyle="Pourcentage 3"/>
    <tableColumn id="20" xr3:uid="{60574034-1947-49A0-BE51-69207DECC6BA}" name="Exp nette action" dataDxfId="140" dataCellStyle="Normal 3"/>
    <tableColumn id="57" xr3:uid="{4995C1E5-0240-47C5-8F35-062A0DE2894E}" name="Expo nette action Europe (Suisse et UK inclus) %" dataDxfId="139"/>
    <tableColumn id="46" xr3:uid="{F1A86CEB-5A0C-45DD-A602-F09E8EE11240}" name="Expo nette action USA &amp; Canada % " dataDxfId="138"/>
    <tableColumn id="58" xr3:uid="{D0950B59-BF87-44FD-8A65-963B3A385957}" name="Expo nette action Asie &amp; Japon %" dataDxfId="137"/>
    <tableColumn id="37" xr3:uid="{FFD64BBD-726E-4981-8BD4-2B48574E125D}" name="Expo nette action Reste du monde %" dataDxfId="136"/>
    <tableColumn id="23" xr3:uid="{9CF3FF27-B6A7-4DB1-8FBA-320E6C33B175}" name="Expo nette action pays émergents  (pays présents dans le MSCI Emerging &amp; Frontier Markets)" dataDxfId="135" dataCellStyle="Normal 3"/>
    <tableColumn id="28" xr3:uid="{8F780FA6-C916-48D6-B6CD-58C4E1034934}" name="Expo nette action petites capitalisations (capi &lt; 500 M d'euros) (%)" dataDxfId="134" dataCellStyle="Normal 3"/>
    <tableColumn id="22" xr3:uid="{426EE011-6D4D-489E-909D-D8B21427BDF1}" name="Expo nette obligataire " dataDxfId="133" dataCellStyle="Normal 3"/>
    <tableColumn id="36" xr3:uid="{B8D5C2E3-8813-4B9C-95BB-D36392448720}" name="Expo nette taux spéculatifs (inf ou = à BB+, incluant les émissions NR) (%)" dataDxfId="132" dataCellStyle="Normal 3"/>
    <tableColumn id="14" xr3:uid="{9EB63E13-7BD8-4EED-91A4-B88B970E8F40}" name="Expo nette taux Invesment Grade (notation comprise entre AAA et BBB- ) (%)" dataDxfId="131" dataCellStyle="Normal 3"/>
    <tableColumn id="21" xr3:uid="{4489E724-5E12-42EE-B774-D90A517CB5F4}" name="Expo nette taux pays émergents (pays présents dans le MSCI Emerging &amp; Frontier Markets) (%)" dataDxfId="130" dataCellStyle="Normal 3"/>
    <tableColumn id="29" xr3:uid="{30D9BD67-6B6E-4F4A-91AB-37B0FF772187}" name="Expo nette obligataire convertibles" dataDxfId="129" dataCellStyle="Normal 3"/>
    <tableColumn id="41" xr3:uid="{60BD842D-DBCF-44C1-A622-75A23E593396}" name="Expo nette Subordonnées financières (%)" dataDxfId="128" dataCellStyle="Normal 3"/>
    <tableColumn id="33" xr3:uid="{7DCB5CFE-21B7-4C6A-AF95-899119841925}" name="Sensibilité taux" dataDxfId="127" dataCellStyle="Normal 3"/>
    <tableColumn id="52" xr3:uid="{D1E302D6-69A7-4B96-BA76-8ECE255E1743}" name="Maturité moyenne" dataDxfId="126" dataCellStyle="Normal 3"/>
    <tableColumn id="53" xr3:uid="{CDB416DE-8A01-4366-BD60-0B7E38A7B0E7}" name="Taux de rendement à maturité" dataDxfId="125" dataCellStyle="Normal 3"/>
    <tableColumn id="31" xr3:uid="{C41779AE-47F4-490F-B91E-DCE8F5BEBC26}" name="Notation moyenne" dataDxfId="124" dataCellStyle="Normal 3"/>
    <tableColumn id="55" xr3:uid="{955D041E-D414-4515-983E-DA6D35A07A17}" name="Sensibilité actions (oligations convertibles)" dataDxfId="123" dataCellStyle="Normal 3"/>
    <tableColumn id="24" xr3:uid="{C3E00AF6-411E-4446-BD77-06D2DF9CD76F}" name="Exposition nette OPC %" dataDxfId="122" dataCellStyle="Normal 3"/>
    <tableColumn id="40" xr3:uid="{319631D2-F608-4211-8F60-84E6A9E319A4}" name="Dérivés (swap, CDS, futures, options)" dataDxfId="121" dataCellStyle="Normal 3"/>
    <tableColumn id="26" xr3:uid="{9088C050-83A5-4DA9-A60B-39F39D03CFDA}" name="% Liquidités et équivalents (obligations arrivant à maturité, billets de trésorerie et dépots) " dataDxfId="120" dataCellStyle="Normal 3"/>
    <tableColumn id="59" xr3:uid="{EA6B7EA1-83F0-45AB-8ECA-58A3EBE51632}" name="Risque devise USD" dataDxfId="119" dataCellStyle="Normal 3"/>
    <tableColumn id="54" xr3:uid="{DE19F610-2F51-49CA-AF16-E49EB27EDFD2}" name="Risque de change (% devises non hédgées hors Euro) " dataDxfId="118" dataCellStyle="Normal 3"/>
    <tableColumn id="27" xr3:uid="{87728A67-0D96-4D61-BE1C-A6256FD87BCA}" name="Encours sous_x000a_gestion en euros" dataDxfId="117" dataCellStyle="Milliers"/>
    <tableColumn id="30" xr3:uid="{7B262B8D-16C2-41A0-9D8C-F1C150837BDB}" name="Ratio_x000a_d'emprise" dataDxfId="116" dataCellStyle="Pourcentage"/>
    <tableColumn id="38" xr3:uid="{512BD53A-6B75-4DAA-83D8-969F1758A7B3}" name="Détention max OPC " dataDxfId="115" dataCellStyle="Pourcentage"/>
    <tableColumn id="39" xr3:uid="{47699C26-59D0-43E3-B239-00669C5D342A}" name="SRRI " dataDxfId="114" dataCellStyle="Pourcentage"/>
    <tableColumn id="45" xr3:uid="{B2F4B2C2-C918-4F25-A04B-9C4425906495}" name="Classe d'actif_x000a_Tiepolo II" dataDxfId="113" dataCellStyle="Pourcentage"/>
    <tableColumn id="43" xr3:uid="{60301162-E58E-4B93-B1EC-CF3F331B9992}" name="Periodicité VL " dataDxfId="112"/>
    <tableColumn id="35" xr3:uid="{C6CEB29A-5B29-45E2-A3E3-636A1E295E4C}" name="FRAIS COURTAGE" dataDxfId="111" dataCellStyle="Pourcentage"/>
    <tableColumn id="60" xr3:uid="{ECB0716C-1D6D-4F59-AD07-6F5109F7D64F}" name="Frais courants % " dataDxfId="110" dataCellStyle="Milliers"/>
    <tableColumn id="34" xr3:uid="{BBD23862-9AE0-4604-9F7D-606EC68E77EE}" name="Transparisation _x000a_Commentaire" dataDxfId="109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C9C4D8-D977-42CA-99F3-CB084A86777C}" name="Tableau24072383" displayName="Tableau24072383" ref="A2:BG27" totalsRowShown="0" headerRowDxfId="280" dataDxfId="279" tableBorderDxfId="278" totalsRowBorderDxfId="277">
  <autoFilter ref="A2:BG27" xr:uid="{00000000-0009-0000-0100-000056000000}"/>
  <sortState ref="A3:BG27">
    <sortCondition ref="J2:J27"/>
  </sortState>
  <tableColumns count="59">
    <tableColumn id="1" xr3:uid="{D76F1CD0-6837-4EB8-99DB-851C5BBFD1DC}" name="Colonne1" dataDxfId="276" dataCellStyle="Normal 2"/>
    <tableColumn id="2" xr3:uid="{B7C280F1-E3B0-4B6A-BFA7-64CE3BB7E738}" name="code isin" dataDxfId="275" dataCellStyle="Normal 2"/>
    <tableColumn id="3" xr3:uid="{5EF6CD2D-3489-4524-99CE-85C25EF2CC89}" name="Nom" dataDxfId="274" dataCellStyle="Normal 2"/>
    <tableColumn id="42" xr3:uid="{64D9C69E-6DF1-4A92-9F59-EB91AEF78060}" name="Colonne7" dataDxfId="273" dataCellStyle="Normal 2"/>
    <tableColumn id="4" xr3:uid="{F38DD04C-FE85-4E82-92C1-934593D11EFC}" name="Nombre de parts " dataDxfId="272" dataCellStyle="Milliers 2"/>
    <tableColumn id="48" xr3:uid="{6CCDC891-1DC2-49FB-83D1-E5300BB71FF6}" name="VL 30/12/2022_x000a_en devise locale " dataDxfId="271" dataCellStyle="Milliers"/>
    <tableColumn id="5" xr3:uid="{53A12816-6899-4F53-977E-1B1EB69D69B1}" name="Dernière VL_x000a_en devise locale" dataDxfId="270" dataCellStyle="Milliers"/>
    <tableColumn id="6" xr3:uid="{CBB608BA-8D66-4C6D-893A-ADFB52BB126A}" name="Valorisation_x000a_en euros" dataDxfId="269" dataCellStyle="Milliers"/>
    <tableColumn id="7" xr3:uid="{3EF34D90-DE61-4BE3-B2DD-B2B0B9C37630}" name="% Ptf" dataDxfId="268" dataCellStyle="Pourcentage"/>
    <tableColumn id="25" xr3:uid="{9DAB1B33-096E-4782-9CFA-3B523FE26377}" name="Classe d'actifs" dataDxfId="267" dataCellStyle="Pourcentage"/>
    <tableColumn id="8" xr3:uid="{D8503F9C-2FC1-4AA9-BA85-4149D40FE257}" name="Variation jour" dataDxfId="266" dataCellStyle="Pourcentage 2"/>
    <tableColumn id="9" xr3:uid="{9CDA4DEE-90AF-4DD4-B197-EB2CCD108EBE}" name="CTB" dataDxfId="265" dataCellStyle="Milliers 2"/>
    <tableColumn id="10" xr3:uid="{264D4619-B898-4ED6-A402-5FB122EF79A3}" name="YTD%" dataDxfId="264" dataCellStyle="Pourcentage 2"/>
    <tableColumn id="49" xr3:uid="{86CC23D3-DC44-4B1D-9193-42C7817DA16D}" name="Date VL " dataDxfId="263" dataCellStyle="Pourcentage 2"/>
    <tableColumn id="50" xr3:uid="{81904B22-012A-4623-B01B-353C35B9AFE9}" name="Ordres en cours" dataDxfId="262" dataCellStyle="Pourcentage 2"/>
    <tableColumn id="11" xr3:uid="{9E841091-CCD1-4090-99DF-F4CACB9591D5}" name="Montant" dataDxfId="261" dataCellStyle="Milliers 2"/>
    <tableColumn id="12" xr3:uid="{1203B395-A293-4EE8-A1EF-040386A348C2}" name="Frais" dataDxfId="260" dataCellStyle="Milliers 2"/>
    <tableColumn id="13" xr3:uid="{CE10C960-EC6F-4C4A-AEE9-6516CBFA4DE9}" name="Quantité2" dataDxfId="259" dataCellStyle="Milliers"/>
    <tableColumn id="56" xr3:uid="{F24169FA-D28C-46B1-BCCD-599C7737B067}" name="Cours d'exécution" dataDxfId="258" dataCellStyle="Milliers"/>
    <tableColumn id="15" xr3:uid="{C7EB8AD1-0970-4220-919C-6A82081EC85D}" name="Total " dataDxfId="257" dataCellStyle="Milliers"/>
    <tableColumn id="16" xr3:uid="{D95C351F-C0F3-4BD5-92A1-71932414DFA8}" name="H Cut off" dataDxfId="256" dataCellStyle="Milliers"/>
    <tableColumn id="17" xr3:uid="{342D9ECC-2FCB-40C4-BA87-987B0E05FF6B}" name="Risque liquidité (délai de réalisation en jours) RACHATS " dataDxfId="255" dataCellStyle="Pourcentage 3"/>
    <tableColumn id="18" xr3:uid="{0398B3DD-8526-48A6-A428-7A3D878F4FE4}" name="Devise" dataDxfId="254" dataCellStyle="Normal 2"/>
    <tableColumn id="19" xr3:uid="{197E7C5F-D75F-4D84-8F53-A489D5B55556}" name="% Sensi actions" dataDxfId="253" dataCellStyle="Pourcentage 3"/>
    <tableColumn id="64" xr3:uid="{C2DD5580-301E-4786-AA11-6130A756DAF4}" name="%_x000a_High Yield" dataDxfId="252" dataCellStyle="Pourcentage"/>
    <tableColumn id="62" xr3:uid="{19BC8917-41D3-447E-A332-70A77511855E}" name="CTB sensibilité actions" dataDxfId="251" dataCellStyle="Pourcentage 3"/>
    <tableColumn id="63" xr3:uid="{2A31B0B5-275E-41DD-94E7-88E511B1CAD6}" name="CTB Oblig HY" dataDxfId="250" dataCellStyle="Pourcentage 3"/>
    <tableColumn id="20" xr3:uid="{AEC9CCC7-5148-463D-94F8-9DEFF023BB4C}" name="Exp nette action" dataDxfId="249" dataCellStyle="Normal 3"/>
    <tableColumn id="57" xr3:uid="{C027AAF9-E104-4328-A700-3AD6CE8B52DF}" name="Expo nette action Europe (Suisse et UK inclus) %" dataDxfId="248"/>
    <tableColumn id="46" xr3:uid="{21810FA7-D47C-4B63-9BA8-ABC8CC971F42}" name="Expo nette action USA &amp; Canada % " dataDxfId="247"/>
    <tableColumn id="58" xr3:uid="{28021A30-77B6-4111-9DEC-8903FB6E3260}" name="Expo nette action Asie &amp; Japon %" dataDxfId="246"/>
    <tableColumn id="37" xr3:uid="{270AB8D6-3B3E-427E-8756-5A7FE2A26D37}" name="Expo nette action Reste du monde %" dataDxfId="245"/>
    <tableColumn id="23" xr3:uid="{C732E9FB-DE21-4D3B-A89D-8BAEC9E781A5}" name="Expo nette action pays émergents  (pays présents dans le MSCI Emerging &amp; Frontier Markets)" dataDxfId="244" dataCellStyle="Normal 3"/>
    <tableColumn id="28" xr3:uid="{690B07AF-940C-4D98-A823-56C5C0468183}" name="Expo nette action petites capitalisations (capi &lt; 500 M d'euros) (%)" dataDxfId="243" dataCellStyle="Normal 3"/>
    <tableColumn id="22" xr3:uid="{EACD741F-D5B9-47DD-94BE-EF10E594B691}" name="Expo nette obligataire " dataDxfId="242" dataCellStyle="Normal 3"/>
    <tableColumn id="36" xr3:uid="{0215BEEF-86ED-4766-9EB6-CEF8BCE6F7EF}" name="Expo nette taux spéculatifs (inf ou = à BB+, incluant les émissions NR) (%)" dataDxfId="241" dataCellStyle="Normal 3"/>
    <tableColumn id="14" xr3:uid="{7E744455-EE58-4EAA-BAE7-48446757A409}" name="Expo nette taux Invesment Grade (notation comprise entre AAA et BBB- ) (%)" dataDxfId="240" dataCellStyle="Normal 3"/>
    <tableColumn id="21" xr3:uid="{6F16E963-DA51-42AF-B687-5BCDB95B34EA}" name="Expo nette taux pays émergents (pays présents dans le MSCI Emerging &amp; Frontier Markets) (%)" dataDxfId="239" dataCellStyle="Normal 3"/>
    <tableColumn id="29" xr3:uid="{8F6D660D-1638-4C65-8DE4-6CD796B1C535}" name="Expo nette obligataire convertibles" dataDxfId="238" dataCellStyle="Normal 3"/>
    <tableColumn id="41" xr3:uid="{7482EACD-AB4F-4F0A-9FF1-750ED84798F7}" name="Expo nette Subordonnées financières (%)" dataDxfId="237" dataCellStyle="Normal 3"/>
    <tableColumn id="33" xr3:uid="{6FF9E9A6-7672-4986-8C82-2830F3CD9FC2}" name="Sensibilité taux" dataDxfId="236" dataCellStyle="Milliers"/>
    <tableColumn id="52" xr3:uid="{3DC03694-40C5-491A-8CA7-808ADCC321B7}" name="Maturité moyenne" dataDxfId="235" dataCellStyle="Milliers"/>
    <tableColumn id="53" xr3:uid="{A2E89C68-7E49-4CA2-BE42-0291B6405F47}" name="Taux de rendement à maturité" dataDxfId="234" dataCellStyle="Normal 3"/>
    <tableColumn id="31" xr3:uid="{8BD6F572-1548-4BD8-82A4-F3C87C0E81FB}" name="Notation moyenne" dataDxfId="233" dataCellStyle="Normal 3"/>
    <tableColumn id="55" xr3:uid="{01693B61-B26C-4E1A-9B8C-58D7FB3F27F6}" name="Sensibilité actions (oligations convertibles)" dataDxfId="232" dataCellStyle="Normal 3"/>
    <tableColumn id="24" xr3:uid="{6C77C69B-DDDD-4E2C-AADE-44F94B974022}" name="Exposition nette OPC %" dataDxfId="231" dataCellStyle="Normal 3"/>
    <tableColumn id="40" xr3:uid="{FFAE620E-1022-4ED0-90C8-FA4DE514244D}" name="Dérivés (swap, CDS, futures, options)" dataDxfId="230" dataCellStyle="Normal 3"/>
    <tableColumn id="26" xr3:uid="{73A8D102-3C89-49AD-ADA2-2711F4179B06}" name="% Liquidités et équivalents (obligations arrivant à maturité, billets de trésorerie et dépots) " dataDxfId="229" dataCellStyle="Normal 3"/>
    <tableColumn id="59" xr3:uid="{BD5058A8-42D8-4488-BA43-941E69BFB657}" name="Risque devise USD" dataDxfId="228" dataCellStyle="Normal 3"/>
    <tableColumn id="54" xr3:uid="{97B5AACD-9D8C-4164-A743-6335B67A016E}" name="Risque de change (% devises non hédgées hors Euro) " dataDxfId="227" dataCellStyle="Normal 3"/>
    <tableColumn id="27" xr3:uid="{0AE2BAC2-418B-4301-A153-8A82EED017FB}" name="Encours sous_x000a_gestion en euros" dataDxfId="226" dataCellStyle="Milliers"/>
    <tableColumn id="30" xr3:uid="{CD04F748-E348-41DB-A009-3CFCEEE13652}" name="Ratio_x000a_d'emprise" dataDxfId="225" dataCellStyle="Pourcentage"/>
    <tableColumn id="38" xr3:uid="{29DA6FE9-D315-432A-93AF-CE3288882848}" name="Détention max OPC " dataDxfId="224" dataCellStyle="Pourcentage"/>
    <tableColumn id="39" xr3:uid="{D56BBFA3-769A-455A-A3F9-DBBA2690F469}" name="SRRI " dataDxfId="223" dataCellStyle="Pourcentage"/>
    <tableColumn id="45" xr3:uid="{3AC35D4C-4A4C-4BA4-8648-94689271F8CB}" name="Classe d'actif_x000a_Tiepolo II" dataDxfId="222" dataCellStyle="Pourcentage"/>
    <tableColumn id="43" xr3:uid="{E4176B08-0C4A-499D-B952-274928D50596}" name="Periodicité VL " dataDxfId="221"/>
    <tableColumn id="35" xr3:uid="{33C5DA22-4600-4903-A938-5A15D0648E07}" name="FRAIS COURTAGE" dataDxfId="220" dataCellStyle="Pourcentage"/>
    <tableColumn id="60" xr3:uid="{881C27E8-EE80-4524-A496-15EE665F0634}" name="Frais courants % " dataDxfId="219" dataCellStyle="Milliers"/>
    <tableColumn id="34" xr3:uid="{646D5B8F-4068-49E3-884B-3F83F24EFD45}" name="Transparisation _x000a_Commentaire" dataDxfId="218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0D7AF6-47B4-4669-9DD1-63A41AF36C66}">
  <dimension ref="A1:B2"/>
  <sheetViews>
    <sheetView workbookViewId="0"/>
  </sheetViews>
  <sheetFormatPr baseColWidth="10" defaultRowHeight="15" x14ac:dyDescent="0.25"/>
  <sheetData>
    <row r="1" spans="1:2" x14ac:dyDescent="0.25">
      <c r="B1" t="s">
        <v>97</v>
      </c>
    </row>
    <row r="2" spans="1:2" x14ac:dyDescent="0.25"/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BCE3F-2861-4F3A-98CD-9034F40989D7}">
  <sheetPr codeName="Feuil863">
    <pageSetUpPr fitToPage="1"/>
  </sheetPr>
  <dimension ref="A1:BT79"/>
  <sheetViews>
    <sheetView showGridLines="0" tabSelected="1" zoomScale="85" zoomScaleNormal="85" workbookViewId="0">
      <pane xSplit="3" ySplit="2" topLeftCell="D24" activePane="bottomRight" state="frozen"/>
      <selection activeCell="O52" sqref="O52"/>
      <selection pane="topRight" activeCell="O52" sqref="O52"/>
      <selection pane="bottomLeft" activeCell="O52" sqref="O52"/>
      <selection pane="bottomRight" activeCell="J41" sqref="J41"/>
    </sheetView>
  </sheetViews>
  <sheetFormatPr baseColWidth="10" defaultColWidth="10.7109375" defaultRowHeight="16.5" x14ac:dyDescent="0.3"/>
  <cols>
    <col min="1" max="1" width="15.7109375" style="19" hidden="1" customWidth="1"/>
    <col min="2" max="2" width="14.28515625" style="19" customWidth="1"/>
    <col min="3" max="3" width="37.42578125" style="19" customWidth="1"/>
    <col min="4" max="4" width="8" style="19" customWidth="1"/>
    <col min="5" max="5" width="10.28515625" style="19" customWidth="1"/>
    <col min="6" max="6" width="11.140625" style="19" customWidth="1"/>
    <col min="7" max="7" width="12.28515625" style="19" customWidth="1"/>
    <col min="8" max="8" width="16" style="19" customWidth="1"/>
    <col min="9" max="9" width="11.7109375" style="19" bestFit="1" customWidth="1"/>
    <col min="10" max="10" width="12.5703125" style="19" customWidth="1"/>
    <col min="11" max="11" width="10.28515625" style="19" customWidth="1"/>
    <col min="12" max="12" width="10.140625" style="19" customWidth="1"/>
    <col min="13" max="13" width="11.5703125" style="19" customWidth="1"/>
    <col min="14" max="14" width="11.28515625" style="19" customWidth="1"/>
    <col min="15" max="15" width="12.85546875" style="182" customWidth="1"/>
    <col min="16" max="16" width="16" style="19" customWidth="1"/>
    <col min="17" max="17" width="9.140625" style="19" customWidth="1"/>
    <col min="18" max="18" width="12.7109375" style="19" customWidth="1"/>
    <col min="19" max="19" width="14.85546875" style="19" customWidth="1"/>
    <col min="20" max="20" width="15.5703125" style="19" customWidth="1"/>
    <col min="21" max="21" width="8.5703125" style="19" customWidth="1"/>
    <col min="22" max="22" width="9.5703125" style="19" customWidth="1"/>
    <col min="23" max="23" width="7.7109375" style="19" customWidth="1"/>
    <col min="24" max="24" width="7.85546875" style="19" customWidth="1"/>
    <col min="25" max="25" width="9.28515625" style="19" customWidth="1"/>
    <col min="26" max="26" width="11.140625" style="204" customWidth="1"/>
    <col min="28" max="28" width="11.5703125" style="19" customWidth="1"/>
    <col min="29" max="29" width="13.7109375" style="19" customWidth="1"/>
    <col min="30" max="30" width="10.7109375" style="19"/>
    <col min="31" max="31" width="10.42578125" style="19" customWidth="1"/>
    <col min="32" max="33" width="10.7109375" style="19"/>
    <col min="34" max="34" width="10.7109375" style="186"/>
    <col min="35" max="35" width="15" style="19" customWidth="1"/>
    <col min="36" max="36" width="11.140625" style="19" customWidth="1"/>
    <col min="37" max="37" width="12.5703125" style="19" customWidth="1"/>
    <col min="38" max="38" width="11.42578125" style="19" customWidth="1"/>
    <col min="39" max="39" width="15.140625" style="19" customWidth="1"/>
    <col min="40" max="40" width="11.42578125" style="19" customWidth="1"/>
    <col min="41" max="42" width="10.7109375" style="186"/>
    <col min="43" max="43" width="17.7109375" style="19" customWidth="1"/>
    <col min="44" max="44" width="12" style="19" customWidth="1"/>
    <col min="45" max="46" width="10.7109375" style="186"/>
    <col min="47" max="47" width="11" style="19" customWidth="1"/>
    <col min="48" max="50" width="10.7109375" style="186"/>
    <col min="51" max="51" width="19.42578125" style="186" bestFit="1" customWidth="1"/>
    <col min="52" max="52" width="11.7109375" style="19" customWidth="1"/>
    <col min="53" max="53" width="9.7109375" style="19" customWidth="1"/>
    <col min="54" max="54" width="12.85546875" style="19" customWidth="1"/>
    <col min="55" max="55" width="25.85546875" style="19" bestFit="1" customWidth="1"/>
    <col min="56" max="56" width="15" style="19" customWidth="1"/>
    <col min="57" max="57" width="13.5703125" style="183" customWidth="1"/>
    <col min="58" max="58" width="13.7109375" style="183" customWidth="1"/>
    <col min="59" max="59" width="17.85546875" style="186" bestFit="1" customWidth="1"/>
    <col min="60" max="60" width="20.140625" style="201" bestFit="1" customWidth="1"/>
    <col min="61" max="61" width="13.5703125" style="19" customWidth="1"/>
    <col min="62" max="62" width="14.42578125" style="20" customWidth="1"/>
    <col min="63" max="63" width="13.140625" style="19" customWidth="1"/>
    <col min="64" max="64" width="7.7109375" style="19" customWidth="1"/>
    <col min="65" max="65" width="6.5703125" style="19" customWidth="1"/>
    <col min="66" max="66" width="18.42578125" style="19" customWidth="1"/>
    <col min="67" max="67" width="10.7109375" style="19"/>
    <col min="68" max="71" width="10.7109375" style="186"/>
    <col min="72" max="72" width="10.7109375" style="20"/>
    <col min="73" max="73" width="11.5703125" style="19" customWidth="1"/>
    <col min="74" max="16384" width="10.7109375" style="19"/>
  </cols>
  <sheetData>
    <row r="1" spans="1:72" x14ac:dyDescent="0.25">
      <c r="A1" s="1">
        <v>0</v>
      </c>
      <c r="B1" s="1"/>
      <c r="C1" s="1"/>
      <c r="D1" s="1"/>
      <c r="E1" s="1"/>
      <c r="F1" s="1"/>
      <c r="G1" s="1"/>
      <c r="H1" s="1"/>
      <c r="I1" s="1"/>
      <c r="J1" s="2"/>
      <c r="K1" s="2" t="s">
        <v>0</v>
      </c>
      <c r="L1" s="3"/>
      <c r="M1" s="3"/>
      <c r="N1" s="4"/>
      <c r="O1" s="5" t="s">
        <v>1</v>
      </c>
      <c r="P1" s="6"/>
      <c r="Q1" s="7" t="s">
        <v>2</v>
      </c>
      <c r="R1" s="8"/>
      <c r="S1" s="8"/>
      <c r="T1" s="8"/>
      <c r="U1" s="2"/>
      <c r="V1" s="2"/>
      <c r="W1" s="2"/>
      <c r="X1" s="2" t="s">
        <v>3</v>
      </c>
      <c r="Y1" s="2"/>
      <c r="Z1" s="9"/>
      <c r="AA1" s="3"/>
      <c r="AB1" s="10" t="s">
        <v>4</v>
      </c>
      <c r="AC1" s="10"/>
      <c r="AD1" s="11"/>
      <c r="AE1" s="10"/>
      <c r="AF1" s="10"/>
      <c r="AG1" s="10"/>
      <c r="AH1" s="10"/>
      <c r="AI1" s="12" t="s">
        <v>5</v>
      </c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4" t="s">
        <v>6</v>
      </c>
      <c r="AU1" s="14"/>
      <c r="AV1" s="14"/>
      <c r="AW1" s="15"/>
      <c r="AX1" s="16"/>
      <c r="AY1" s="17"/>
      <c r="AZ1" s="18"/>
      <c r="BA1" s="18"/>
      <c r="BB1" s="18"/>
      <c r="BE1" s="19"/>
      <c r="BF1" s="20"/>
      <c r="BG1" s="19"/>
      <c r="BH1" s="19"/>
      <c r="BJ1" s="19"/>
      <c r="BP1" s="19"/>
      <c r="BQ1" s="19"/>
      <c r="BR1" s="19"/>
      <c r="BS1" s="19"/>
      <c r="BT1" s="19"/>
    </row>
    <row r="2" spans="1:72" s="50" customFormat="1" ht="99.75" customHeight="1" x14ac:dyDescent="0.25">
      <c r="A2" s="21" t="s">
        <v>7</v>
      </c>
      <c r="B2" s="22" t="s">
        <v>8</v>
      </c>
      <c r="C2" s="23" t="s">
        <v>9</v>
      </c>
      <c r="D2" s="22" t="s">
        <v>10</v>
      </c>
      <c r="E2" s="22" t="s">
        <v>11</v>
      </c>
      <c r="F2" s="24" t="s">
        <v>12</v>
      </c>
      <c r="G2" s="25" t="s">
        <v>13</v>
      </c>
      <c r="H2" s="25" t="s">
        <v>14</v>
      </c>
      <c r="I2" s="26" t="s">
        <v>15</v>
      </c>
      <c r="J2" s="26" t="s">
        <v>16</v>
      </c>
      <c r="K2" s="27" t="s">
        <v>17</v>
      </c>
      <c r="L2" s="27" t="s">
        <v>18</v>
      </c>
      <c r="M2" s="27" t="s">
        <v>19</v>
      </c>
      <c r="N2" s="28" t="s">
        <v>20</v>
      </c>
      <c r="O2" s="29" t="s">
        <v>1</v>
      </c>
      <c r="P2" s="30" t="s">
        <v>21</v>
      </c>
      <c r="Q2" s="30" t="s">
        <v>22</v>
      </c>
      <c r="R2" s="30" t="s">
        <v>23</v>
      </c>
      <c r="S2" s="30" t="s">
        <v>24</v>
      </c>
      <c r="T2" s="30" t="s">
        <v>25</v>
      </c>
      <c r="U2" s="31" t="s">
        <v>26</v>
      </c>
      <c r="V2" s="32" t="s">
        <v>27</v>
      </c>
      <c r="W2" s="33" t="s">
        <v>28</v>
      </c>
      <c r="X2" s="33" t="s">
        <v>29</v>
      </c>
      <c r="Y2" s="34" t="s">
        <v>30</v>
      </c>
      <c r="Z2" s="33" t="s">
        <v>31</v>
      </c>
      <c r="AA2" s="33" t="s">
        <v>32</v>
      </c>
      <c r="AB2" s="35" t="s">
        <v>33</v>
      </c>
      <c r="AC2" s="36" t="s">
        <v>34</v>
      </c>
      <c r="AD2" s="36" t="s">
        <v>35</v>
      </c>
      <c r="AE2" s="36" t="s">
        <v>36</v>
      </c>
      <c r="AF2" s="37" t="s">
        <v>37</v>
      </c>
      <c r="AG2" s="38" t="s">
        <v>38</v>
      </c>
      <c r="AH2" s="38" t="s">
        <v>39</v>
      </c>
      <c r="AI2" s="39" t="s">
        <v>40</v>
      </c>
      <c r="AJ2" s="40" t="s">
        <v>41</v>
      </c>
      <c r="AK2" s="40" t="s">
        <v>42</v>
      </c>
      <c r="AL2" s="40" t="s">
        <v>43</v>
      </c>
      <c r="AM2" s="39" t="s">
        <v>44</v>
      </c>
      <c r="AN2" s="39" t="s">
        <v>45</v>
      </c>
      <c r="AO2" s="39" t="s">
        <v>46</v>
      </c>
      <c r="AP2" s="40" t="s">
        <v>47</v>
      </c>
      <c r="AQ2" s="40" t="s">
        <v>48</v>
      </c>
      <c r="AR2" s="39" t="s">
        <v>49</v>
      </c>
      <c r="AS2" s="39" t="s">
        <v>50</v>
      </c>
      <c r="AT2" s="41" t="s">
        <v>51</v>
      </c>
      <c r="AU2" s="41" t="s">
        <v>52</v>
      </c>
      <c r="AV2" s="42" t="s">
        <v>53</v>
      </c>
      <c r="AW2" s="43" t="s">
        <v>54</v>
      </c>
      <c r="AX2" s="42" t="s">
        <v>55</v>
      </c>
      <c r="AY2" s="44" t="s">
        <v>56</v>
      </c>
      <c r="AZ2" s="45" t="s">
        <v>57</v>
      </c>
      <c r="BA2" s="45" t="s">
        <v>58</v>
      </c>
      <c r="BB2" s="45" t="s">
        <v>59</v>
      </c>
      <c r="BC2" s="46" t="s">
        <v>60</v>
      </c>
      <c r="BD2" s="47" t="s">
        <v>61</v>
      </c>
      <c r="BE2" s="48" t="s">
        <v>62</v>
      </c>
      <c r="BF2" s="49" t="s">
        <v>63</v>
      </c>
      <c r="BG2" s="47" t="s">
        <v>64</v>
      </c>
    </row>
    <row r="3" spans="1:72" ht="16.5" customHeight="1" x14ac:dyDescent="0.25">
      <c r="A3" s="51"/>
      <c r="B3" s="52"/>
      <c r="C3" s="53"/>
      <c r="D3" s="53"/>
      <c r="E3" s="54"/>
      <c r="F3" s="55"/>
      <c r="G3" s="56"/>
      <c r="H3" s="57"/>
      <c r="I3" s="58"/>
      <c r="J3" s="59"/>
      <c r="K3" s="60"/>
      <c r="L3" s="61"/>
      <c r="M3" s="62"/>
      <c r="N3" s="63"/>
      <c r="O3" s="64"/>
      <c r="P3" s="65"/>
      <c r="Q3" s="66"/>
      <c r="R3" s="67"/>
      <c r="S3" s="68"/>
      <c r="T3" s="69"/>
      <c r="U3" s="70"/>
      <c r="V3" s="71"/>
      <c r="W3" s="72"/>
      <c r="X3" s="73"/>
      <c r="Y3" s="74"/>
      <c r="Z3" s="75"/>
      <c r="AA3" s="75"/>
      <c r="AB3" s="73"/>
      <c r="AC3" s="73"/>
      <c r="AD3" s="73"/>
      <c r="AE3" s="73"/>
      <c r="AF3" s="73"/>
      <c r="AG3" s="73"/>
      <c r="AH3" s="73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7"/>
      <c r="AZ3" s="78"/>
      <c r="BA3" s="78"/>
      <c r="BB3" s="79"/>
      <c r="BC3" s="80"/>
      <c r="BD3" s="81"/>
      <c r="BE3" s="82"/>
      <c r="BF3" s="70"/>
      <c r="BG3" s="81"/>
      <c r="BH3" s="19"/>
      <c r="BJ3" s="19"/>
      <c r="BN3" s="83">
        <f>Tableau2407234[[#This Row],[% Sensi actions]]-Tableau2407234[[#This Row],[Exp nette action]]</f>
        <v>0</v>
      </c>
      <c r="BP3" s="19"/>
      <c r="BQ3" s="19"/>
      <c r="BR3" s="19"/>
      <c r="BS3" s="19"/>
      <c r="BT3" s="19"/>
    </row>
    <row r="4" spans="1:72" x14ac:dyDescent="0.25">
      <c r="A4" s="84"/>
      <c r="B4" s="85"/>
      <c r="C4" s="86"/>
      <c r="D4" s="86"/>
      <c r="E4" s="87"/>
      <c r="F4" s="55"/>
      <c r="G4" s="56"/>
      <c r="H4" s="88"/>
      <c r="I4" s="58"/>
      <c r="J4" s="59"/>
      <c r="K4" s="60"/>
      <c r="L4" s="61"/>
      <c r="M4" s="62"/>
      <c r="N4" s="63"/>
      <c r="O4" s="89"/>
      <c r="P4" s="65"/>
      <c r="Q4" s="66"/>
      <c r="R4" s="90"/>
      <c r="S4" s="91"/>
      <c r="T4" s="69"/>
      <c r="U4" s="92"/>
      <c r="V4" s="93"/>
      <c r="W4" s="72"/>
      <c r="X4" s="73"/>
      <c r="Y4" s="74"/>
      <c r="Z4" s="75"/>
      <c r="AA4" s="75"/>
      <c r="AB4" s="73"/>
      <c r="AC4" s="73"/>
      <c r="AD4" s="73"/>
      <c r="AE4" s="73"/>
      <c r="AF4" s="73"/>
      <c r="AG4" s="73"/>
      <c r="AH4" s="73"/>
      <c r="AI4" s="74"/>
      <c r="AJ4" s="74"/>
      <c r="AK4" s="74"/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AX4" s="74"/>
      <c r="AY4" s="77"/>
      <c r="AZ4" s="78"/>
      <c r="BA4" s="78"/>
      <c r="BB4" s="79"/>
      <c r="BC4" s="80"/>
      <c r="BD4" s="94"/>
      <c r="BE4" s="95"/>
      <c r="BF4" s="70"/>
      <c r="BG4" s="81"/>
      <c r="BH4" s="19"/>
      <c r="BJ4" s="19"/>
      <c r="BN4" s="83">
        <f>Tableau2407234[[#This Row],[% Sensi actions]]-Tableau2407234[[#This Row],[Exp nette action]]</f>
        <v>0</v>
      </c>
      <c r="BP4" s="19"/>
      <c r="BQ4" s="96" t="s">
        <v>65</v>
      </c>
      <c r="BR4" s="96">
        <f>VLC</f>
        <v>10.48</v>
      </c>
      <c r="BS4" s="97">
        <f>H43</f>
        <v>9.5510983763125168E-4</v>
      </c>
      <c r="BT4" s="97">
        <f>K33</f>
        <v>2.5440313111545966E-2</v>
      </c>
    </row>
    <row r="5" spans="1:72" x14ac:dyDescent="0.25">
      <c r="A5" s="84"/>
      <c r="B5" s="85"/>
      <c r="C5" s="86"/>
      <c r="D5" s="86"/>
      <c r="E5" s="87"/>
      <c r="F5" s="55"/>
      <c r="G5" s="56"/>
      <c r="H5" s="88"/>
      <c r="I5" s="58"/>
      <c r="J5" s="59"/>
      <c r="K5" s="60"/>
      <c r="L5" s="61"/>
      <c r="M5" s="62"/>
      <c r="N5" s="63"/>
      <c r="O5" s="89"/>
      <c r="P5" s="65"/>
      <c r="Q5" s="66"/>
      <c r="R5" s="90"/>
      <c r="S5" s="91"/>
      <c r="T5" s="69"/>
      <c r="U5" s="92"/>
      <c r="V5" s="93"/>
      <c r="W5" s="72"/>
      <c r="X5" s="73"/>
      <c r="Y5" s="74"/>
      <c r="Z5" s="75"/>
      <c r="AA5" s="75"/>
      <c r="AB5" s="73"/>
      <c r="AC5" s="73"/>
      <c r="AD5" s="73"/>
      <c r="AE5" s="73"/>
      <c r="AF5" s="73"/>
      <c r="AG5" s="73"/>
      <c r="AH5" s="73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7"/>
      <c r="AZ5" s="78"/>
      <c r="BA5" s="78"/>
      <c r="BB5" s="79"/>
      <c r="BC5" s="80"/>
      <c r="BD5" s="94"/>
      <c r="BE5" s="95"/>
      <c r="BF5" s="70"/>
      <c r="BG5" s="81"/>
      <c r="BH5" s="19"/>
      <c r="BJ5" s="19"/>
      <c r="BN5" s="83">
        <f>Tableau2407234[[#This Row],[% Sensi actions]]-Tableau2407234[[#This Row],[Exp nette action]]</f>
        <v>0</v>
      </c>
      <c r="BP5" s="19"/>
      <c r="BQ5" s="96" t="s">
        <v>66</v>
      </c>
      <c r="BR5" s="96"/>
      <c r="BS5" s="96"/>
      <c r="BT5" s="96"/>
    </row>
    <row r="6" spans="1:72" x14ac:dyDescent="0.25">
      <c r="A6" s="84"/>
      <c r="B6" s="98"/>
      <c r="C6" s="86"/>
      <c r="D6" s="86"/>
      <c r="E6" s="87"/>
      <c r="F6" s="55"/>
      <c r="G6" s="56"/>
      <c r="H6" s="57"/>
      <c r="I6" s="58"/>
      <c r="J6" s="59"/>
      <c r="K6" s="60"/>
      <c r="L6" s="61"/>
      <c r="M6" s="62"/>
      <c r="N6" s="99"/>
      <c r="O6" s="100"/>
      <c r="P6" s="65"/>
      <c r="Q6" s="66"/>
      <c r="R6" s="90"/>
      <c r="S6" s="91"/>
      <c r="T6" s="69"/>
      <c r="U6" s="92"/>
      <c r="V6" s="93"/>
      <c r="W6" s="72"/>
      <c r="X6" s="73"/>
      <c r="Y6" s="74"/>
      <c r="Z6" s="75"/>
      <c r="AA6" s="75"/>
      <c r="AB6" s="73"/>
      <c r="AC6" s="73"/>
      <c r="AD6" s="73"/>
      <c r="AE6" s="73"/>
      <c r="AF6" s="73"/>
      <c r="AG6" s="73"/>
      <c r="AH6" s="73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  <c r="AY6" s="77"/>
      <c r="AZ6" s="78"/>
      <c r="BA6" s="78"/>
      <c r="BB6" s="79"/>
      <c r="BC6" s="80"/>
      <c r="BD6" s="81"/>
      <c r="BE6" s="101"/>
      <c r="BF6" s="70"/>
      <c r="BG6" s="81"/>
      <c r="BH6" s="19"/>
      <c r="BJ6" s="19"/>
      <c r="BN6" s="83">
        <f>Tableau2407234[[#This Row],[% Sensi actions]]-Tableau2407234[[#This Row],[Exp nette action]]</f>
        <v>0</v>
      </c>
      <c r="BP6" s="19"/>
      <c r="BQ6" s="19"/>
      <c r="BR6" s="19"/>
      <c r="BS6" s="19"/>
      <c r="BT6" s="19"/>
    </row>
    <row r="7" spans="1:72" x14ac:dyDescent="0.25">
      <c r="A7" s="84"/>
      <c r="B7" s="98"/>
      <c r="C7" s="86"/>
      <c r="D7" s="86"/>
      <c r="E7" s="87"/>
      <c r="F7" s="55"/>
      <c r="G7" s="56"/>
      <c r="H7" s="102"/>
      <c r="I7" s="58"/>
      <c r="J7" s="59"/>
      <c r="K7" s="60"/>
      <c r="L7" s="103"/>
      <c r="M7" s="104"/>
      <c r="N7" s="105"/>
      <c r="O7" s="100"/>
      <c r="P7" s="65"/>
      <c r="Q7" s="66"/>
      <c r="R7" s="90"/>
      <c r="S7" s="91"/>
      <c r="T7" s="69"/>
      <c r="U7" s="92"/>
      <c r="V7" s="93"/>
      <c r="W7" s="72"/>
      <c r="X7" s="73"/>
      <c r="Y7" s="74"/>
      <c r="Z7" s="75"/>
      <c r="AA7" s="75"/>
      <c r="AB7" s="73"/>
      <c r="AC7" s="73"/>
      <c r="AD7" s="73"/>
      <c r="AE7" s="73"/>
      <c r="AF7" s="73"/>
      <c r="AG7" s="73"/>
      <c r="AH7" s="73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7"/>
      <c r="AZ7" s="78"/>
      <c r="BA7" s="78"/>
      <c r="BB7" s="79"/>
      <c r="BC7" s="106"/>
      <c r="BD7" s="94"/>
      <c r="BE7" s="95"/>
      <c r="BF7" s="70"/>
      <c r="BG7" s="81"/>
      <c r="BH7" s="19"/>
      <c r="BJ7" s="19"/>
      <c r="BN7" s="83">
        <f>Tableau2407234[[#This Row],[% Sensi actions]]-Tableau2407234[[#This Row],[Exp nette action]]</f>
        <v>0</v>
      </c>
      <c r="BP7" s="19"/>
      <c r="BQ7" s="19"/>
      <c r="BR7" s="19"/>
      <c r="BS7" s="19"/>
      <c r="BT7" s="19"/>
    </row>
    <row r="8" spans="1:72" x14ac:dyDescent="0.25">
      <c r="A8" s="84"/>
      <c r="B8" s="98"/>
      <c r="C8" s="86"/>
      <c r="D8" s="86"/>
      <c r="E8" s="87"/>
      <c r="F8" s="55"/>
      <c r="G8" s="107"/>
      <c r="H8" s="108"/>
      <c r="I8" s="58"/>
      <c r="J8" s="59"/>
      <c r="K8" s="60"/>
      <c r="L8" s="103"/>
      <c r="M8" s="104"/>
      <c r="N8" s="105"/>
      <c r="O8" s="109"/>
      <c r="P8" s="65"/>
      <c r="Q8" s="66"/>
      <c r="R8" s="90"/>
      <c r="S8" s="91"/>
      <c r="T8" s="69"/>
      <c r="U8" s="92"/>
      <c r="V8" s="93"/>
      <c r="W8" s="72"/>
      <c r="X8" s="73"/>
      <c r="Y8" s="74"/>
      <c r="Z8" s="75"/>
      <c r="AA8" s="75"/>
      <c r="AB8" s="73"/>
      <c r="AC8" s="73"/>
      <c r="AD8" s="73"/>
      <c r="AE8" s="73"/>
      <c r="AF8" s="73"/>
      <c r="AG8" s="73"/>
      <c r="AH8" s="73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  <c r="AY8" s="77"/>
      <c r="AZ8" s="78"/>
      <c r="BA8" s="78"/>
      <c r="BB8" s="79"/>
      <c r="BC8" s="80"/>
      <c r="BD8" s="94"/>
      <c r="BE8" s="110"/>
      <c r="BF8" s="70"/>
      <c r="BG8" s="81"/>
      <c r="BH8" s="19"/>
      <c r="BJ8" s="19"/>
      <c r="BN8" s="83">
        <f>Tableau2407234[[#This Row],[% Sensi actions]]-Tableau2407234[[#This Row],[Exp nette action]]</f>
        <v>0</v>
      </c>
      <c r="BP8" s="19"/>
      <c r="BQ8" s="19"/>
      <c r="BR8" s="19"/>
      <c r="BS8" s="19"/>
      <c r="BT8" s="19"/>
    </row>
    <row r="9" spans="1:72" x14ac:dyDescent="0.25">
      <c r="A9" s="84"/>
      <c r="B9" s="98"/>
      <c r="C9" s="86"/>
      <c r="D9" s="86"/>
      <c r="E9" s="87"/>
      <c r="F9" s="55"/>
      <c r="G9" s="107"/>
      <c r="H9" s="108"/>
      <c r="I9" s="58"/>
      <c r="J9" s="59"/>
      <c r="K9" s="60"/>
      <c r="L9" s="103"/>
      <c r="M9" s="104"/>
      <c r="N9" s="105"/>
      <c r="O9" s="100"/>
      <c r="P9" s="65"/>
      <c r="Q9" s="66"/>
      <c r="R9" s="90"/>
      <c r="S9" s="91"/>
      <c r="T9" s="69"/>
      <c r="U9" s="111"/>
      <c r="V9" s="93"/>
      <c r="W9" s="72"/>
      <c r="X9" s="73"/>
      <c r="Y9" s="74"/>
      <c r="Z9" s="75"/>
      <c r="AA9" s="75"/>
      <c r="AB9" s="73"/>
      <c r="AC9" s="73"/>
      <c r="AD9" s="73"/>
      <c r="AE9" s="73"/>
      <c r="AF9" s="73"/>
      <c r="AG9" s="73"/>
      <c r="AH9" s="73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7"/>
      <c r="AZ9" s="78"/>
      <c r="BA9" s="78"/>
      <c r="BB9" s="79"/>
      <c r="BC9" s="80"/>
      <c r="BD9" s="94"/>
      <c r="BE9" s="110"/>
      <c r="BF9" s="70"/>
      <c r="BG9" s="81"/>
      <c r="BH9" s="19"/>
      <c r="BJ9" s="19"/>
      <c r="BN9" s="83">
        <f>Tableau2407234[[#This Row],[% Sensi actions]]-Tableau2407234[[#This Row],[Exp nette action]]</f>
        <v>0</v>
      </c>
      <c r="BP9" s="19"/>
      <c r="BQ9" s="19"/>
      <c r="BR9" s="19"/>
      <c r="BS9" s="19"/>
      <c r="BT9" s="19"/>
    </row>
    <row r="10" spans="1:72" x14ac:dyDescent="0.25">
      <c r="A10" s="84"/>
      <c r="B10" s="85"/>
      <c r="C10" s="112"/>
      <c r="D10" s="112"/>
      <c r="E10" s="87"/>
      <c r="F10" s="55"/>
      <c r="G10" s="107"/>
      <c r="H10" s="108"/>
      <c r="I10" s="58"/>
      <c r="J10" s="59"/>
      <c r="K10" s="60"/>
      <c r="L10" s="103"/>
      <c r="M10" s="104"/>
      <c r="N10" s="105"/>
      <c r="O10" s="100"/>
      <c r="P10" s="65"/>
      <c r="Q10" s="66"/>
      <c r="R10" s="90"/>
      <c r="S10" s="91"/>
      <c r="T10" s="69"/>
      <c r="U10" s="113"/>
      <c r="V10" s="114"/>
      <c r="W10" s="72"/>
      <c r="X10" s="73"/>
      <c r="Y10" s="74"/>
      <c r="Z10" s="75"/>
      <c r="AA10" s="75"/>
      <c r="AB10" s="73"/>
      <c r="AC10" s="73"/>
      <c r="AD10" s="73"/>
      <c r="AE10" s="73"/>
      <c r="AF10" s="73"/>
      <c r="AG10" s="73"/>
      <c r="AH10" s="73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  <c r="AY10" s="77"/>
      <c r="AZ10" s="78"/>
      <c r="BA10" s="78"/>
      <c r="BB10" s="79"/>
      <c r="BC10" s="80"/>
      <c r="BD10" s="94"/>
      <c r="BE10" s="110"/>
      <c r="BF10" s="70"/>
      <c r="BG10" s="81"/>
      <c r="BH10" s="19"/>
      <c r="BJ10" s="19"/>
      <c r="BN10" s="83">
        <f>Tableau2407234[[#This Row],[% Sensi actions]]-Tableau2407234[[#This Row],[Exp nette action]]</f>
        <v>0</v>
      </c>
      <c r="BP10" s="19"/>
      <c r="BQ10" s="19"/>
      <c r="BR10" s="19"/>
      <c r="BS10" s="19"/>
      <c r="BT10" s="19"/>
    </row>
    <row r="11" spans="1:72" x14ac:dyDescent="0.25">
      <c r="A11" s="84"/>
      <c r="B11" s="98"/>
      <c r="C11" s="86"/>
      <c r="D11" s="86"/>
      <c r="E11" s="87"/>
      <c r="F11" s="55"/>
      <c r="G11" s="107"/>
      <c r="H11" s="115"/>
      <c r="I11" s="58"/>
      <c r="J11" s="59"/>
      <c r="K11" s="60"/>
      <c r="L11" s="103"/>
      <c r="M11" s="104"/>
      <c r="N11" s="105"/>
      <c r="O11" s="100"/>
      <c r="P11" s="65"/>
      <c r="Q11" s="66"/>
      <c r="R11" s="90"/>
      <c r="S11" s="91"/>
      <c r="T11" s="69"/>
      <c r="U11" s="113"/>
      <c r="V11" s="114"/>
      <c r="W11" s="72"/>
      <c r="X11" s="74"/>
      <c r="Y11" s="74"/>
      <c r="Z11" s="75"/>
      <c r="AA11" s="75"/>
      <c r="AB11" s="74"/>
      <c r="AC11" s="73"/>
      <c r="AD11" s="73"/>
      <c r="AE11" s="73"/>
      <c r="AF11" s="73"/>
      <c r="AG11" s="73"/>
      <c r="AH11" s="73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7"/>
      <c r="AZ11" s="78"/>
      <c r="BA11" s="78"/>
      <c r="BB11" s="79"/>
      <c r="BC11" s="116"/>
      <c r="BD11" s="94"/>
      <c r="BE11" s="95"/>
      <c r="BF11" s="70"/>
      <c r="BG11" s="81"/>
      <c r="BH11" s="19"/>
      <c r="BJ11" s="19"/>
      <c r="BN11" s="83">
        <f>Tableau2407234[[#This Row],[% Sensi actions]]-Tableau2407234[[#This Row],[Exp nette action]]</f>
        <v>0</v>
      </c>
      <c r="BP11" s="19"/>
      <c r="BQ11" s="19"/>
      <c r="BR11" s="19"/>
      <c r="BS11" s="19"/>
      <c r="BT11" s="19"/>
    </row>
    <row r="12" spans="1:72" x14ac:dyDescent="0.25">
      <c r="A12" s="84"/>
      <c r="B12" s="98"/>
      <c r="C12" s="86"/>
      <c r="D12" s="86"/>
      <c r="E12" s="87"/>
      <c r="F12" s="55"/>
      <c r="G12" s="107"/>
      <c r="H12" s="108"/>
      <c r="I12" s="58"/>
      <c r="J12" s="59"/>
      <c r="K12" s="60"/>
      <c r="L12" s="103"/>
      <c r="M12" s="104"/>
      <c r="N12" s="105"/>
      <c r="O12" s="89"/>
      <c r="P12" s="65"/>
      <c r="Q12" s="66"/>
      <c r="R12" s="90"/>
      <c r="S12" s="91"/>
      <c r="T12" s="69"/>
      <c r="U12" s="117"/>
      <c r="V12" s="93"/>
      <c r="W12" s="72"/>
      <c r="X12" s="74"/>
      <c r="Y12" s="74"/>
      <c r="Z12" s="75"/>
      <c r="AA12" s="75"/>
      <c r="AB12" s="74"/>
      <c r="AC12" s="73"/>
      <c r="AD12" s="73"/>
      <c r="AE12" s="73"/>
      <c r="AF12" s="73"/>
      <c r="AG12" s="73"/>
      <c r="AH12" s="73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  <c r="AY12" s="77"/>
      <c r="AZ12" s="78"/>
      <c r="BA12" s="78"/>
      <c r="BB12" s="79"/>
      <c r="BC12" s="80"/>
      <c r="BD12" s="94"/>
      <c r="BE12" s="101"/>
      <c r="BF12" s="70"/>
      <c r="BG12" s="81"/>
      <c r="BH12" s="19"/>
      <c r="BJ12" s="19"/>
      <c r="BN12" s="83">
        <f>Tableau2407234[[#This Row],[% Sensi actions]]-Tableau2407234[[#This Row],[Exp nette action]]</f>
        <v>0</v>
      </c>
      <c r="BP12" s="19"/>
      <c r="BQ12" s="19"/>
      <c r="BR12" s="19"/>
      <c r="BS12" s="19"/>
      <c r="BT12" s="19"/>
    </row>
    <row r="13" spans="1:72" x14ac:dyDescent="0.25">
      <c r="A13" s="84"/>
      <c r="B13" s="98"/>
      <c r="C13" s="86"/>
      <c r="D13" s="86"/>
      <c r="E13" s="87"/>
      <c r="F13" s="118"/>
      <c r="G13" s="119"/>
      <c r="H13" s="120"/>
      <c r="I13" s="121"/>
      <c r="J13" s="122"/>
      <c r="K13" s="60"/>
      <c r="L13" s="61"/>
      <c r="M13" s="123"/>
      <c r="N13" s="63"/>
      <c r="O13" s="124"/>
      <c r="P13" s="125"/>
      <c r="Q13" s="126"/>
      <c r="R13" s="90"/>
      <c r="S13" s="91"/>
      <c r="T13" s="127"/>
      <c r="U13" s="128"/>
      <c r="V13" s="93"/>
      <c r="W13" s="129"/>
      <c r="X13" s="130"/>
      <c r="Y13" s="130"/>
      <c r="Z13" s="131"/>
      <c r="AA13" s="131"/>
      <c r="AB13" s="130"/>
      <c r="AC13" s="132"/>
      <c r="AD13" s="132"/>
      <c r="AE13" s="132"/>
      <c r="AF13" s="132"/>
      <c r="AG13" s="132"/>
      <c r="AH13" s="132"/>
      <c r="AI13" s="130"/>
      <c r="AJ13" s="130"/>
      <c r="AK13" s="130"/>
      <c r="AL13" s="130"/>
      <c r="AM13" s="130"/>
      <c r="AN13" s="130"/>
      <c r="AO13" s="130"/>
      <c r="AP13" s="130"/>
      <c r="AQ13" s="130"/>
      <c r="AR13" s="130"/>
      <c r="AS13" s="130"/>
      <c r="AT13" s="130"/>
      <c r="AU13" s="130"/>
      <c r="AV13" s="130"/>
      <c r="AW13" s="130"/>
      <c r="AX13" s="130"/>
      <c r="AY13" s="77"/>
      <c r="AZ13" s="134"/>
      <c r="BA13" s="134"/>
      <c r="BB13" s="135"/>
      <c r="BC13" s="80"/>
      <c r="BD13" s="94"/>
      <c r="BE13" s="95"/>
      <c r="BF13" s="92"/>
      <c r="BG13" s="94"/>
      <c r="BH13" s="19"/>
      <c r="BJ13" s="19"/>
      <c r="BN13" s="83">
        <f>Tableau2407234[[#This Row],[% Sensi actions]]-Tableau2407234[[#This Row],[Exp nette action]]</f>
        <v>0</v>
      </c>
      <c r="BP13" s="19"/>
      <c r="BQ13" s="19"/>
      <c r="BR13" s="19"/>
      <c r="BS13" s="19"/>
      <c r="BT13" s="19"/>
    </row>
    <row r="14" spans="1:72" ht="16.5" hidden="1" customHeight="1" x14ac:dyDescent="0.25">
      <c r="A14" s="84"/>
      <c r="B14" s="98"/>
      <c r="C14" s="86"/>
      <c r="D14" s="86"/>
      <c r="E14" s="87"/>
      <c r="F14" s="118"/>
      <c r="G14" s="119"/>
      <c r="H14" s="120"/>
      <c r="I14" s="121"/>
      <c r="J14" s="122"/>
      <c r="K14" s="60"/>
      <c r="L14" s="61"/>
      <c r="M14" s="123"/>
      <c r="N14" s="63"/>
      <c r="O14" s="100"/>
      <c r="P14" s="125"/>
      <c r="Q14" s="126"/>
      <c r="R14" s="90"/>
      <c r="S14" s="91"/>
      <c r="T14" s="127"/>
      <c r="U14" s="92"/>
      <c r="V14" s="93"/>
      <c r="W14" s="129"/>
      <c r="X14" s="130"/>
      <c r="Y14" s="130"/>
      <c r="Z14" s="131"/>
      <c r="AA14" s="131"/>
      <c r="AB14" s="130"/>
      <c r="AC14" s="130"/>
      <c r="AD14" s="130"/>
      <c r="AE14" s="130"/>
      <c r="AF14" s="130"/>
      <c r="AG14" s="130"/>
      <c r="AH14" s="130"/>
      <c r="AI14" s="130"/>
      <c r="AJ14" s="130"/>
      <c r="AK14" s="130"/>
      <c r="AL14" s="130"/>
      <c r="AM14" s="130"/>
      <c r="AN14" s="130"/>
      <c r="AO14" s="130"/>
      <c r="AP14" s="130"/>
      <c r="AQ14" s="130"/>
      <c r="AR14" s="130"/>
      <c r="AS14" s="130"/>
      <c r="AT14" s="130"/>
      <c r="AU14" s="130"/>
      <c r="AV14" s="130"/>
      <c r="AW14" s="130"/>
      <c r="AX14" s="130"/>
      <c r="AY14" s="77"/>
      <c r="AZ14" s="134"/>
      <c r="BA14" s="134"/>
      <c r="BB14" s="135"/>
      <c r="BC14" s="136"/>
      <c r="BD14" s="94"/>
      <c r="BE14" s="95"/>
      <c r="BF14" s="92"/>
      <c r="BG14" s="94"/>
      <c r="BH14" s="19"/>
      <c r="BJ14" s="19"/>
      <c r="BN14" s="83">
        <f>Tableau2407234[[#This Row],[% Sensi actions]]-Tableau2407234[[#This Row],[Exp nette action]]</f>
        <v>0</v>
      </c>
      <c r="BP14" s="19"/>
      <c r="BQ14" s="19"/>
      <c r="BR14" s="19"/>
      <c r="BS14" s="19"/>
      <c r="BT14" s="19"/>
    </row>
    <row r="15" spans="1:72" x14ac:dyDescent="0.25">
      <c r="A15" s="84"/>
      <c r="B15" s="98"/>
      <c r="C15" s="86"/>
      <c r="D15" s="86"/>
      <c r="E15" s="137"/>
      <c r="F15" s="118"/>
      <c r="G15" s="119"/>
      <c r="H15" s="138"/>
      <c r="I15" s="121"/>
      <c r="J15" s="122"/>
      <c r="K15" s="60"/>
      <c r="L15" s="61"/>
      <c r="M15" s="123"/>
      <c r="N15" s="63"/>
      <c r="O15" s="100"/>
      <c r="P15" s="125"/>
      <c r="Q15" s="126"/>
      <c r="R15" s="139"/>
      <c r="S15" s="140"/>
      <c r="T15" s="127"/>
      <c r="U15" s="92"/>
      <c r="V15" s="93"/>
      <c r="W15" s="129"/>
      <c r="X15" s="130"/>
      <c r="Y15" s="130"/>
      <c r="Z15" s="131"/>
      <c r="AA15" s="131"/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428"/>
      <c r="AP15" s="428"/>
      <c r="AQ15" s="130"/>
      <c r="AR15" s="130"/>
      <c r="AS15" s="130"/>
      <c r="AT15" s="130"/>
      <c r="AU15" s="130"/>
      <c r="AV15" s="130"/>
      <c r="AW15" s="130"/>
      <c r="AX15" s="130"/>
      <c r="AY15" s="77"/>
      <c r="AZ15" s="134"/>
      <c r="BA15" s="134"/>
      <c r="BB15" s="135"/>
      <c r="BC15" s="80"/>
      <c r="BD15" s="94"/>
      <c r="BE15" s="95"/>
      <c r="BF15" s="92"/>
      <c r="BG15" s="94"/>
      <c r="BH15" s="19"/>
      <c r="BJ15" s="19"/>
      <c r="BN15" s="83">
        <f>Tableau2407234[[#This Row],[% Sensi actions]]-Tableau2407234[[#This Row],[Exp nette action]]</f>
        <v>0</v>
      </c>
      <c r="BP15" s="19"/>
      <c r="BQ15" s="19"/>
      <c r="BR15" s="19"/>
      <c r="BS15" s="19"/>
      <c r="BT15" s="19"/>
    </row>
    <row r="16" spans="1:72" x14ac:dyDescent="0.25">
      <c r="A16" s="84"/>
      <c r="B16" s="98"/>
      <c r="C16" s="86"/>
      <c r="D16" s="86"/>
      <c r="E16" s="141"/>
      <c r="F16" s="55"/>
      <c r="G16" s="107"/>
      <c r="H16" s="115"/>
      <c r="I16" s="121"/>
      <c r="J16" s="122"/>
      <c r="K16" s="60"/>
      <c r="L16" s="103"/>
      <c r="M16" s="123"/>
      <c r="N16" s="105"/>
      <c r="O16" s="89"/>
      <c r="P16" s="65"/>
      <c r="Q16" s="66"/>
      <c r="R16" s="139"/>
      <c r="S16" s="140"/>
      <c r="T16" s="69"/>
      <c r="U16" s="92"/>
      <c r="V16" s="93"/>
      <c r="W16" s="72"/>
      <c r="X16" s="74"/>
      <c r="Y16" s="74"/>
      <c r="Z16" s="75"/>
      <c r="AA16" s="75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7"/>
      <c r="AZ16" s="78"/>
      <c r="BA16" s="78"/>
      <c r="BB16" s="79"/>
      <c r="BC16" s="80"/>
      <c r="BD16" s="94"/>
      <c r="BE16" s="101"/>
      <c r="BF16" s="70"/>
      <c r="BG16" s="81"/>
      <c r="BH16" s="19"/>
      <c r="BJ16" s="19"/>
      <c r="BN16" s="83">
        <f>Tableau2407234[[#This Row],[% Sensi actions]]-Tableau2407234[[#This Row],[Exp nette action]]</f>
        <v>0</v>
      </c>
      <c r="BP16" s="19"/>
      <c r="BQ16" s="19"/>
      <c r="BR16" s="19"/>
      <c r="BS16" s="19"/>
      <c r="BT16" s="19"/>
    </row>
    <row r="17" spans="1:72" x14ac:dyDescent="0.25">
      <c r="A17" s="84"/>
      <c r="B17" s="98"/>
      <c r="C17" s="86"/>
      <c r="D17" s="86"/>
      <c r="E17" s="87"/>
      <c r="F17" s="55"/>
      <c r="G17" s="107"/>
      <c r="H17" s="108"/>
      <c r="I17" s="121"/>
      <c r="J17" s="122"/>
      <c r="K17" s="60"/>
      <c r="L17" s="142"/>
      <c r="M17" s="143"/>
      <c r="N17" s="105"/>
      <c r="O17" s="100"/>
      <c r="P17" s="65"/>
      <c r="Q17" s="66"/>
      <c r="R17" s="90"/>
      <c r="S17" s="91"/>
      <c r="T17" s="69"/>
      <c r="U17" s="92"/>
      <c r="V17" s="93"/>
      <c r="W17" s="72"/>
      <c r="X17" s="74"/>
      <c r="Y17" s="74"/>
      <c r="Z17" s="75"/>
      <c r="AA17" s="75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6"/>
      <c r="AP17" s="76"/>
      <c r="AQ17" s="74"/>
      <c r="AR17" s="74"/>
      <c r="AS17" s="74"/>
      <c r="AT17" s="74"/>
      <c r="AU17" s="74"/>
      <c r="AV17" s="74"/>
      <c r="AW17" s="74"/>
      <c r="AX17" s="74"/>
      <c r="AY17" s="77"/>
      <c r="AZ17" s="78"/>
      <c r="BA17" s="134"/>
      <c r="BB17" s="135"/>
      <c r="BC17" s="80"/>
      <c r="BD17" s="94"/>
      <c r="BE17" s="101"/>
      <c r="BF17" s="92"/>
      <c r="BG17" s="81"/>
      <c r="BH17" s="19"/>
      <c r="BJ17" s="19"/>
      <c r="BP17" s="19"/>
      <c r="BQ17" s="19"/>
      <c r="BR17" s="19"/>
      <c r="BS17" s="19"/>
      <c r="BT17" s="19"/>
    </row>
    <row r="18" spans="1:72" x14ac:dyDescent="0.25">
      <c r="A18" s="84"/>
      <c r="B18" s="98"/>
      <c r="C18" s="86"/>
      <c r="D18" s="86"/>
      <c r="E18" s="87"/>
      <c r="F18" s="55"/>
      <c r="G18" s="107"/>
      <c r="H18" s="115"/>
      <c r="I18" s="121"/>
      <c r="J18" s="122"/>
      <c r="K18" s="60"/>
      <c r="L18" s="103"/>
      <c r="M18" s="123"/>
      <c r="N18" s="105"/>
      <c r="O18" s="100"/>
      <c r="P18" s="65"/>
      <c r="Q18" s="66"/>
      <c r="R18" s="144"/>
      <c r="S18" s="140"/>
      <c r="T18" s="69"/>
      <c r="U18" s="92"/>
      <c r="V18" s="93"/>
      <c r="W18" s="72"/>
      <c r="X18" s="74"/>
      <c r="Y18" s="74"/>
      <c r="Z18" s="75"/>
      <c r="AA18" s="75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6"/>
      <c r="AP18" s="76"/>
      <c r="AQ18" s="74"/>
      <c r="AR18" s="74"/>
      <c r="AS18" s="74"/>
      <c r="AT18" s="74"/>
      <c r="AU18" s="74"/>
      <c r="AV18" s="74"/>
      <c r="AW18" s="74"/>
      <c r="AX18" s="74"/>
      <c r="AY18" s="77"/>
      <c r="AZ18" s="78"/>
      <c r="BA18" s="78"/>
      <c r="BB18" s="79"/>
      <c r="BC18" s="80"/>
      <c r="BD18" s="94"/>
      <c r="BE18" s="101"/>
      <c r="BF18" s="70"/>
      <c r="BG18" s="81"/>
      <c r="BH18" s="19"/>
      <c r="BJ18" s="19"/>
      <c r="BP18" s="19"/>
      <c r="BQ18" s="19"/>
      <c r="BR18" s="19"/>
      <c r="BS18" s="19"/>
      <c r="BT18" s="19"/>
    </row>
    <row r="19" spans="1:72" x14ac:dyDescent="0.25">
      <c r="A19" s="84"/>
      <c r="B19" s="98"/>
      <c r="C19" s="86"/>
      <c r="D19" s="86"/>
      <c r="E19" s="87"/>
      <c r="F19" s="55"/>
      <c r="G19" s="107"/>
      <c r="H19" s="115"/>
      <c r="I19" s="121"/>
      <c r="J19" s="122"/>
      <c r="K19" s="60"/>
      <c r="L19" s="103"/>
      <c r="M19" s="123"/>
      <c r="N19" s="105"/>
      <c r="O19" s="100"/>
      <c r="P19" s="65"/>
      <c r="Q19" s="66"/>
      <c r="R19" s="144"/>
      <c r="S19" s="140"/>
      <c r="T19" s="69"/>
      <c r="U19" s="92"/>
      <c r="V19" s="93"/>
      <c r="W19" s="72"/>
      <c r="X19" s="74"/>
      <c r="Y19" s="74"/>
      <c r="Z19" s="75"/>
      <c r="AA19" s="75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6"/>
      <c r="AP19" s="76"/>
      <c r="AQ19" s="74"/>
      <c r="AR19" s="74"/>
      <c r="AS19" s="74"/>
      <c r="AT19" s="74"/>
      <c r="AU19" s="74"/>
      <c r="AV19" s="74"/>
      <c r="AW19" s="74"/>
      <c r="AX19" s="74"/>
      <c r="AY19" s="77"/>
      <c r="AZ19" s="78"/>
      <c r="BA19" s="78"/>
      <c r="BB19" s="79"/>
      <c r="BC19" s="106"/>
      <c r="BD19" s="94"/>
      <c r="BE19" s="101"/>
      <c r="BF19" s="70"/>
      <c r="BG19" s="81"/>
      <c r="BH19" s="19"/>
      <c r="BJ19" s="19"/>
      <c r="BP19" s="19"/>
      <c r="BQ19" s="19"/>
      <c r="BR19" s="19"/>
      <c r="BS19" s="19"/>
      <c r="BT19" s="19"/>
    </row>
    <row r="20" spans="1:72" x14ac:dyDescent="0.25">
      <c r="A20" s="84"/>
      <c r="B20" s="98"/>
      <c r="C20" s="86"/>
      <c r="D20" s="86"/>
      <c r="E20" s="87"/>
      <c r="F20" s="55"/>
      <c r="G20" s="107"/>
      <c r="H20" s="115"/>
      <c r="I20" s="58"/>
      <c r="J20" s="122"/>
      <c r="K20" s="60"/>
      <c r="L20" s="103"/>
      <c r="M20" s="123"/>
      <c r="N20" s="105"/>
      <c r="O20" s="100"/>
      <c r="P20" s="65"/>
      <c r="Q20" s="66"/>
      <c r="R20" s="144"/>
      <c r="S20" s="140"/>
      <c r="T20" s="69"/>
      <c r="U20" s="92"/>
      <c r="V20" s="93"/>
      <c r="W20" s="72"/>
      <c r="X20" s="74"/>
      <c r="Y20" s="74"/>
      <c r="Z20" s="75"/>
      <c r="AA20" s="75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6"/>
      <c r="AP20" s="76"/>
      <c r="AQ20" s="74"/>
      <c r="AR20" s="74"/>
      <c r="AS20" s="74"/>
      <c r="AT20" s="74"/>
      <c r="AU20" s="74"/>
      <c r="AV20" s="74"/>
      <c r="AW20" s="74"/>
      <c r="AX20" s="74"/>
      <c r="AY20" s="77"/>
      <c r="AZ20" s="78"/>
      <c r="BA20" s="78"/>
      <c r="BB20" s="79"/>
      <c r="BC20" s="80"/>
      <c r="BD20" s="94"/>
      <c r="BE20" s="101"/>
      <c r="BF20" s="70"/>
      <c r="BG20" s="81"/>
      <c r="BH20" s="19"/>
      <c r="BJ20" s="19"/>
      <c r="BP20" s="19"/>
      <c r="BQ20" s="19"/>
      <c r="BR20" s="19"/>
      <c r="BS20" s="19"/>
      <c r="BT20" s="19"/>
    </row>
    <row r="21" spans="1:72" x14ac:dyDescent="0.25">
      <c r="A21" s="84"/>
      <c r="B21" s="98"/>
      <c r="C21" s="86"/>
      <c r="D21" s="86"/>
      <c r="E21" s="87"/>
      <c r="F21" s="55"/>
      <c r="G21" s="107"/>
      <c r="H21" s="115"/>
      <c r="I21" s="58"/>
      <c r="J21" s="122"/>
      <c r="K21" s="60"/>
      <c r="L21" s="145"/>
      <c r="M21" s="123"/>
      <c r="N21" s="105"/>
      <c r="O21" s="89"/>
      <c r="P21" s="65"/>
      <c r="Q21" s="66"/>
      <c r="R21" s="90"/>
      <c r="S21" s="91"/>
      <c r="T21" s="69"/>
      <c r="U21" s="92"/>
      <c r="V21" s="93"/>
      <c r="W21" s="72"/>
      <c r="X21" s="74"/>
      <c r="Y21" s="74"/>
      <c r="Z21" s="75"/>
      <c r="AA21" s="75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6"/>
      <c r="AP21" s="76"/>
      <c r="AQ21" s="74"/>
      <c r="AR21" s="74"/>
      <c r="AS21" s="74"/>
      <c r="AT21" s="74"/>
      <c r="AU21" s="74"/>
      <c r="AV21" s="74"/>
      <c r="AW21" s="74"/>
      <c r="AX21" s="74"/>
      <c r="AY21" s="77"/>
      <c r="AZ21" s="78"/>
      <c r="BA21" s="78"/>
      <c r="BB21" s="79"/>
      <c r="BC21" s="80"/>
      <c r="BD21" s="94"/>
      <c r="BE21" s="101"/>
      <c r="BF21" s="70"/>
      <c r="BG21" s="81"/>
      <c r="BH21" s="19"/>
      <c r="BJ21" s="19"/>
      <c r="BP21" s="19"/>
      <c r="BQ21" s="19"/>
      <c r="BR21" s="19"/>
      <c r="BS21" s="19"/>
      <c r="BT21" s="19"/>
    </row>
    <row r="22" spans="1:72" x14ac:dyDescent="0.25">
      <c r="A22" s="84"/>
      <c r="B22" s="85"/>
      <c r="C22" s="86"/>
      <c r="D22" s="86"/>
      <c r="E22" s="87"/>
      <c r="F22" s="55"/>
      <c r="G22" s="107"/>
      <c r="H22" s="108"/>
      <c r="I22" s="58"/>
      <c r="J22" s="122"/>
      <c r="K22" s="60"/>
      <c r="L22" s="145"/>
      <c r="M22" s="123"/>
      <c r="N22" s="105"/>
      <c r="O22" s="109"/>
      <c r="P22" s="65"/>
      <c r="Q22" s="66"/>
      <c r="R22" s="90"/>
      <c r="S22" s="91">
        <f ca="1">+S19:AS19:AV22</f>
        <v>0</v>
      </c>
      <c r="T22" s="69"/>
      <c r="U22" s="92"/>
      <c r="V22" s="93"/>
      <c r="W22" s="72"/>
      <c r="X22" s="74"/>
      <c r="Y22" s="74"/>
      <c r="Z22" s="75"/>
      <c r="AA22" s="75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6"/>
      <c r="AP22" s="76"/>
      <c r="AQ22" s="74"/>
      <c r="AR22" s="74"/>
      <c r="AS22" s="74"/>
      <c r="AT22" s="74"/>
      <c r="AU22" s="74"/>
      <c r="AV22" s="74"/>
      <c r="AW22" s="74"/>
      <c r="AX22" s="74"/>
      <c r="AY22" s="77"/>
      <c r="AZ22" s="78"/>
      <c r="BA22" s="78"/>
      <c r="BB22" s="79"/>
      <c r="BC22" s="106"/>
      <c r="BD22" s="94"/>
      <c r="BE22" s="101"/>
      <c r="BF22" s="70"/>
      <c r="BG22" s="81"/>
      <c r="BH22" s="19"/>
      <c r="BJ22" s="19"/>
      <c r="BP22" s="19"/>
      <c r="BQ22" s="19"/>
      <c r="BR22" s="19"/>
      <c r="BS22" s="19"/>
      <c r="BT22" s="19"/>
    </row>
    <row r="23" spans="1:72" ht="16.5" customHeight="1" x14ac:dyDescent="0.25">
      <c r="A23" s="84"/>
      <c r="B23" s="98"/>
      <c r="C23" s="86"/>
      <c r="D23" s="86"/>
      <c r="E23" s="87"/>
      <c r="F23" s="55"/>
      <c r="G23" s="107"/>
      <c r="H23" s="108"/>
      <c r="I23" s="121"/>
      <c r="J23" s="122"/>
      <c r="K23" s="60"/>
      <c r="L23" s="145"/>
      <c r="M23" s="123"/>
      <c r="N23" s="105"/>
      <c r="O23" s="109"/>
      <c r="P23" s="65"/>
      <c r="Q23" s="66"/>
      <c r="R23" s="90"/>
      <c r="S23" s="91"/>
      <c r="T23" s="69"/>
      <c r="U23" s="92"/>
      <c r="V23" s="93"/>
      <c r="W23" s="72"/>
      <c r="X23" s="74"/>
      <c r="Y23" s="74"/>
      <c r="Z23" s="75"/>
      <c r="AA23" s="75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6"/>
      <c r="AP23" s="76"/>
      <c r="AQ23" s="74"/>
      <c r="AR23" s="74"/>
      <c r="AS23" s="74"/>
      <c r="AT23" s="74"/>
      <c r="AU23" s="74"/>
      <c r="AV23" s="74"/>
      <c r="AW23" s="74"/>
      <c r="AX23" s="74"/>
      <c r="AY23" s="77"/>
      <c r="AZ23" s="78"/>
      <c r="BA23" s="78"/>
      <c r="BB23" s="79"/>
      <c r="BC23" s="146"/>
      <c r="BD23" s="94"/>
      <c r="BE23" s="101"/>
      <c r="BF23" s="70"/>
      <c r="BG23" s="81"/>
      <c r="BH23" s="19"/>
      <c r="BJ23" s="19"/>
      <c r="BP23" s="19"/>
      <c r="BQ23" s="19"/>
      <c r="BR23" s="19"/>
      <c r="BS23" s="19"/>
      <c r="BT23" s="19"/>
    </row>
    <row r="24" spans="1:72" x14ac:dyDescent="0.25">
      <c r="A24" s="84"/>
      <c r="B24" s="98"/>
      <c r="C24" s="86"/>
      <c r="D24" s="86"/>
      <c r="E24" s="87"/>
      <c r="F24" s="55"/>
      <c r="G24" s="107"/>
      <c r="H24" s="108"/>
      <c r="I24" s="121"/>
      <c r="J24" s="122"/>
      <c r="K24" s="60"/>
      <c r="L24" s="145"/>
      <c r="M24" s="123"/>
      <c r="N24" s="105"/>
      <c r="O24" s="100"/>
      <c r="P24" s="65"/>
      <c r="Q24" s="66"/>
      <c r="R24" s="90"/>
      <c r="S24" s="91"/>
      <c r="T24" s="69"/>
      <c r="U24" s="92"/>
      <c r="V24" s="93"/>
      <c r="W24" s="72"/>
      <c r="X24" s="74"/>
      <c r="Y24" s="74"/>
      <c r="Z24" s="75"/>
      <c r="AA24" s="75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6"/>
      <c r="AP24" s="76"/>
      <c r="AQ24" s="74"/>
      <c r="AR24" s="74"/>
      <c r="AS24" s="74"/>
      <c r="AT24" s="74"/>
      <c r="AU24" s="74"/>
      <c r="AV24" s="74"/>
      <c r="AW24" s="74"/>
      <c r="AX24" s="74"/>
      <c r="AY24" s="77"/>
      <c r="AZ24" s="78"/>
      <c r="BA24" s="78"/>
      <c r="BB24" s="79"/>
      <c r="BC24" s="80"/>
      <c r="BD24" s="94"/>
      <c r="BE24" s="101"/>
      <c r="BF24" s="70"/>
      <c r="BG24" s="81"/>
      <c r="BH24" s="19"/>
      <c r="BJ24" s="19"/>
      <c r="BP24" s="19"/>
      <c r="BQ24" s="19"/>
      <c r="BR24" s="19"/>
      <c r="BS24" s="19"/>
      <c r="BT24" s="19"/>
    </row>
    <row r="25" spans="1:72" x14ac:dyDescent="0.25">
      <c r="A25" s="84"/>
      <c r="B25" s="98"/>
      <c r="C25" s="86"/>
      <c r="D25" s="86"/>
      <c r="E25" s="87"/>
      <c r="F25" s="55"/>
      <c r="G25" s="107"/>
      <c r="H25" s="108"/>
      <c r="I25" s="121"/>
      <c r="J25" s="122"/>
      <c r="K25" s="60"/>
      <c r="L25" s="145"/>
      <c r="M25" s="123"/>
      <c r="N25" s="105"/>
      <c r="O25" s="100"/>
      <c r="P25" s="147"/>
      <c r="Q25" s="66"/>
      <c r="R25" s="90"/>
      <c r="S25" s="91"/>
      <c r="T25" s="69"/>
      <c r="U25" s="92"/>
      <c r="V25" s="93"/>
      <c r="W25" s="72"/>
      <c r="X25" s="74"/>
      <c r="Y25" s="74"/>
      <c r="Z25" s="75"/>
      <c r="AA25" s="75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6"/>
      <c r="AP25" s="76"/>
      <c r="AQ25" s="74"/>
      <c r="AR25" s="74"/>
      <c r="AS25" s="74"/>
      <c r="AT25" s="74"/>
      <c r="AU25" s="74"/>
      <c r="AV25" s="74"/>
      <c r="AW25" s="74"/>
      <c r="AX25" s="74"/>
      <c r="AY25" s="77"/>
      <c r="AZ25" s="78"/>
      <c r="BA25" s="134"/>
      <c r="BB25" s="135"/>
      <c r="BC25" s="80"/>
      <c r="BD25" s="94"/>
      <c r="BE25" s="101"/>
      <c r="BF25" s="92"/>
      <c r="BG25" s="81"/>
      <c r="BH25" s="19"/>
      <c r="BJ25" s="19"/>
      <c r="BP25" s="19"/>
      <c r="BQ25" s="19"/>
      <c r="BR25" s="19"/>
      <c r="BS25" s="19"/>
      <c r="BT25" s="19"/>
    </row>
    <row r="26" spans="1:72" x14ac:dyDescent="0.25">
      <c r="A26" s="84"/>
      <c r="B26" s="98"/>
      <c r="C26" s="86"/>
      <c r="D26" s="86"/>
      <c r="E26" s="87"/>
      <c r="F26" s="55"/>
      <c r="G26" s="107"/>
      <c r="H26" s="148"/>
      <c r="I26" s="121"/>
      <c r="J26" s="122"/>
      <c r="K26" s="60"/>
      <c r="L26" s="142"/>
      <c r="M26" s="143"/>
      <c r="N26" s="149"/>
      <c r="O26" s="100"/>
      <c r="P26" s="147"/>
      <c r="Q26" s="66"/>
      <c r="R26" s="90"/>
      <c r="S26" s="91"/>
      <c r="T26" s="69"/>
      <c r="U26" s="92"/>
      <c r="V26" s="93"/>
      <c r="W26" s="72"/>
      <c r="X26" s="74"/>
      <c r="Y26" s="74"/>
      <c r="Z26" s="75"/>
      <c r="AA26" s="75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6"/>
      <c r="AP26" s="76"/>
      <c r="AQ26" s="74"/>
      <c r="AR26" s="74"/>
      <c r="AS26" s="74"/>
      <c r="AT26" s="74"/>
      <c r="AU26" s="74"/>
      <c r="AV26" s="74"/>
      <c r="AW26" s="74"/>
      <c r="AX26" s="74"/>
      <c r="AY26" s="77"/>
      <c r="AZ26" s="78"/>
      <c r="BA26" s="134"/>
      <c r="BB26" s="135"/>
      <c r="BC26" s="80"/>
      <c r="BD26" s="94"/>
      <c r="BE26" s="101"/>
      <c r="BF26" s="92"/>
      <c r="BG26" s="81"/>
      <c r="BH26" s="19"/>
      <c r="BJ26" s="19"/>
      <c r="BP26" s="19"/>
      <c r="BQ26" s="19"/>
      <c r="BR26" s="19"/>
      <c r="BS26" s="19"/>
      <c r="BT26" s="19"/>
    </row>
    <row r="27" spans="1:72" ht="17.25" thickBot="1" x14ac:dyDescent="0.3">
      <c r="A27" s="84"/>
      <c r="B27" s="98"/>
      <c r="C27" s="86"/>
      <c r="D27" s="86"/>
      <c r="E27" s="87"/>
      <c r="F27" s="55"/>
      <c r="G27" s="107"/>
      <c r="H27" s="150"/>
      <c r="I27" s="151"/>
      <c r="J27" s="122"/>
      <c r="K27" s="60"/>
      <c r="L27" s="61"/>
      <c r="M27" s="62"/>
      <c r="N27" s="63"/>
      <c r="O27" s="100"/>
      <c r="P27" s="65"/>
      <c r="Q27" s="126"/>
      <c r="R27" s="90"/>
      <c r="S27" s="91"/>
      <c r="T27" s="127"/>
      <c r="U27" s="92"/>
      <c r="V27" s="93"/>
      <c r="W27" s="72"/>
      <c r="X27" s="74"/>
      <c r="Y27" s="74"/>
      <c r="Z27" s="75"/>
      <c r="AA27" s="75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6"/>
      <c r="AP27" s="76"/>
      <c r="AQ27" s="74"/>
      <c r="AR27" s="74"/>
      <c r="AS27" s="74"/>
      <c r="AT27" s="74"/>
      <c r="AU27" s="74"/>
      <c r="AV27" s="74"/>
      <c r="AW27" s="74"/>
      <c r="AX27" s="74"/>
      <c r="AY27" s="77"/>
      <c r="AZ27" s="78"/>
      <c r="BA27" s="134"/>
      <c r="BB27" s="135"/>
      <c r="BC27" s="106"/>
      <c r="BD27" s="94"/>
      <c r="BE27" s="101"/>
      <c r="BF27" s="92"/>
      <c r="BG27" s="81"/>
      <c r="BH27" s="19"/>
      <c r="BJ27" s="19"/>
      <c r="BP27" s="19"/>
      <c r="BQ27" s="19"/>
      <c r="BR27" s="19"/>
      <c r="BS27" s="19"/>
      <c r="BT27" s="19"/>
    </row>
    <row r="28" spans="1:72" ht="16.5" customHeight="1" thickBot="1" x14ac:dyDescent="0.3">
      <c r="A28" s="152"/>
      <c r="B28" s="153" t="s">
        <v>67</v>
      </c>
      <c r="C28" s="153" t="s">
        <v>67</v>
      </c>
      <c r="D28" s="153"/>
      <c r="E28" s="154"/>
      <c r="F28" s="154"/>
      <c r="G28" s="155"/>
      <c r="H28" s="156"/>
      <c r="I28" s="157">
        <f>SUM(I3:I27)</f>
        <v>0</v>
      </c>
      <c r="J28" s="158"/>
      <c r="K28" s="159"/>
      <c r="L28" s="160">
        <f>SUM(L3:L27)</f>
        <v>0</v>
      </c>
      <c r="M28" s="161"/>
      <c r="N28" s="162"/>
      <c r="O28" s="163" t="s">
        <v>68</v>
      </c>
      <c r="P28" s="164">
        <f>SUM(Tableau2407234[Montant])</f>
        <v>0</v>
      </c>
      <c r="Q28" s="164">
        <f>SUM(Tableau2407234[Frais])</f>
        <v>0</v>
      </c>
      <c r="R28" s="165" t="s">
        <v>69</v>
      </c>
      <c r="S28" s="166"/>
      <c r="T28" s="167">
        <f>SUM(Tableau2407234[[Total ]])</f>
        <v>0</v>
      </c>
      <c r="U28" s="168"/>
      <c r="V28" s="169"/>
      <c r="W28" s="158"/>
      <c r="X28" s="158"/>
      <c r="Y28" s="158"/>
      <c r="Z28" s="170"/>
      <c r="AA28" s="170"/>
      <c r="AB28" s="171">
        <f>SUMPRODUCT(Tableau2407234[Exp nette action],Tableau2407234[% Ptf])</f>
        <v>0</v>
      </c>
      <c r="AC28" s="171">
        <f>SUMPRODUCT(Tableau2407234[Expo nette action Europe (Suisse et UK inclus) %],Tableau2407234[% Ptf])</f>
        <v>0</v>
      </c>
      <c r="AD28" s="171">
        <f>SUMPRODUCT(Tableau2407234[Expo nette action USA &amp; Canada % ],Tableau2407234[% Ptf])</f>
        <v>0</v>
      </c>
      <c r="AE28" s="171">
        <f>SUMPRODUCT(Tableau2407234[Expo nette action Asie &amp; Japon %],Tableau2407234[% Ptf])</f>
        <v>0</v>
      </c>
      <c r="AF28" s="171">
        <f>SUMPRODUCT(Tableau2407234[Expo nette action Reste du monde %],Tableau2407234[% Ptf])</f>
        <v>0</v>
      </c>
      <c r="AG28" s="171">
        <f>SUMPRODUCT(Tableau2407234[Expo nette action pays émergents  (pays présents dans le MSCI Emerging &amp; Frontier Markets)],Tableau2407234[% Ptf])</f>
        <v>0</v>
      </c>
      <c r="AH28" s="171">
        <f>SUMPRODUCT(Tableau2407234[Expo nette action petites capitalisations (capi &lt; 500 M d''euros) (%)],Tableau2407234[% Ptf])</f>
        <v>0</v>
      </c>
      <c r="AI28" s="171">
        <f>SUMPRODUCT(Tableau2407234[[Expo nette obligataire ]],Tableau2407234[% Ptf])</f>
        <v>0</v>
      </c>
      <c r="AJ28" s="171">
        <f>SUMPRODUCT(Tableau2407234[Expo nette taux spéculatifs (inf ou = à BB+, incluant les émissions NR) (%)],Tableau2407234[% Ptf])</f>
        <v>0</v>
      </c>
      <c r="AK28" s="171">
        <f>SUMPRODUCT(Tableau2407234[Expo nette taux Invesment Grade (notation comprise entre AAA et BBB- ) (%)],Tableau2407234[% Ptf])</f>
        <v>0</v>
      </c>
      <c r="AL28" s="171">
        <f>SUMPRODUCT(Tableau2407234[Expo nette taux pays émergents (pays présents dans le MSCI Emerging &amp; Frontier Markets) (%)],Tableau2407234[% Ptf])</f>
        <v>0</v>
      </c>
      <c r="AM28" s="171">
        <f>SUMPRODUCT(Tableau2407234[Expo nette obligataire convertibles],Tableau2407234[% Ptf])</f>
        <v>0</v>
      </c>
      <c r="AN28" s="171">
        <f>SUMPRODUCT(Tableau2407234[Expo nette Subordonnées financières (%)],Tableau2407234[% Ptf])</f>
        <v>0</v>
      </c>
      <c r="AO28" s="172">
        <f>SUMPRODUCT(Tableau2407234[Sensibilité taux],Tableau2407234[% Ptf])</f>
        <v>0</v>
      </c>
      <c r="AP28" s="172">
        <f>SUMPRODUCT(Tableau2407234[Maturité moyenne],Tableau2407234[% Ptf])</f>
        <v>0</v>
      </c>
      <c r="AQ28" s="171">
        <f>SUMPRODUCT(Tableau2407234[Taux de rendement à maturité],Tableau2407234[% Ptf])</f>
        <v>0</v>
      </c>
      <c r="AR28" s="171" t="str">
        <f>INDEX([2]GPA!$A$1:$B$31,MATCH([2]Student!$E$17,[2]GPA!$B$1:$B$31,0),MATCH([2]Student!$H$1,[2]GPA!$A$1:$B$1,0))</f>
        <v>BBB-</v>
      </c>
      <c r="AS28" s="171">
        <f>SUMPRODUCT(Tableau2407234[Sensibilité actions (oligations convertibles)],Tableau2407234[% Ptf])</f>
        <v>0</v>
      </c>
      <c r="AT28" s="171">
        <f>SUMPRODUCT(Tableau2407234[Exposition nette OPC %],Tableau2407234[% Ptf])</f>
        <v>0</v>
      </c>
      <c r="AU28" s="171">
        <f>SUMPRODUCT(Tableau2407234[Dérivés (swap, CDS, futures, options)],Tableau2407234[% Ptf])</f>
        <v>0</v>
      </c>
      <c r="AV28" s="171">
        <f>SUMPRODUCT(Tableau2407234[% Liquidités et équivalents (obligations arrivant à maturité, billets de trésorerie et dépots) ],Tableau2407234[% Ptf])</f>
        <v>0</v>
      </c>
      <c r="AW28" s="171">
        <f>SUMPRODUCT(Tableau2407234[Risque devise USD],Tableau2407234[% Ptf])</f>
        <v>0</v>
      </c>
      <c r="AX28" s="171">
        <f>SUMPRODUCT(Tableau2407234[Risque de change (% devises non hédgées hors Euro) ],Tableau2407234[% Ptf])</f>
        <v>0</v>
      </c>
      <c r="AY28" s="171"/>
      <c r="AZ28" s="171"/>
      <c r="BA28" s="171"/>
      <c r="BB28" s="171"/>
      <c r="BC28" s="171"/>
      <c r="BD28" s="171"/>
      <c r="BE28" s="171"/>
      <c r="BF28" s="173">
        <f>SUMPRODUCT(Tableau2407234[Frais courants % ],Tableau2407234[% Ptf])</f>
        <v>0</v>
      </c>
      <c r="BG28" s="171"/>
      <c r="BH28" s="19"/>
      <c r="BJ28" s="19"/>
      <c r="BP28" s="19"/>
      <c r="BQ28" s="19"/>
      <c r="BR28" s="19"/>
      <c r="BS28" s="19"/>
      <c r="BT28" s="19"/>
    </row>
    <row r="29" spans="1:72" ht="17.25" customHeight="1" x14ac:dyDescent="0.3">
      <c r="E29" s="174"/>
      <c r="F29" s="174"/>
      <c r="G29" s="175"/>
      <c r="H29" s="176"/>
      <c r="I29" s="177"/>
      <c r="J29" s="178"/>
      <c r="L29" s="179"/>
      <c r="M29" s="180"/>
      <c r="N29" s="181"/>
      <c r="V29" s="183"/>
      <c r="Z29" s="177"/>
      <c r="AC29" s="184"/>
      <c r="AD29" s="185"/>
      <c r="AF29" s="185"/>
      <c r="AG29" s="185"/>
      <c r="AI29" s="184"/>
      <c r="AJ29" s="184"/>
      <c r="AK29" s="184"/>
      <c r="AL29" s="184"/>
      <c r="AM29" s="184"/>
      <c r="AN29" s="184"/>
      <c r="AQ29" s="184"/>
      <c r="AU29" s="184"/>
      <c r="BA29" s="184"/>
      <c r="BB29" s="187"/>
      <c r="BC29" s="187"/>
      <c r="BD29" s="187"/>
      <c r="BE29" s="187"/>
      <c r="BF29" s="187"/>
      <c r="BG29" s="187"/>
      <c r="BH29" s="188"/>
      <c r="BT29" s="189"/>
    </row>
    <row r="30" spans="1:72" ht="17.25" customHeight="1" x14ac:dyDescent="0.3">
      <c r="B30" s="190"/>
      <c r="C30" s="191"/>
      <c r="D30" s="191"/>
      <c r="E30" s="192"/>
      <c r="G30" s="193" t="s">
        <v>70</v>
      </c>
      <c r="H30" s="194">
        <f>SUM(Tableau2407234[Valorisation
en euros])</f>
        <v>0</v>
      </c>
      <c r="I30" s="195">
        <f>H30/H33</f>
        <v>0</v>
      </c>
      <c r="J30" s="196"/>
      <c r="K30" s="197"/>
      <c r="L30" s="197"/>
      <c r="M30" s="197"/>
      <c r="N30" s="198"/>
      <c r="O30" s="199"/>
      <c r="P30" s="200"/>
      <c r="Q30" s="201"/>
      <c r="R30" s="202"/>
      <c r="S30" s="203"/>
      <c r="V30" s="183"/>
      <c r="BF30" s="205"/>
      <c r="BH30" s="188"/>
    </row>
    <row r="31" spans="1:72" ht="17.25" customHeight="1" x14ac:dyDescent="0.3">
      <c r="B31" s="206"/>
      <c r="C31" s="207"/>
      <c r="D31" s="207"/>
      <c r="E31" s="208"/>
      <c r="G31" s="209" t="s">
        <v>71</v>
      </c>
      <c r="H31" s="210">
        <f>'[1]210723'!H31+'[1]210723'!H32-'210723'!T28</f>
        <v>271205.48320999852</v>
      </c>
      <c r="I31" s="211">
        <f>(H31)/H33</f>
        <v>1</v>
      </c>
      <c r="J31" s="212"/>
      <c r="K31" s="213" t="s">
        <v>72</v>
      </c>
      <c r="L31" s="214" t="s">
        <v>73</v>
      </c>
      <c r="M31" s="215" t="s">
        <v>74</v>
      </c>
      <c r="N31" s="183"/>
      <c r="O31" s="216"/>
      <c r="P31" s="217"/>
      <c r="Q31" s="218"/>
      <c r="R31" s="219"/>
      <c r="S31" s="219"/>
      <c r="T31" s="220"/>
      <c r="U31" s="220"/>
      <c r="V31" s="221"/>
      <c r="W31" s="222"/>
      <c r="X31" s="223"/>
      <c r="AB31" s="223"/>
      <c r="AE31" s="222"/>
      <c r="AF31" s="223"/>
      <c r="AH31" s="19"/>
      <c r="AL31" s="222"/>
      <c r="AM31" s="222"/>
      <c r="AN31" s="222"/>
      <c r="AQ31" s="222"/>
      <c r="AR31" s="222"/>
      <c r="AU31" s="222"/>
      <c r="AZ31" s="222"/>
      <c r="BA31" s="222"/>
      <c r="BB31" s="224"/>
      <c r="BD31" s="183"/>
      <c r="BE31" s="19"/>
      <c r="BF31" s="19"/>
      <c r="BH31" s="19"/>
      <c r="BJ31" s="19"/>
      <c r="BT31" s="19"/>
    </row>
    <row r="32" spans="1:72" ht="17.25" customHeight="1" x14ac:dyDescent="0.3">
      <c r="B32" s="225"/>
      <c r="C32" s="226"/>
      <c r="D32" s="226"/>
      <c r="E32" s="227"/>
      <c r="G32" s="209" t="s">
        <v>82</v>
      </c>
      <c r="H32" s="210">
        <f>-191.387*'210723'!VLC</f>
        <v>-2005.73576</v>
      </c>
      <c r="J32" s="228"/>
      <c r="K32" s="213"/>
      <c r="L32" s="214" t="s">
        <v>83</v>
      </c>
      <c r="M32" s="215"/>
      <c r="N32" s="229"/>
      <c r="O32" s="230"/>
      <c r="P32" s="231"/>
      <c r="Q32" s="231"/>
      <c r="R32" s="232"/>
      <c r="S32" s="233"/>
      <c r="T32" s="234"/>
      <c r="U32" s="235"/>
      <c r="V32" s="236"/>
      <c r="W32" s="183"/>
      <c r="AB32" s="237"/>
      <c r="AC32" s="238"/>
      <c r="AD32" s="238"/>
      <c r="AE32" s="183"/>
      <c r="AF32" s="237"/>
      <c r="AG32" s="238"/>
      <c r="AH32" s="238"/>
      <c r="AL32" s="183"/>
      <c r="AM32" s="183"/>
      <c r="AN32" s="183"/>
      <c r="AQ32" s="183"/>
      <c r="AR32" s="183"/>
      <c r="AU32" s="183"/>
      <c r="AZ32" s="183"/>
      <c r="BA32" s="183"/>
      <c r="BB32" s="224"/>
      <c r="BD32" s="183"/>
      <c r="BE32" s="19"/>
      <c r="BF32" s="19"/>
      <c r="BH32" s="19"/>
      <c r="BJ32" s="19"/>
      <c r="BT32" s="19"/>
    </row>
    <row r="33" spans="1:72" ht="17.25" customHeight="1" x14ac:dyDescent="0.3">
      <c r="B33" s="206"/>
      <c r="C33" s="207"/>
      <c r="D33" s="207"/>
      <c r="E33" s="239"/>
      <c r="G33" s="193" t="s">
        <v>25</v>
      </c>
      <c r="H33" s="194">
        <f>SUM(H30:H31)</f>
        <v>271205.48320999852</v>
      </c>
      <c r="I33" s="240"/>
      <c r="J33" s="241"/>
      <c r="K33" s="242">
        <f>(VLC-10.22)/10.22</f>
        <v>2.5440313111545966E-2</v>
      </c>
      <c r="L33" s="243">
        <f>(VLC/10.44)-1</f>
        <v>3.8314176245211051E-3</v>
      </c>
      <c r="M33" s="244">
        <f>(VLC-10)/10</f>
        <v>4.8000000000000043E-2</v>
      </c>
      <c r="N33" s="229"/>
      <c r="O33" s="230"/>
      <c r="P33" s="231"/>
      <c r="Q33" s="231"/>
      <c r="R33" s="245"/>
      <c r="S33" s="246"/>
      <c r="T33" s="247"/>
      <c r="U33" s="248"/>
      <c r="V33" s="249"/>
      <c r="W33" s="250"/>
      <c r="AB33" s="270"/>
      <c r="AC33" s="252"/>
      <c r="AD33" s="253"/>
      <c r="AE33" s="250"/>
      <c r="AF33" s="254"/>
      <c r="AG33" s="252"/>
      <c r="AH33" s="253"/>
      <c r="AL33" s="250"/>
      <c r="AM33" s="250"/>
      <c r="AN33" s="250"/>
      <c r="AQ33" s="250"/>
      <c r="AR33" s="250"/>
      <c r="AU33" s="250"/>
      <c r="AZ33" s="250"/>
      <c r="BA33" s="250"/>
      <c r="BB33" s="224"/>
      <c r="BD33" s="183"/>
      <c r="BE33" s="19"/>
      <c r="BF33" s="19"/>
      <c r="BH33" s="19"/>
      <c r="BJ33" s="19"/>
      <c r="BT33" s="19"/>
    </row>
    <row r="34" spans="1:72" ht="17.25" customHeight="1" x14ac:dyDescent="0.3">
      <c r="B34" s="255"/>
      <c r="C34" s="256"/>
      <c r="D34" s="256"/>
      <c r="E34" s="257"/>
      <c r="G34" s="258"/>
      <c r="H34" s="259"/>
      <c r="I34" s="200"/>
      <c r="J34" s="223"/>
      <c r="K34" s="223"/>
      <c r="L34" s="260"/>
      <c r="M34" s="223"/>
      <c r="N34" s="223"/>
      <c r="O34" s="261"/>
      <c r="P34" s="231"/>
      <c r="Q34" s="231"/>
      <c r="R34" s="245"/>
      <c r="S34" s="246"/>
      <c r="T34" s="247"/>
      <c r="U34" s="248"/>
      <c r="V34" s="249"/>
      <c r="AB34" s="270"/>
      <c r="AC34" s="252"/>
      <c r="AD34" s="253"/>
      <c r="AE34" s="250"/>
      <c r="AF34" s="254"/>
      <c r="AG34" s="252"/>
      <c r="AH34" s="253"/>
      <c r="AL34" s="250"/>
      <c r="BB34" s="224"/>
      <c r="BD34" s="183"/>
      <c r="BE34" s="19"/>
      <c r="BF34" s="19"/>
      <c r="BH34" s="19"/>
      <c r="BJ34" s="19"/>
      <c r="BT34" s="19"/>
    </row>
    <row r="35" spans="1:72" ht="17.25" customHeight="1" x14ac:dyDescent="0.3">
      <c r="B35" s="190"/>
      <c r="C35" s="191"/>
      <c r="D35" s="262"/>
      <c r="E35" s="263"/>
      <c r="G35" s="209" t="s">
        <v>84</v>
      </c>
      <c r="H35" s="264">
        <v>0</v>
      </c>
      <c r="J35" s="265"/>
      <c r="K35" s="266"/>
      <c r="L35" s="267"/>
      <c r="M35" s="267"/>
      <c r="N35" s="268"/>
      <c r="O35" s="269"/>
      <c r="P35" s="231"/>
      <c r="Q35" s="231"/>
      <c r="R35" s="245"/>
      <c r="S35" s="246"/>
      <c r="T35" s="247"/>
      <c r="U35" s="248"/>
      <c r="V35" s="249"/>
      <c r="AB35" s="251"/>
      <c r="AC35" s="252"/>
      <c r="AD35" s="253"/>
      <c r="AE35" s="271"/>
      <c r="AF35" s="254"/>
      <c r="AG35" s="252"/>
      <c r="AH35" s="253"/>
      <c r="BB35" s="224"/>
      <c r="BD35" s="183"/>
      <c r="BE35" s="19"/>
      <c r="BF35" s="19"/>
      <c r="BH35" s="19"/>
      <c r="BJ35" s="272"/>
      <c r="BT35" s="19"/>
    </row>
    <row r="36" spans="1:72" ht="17.25" customHeight="1" x14ac:dyDescent="0.3">
      <c r="B36" s="273"/>
      <c r="D36" s="274"/>
      <c r="E36" s="275"/>
      <c r="G36" s="209" t="s">
        <v>85</v>
      </c>
      <c r="H36" s="276">
        <f>Q28</f>
        <v>0</v>
      </c>
      <c r="I36" s="277"/>
      <c r="J36" s="278"/>
      <c r="K36" s="278"/>
      <c r="L36" s="279"/>
      <c r="M36" s="280"/>
      <c r="N36" s="281"/>
      <c r="O36" s="282"/>
      <c r="P36" s="231"/>
      <c r="Q36" s="231"/>
      <c r="R36" s="245"/>
      <c r="S36" s="246"/>
      <c r="T36" s="247"/>
      <c r="U36" s="248"/>
      <c r="V36" s="249"/>
      <c r="AB36" s="251"/>
      <c r="AC36" s="252"/>
      <c r="AD36" s="429"/>
      <c r="AE36" s="271"/>
      <c r="AF36" s="283"/>
      <c r="AG36" s="284"/>
      <c r="AH36" s="285"/>
      <c r="BB36" s="224"/>
      <c r="BD36" s="183"/>
      <c r="BE36" s="19"/>
      <c r="BF36" s="19"/>
      <c r="BH36" s="19"/>
      <c r="BJ36" s="272"/>
      <c r="BT36" s="19"/>
    </row>
    <row r="37" spans="1:72" ht="17.25" customHeight="1" x14ac:dyDescent="0.3">
      <c r="B37" s="286"/>
      <c r="C37" s="226"/>
      <c r="D37" s="287"/>
      <c r="E37" s="288"/>
      <c r="G37" s="209" t="s">
        <v>86</v>
      </c>
      <c r="H37" s="289">
        <f>'[1]210723'!H37+H33*0.006/365*3</f>
        <v>23155.795414708115</v>
      </c>
      <c r="I37" s="290"/>
      <c r="J37" s="291"/>
      <c r="K37" s="291"/>
      <c r="L37" s="252"/>
      <c r="M37" s="253"/>
      <c r="N37" s="281"/>
      <c r="O37" s="292"/>
      <c r="P37" s="231"/>
      <c r="Q37" s="231"/>
      <c r="R37" s="245"/>
      <c r="S37" s="246"/>
      <c r="T37" s="247"/>
      <c r="U37" s="248"/>
      <c r="V37" s="249"/>
      <c r="AB37" s="251"/>
      <c r="AC37" s="252"/>
      <c r="AD37" s="253"/>
      <c r="AE37" s="271"/>
      <c r="AF37" s="293"/>
      <c r="AG37" s="271"/>
      <c r="AH37" s="294"/>
      <c r="BB37" s="224"/>
      <c r="BD37" s="295"/>
      <c r="BE37" s="19"/>
      <c r="BF37" s="296"/>
      <c r="BH37" s="19"/>
      <c r="BJ37" s="272"/>
      <c r="BT37" s="19"/>
    </row>
    <row r="38" spans="1:72" ht="17.25" customHeight="1" x14ac:dyDescent="0.3">
      <c r="B38" s="273"/>
      <c r="D38" s="297"/>
      <c r="E38" s="275"/>
      <c r="G38" s="298" t="s">
        <v>87</v>
      </c>
      <c r="H38" s="299">
        <f>H33-SUM(H35:H37)</f>
        <v>248049.6877952904</v>
      </c>
      <c r="I38" s="188"/>
      <c r="J38" s="291"/>
      <c r="K38" s="291"/>
      <c r="L38" s="252"/>
      <c r="M38" s="253"/>
      <c r="N38" s="281"/>
      <c r="O38" s="300"/>
      <c r="P38" s="231"/>
      <c r="Q38" s="231"/>
      <c r="R38" s="245"/>
      <c r="S38" s="246"/>
      <c r="T38" s="247"/>
      <c r="U38" s="248"/>
      <c r="V38" s="249"/>
      <c r="AB38" s="251"/>
      <c r="AC38" s="252"/>
      <c r="AD38" s="253"/>
      <c r="AE38" s="271"/>
      <c r="AF38" s="293"/>
      <c r="AG38" s="271"/>
      <c r="AH38" s="294"/>
      <c r="AL38" s="301"/>
      <c r="BB38" s="224"/>
      <c r="BD38" s="183"/>
      <c r="BE38" s="19"/>
      <c r="BF38" s="19"/>
      <c r="BH38" s="19"/>
      <c r="BJ38" s="272"/>
      <c r="BT38" s="19"/>
    </row>
    <row r="39" spans="1:72" ht="17.25" customHeight="1" x14ac:dyDescent="0.3">
      <c r="B39" s="302"/>
      <c r="C39" s="256"/>
      <c r="D39" s="303"/>
      <c r="E39" s="304"/>
      <c r="G39" s="305"/>
      <c r="H39" s="305"/>
      <c r="I39" s="306"/>
      <c r="J39" s="291"/>
      <c r="K39" s="291"/>
      <c r="L39" s="252"/>
      <c r="M39" s="253"/>
      <c r="N39" s="281"/>
      <c r="O39" s="216"/>
      <c r="P39" s="231"/>
      <c r="Q39" s="231"/>
      <c r="R39" s="245"/>
      <c r="S39" s="246"/>
      <c r="T39" s="247"/>
      <c r="U39" s="307"/>
      <c r="V39" s="249"/>
      <c r="AB39" s="308"/>
      <c r="AC39" s="309"/>
      <c r="AD39" s="285"/>
      <c r="AF39" s="183"/>
      <c r="AG39" s="310"/>
      <c r="AH39" s="20"/>
      <c r="BB39" s="224"/>
      <c r="BC39" s="310"/>
      <c r="BD39" s="311"/>
      <c r="BE39" s="19"/>
      <c r="BF39" s="310"/>
      <c r="BH39" s="310"/>
      <c r="BJ39" s="272"/>
      <c r="BT39" s="19"/>
    </row>
    <row r="40" spans="1:72" ht="17.25" customHeight="1" x14ac:dyDescent="0.3">
      <c r="B40" s="190"/>
      <c r="C40" s="191"/>
      <c r="D40" s="191"/>
      <c r="E40" s="312"/>
      <c r="G40" s="313" t="s">
        <v>88</v>
      </c>
      <c r="H40" s="314">
        <v>45128</v>
      </c>
      <c r="I40" s="315"/>
      <c r="J40" s="291"/>
      <c r="K40" s="291"/>
      <c r="L40" s="252"/>
      <c r="M40" s="253"/>
      <c r="N40" s="281"/>
      <c r="O40" s="216"/>
      <c r="P40" s="231"/>
      <c r="Q40" s="231"/>
      <c r="R40" s="245"/>
      <c r="S40" s="246"/>
      <c r="T40" s="247"/>
      <c r="U40" s="307"/>
      <c r="V40" s="249"/>
      <c r="AB40" s="308"/>
      <c r="AC40" s="309"/>
      <c r="AD40" s="285"/>
      <c r="AF40" s="183"/>
      <c r="AG40" s="310"/>
      <c r="AH40" s="20"/>
      <c r="BB40" s="224"/>
      <c r="BC40" s="310"/>
      <c r="BD40" s="311"/>
      <c r="BE40" s="19"/>
      <c r="BF40" s="310"/>
      <c r="BH40" s="310"/>
      <c r="BJ40" s="272"/>
      <c r="BT40" s="19"/>
    </row>
    <row r="41" spans="1:72" ht="17.25" customHeight="1" x14ac:dyDescent="0.3">
      <c r="B41" s="316"/>
      <c r="D41" s="317"/>
      <c r="E41" s="318"/>
      <c r="G41" s="209" t="s">
        <v>89</v>
      </c>
      <c r="H41" s="319">
        <f>323350+0+0+51000+0+38892+17422.2+0+0+0+22323+0+0+2500+2950+47340+0+-1000+2125.398+-4000+0+0+0+0+0+2772.629+3550+4000+6700+1050+3460+1000+2000+4550+2300+28000+0+7134.372+13135.321+7245.302+860+0+10350+-118.253+19800+7100+500+632.328+6885+0+0+0+0+6765+200+0+17345.504+9880+6983.297+0+700+2079.002+9240+24884+15405+0+16389.887+7130+5695+550+0+10469.826+24335.004+3560+0+11003.009+24963.586+19808.942+10639.851+11966.19+0+15705.005+15800.85+8700+0+40+10914.457+35750+11295.817+-13250+5500+17449.59+4147.368+14907.141+3000+0+6800+12452.771+1000+20337.3+7300+12487.935+3200+7741.687+136723.284+1872.386+0+12229.702+2975.247+0+30372.989+21977+3700+0-23.598+5000+3766.928+3800+600+10060.194+8270.364+12799+3294.995+600+0+4950+19611+0+0+19374.479+11388.72+33269.359+7804.368+31171.179+44950+15543.688+8000+10782.812+3082+0+5296.425+10672.443+25890.668+2245.807+15940.19+1710.84+1250+5901.573+13512.676+4921.26+-391.967+2400+32344.896+1579.964+35215.097+1998.097+14634.783+14499.902+6418.694+974.658+2217.314+1000+3034.757+12531.4+24177.949+6192.68+2000+-3500+5842.259+34015+12009.412+12820.347+17711.428+800+-1500+16725.855+1300+72248.42+0+4236.928+0+101460.982+928.64+4000+-1200+28080.689+3650+35396.101+6327.9+52685.178+2000+33201.902+16398.405+4161.904+9029.258+11736.836-7150.499+33498.425+3603.653+14673.669+12829.924+-1956.481+-3002.838+5554.293+22544.191+37077.614+2268.182+-763.706+-386.793+6.02+939.849+37000+2976.058+4759.58+-1029.281+0+-200+1685.393+28181.928+3837.887+3000+-1000+2581.766+2000+5581.395+1185.222+1768.04+28765.775+11307.525+16934.49+150+-5886.691+8659.648+10601.222+15338.831+6035.283+1550+5806.56+10978.774+2115.642+5318.704+27675.276+26561.647+14498.071+4659.181+29346.637+1475.495+6900+11873.609+2709.918+1000+9153.201+2000+1450+23292.612+14865.479+-465.441+3167.557+0+1735+1000+4068.266+15824.597+-2447.956+3729.962+20634.831+63719.779+3000+77.485+11961.682+8771.255+1747.868+3441.979+6729.953+23800.738+9170.509+924.214+26751.528+6194.93+-138.121+26546.826+4032.828+20983.515+-3561.304+818.277+13837.295+17174.189+6273.717+7144.313+33841.458+2543.647+0+186900.278+4000+19144.919+16771.404+41599.134+15248.247+26734.731+2098.539+7083.27+25491.773+5671.196+5814.82+5122.76+64083.332+0+2546.743+8781.25+1600+8473.92+64811.926+170.569+-407.539+3737.064+38114.443+10471.355+2504.857+4035.123+56794.159+91384.617+10610.3+9153.742-7494.187+13648.771+1818.18+0+39774.489+-4752.308+44372.05+19395.462+-22.686+1362.397+0+105182.441+2457.825+708.827+10418.562+--13651.226-27302.452+0+3117.884+41228.428+4351.916+543.064+445.789+58386.23+6979.076+16047.098+2717.392+2495.462+10000+1800.406+42988.636+8500+4333.189+94.89+20356.034+78953.731+77592.885+11752.219+-653.388+3361.6+-1383.757+2961.214+492.849+0+45.372+-6329.29+0+0+-3519.774+-58.664+-1410.081+0+0+-180.668+-99.547+81.9+72269.8+903.342+-2963.95+13718.855+12647.658+18552.064+-47170.091+-4328.29+26004.567+2185.04+0+-371.04+-4518.034+-86.641+25981.046+36743.687+12703.068+-2030+23334.837+41820.719+29808.664+85+136434.512+0+5380.63+1724.55+2709.762+104768.882+39475.054+8932.317+40372.017+7058.688+-671.631+6744.871+4714.464+452.898+-470.989+6930.526+7909.121+34328.211+-839.91+-5441.94+29337.928+4449.906+783.078+ 4141.495+23924.288+45651.391+-469.784+632.366+13667.296+35666.909+2408.236+1715.992+28948.761+6806.764+-26779.661+8042.895+2459.894+58208.673+13721.798+29649.021+2690.114+4000+2138.111+9683.337+50041.457+3156.54+37994.758+67231.165+0+3073.884+-11637.484+13609.384+352207.101+53083.232+4047.674+8276.142+31344.794+62.355+30696.625+41318.384+22903.179+66360.27+14465.973+20352.947+120271.786+2365.964+7452.551+-652.951+-1276.219+9214.088+12698.837+31128.324+1778.374+28812.47+2338.556+72995.335+9950.065+98574.839+591.959+2126.905+15592.128+5329.72+57851.551+4927.537+-26992.753+-95.715+-22469.154+2293.577+-7252.436+18315.017+1489.945+347.654+-392.842+270.022+-2624.115+4530.344+8191.649+15110.461+4193.492+-887+5464.936+93738.695+40466.33+28381.522+-2794.377+24417.512+-2091.676+13043.52+-4587+2921.151+-1158.906+962+26782+0+5032.74+5668.763+-81.535+0+4832.186+0+1094+7015.962+540.651+9890+-85.58+-15457.843+727.643+0+0+18276.04+23284.535+9633+46695.623+-538.844+-146+-1567.464+2105.99+14098.387+-3220.408+23718.772+4400.339+8246.008+8320.734+-2399.612+-4939.661+466.597+2000+4947.271+-13675.688+10659.314+-350+4000+0+13527.68+-957.349+18066.058+17963.443+-1006.957+4310.767+-113024.83+-9373.458+2263.504+13625.037+-4431.22+19655.73+-3870.831+591.623+27537.262+5329.737+-2997.534+-1666+9184.805+34464.09+-4718.806+2000+26348.744+2000+-350.423+10624.967+0+-3601.91+-80209+0+-1439.342+-3839.994+158+-15000+2621.917+-16001.387+-172.744+28775.556+-29937.198+-600+-1753.428+7237.088+-4619.56+-14774.269+-3000+-2221.264+-7747.679+-373.184+-1266.292+-1160.852+23193.253+5087.125+1047.279+10911+15126.348+12936.139+-15011.721+-8733.54+3464.652+4826+-17003.674+-13710.014+30938.21+2296+-2038.35+-1300+0+-7621.374+-7249.164+-300+2392+-229.719+1945.808+0+-85824.809+692.382+-52162.857+17500+-9032.504+-807.886+0+5000+-564.333+-1000+2147.462+2181.328+350.774+-5781.78+-6814.578+-279.284+0+-4673.112+17678.64+-31471.461+-500+-533.058+1786.201+-17499.045+1000+-217.495+0+-992.336+-10696+0+5381.416+2832.551+-21029.39+-12458.426+-14520.701+-5863.979+-34069.068+1168.805+-26436.678+-10294.319+545+10000+-26112+6670.031+0+1178.691+0+-6253.329+53.802+-26618.595+-10437.875+0+-30000+-10789.116+980+2000+3396.397+-6259.474+-7063.385+-713.674+10175+12167.899+0+-3200+3400+3514.092+-16893.203+-10894.584+-4539.766+-5080+-11156.442+2000+6374.609+-344+1000+1461.764+-88955.374+989.836+-34475.727+-27159.592+0+2000+9366.034+9365+-16151.313+38701.657+6978.213+1852.856+-13462.649+-27947.56+-2.443+0+-20625.61+-421.58+1000+4996.088+454+-2431.906+-4815.449+74018.018+-7506.729+-1995.539+-29594+1471.617+-17150.625+-788.184+18613.207+-4500+11425.752+0+-5600+-191.938+9900.239+-95.877+10668.426+2804.192+-287.081+-5418+-500+11372.598+0+-3090.114+-3000+-1285.421+-8949.389+7929.435+-9315.769+-67723.97+2810.697+-3842.614+5558.519+10001.578+-3166+-3024.426+-323.809+-20660.598+9522.5+5186.393+16460.347+3145.945+-6556.599+8851.6+-132.448+12530.752+0+29483.324+0+-8088.943+-2137.119+-5228.029+1511.719+-7947.659+-9345.329+-13030+-9077.853+-1108+-800+-8009.631+9023+-12260.177+15193.03+8056.886+460.628+5565.076+-23489.835+-627.412+-2059.41+-659+-7323.683+224.9+-90620.001+11833.719+1062.188+-253.081+0+-913.106+0+-7186.045+-514.506+0+3000.116+-6094.837+-1181.024+-96.805+-1241.779+-22416.465+0+0+0+-3547.539+3716.839+-3306.138+11221.772+0+443.64+21755.9+8168.292-1843.42-8840.524+-625.755+4759.689+25086.57+9616.123+8407+0-2000-1500-1382.898-295.55+2384.69-1852.911+332.602+175.866+3112.575+1199.616+3282.618+0-12451.789+480+96.056-31+200+2958.092+0+2537.599+144.3-6812.883+675.91+2417.12+20876+1597</f>
        <v>6444048.9979999932</v>
      </c>
      <c r="I41" s="315"/>
      <c r="J41" s="320"/>
      <c r="K41" s="320"/>
      <c r="L41" s="321"/>
      <c r="M41" s="322"/>
      <c r="N41" s="281"/>
      <c r="O41" s="216"/>
      <c r="P41" s="231"/>
      <c r="Q41" s="231"/>
      <c r="R41" s="245"/>
      <c r="S41" s="246"/>
      <c r="T41" s="247"/>
      <c r="U41" s="307"/>
      <c r="V41" s="249"/>
      <c r="AF41" s="183"/>
      <c r="AG41" s="310"/>
      <c r="AH41" s="20"/>
      <c r="BB41" s="224"/>
      <c r="BC41" s="310"/>
      <c r="BD41" s="311"/>
      <c r="BE41" s="19"/>
      <c r="BF41" s="310"/>
      <c r="BH41" s="310"/>
      <c r="BJ41" s="272"/>
      <c r="BT41" s="19"/>
    </row>
    <row r="42" spans="1:72" ht="17.25" customHeight="1" x14ac:dyDescent="0.3">
      <c r="B42" s="286"/>
      <c r="C42" s="226"/>
      <c r="D42" s="323"/>
      <c r="E42" s="324"/>
      <c r="G42" s="209" t="s">
        <v>90</v>
      </c>
      <c r="H42" s="325">
        <v>10.48</v>
      </c>
      <c r="I42" s="315"/>
      <c r="J42" s="326"/>
      <c r="K42" s="326"/>
      <c r="L42" s="321"/>
      <c r="M42" s="322"/>
      <c r="N42" s="281"/>
      <c r="O42" s="216"/>
      <c r="P42" s="231"/>
      <c r="Q42" s="231"/>
      <c r="R42" s="245"/>
      <c r="S42" s="246"/>
      <c r="T42" s="247"/>
      <c r="U42" s="307"/>
      <c r="V42" s="249"/>
      <c r="AB42" s="223"/>
      <c r="AF42" s="223"/>
      <c r="AH42" s="19"/>
      <c r="BB42" s="224"/>
      <c r="BC42" s="310"/>
      <c r="BD42" s="311"/>
      <c r="BE42" s="19"/>
      <c r="BF42" s="310"/>
      <c r="BH42" s="310"/>
      <c r="BJ42" s="272"/>
      <c r="BT42" s="19"/>
    </row>
    <row r="43" spans="1:72" ht="17.25" customHeight="1" x14ac:dyDescent="0.3">
      <c r="B43" s="273"/>
      <c r="D43" s="327"/>
      <c r="E43" s="328"/>
      <c r="G43" s="329" t="s">
        <v>91</v>
      </c>
      <c r="H43" s="330">
        <f>VLC/'[1]210723'!VLC-1</f>
        <v>9.5510983763125168E-4</v>
      </c>
      <c r="I43" s="331"/>
      <c r="J43" s="291"/>
      <c r="K43" s="291"/>
      <c r="L43" s="332"/>
      <c r="M43" s="333"/>
      <c r="N43" s="281"/>
      <c r="O43" s="216"/>
      <c r="P43" s="231"/>
      <c r="Q43" s="231"/>
      <c r="R43" s="245"/>
      <c r="S43" s="246"/>
      <c r="T43" s="247"/>
      <c r="U43" s="307"/>
      <c r="V43" s="249"/>
      <c r="AB43" s="237"/>
      <c r="AC43" s="238"/>
      <c r="AD43" s="238"/>
      <c r="AF43" s="237"/>
      <c r="AG43" s="238"/>
      <c r="AH43" s="238"/>
      <c r="BB43" s="224"/>
      <c r="BC43" s="310"/>
      <c r="BD43" s="311"/>
      <c r="BE43" s="19"/>
      <c r="BF43" s="310"/>
      <c r="BH43" s="310"/>
      <c r="BJ43" s="272"/>
      <c r="BT43" s="19"/>
    </row>
    <row r="44" spans="1:72" ht="17.25" customHeight="1" x14ac:dyDescent="0.3">
      <c r="B44" s="286"/>
      <c r="C44" s="226"/>
      <c r="D44" s="334"/>
      <c r="E44" s="335"/>
      <c r="I44" s="336"/>
      <c r="J44" s="291"/>
      <c r="K44" s="291"/>
      <c r="L44" s="332"/>
      <c r="M44" s="333"/>
      <c r="N44" s="281"/>
      <c r="O44" s="292"/>
      <c r="P44" s="231"/>
      <c r="Q44" s="231"/>
      <c r="R44" s="245"/>
      <c r="S44" s="246"/>
      <c r="T44" s="247"/>
      <c r="U44" s="307"/>
      <c r="V44" s="249"/>
      <c r="AB44" s="251"/>
      <c r="AC44" s="252"/>
      <c r="AD44" s="253"/>
      <c r="AE44" s="271"/>
      <c r="AF44" s="254"/>
      <c r="AG44" s="252"/>
      <c r="AH44" s="253"/>
      <c r="BB44" s="224"/>
      <c r="BC44" s="310"/>
      <c r="BD44" s="311"/>
      <c r="BE44" s="19"/>
      <c r="BF44" s="310"/>
      <c r="BH44" s="310"/>
      <c r="BJ44" s="272"/>
      <c r="BT44" s="19"/>
    </row>
    <row r="45" spans="1:72" ht="17.25" customHeight="1" x14ac:dyDescent="0.3">
      <c r="B45" s="337"/>
      <c r="D45" s="317"/>
      <c r="E45" s="318"/>
      <c r="G45" s="338" t="s">
        <v>92</v>
      </c>
      <c r="H45" s="339">
        <f t="array" ref="H45">_xll.FDS("EURUSD","FG_PRICE("&amp;$H$40&amp;","&amp;$H$40&amp;")")</f>
        <v>1.1113499</v>
      </c>
      <c r="I45" s="340"/>
      <c r="J45" s="291"/>
      <c r="K45" s="291"/>
      <c r="L45" s="332"/>
      <c r="M45" s="333"/>
      <c r="N45" s="183"/>
      <c r="O45" s="216"/>
      <c r="P45" s="231"/>
      <c r="Q45" s="231"/>
      <c r="R45" s="245"/>
      <c r="S45" s="246"/>
      <c r="T45" s="247"/>
      <c r="U45" s="307"/>
      <c r="V45" s="249"/>
      <c r="AB45" s="251"/>
      <c r="AC45" s="252"/>
      <c r="AD45" s="253"/>
      <c r="AE45" s="271"/>
      <c r="AF45" s="254"/>
      <c r="AG45" s="252"/>
      <c r="AH45" s="253"/>
      <c r="BC45" s="224"/>
      <c r="BD45" s="188"/>
      <c r="BE45" s="19"/>
      <c r="BF45" s="310"/>
      <c r="BH45" s="311"/>
      <c r="BI45" s="311"/>
      <c r="BJ45" s="310"/>
      <c r="BT45" s="19"/>
    </row>
    <row r="46" spans="1:72" ht="17.25" customHeight="1" x14ac:dyDescent="0.3">
      <c r="B46" s="341"/>
      <c r="C46" s="226"/>
      <c r="D46" s="342"/>
      <c r="E46" s="288"/>
      <c r="G46" s="209" t="s">
        <v>93</v>
      </c>
      <c r="H46" s="343">
        <f>191.387</f>
        <v>191.387</v>
      </c>
      <c r="I46" s="310"/>
      <c r="J46" s="344"/>
      <c r="K46" s="344"/>
      <c r="L46" s="321"/>
      <c r="M46" s="322"/>
      <c r="N46" s="345"/>
      <c r="O46" s="346"/>
      <c r="P46" s="231"/>
      <c r="Q46" s="231"/>
      <c r="R46" s="347"/>
      <c r="S46" s="348"/>
      <c r="T46" s="247"/>
      <c r="U46" s="349"/>
      <c r="V46" s="249"/>
      <c r="AB46" s="251"/>
      <c r="AC46" s="252"/>
      <c r="AD46" s="253"/>
      <c r="AE46" s="271"/>
      <c r="AF46" s="254"/>
      <c r="AG46" s="252"/>
      <c r="AH46" s="253"/>
      <c r="BC46" s="224"/>
      <c r="BD46" s="188"/>
      <c r="BE46" s="19"/>
      <c r="BF46" s="310"/>
      <c r="BH46" s="311"/>
      <c r="BI46" s="311"/>
      <c r="BJ46" s="310"/>
      <c r="BT46" s="19"/>
    </row>
    <row r="47" spans="1:72" ht="17.25" customHeight="1" x14ac:dyDescent="0.3">
      <c r="B47" s="350"/>
      <c r="C47" s="351"/>
      <c r="D47" s="352"/>
      <c r="E47" s="353"/>
      <c r="G47" s="209" t="s">
        <v>94</v>
      </c>
      <c r="H47" s="354">
        <f>BF28</f>
        <v>0</v>
      </c>
      <c r="I47" s="355"/>
      <c r="J47" s="326"/>
      <c r="K47" s="326"/>
      <c r="L47" s="321"/>
      <c r="M47" s="322"/>
      <c r="N47" s="222"/>
      <c r="O47" s="300"/>
      <c r="P47" s="231"/>
      <c r="Q47" s="231"/>
      <c r="R47" s="356"/>
      <c r="S47" s="357"/>
      <c r="T47" s="234"/>
      <c r="U47" s="235"/>
      <c r="V47" s="236"/>
      <c r="AB47" s="358"/>
      <c r="AC47" s="252"/>
      <c r="AD47" s="253"/>
      <c r="AE47" s="271"/>
      <c r="AF47" s="283"/>
      <c r="AG47" s="284"/>
      <c r="AH47" s="285"/>
      <c r="BC47" s="224"/>
      <c r="BD47" s="188"/>
      <c r="BE47" s="19"/>
      <c r="BF47" s="310"/>
      <c r="BH47" s="311"/>
      <c r="BI47" s="311"/>
      <c r="BJ47" s="310"/>
      <c r="BT47" s="19"/>
    </row>
    <row r="48" spans="1:72" ht="17.25" customHeight="1" x14ac:dyDescent="0.3">
      <c r="A48" s="359"/>
      <c r="B48" s="360"/>
      <c r="C48" s="361"/>
      <c r="D48" s="362"/>
      <c r="E48" s="362"/>
      <c r="I48" s="310"/>
      <c r="J48" s="291"/>
      <c r="K48" s="291"/>
      <c r="L48" s="252"/>
      <c r="M48" s="253"/>
      <c r="N48" s="363"/>
      <c r="O48" s="364"/>
      <c r="P48" s="231"/>
      <c r="Q48" s="231"/>
      <c r="R48" s="365"/>
      <c r="S48" s="366"/>
      <c r="T48" s="247"/>
      <c r="U48" s="248"/>
      <c r="V48" s="249"/>
      <c r="AB48" s="308"/>
      <c r="AC48" s="309"/>
      <c r="AD48" s="285"/>
      <c r="AE48" s="271"/>
      <c r="AF48" s="293"/>
      <c r="AG48" s="311"/>
      <c r="AH48" s="294"/>
      <c r="BC48" s="224"/>
      <c r="BD48" s="188"/>
      <c r="BE48" s="19"/>
      <c r="BF48" s="310"/>
      <c r="BH48" s="311"/>
      <c r="BI48" s="311"/>
      <c r="BJ48" s="310"/>
      <c r="BT48" s="19"/>
    </row>
    <row r="49" spans="1:72" ht="17.25" customHeight="1" x14ac:dyDescent="0.3">
      <c r="A49" s="367"/>
      <c r="B49" s="368"/>
      <c r="C49" s="369"/>
      <c r="D49" s="370"/>
      <c r="E49" s="370"/>
      <c r="G49" s="371" t="s">
        <v>95</v>
      </c>
      <c r="H49" s="372">
        <v>45128</v>
      </c>
      <c r="I49" s="222"/>
      <c r="J49" s="291"/>
      <c r="K49" s="291"/>
      <c r="L49" s="252"/>
      <c r="M49" s="253"/>
      <c r="N49" s="373"/>
      <c r="O49" s="374"/>
      <c r="P49" s="231"/>
      <c r="Q49" s="231"/>
      <c r="R49" s="365"/>
      <c r="S49" s="366"/>
      <c r="T49" s="247"/>
      <c r="U49" s="248"/>
      <c r="V49" s="249"/>
      <c r="X49" s="223"/>
      <c r="Z49" s="19"/>
      <c r="AD49" s="183"/>
      <c r="AE49" s="311"/>
      <c r="AF49" s="20"/>
      <c r="BC49" s="224"/>
      <c r="BD49" s="188"/>
      <c r="BE49" s="19"/>
      <c r="BF49" s="310"/>
      <c r="BH49" s="311"/>
      <c r="BI49" s="311"/>
      <c r="BJ49" s="310"/>
      <c r="BT49" s="19"/>
    </row>
    <row r="50" spans="1:72" ht="17.25" customHeight="1" x14ac:dyDescent="0.3">
      <c r="A50" s="375"/>
      <c r="B50" s="286"/>
      <c r="C50" s="376"/>
      <c r="D50" s="376"/>
      <c r="E50" s="377"/>
      <c r="I50" s="378"/>
      <c r="J50" s="320"/>
      <c r="K50" s="320"/>
      <c r="L50" s="321"/>
      <c r="M50" s="322"/>
      <c r="N50" s="183"/>
      <c r="O50" s="216"/>
      <c r="P50" s="231"/>
      <c r="Q50" s="231"/>
      <c r="R50" s="379"/>
      <c r="S50" s="380"/>
      <c r="T50" s="381"/>
      <c r="U50" s="382"/>
      <c r="V50" s="383"/>
      <c r="AE50" s="188"/>
      <c r="BF50" s="19"/>
      <c r="BH50" s="224"/>
      <c r="BI50" s="183"/>
      <c r="BJ50" s="19"/>
    </row>
    <row r="51" spans="1:72" ht="17.25" customHeight="1" x14ac:dyDescent="0.3">
      <c r="A51" s="384"/>
      <c r="B51" s="273"/>
      <c r="C51" s="385"/>
      <c r="D51" s="385"/>
      <c r="E51" s="386"/>
      <c r="F51" s="387"/>
      <c r="G51" s="188"/>
      <c r="H51" s="388"/>
      <c r="I51" s="378"/>
      <c r="J51" s="389"/>
      <c r="K51" s="389"/>
      <c r="L51" s="309"/>
      <c r="M51" s="285"/>
      <c r="N51" s="183"/>
      <c r="O51" s="216"/>
      <c r="P51" s="390"/>
      <c r="Q51" s="391"/>
      <c r="R51" s="392"/>
      <c r="S51" s="393"/>
      <c r="T51" s="234"/>
      <c r="U51" s="235"/>
      <c r="V51" s="236"/>
      <c r="AE51" s="188"/>
      <c r="BF51" s="19"/>
      <c r="BH51" s="224"/>
      <c r="BI51" s="183"/>
      <c r="BJ51" s="19"/>
    </row>
    <row r="52" spans="1:72" ht="17.25" customHeight="1" x14ac:dyDescent="0.3">
      <c r="A52" s="375"/>
      <c r="B52" s="286"/>
      <c r="C52" s="376"/>
      <c r="D52" s="377"/>
      <c r="E52" s="377"/>
      <c r="G52" s="201"/>
      <c r="H52" s="394" t="s">
        <v>96</v>
      </c>
      <c r="I52" s="378"/>
      <c r="N52" s="395"/>
      <c r="O52" s="396"/>
      <c r="P52" s="397"/>
      <c r="Q52" s="398"/>
      <c r="R52" s="399"/>
      <c r="S52" s="400"/>
      <c r="T52" s="247"/>
      <c r="U52" s="248"/>
      <c r="V52" s="249"/>
      <c r="AE52" s="188"/>
      <c r="BF52" s="19"/>
      <c r="BH52" s="224"/>
      <c r="BI52" s="183"/>
      <c r="BJ52" s="19"/>
    </row>
    <row r="53" spans="1:72" ht="17.25" customHeight="1" x14ac:dyDescent="0.3">
      <c r="A53" s="384"/>
      <c r="B53" s="273"/>
      <c r="C53" s="385"/>
      <c r="D53" s="385"/>
      <c r="E53" s="386"/>
      <c r="G53" s="201"/>
      <c r="H53" s="394"/>
      <c r="I53" s="378"/>
      <c r="J53" s="401"/>
      <c r="K53" s="402"/>
      <c r="L53" s="402"/>
      <c r="M53" s="403"/>
      <c r="N53" s="183"/>
      <c r="O53" s="216"/>
      <c r="P53" s="397"/>
      <c r="Q53" s="398"/>
      <c r="R53" s="399"/>
      <c r="S53" s="400"/>
      <c r="T53" s="247"/>
      <c r="U53" s="248"/>
      <c r="V53" s="249"/>
      <c r="AE53" s="188"/>
      <c r="BF53" s="19"/>
      <c r="BH53" s="224"/>
      <c r="BI53" s="183"/>
      <c r="BJ53" s="19"/>
    </row>
    <row r="54" spans="1:72" ht="17.25" customHeight="1" x14ac:dyDescent="0.3">
      <c r="A54" s="375"/>
      <c r="B54" s="286"/>
      <c r="C54" s="376"/>
      <c r="D54" s="376"/>
      <c r="E54" s="377"/>
      <c r="G54" s="201"/>
      <c r="H54" s="394"/>
      <c r="I54" s="404"/>
      <c r="J54" s="273"/>
      <c r="L54" s="405"/>
      <c r="M54" s="406"/>
      <c r="N54" s="183"/>
      <c r="O54" s="216"/>
      <c r="P54" s="397"/>
      <c r="Q54" s="398"/>
      <c r="R54" s="399"/>
      <c r="S54" s="400"/>
      <c r="T54" s="247"/>
      <c r="U54" s="248"/>
      <c r="V54" s="249"/>
      <c r="AE54" s="188"/>
      <c r="BF54" s="19"/>
      <c r="BH54" s="224"/>
      <c r="BI54" s="183"/>
      <c r="BJ54" s="19"/>
    </row>
    <row r="55" spans="1:72" ht="17.25" customHeight="1" x14ac:dyDescent="0.3">
      <c r="A55" s="407"/>
      <c r="B55" s="273"/>
      <c r="C55" s="408"/>
      <c r="D55" s="408"/>
      <c r="E55" s="409"/>
      <c r="F55" s="410"/>
      <c r="G55" s="201"/>
      <c r="H55" s="394">
        <f>675.91</f>
        <v>675.91</v>
      </c>
      <c r="I55" s="410"/>
      <c r="J55" s="286"/>
      <c r="K55" s="226"/>
      <c r="L55" s="411"/>
      <c r="M55" s="412"/>
      <c r="N55" s="183"/>
      <c r="O55" s="216"/>
      <c r="P55" s="397"/>
      <c r="Q55" s="398"/>
      <c r="R55" s="245"/>
      <c r="S55" s="246"/>
      <c r="T55" s="247"/>
      <c r="U55" s="248"/>
      <c r="V55" s="249"/>
      <c r="W55" s="183"/>
      <c r="Y55" s="183"/>
      <c r="Z55" s="212"/>
      <c r="AE55" s="188"/>
      <c r="BF55" s="19"/>
      <c r="BH55" s="224"/>
      <c r="BI55" s="183"/>
      <c r="BJ55" s="19"/>
    </row>
    <row r="56" spans="1:72" ht="17.25" customHeight="1" x14ac:dyDescent="0.3">
      <c r="B56" s="302"/>
      <c r="C56" s="413"/>
      <c r="D56" s="413"/>
      <c r="E56" s="414"/>
      <c r="H56" s="394"/>
      <c r="I56" s="404"/>
      <c r="J56" s="350"/>
      <c r="K56" s="351"/>
      <c r="L56" s="415"/>
      <c r="M56" s="416"/>
      <c r="N56" s="183"/>
      <c r="O56" s="216"/>
      <c r="P56" s="417"/>
      <c r="Q56" s="418"/>
      <c r="R56" s="347"/>
      <c r="S56" s="348"/>
      <c r="T56" s="419"/>
      <c r="U56" s="420"/>
      <c r="V56" s="383"/>
      <c r="W56" s="183"/>
      <c r="Y56" s="183"/>
      <c r="Z56" s="212"/>
      <c r="AE56" s="188"/>
      <c r="BF56" s="19"/>
      <c r="BH56" s="224"/>
      <c r="BI56" s="183"/>
      <c r="BJ56" s="19"/>
    </row>
    <row r="57" spans="1:72" ht="17.25" customHeight="1" x14ac:dyDescent="0.3">
      <c r="H57" s="394"/>
      <c r="I57" s="404"/>
      <c r="W57" s="183"/>
      <c r="Y57" s="183"/>
      <c r="Z57" s="212"/>
      <c r="AE57" s="188"/>
      <c r="BF57" s="19"/>
      <c r="BH57" s="183"/>
      <c r="BI57" s="183"/>
      <c r="BJ57" s="19"/>
    </row>
    <row r="58" spans="1:72" x14ac:dyDescent="0.3">
      <c r="C58" s="204"/>
      <c r="D58" s="204"/>
      <c r="E58" s="204"/>
      <c r="I58" s="404"/>
      <c r="W58" s="183"/>
      <c r="Y58" s="183"/>
      <c r="Z58" s="212"/>
      <c r="AE58" s="188"/>
      <c r="BF58" s="19"/>
      <c r="BH58" s="183"/>
      <c r="BI58" s="183"/>
      <c r="BJ58" s="19"/>
    </row>
    <row r="59" spans="1:72" x14ac:dyDescent="0.3">
      <c r="I59" s="404"/>
      <c r="O59" s="216"/>
      <c r="P59" s="421"/>
      <c r="V59" s="183"/>
      <c r="BH59" s="188"/>
    </row>
    <row r="60" spans="1:72" x14ac:dyDescent="0.3">
      <c r="I60" s="404"/>
      <c r="J60" s="345"/>
      <c r="K60" s="183"/>
      <c r="L60" s="183"/>
      <c r="O60" s="216"/>
      <c r="P60" s="200"/>
      <c r="V60" s="183"/>
      <c r="X60" s="223"/>
      <c r="BH60" s="188"/>
    </row>
    <row r="61" spans="1:72" ht="18" x14ac:dyDescent="0.3">
      <c r="J61" s="183"/>
      <c r="K61" s="422"/>
      <c r="L61" s="423"/>
      <c r="P61" s="200"/>
      <c r="BH61" s="188"/>
    </row>
    <row r="62" spans="1:72" x14ac:dyDescent="0.3">
      <c r="J62" s="183"/>
      <c r="K62" s="212"/>
      <c r="L62" s="212"/>
      <c r="P62" s="200"/>
    </row>
    <row r="63" spans="1:72" x14ac:dyDescent="0.3">
      <c r="J63" s="183"/>
      <c r="K63" s="424"/>
      <c r="L63" s="424"/>
      <c r="P63" s="200"/>
    </row>
    <row r="64" spans="1:72" x14ac:dyDescent="0.3">
      <c r="J64" s="183"/>
      <c r="K64" s="183"/>
      <c r="L64" s="183"/>
      <c r="P64" s="200"/>
    </row>
    <row r="65" spans="10:16" x14ac:dyDescent="0.3">
      <c r="J65" s="183"/>
      <c r="K65" s="183"/>
      <c r="L65" s="183"/>
      <c r="P65" s="200"/>
    </row>
    <row r="66" spans="10:16" x14ac:dyDescent="0.3">
      <c r="J66" s="212"/>
      <c r="K66" s="212"/>
      <c r="L66" s="183"/>
    </row>
    <row r="67" spans="10:16" x14ac:dyDescent="0.3">
      <c r="J67" s="183"/>
    </row>
    <row r="68" spans="10:16" x14ac:dyDescent="0.3">
      <c r="J68" s="183"/>
    </row>
    <row r="69" spans="10:16" x14ac:dyDescent="0.3">
      <c r="J69" s="212"/>
    </row>
    <row r="70" spans="10:16" x14ac:dyDescent="0.3">
      <c r="J70" s="183"/>
    </row>
    <row r="79" spans="10:16" x14ac:dyDescent="0.3">
      <c r="N79" s="425"/>
      <c r="O79" s="426"/>
      <c r="P79" s="427"/>
    </row>
  </sheetData>
  <mergeCells count="7">
    <mergeCell ref="N79:P79"/>
    <mergeCell ref="A1:I1"/>
    <mergeCell ref="O1:P1"/>
    <mergeCell ref="Q1:T1"/>
    <mergeCell ref="P32:Q46"/>
    <mergeCell ref="P47:Q50"/>
    <mergeCell ref="P51:Q56"/>
  </mergeCells>
  <conditionalFormatting sqref="N36:N44 K3:L4 K14:L25 K6:L12">
    <cfRule type="cellIs" dxfId="108" priority="39" operator="lessThan">
      <formula>0</formula>
    </cfRule>
  </conditionalFormatting>
  <conditionalFormatting sqref="O39:O43 W32:Y32 AE32:AI32 BE32 AZ32:BA32 AL32:AU32">
    <cfRule type="containsText" dxfId="107" priority="40" operator="containsText" text="OK">
      <formula>NOT(ISERROR(SEARCH("OK",O32)))</formula>
    </cfRule>
  </conditionalFormatting>
  <conditionalFormatting sqref="I29">
    <cfRule type="cellIs" dxfId="106" priority="46" operator="greaterThan">
      <formula>0.1</formula>
    </cfRule>
  </conditionalFormatting>
  <conditionalFormatting sqref="L29 M3:M4 M14:M25 M6:M12">
    <cfRule type="cellIs" dxfId="105" priority="44" operator="lessThan">
      <formula>0</formula>
    </cfRule>
    <cfRule type="cellIs" dxfId="104" priority="45" operator="greaterThan">
      <formula>0</formula>
    </cfRule>
  </conditionalFormatting>
  <conditionalFormatting sqref="U39 U41:U48">
    <cfRule type="containsText" dxfId="103" priority="42" operator="containsText" text="OK">
      <formula>NOT(ISERROR(SEARCH("OK",U39)))</formula>
    </cfRule>
    <cfRule type="containsText" dxfId="102" priority="43" operator="containsText" text="X">
      <formula>NOT(ISERROR(SEARCH("X",U39)))</formula>
    </cfRule>
  </conditionalFormatting>
  <conditionalFormatting sqref="K3:L4 K14:L25 K6:L12">
    <cfRule type="cellIs" dxfId="101" priority="41" operator="greaterThan">
      <formula>0</formula>
    </cfRule>
  </conditionalFormatting>
  <conditionalFormatting sqref="U49">
    <cfRule type="containsText" dxfId="100" priority="37" operator="containsText" text="OK">
      <formula>NOT(ISERROR(SEARCH("OK",U49)))</formula>
    </cfRule>
    <cfRule type="containsText" dxfId="99" priority="38" operator="containsText" text="X">
      <formula>NOT(ISERROR(SEARCH("X",U49)))</formula>
    </cfRule>
  </conditionalFormatting>
  <conditionalFormatting sqref="U32:U38">
    <cfRule type="containsText" dxfId="98" priority="35" operator="containsText" text="OK">
      <formula>NOT(ISERROR(SEARCH("OK",U32)))</formula>
    </cfRule>
    <cfRule type="containsText" dxfId="97" priority="36" operator="containsText" text="X">
      <formula>NOT(ISERROR(SEARCH("X",U32)))</formula>
    </cfRule>
  </conditionalFormatting>
  <conditionalFormatting sqref="U40">
    <cfRule type="containsText" dxfId="96" priority="33" operator="containsText" text="OK">
      <formula>NOT(ISERROR(SEARCH("OK",U40)))</formula>
    </cfRule>
    <cfRule type="containsText" dxfId="95" priority="34" operator="containsText" text="X">
      <formula>NOT(ISERROR(SEARCH("X",U40)))</formula>
    </cfRule>
  </conditionalFormatting>
  <conditionalFormatting sqref="U51">
    <cfRule type="containsText" dxfId="94" priority="31" operator="containsText" text="OK">
      <formula>NOT(ISERROR(SEARCH("OK",U51)))</formula>
    </cfRule>
    <cfRule type="containsText" dxfId="93" priority="32" operator="containsText" text="X">
      <formula>NOT(ISERROR(SEARCH("X",U51)))</formula>
    </cfRule>
  </conditionalFormatting>
  <conditionalFormatting sqref="V51:V56">
    <cfRule type="containsText" dxfId="92" priority="29" operator="containsText" text="OK">
      <formula>NOT(ISERROR(SEARCH("OK",V51)))</formula>
    </cfRule>
    <cfRule type="containsText" dxfId="91" priority="30" operator="containsText" text="X">
      <formula>NOT(ISERROR(SEARCH("X",V51)))</formula>
    </cfRule>
  </conditionalFormatting>
  <conditionalFormatting sqref="U54:U55">
    <cfRule type="containsText" dxfId="90" priority="27" operator="containsText" text="OK">
      <formula>NOT(ISERROR(SEARCH("OK",U54)))</formula>
    </cfRule>
    <cfRule type="containsText" dxfId="89" priority="28" operator="containsText" text="X">
      <formula>NOT(ISERROR(SEARCH("X",U54)))</formula>
    </cfRule>
  </conditionalFormatting>
  <conditionalFormatting sqref="I31">
    <cfRule type="cellIs" dxfId="88" priority="26" operator="lessThan">
      <formula>0</formula>
    </cfRule>
  </conditionalFormatting>
  <conditionalFormatting sqref="V47:V50">
    <cfRule type="containsText" dxfId="87" priority="24" operator="containsText" text="OK">
      <formula>NOT(ISERROR(SEARCH("OK",V47)))</formula>
    </cfRule>
    <cfRule type="containsText" dxfId="86" priority="25" operator="containsText" text="X">
      <formula>NOT(ISERROR(SEARCH("X",V47)))</formula>
    </cfRule>
  </conditionalFormatting>
  <conditionalFormatting sqref="V32:V46">
    <cfRule type="containsText" dxfId="85" priority="22" operator="containsText" text="OK">
      <formula>NOT(ISERROR(SEARCH("OK",V32)))</formula>
    </cfRule>
    <cfRule type="containsText" dxfId="84" priority="23" operator="containsText" text="X">
      <formula>NOT(ISERROR(SEARCH("X",V32)))</formula>
    </cfRule>
  </conditionalFormatting>
  <conditionalFormatting sqref="I3:I4 I6:I25">
    <cfRule type="cellIs" dxfId="83" priority="21" operator="greaterThan">
      <formula>20</formula>
    </cfRule>
  </conditionalFormatting>
  <conditionalFormatting sqref="K13:L13">
    <cfRule type="cellIs" dxfId="82" priority="17" operator="lessThan">
      <formula>0</formula>
    </cfRule>
  </conditionalFormatting>
  <conditionalFormatting sqref="M13">
    <cfRule type="cellIs" dxfId="81" priority="19" operator="lessThan">
      <formula>0</formula>
    </cfRule>
    <cfRule type="cellIs" dxfId="80" priority="20" operator="greaterThan">
      <formula>0</formula>
    </cfRule>
  </conditionalFormatting>
  <conditionalFormatting sqref="K13:L13">
    <cfRule type="cellIs" dxfId="79" priority="18" operator="greaterThan">
      <formula>0</formula>
    </cfRule>
  </conditionalFormatting>
  <conditionalFormatting sqref="K26:L27">
    <cfRule type="cellIs" dxfId="78" priority="13" operator="lessThan">
      <formula>0</formula>
    </cfRule>
  </conditionalFormatting>
  <conditionalFormatting sqref="M26:M27">
    <cfRule type="cellIs" dxfId="77" priority="15" operator="lessThan">
      <formula>0</formula>
    </cfRule>
    <cfRule type="cellIs" dxfId="76" priority="16" operator="greaterThan">
      <formula>0</formula>
    </cfRule>
  </conditionalFormatting>
  <conditionalFormatting sqref="K26:L27">
    <cfRule type="cellIs" dxfId="75" priority="14" operator="greaterThan">
      <formula>0</formula>
    </cfRule>
  </conditionalFormatting>
  <conditionalFormatting sqref="I26:I27">
    <cfRule type="cellIs" dxfId="74" priority="12" operator="greaterThan">
      <formula>20</formula>
    </cfRule>
  </conditionalFormatting>
  <conditionalFormatting sqref="U52">
    <cfRule type="containsText" dxfId="73" priority="10" operator="containsText" text="OK">
      <formula>NOT(ISERROR(SEARCH("OK",U52)))</formula>
    </cfRule>
    <cfRule type="containsText" dxfId="72" priority="11" operator="containsText" text="X">
      <formula>NOT(ISERROR(SEARCH("X",U52)))</formula>
    </cfRule>
  </conditionalFormatting>
  <conditionalFormatting sqref="X50">
    <cfRule type="containsText" dxfId="71" priority="9" operator="containsText" text="OK">
      <formula>NOT(ISERROR(SEARCH("OK",X50)))</formula>
    </cfRule>
  </conditionalFormatting>
  <conditionalFormatting sqref="K5:L5">
    <cfRule type="cellIs" dxfId="70" priority="5" operator="lessThan">
      <formula>0</formula>
    </cfRule>
  </conditionalFormatting>
  <conditionalFormatting sqref="M5">
    <cfRule type="cellIs" dxfId="69" priority="7" operator="lessThan">
      <formula>0</formula>
    </cfRule>
    <cfRule type="cellIs" dxfId="68" priority="8" operator="greaterThan">
      <formula>0</formula>
    </cfRule>
  </conditionalFormatting>
  <conditionalFormatting sqref="K5:L5">
    <cfRule type="cellIs" dxfId="67" priority="6" operator="greaterThan">
      <formula>0</formula>
    </cfRule>
  </conditionalFormatting>
  <conditionalFormatting sqref="I5">
    <cfRule type="cellIs" dxfId="66" priority="4" operator="greaterThan">
      <formula>20</formula>
    </cfRule>
  </conditionalFormatting>
  <conditionalFormatting sqref="X61">
    <cfRule type="containsText" dxfId="65" priority="3" operator="containsText" text="OK">
      <formula>NOT(ISERROR(SEARCH("OK",X61)))</formula>
    </cfRule>
  </conditionalFormatting>
  <conditionalFormatting sqref="X63">
    <cfRule type="containsText" dxfId="64" priority="2" operator="containsText" text="OK">
      <formula>NOT(ISERROR(SEARCH("OK",X63)))</formula>
    </cfRule>
  </conditionalFormatting>
  <conditionalFormatting sqref="X65">
    <cfRule type="containsText" dxfId="63" priority="1" operator="containsText" text="OK">
      <formula>NOT(ISERROR(SEARCH("OK",X65)))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1]!Mail_small_Text_Outlook" altText="Envoie Mail VL">
                <anchor moveWithCells="1" sizeWithCells="1">
                  <from>
                    <xdr:col>2</xdr:col>
                    <xdr:colOff>2495550</xdr:colOff>
                    <xdr:row>0</xdr:row>
                    <xdr:rowOff>0</xdr:rowOff>
                  </from>
                  <to>
                    <xdr:col>5</xdr:col>
                    <xdr:colOff>19050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54A90C-FBE8-42DB-9741-D4BCC167F594}">
  <sheetPr codeName="Feuil861">
    <pageSetUpPr fitToPage="1"/>
  </sheetPr>
  <dimension ref="A1:BT79"/>
  <sheetViews>
    <sheetView showGridLines="0" zoomScale="85" zoomScaleNormal="85" workbookViewId="0">
      <pane xSplit="3" ySplit="2" topLeftCell="E25" activePane="bottomRight" state="frozen"/>
      <selection activeCell="O52" sqref="O52"/>
      <selection pane="topRight" activeCell="O52" sqref="O52"/>
      <selection pane="bottomLeft" activeCell="O52" sqref="O52"/>
      <selection pane="bottomRight" activeCell="N34" sqref="N34"/>
    </sheetView>
  </sheetViews>
  <sheetFormatPr baseColWidth="10" defaultColWidth="10.7109375" defaultRowHeight="16.5" x14ac:dyDescent="0.3"/>
  <cols>
    <col min="1" max="1" width="15.7109375" style="19" hidden="1" customWidth="1"/>
    <col min="2" max="2" width="14.28515625" style="19" customWidth="1"/>
    <col min="3" max="3" width="37.42578125" style="19" customWidth="1"/>
    <col min="4" max="4" width="9.42578125" style="19" customWidth="1"/>
    <col min="5" max="5" width="10.28515625" style="19" customWidth="1"/>
    <col min="6" max="6" width="11.140625" style="19" customWidth="1"/>
    <col min="7" max="7" width="12.28515625" style="19" customWidth="1"/>
    <col min="8" max="8" width="16" style="19" customWidth="1"/>
    <col min="9" max="9" width="11.7109375" style="19" bestFit="1" customWidth="1"/>
    <col min="10" max="10" width="12.5703125" style="19" customWidth="1"/>
    <col min="11" max="11" width="10.28515625" style="19" customWidth="1"/>
    <col min="12" max="12" width="10.140625" style="19" customWidth="1"/>
    <col min="13" max="13" width="11.5703125" style="19" customWidth="1"/>
    <col min="14" max="14" width="11.28515625" style="19" customWidth="1"/>
    <col min="15" max="15" width="12.85546875" style="182" customWidth="1"/>
    <col min="16" max="16" width="16" style="19" customWidth="1"/>
    <col min="17" max="17" width="9.140625" style="19" customWidth="1"/>
    <col min="18" max="18" width="12.7109375" style="19" customWidth="1"/>
    <col min="19" max="19" width="14.85546875" style="19" customWidth="1"/>
    <col min="20" max="20" width="15.5703125" style="19" customWidth="1"/>
    <col min="21" max="21" width="8.5703125" style="19" customWidth="1"/>
    <col min="22" max="22" width="9.5703125" style="19" customWidth="1"/>
    <col min="23" max="23" width="7.7109375" style="19" customWidth="1"/>
    <col min="24" max="24" width="7.85546875" style="19" customWidth="1"/>
    <col min="25" max="25" width="9.28515625" style="19" customWidth="1"/>
    <col min="26" max="26" width="11.140625" style="204" customWidth="1"/>
    <col min="28" max="28" width="11.5703125" style="19" customWidth="1"/>
    <col min="29" max="29" width="13.7109375" style="19" customWidth="1"/>
    <col min="30" max="30" width="10.7109375" style="19"/>
    <col min="31" max="31" width="10.42578125" style="19" customWidth="1"/>
    <col min="32" max="33" width="10.7109375" style="19"/>
    <col min="34" max="34" width="10.7109375" style="186"/>
    <col min="35" max="35" width="15" style="19" customWidth="1"/>
    <col min="36" max="36" width="11.140625" style="19" customWidth="1"/>
    <col min="37" max="37" width="12.5703125" style="19" customWidth="1"/>
    <col min="38" max="38" width="11.42578125" style="19" customWidth="1"/>
    <col min="39" max="39" width="15.140625" style="19" customWidth="1"/>
    <col min="40" max="40" width="11.42578125" style="19" customWidth="1"/>
    <col min="41" max="42" width="10.7109375" style="186"/>
    <col min="43" max="43" width="17.7109375" style="19" customWidth="1"/>
    <col min="44" max="44" width="12" style="19" customWidth="1"/>
    <col min="45" max="46" width="10.7109375" style="186"/>
    <col min="47" max="47" width="11" style="19" customWidth="1"/>
    <col min="48" max="50" width="10.7109375" style="186"/>
    <col min="51" max="51" width="19.42578125" style="186" bestFit="1" customWidth="1"/>
    <col min="52" max="52" width="11.7109375" style="19" customWidth="1"/>
    <col min="53" max="53" width="9.7109375" style="19" customWidth="1"/>
    <col min="54" max="54" width="12.85546875" style="19" customWidth="1"/>
    <col min="55" max="55" width="25.85546875" style="19" bestFit="1" customWidth="1"/>
    <col min="56" max="56" width="15" style="19" customWidth="1"/>
    <col min="57" max="57" width="13.5703125" style="183" customWidth="1"/>
    <col min="58" max="58" width="13.7109375" style="183" customWidth="1"/>
    <col min="59" max="59" width="17.85546875" style="186" bestFit="1" customWidth="1"/>
    <col min="60" max="60" width="20.140625" style="201" bestFit="1" customWidth="1"/>
    <col min="61" max="61" width="13.5703125" style="19" customWidth="1"/>
    <col min="62" max="62" width="14.42578125" style="20" customWidth="1"/>
    <col min="63" max="63" width="13.140625" style="19" customWidth="1"/>
    <col min="64" max="64" width="7.7109375" style="19" customWidth="1"/>
    <col min="65" max="65" width="6.5703125" style="19" customWidth="1"/>
    <col min="66" max="66" width="18.42578125" style="19" customWidth="1"/>
    <col min="67" max="67" width="10.7109375" style="19"/>
    <col min="68" max="71" width="10.7109375" style="186"/>
    <col min="72" max="72" width="10.7109375" style="20"/>
    <col min="73" max="73" width="11.5703125" style="19" customWidth="1"/>
    <col min="74" max="16384" width="10.7109375" style="19"/>
  </cols>
  <sheetData>
    <row r="1" spans="1:72" x14ac:dyDescent="0.25">
      <c r="A1" s="1">
        <v>0</v>
      </c>
      <c r="B1" s="1"/>
      <c r="C1" s="1"/>
      <c r="D1" s="1"/>
      <c r="E1" s="1"/>
      <c r="F1" s="1"/>
      <c r="G1" s="1"/>
      <c r="H1" s="1"/>
      <c r="I1" s="1"/>
      <c r="J1" s="2"/>
      <c r="K1" s="2" t="s">
        <v>0</v>
      </c>
      <c r="L1" s="3"/>
      <c r="M1" s="3"/>
      <c r="N1" s="4"/>
      <c r="O1" s="5" t="s">
        <v>1</v>
      </c>
      <c r="P1" s="6"/>
      <c r="Q1" s="7" t="s">
        <v>2</v>
      </c>
      <c r="R1" s="8"/>
      <c r="S1" s="8"/>
      <c r="T1" s="8"/>
      <c r="U1" s="2"/>
      <c r="V1" s="2"/>
      <c r="W1" s="2"/>
      <c r="X1" s="2" t="s">
        <v>3</v>
      </c>
      <c r="Y1" s="2"/>
      <c r="Z1" s="9"/>
      <c r="AA1" s="3"/>
      <c r="AB1" s="10" t="s">
        <v>4</v>
      </c>
      <c r="AC1" s="10"/>
      <c r="AD1" s="11"/>
      <c r="AE1" s="10"/>
      <c r="AF1" s="10"/>
      <c r="AG1" s="10"/>
      <c r="AH1" s="10"/>
      <c r="AI1" s="12" t="s">
        <v>5</v>
      </c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4" t="s">
        <v>6</v>
      </c>
      <c r="AU1" s="14"/>
      <c r="AV1" s="14"/>
      <c r="AW1" s="15"/>
      <c r="AX1" s="16"/>
      <c r="AY1" s="17"/>
      <c r="AZ1" s="18"/>
      <c r="BA1" s="18"/>
      <c r="BB1" s="18"/>
      <c r="BE1" s="19"/>
      <c r="BF1" s="20"/>
      <c r="BG1" s="19"/>
      <c r="BH1" s="19"/>
      <c r="BJ1" s="19"/>
      <c r="BP1" s="19"/>
      <c r="BQ1" s="19"/>
      <c r="BR1" s="19"/>
      <c r="BS1" s="19"/>
      <c r="BT1" s="19"/>
    </row>
    <row r="2" spans="1:72" s="50" customFormat="1" ht="99.75" customHeight="1" x14ac:dyDescent="0.25">
      <c r="A2" s="21" t="s">
        <v>7</v>
      </c>
      <c r="B2" s="22" t="s">
        <v>8</v>
      </c>
      <c r="C2" s="23" t="s">
        <v>9</v>
      </c>
      <c r="D2" s="22" t="s">
        <v>10</v>
      </c>
      <c r="E2" s="22" t="s">
        <v>11</v>
      </c>
      <c r="F2" s="24" t="s">
        <v>12</v>
      </c>
      <c r="G2" s="25" t="s">
        <v>13</v>
      </c>
      <c r="H2" s="25" t="s">
        <v>14</v>
      </c>
      <c r="I2" s="26" t="s">
        <v>15</v>
      </c>
      <c r="J2" s="26" t="s">
        <v>16</v>
      </c>
      <c r="K2" s="27" t="s">
        <v>17</v>
      </c>
      <c r="L2" s="27" t="s">
        <v>18</v>
      </c>
      <c r="M2" s="27" t="s">
        <v>19</v>
      </c>
      <c r="N2" s="28" t="s">
        <v>20</v>
      </c>
      <c r="O2" s="29" t="s">
        <v>1</v>
      </c>
      <c r="P2" s="30" t="s">
        <v>21</v>
      </c>
      <c r="Q2" s="30" t="s">
        <v>22</v>
      </c>
      <c r="R2" s="30" t="s">
        <v>23</v>
      </c>
      <c r="S2" s="30" t="s">
        <v>24</v>
      </c>
      <c r="T2" s="30" t="s">
        <v>25</v>
      </c>
      <c r="U2" s="31" t="s">
        <v>26</v>
      </c>
      <c r="V2" s="32" t="s">
        <v>27</v>
      </c>
      <c r="W2" s="33" t="s">
        <v>28</v>
      </c>
      <c r="X2" s="33" t="s">
        <v>29</v>
      </c>
      <c r="Y2" s="34" t="s">
        <v>30</v>
      </c>
      <c r="Z2" s="33" t="s">
        <v>31</v>
      </c>
      <c r="AA2" s="33" t="s">
        <v>32</v>
      </c>
      <c r="AB2" s="35" t="s">
        <v>33</v>
      </c>
      <c r="AC2" s="36" t="s">
        <v>34</v>
      </c>
      <c r="AD2" s="36" t="s">
        <v>35</v>
      </c>
      <c r="AE2" s="36" t="s">
        <v>36</v>
      </c>
      <c r="AF2" s="37" t="s">
        <v>37</v>
      </c>
      <c r="AG2" s="38" t="s">
        <v>38</v>
      </c>
      <c r="AH2" s="38" t="s">
        <v>39</v>
      </c>
      <c r="AI2" s="39" t="s">
        <v>40</v>
      </c>
      <c r="AJ2" s="40" t="s">
        <v>41</v>
      </c>
      <c r="AK2" s="40" t="s">
        <v>42</v>
      </c>
      <c r="AL2" s="40" t="s">
        <v>43</v>
      </c>
      <c r="AM2" s="39" t="s">
        <v>44</v>
      </c>
      <c r="AN2" s="39" t="s">
        <v>45</v>
      </c>
      <c r="AO2" s="39" t="s">
        <v>46</v>
      </c>
      <c r="AP2" s="40" t="s">
        <v>47</v>
      </c>
      <c r="AQ2" s="40" t="s">
        <v>48</v>
      </c>
      <c r="AR2" s="39" t="s">
        <v>49</v>
      </c>
      <c r="AS2" s="39" t="s">
        <v>50</v>
      </c>
      <c r="AT2" s="41" t="s">
        <v>51</v>
      </c>
      <c r="AU2" s="41" t="s">
        <v>52</v>
      </c>
      <c r="AV2" s="42" t="s">
        <v>53</v>
      </c>
      <c r="AW2" s="43" t="s">
        <v>54</v>
      </c>
      <c r="AX2" s="42" t="s">
        <v>55</v>
      </c>
      <c r="AY2" s="44" t="s">
        <v>56</v>
      </c>
      <c r="AZ2" s="45" t="s">
        <v>57</v>
      </c>
      <c r="BA2" s="45" t="s">
        <v>58</v>
      </c>
      <c r="BB2" s="45" t="s">
        <v>59</v>
      </c>
      <c r="BC2" s="46" t="s">
        <v>60</v>
      </c>
      <c r="BD2" s="47" t="s">
        <v>61</v>
      </c>
      <c r="BE2" s="48" t="s">
        <v>62</v>
      </c>
      <c r="BF2" s="49" t="s">
        <v>63</v>
      </c>
      <c r="BG2" s="47" t="s">
        <v>64</v>
      </c>
    </row>
    <row r="3" spans="1:72" ht="16.5" customHeight="1" x14ac:dyDescent="0.25">
      <c r="A3" s="51"/>
      <c r="B3" s="52"/>
      <c r="C3" s="53"/>
      <c r="D3" s="53"/>
      <c r="E3" s="54"/>
      <c r="F3" s="55"/>
      <c r="G3" s="56"/>
      <c r="H3" s="57"/>
      <c r="I3" s="58"/>
      <c r="J3" s="59"/>
      <c r="K3" s="60"/>
      <c r="L3" s="61"/>
      <c r="M3" s="62"/>
      <c r="N3" s="63"/>
      <c r="O3" s="64"/>
      <c r="P3" s="65"/>
      <c r="Q3" s="66"/>
      <c r="R3" s="67"/>
      <c r="S3" s="68"/>
      <c r="T3" s="69"/>
      <c r="U3" s="70"/>
      <c r="V3" s="71"/>
      <c r="W3" s="72"/>
      <c r="X3" s="73"/>
      <c r="Y3" s="74"/>
      <c r="Z3" s="75"/>
      <c r="AA3" s="75"/>
      <c r="AB3" s="73"/>
      <c r="AC3" s="73"/>
      <c r="AD3" s="73"/>
      <c r="AE3" s="73"/>
      <c r="AF3" s="73"/>
      <c r="AG3" s="73"/>
      <c r="AH3" s="73"/>
      <c r="AI3" s="74"/>
      <c r="AJ3" s="74"/>
      <c r="AK3" s="74"/>
      <c r="AL3" s="74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7"/>
      <c r="AZ3" s="78"/>
      <c r="BA3" s="78"/>
      <c r="BB3" s="79"/>
      <c r="BC3" s="80"/>
      <c r="BD3" s="81"/>
      <c r="BE3" s="82"/>
      <c r="BF3" s="70"/>
      <c r="BG3" s="81"/>
      <c r="BH3" s="19"/>
      <c r="BJ3" s="19"/>
      <c r="BN3" s="83">
        <f>Tableau240723[[#This Row],[% Sensi actions]]-Tableau240723[[#This Row],[Exp nette action]]</f>
        <v>0</v>
      </c>
      <c r="BP3" s="19"/>
      <c r="BQ3" s="19"/>
      <c r="BR3" s="19"/>
      <c r="BS3" s="19"/>
      <c r="BT3" s="19"/>
    </row>
    <row r="4" spans="1:72" x14ac:dyDescent="0.25">
      <c r="A4" s="84"/>
      <c r="B4" s="85"/>
      <c r="C4" s="86"/>
      <c r="D4" s="86"/>
      <c r="E4" s="87"/>
      <c r="F4" s="55"/>
      <c r="G4" s="56"/>
      <c r="H4" s="88"/>
      <c r="I4" s="58"/>
      <c r="J4" s="59"/>
      <c r="K4" s="60"/>
      <c r="L4" s="61"/>
      <c r="M4" s="62"/>
      <c r="N4" s="63"/>
      <c r="O4" s="89"/>
      <c r="P4" s="65"/>
      <c r="Q4" s="66"/>
      <c r="R4" s="90"/>
      <c r="S4" s="91"/>
      <c r="T4" s="69"/>
      <c r="U4" s="92"/>
      <c r="V4" s="93"/>
      <c r="W4" s="72"/>
      <c r="X4" s="73"/>
      <c r="Y4" s="74"/>
      <c r="Z4" s="75"/>
      <c r="AA4" s="75"/>
      <c r="AB4" s="73"/>
      <c r="AC4" s="73"/>
      <c r="AD4" s="73"/>
      <c r="AE4" s="73"/>
      <c r="AF4" s="73"/>
      <c r="AG4" s="73"/>
      <c r="AH4" s="73"/>
      <c r="AI4" s="74"/>
      <c r="AJ4" s="74"/>
      <c r="AK4" s="74"/>
      <c r="AL4" s="74"/>
      <c r="AM4" s="74"/>
      <c r="AN4" s="74"/>
      <c r="AO4" s="74"/>
      <c r="AP4" s="74"/>
      <c r="AQ4" s="74"/>
      <c r="AR4" s="74"/>
      <c r="AS4" s="74"/>
      <c r="AT4" s="74"/>
      <c r="AU4" s="74"/>
      <c r="AV4" s="74"/>
      <c r="AW4" s="74"/>
      <c r="AX4" s="74"/>
      <c r="AY4" s="77"/>
      <c r="AZ4" s="78"/>
      <c r="BA4" s="78"/>
      <c r="BB4" s="79"/>
      <c r="BC4" s="80"/>
      <c r="BD4" s="94"/>
      <c r="BE4" s="95"/>
      <c r="BF4" s="70"/>
      <c r="BG4" s="81"/>
      <c r="BH4" s="19"/>
      <c r="BJ4" s="19"/>
      <c r="BN4" s="83">
        <f>Tableau240723[[#This Row],[% Sensi actions]]-Tableau240723[[#This Row],[Exp nette action]]</f>
        <v>0</v>
      </c>
      <c r="BP4" s="19"/>
      <c r="BQ4" s="96" t="s">
        <v>65</v>
      </c>
      <c r="BR4" s="96">
        <f>VLC</f>
        <v>10.48</v>
      </c>
      <c r="BS4" s="97">
        <f>H43</f>
        <v>9.5510983763125168E-4</v>
      </c>
      <c r="BT4" s="97">
        <f>K33</f>
        <v>0</v>
      </c>
    </row>
    <row r="5" spans="1:72" x14ac:dyDescent="0.25">
      <c r="A5" s="84"/>
      <c r="B5" s="85"/>
      <c r="C5" s="86"/>
      <c r="D5" s="86"/>
      <c r="E5" s="87"/>
      <c r="F5" s="55"/>
      <c r="G5" s="56"/>
      <c r="H5" s="88"/>
      <c r="I5" s="58"/>
      <c r="J5" s="59"/>
      <c r="K5" s="60"/>
      <c r="L5" s="61"/>
      <c r="M5" s="62"/>
      <c r="N5" s="63"/>
      <c r="O5" s="89"/>
      <c r="P5" s="65"/>
      <c r="Q5" s="66"/>
      <c r="R5" s="90"/>
      <c r="S5" s="91"/>
      <c r="T5" s="69"/>
      <c r="U5" s="92"/>
      <c r="V5" s="93"/>
      <c r="W5" s="72"/>
      <c r="X5" s="73"/>
      <c r="Y5" s="74"/>
      <c r="Z5" s="75"/>
      <c r="AA5" s="75"/>
      <c r="AB5" s="73"/>
      <c r="AC5" s="73"/>
      <c r="AD5" s="73"/>
      <c r="AE5" s="73"/>
      <c r="AF5" s="73"/>
      <c r="AG5" s="73"/>
      <c r="AH5" s="73"/>
      <c r="AI5" s="74"/>
      <c r="AJ5" s="74"/>
      <c r="AK5" s="74"/>
      <c r="AL5" s="74"/>
      <c r="AM5" s="74"/>
      <c r="AN5" s="74"/>
      <c r="AO5" s="74"/>
      <c r="AP5" s="74"/>
      <c r="AQ5" s="74"/>
      <c r="AR5" s="74"/>
      <c r="AS5" s="74"/>
      <c r="AT5" s="74"/>
      <c r="AU5" s="74"/>
      <c r="AV5" s="74"/>
      <c r="AW5" s="74"/>
      <c r="AX5" s="74"/>
      <c r="AY5" s="77"/>
      <c r="AZ5" s="78"/>
      <c r="BA5" s="78"/>
      <c r="BB5" s="79"/>
      <c r="BC5" s="80"/>
      <c r="BD5" s="94"/>
      <c r="BE5" s="95"/>
      <c r="BF5" s="70"/>
      <c r="BG5" s="81"/>
      <c r="BH5" s="19"/>
      <c r="BJ5" s="19"/>
      <c r="BN5" s="83">
        <f>Tableau240723[[#This Row],[% Sensi actions]]-Tableau240723[[#This Row],[Exp nette action]]</f>
        <v>0</v>
      </c>
      <c r="BP5" s="19"/>
      <c r="BQ5" s="96" t="s">
        <v>66</v>
      </c>
      <c r="BR5" s="96"/>
      <c r="BS5" s="96"/>
      <c r="BT5" s="96"/>
    </row>
    <row r="6" spans="1:72" x14ac:dyDescent="0.25">
      <c r="A6" s="84"/>
      <c r="B6" s="98"/>
      <c r="C6" s="86"/>
      <c r="D6" s="86"/>
      <c r="E6" s="87"/>
      <c r="F6" s="55"/>
      <c r="G6" s="56"/>
      <c r="H6" s="57"/>
      <c r="I6" s="58"/>
      <c r="J6" s="59"/>
      <c r="K6" s="60"/>
      <c r="L6" s="61"/>
      <c r="M6" s="62"/>
      <c r="N6" s="99"/>
      <c r="O6" s="100"/>
      <c r="P6" s="65"/>
      <c r="Q6" s="66"/>
      <c r="R6" s="90"/>
      <c r="S6" s="91"/>
      <c r="T6" s="69"/>
      <c r="U6" s="92"/>
      <c r="V6" s="93"/>
      <c r="W6" s="72"/>
      <c r="X6" s="73"/>
      <c r="Y6" s="74"/>
      <c r="Z6" s="75"/>
      <c r="AA6" s="75"/>
      <c r="AB6" s="73"/>
      <c r="AC6" s="73"/>
      <c r="AD6" s="73"/>
      <c r="AE6" s="73"/>
      <c r="AF6" s="73"/>
      <c r="AG6" s="73"/>
      <c r="AH6" s="73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  <c r="AW6" s="74"/>
      <c r="AX6" s="74"/>
      <c r="AY6" s="77"/>
      <c r="AZ6" s="78"/>
      <c r="BA6" s="78"/>
      <c r="BB6" s="79"/>
      <c r="BC6" s="80"/>
      <c r="BD6" s="81"/>
      <c r="BE6" s="101"/>
      <c r="BF6" s="70"/>
      <c r="BG6" s="81"/>
      <c r="BH6" s="19"/>
      <c r="BJ6" s="19"/>
      <c r="BN6" s="83">
        <f>Tableau240723[[#This Row],[% Sensi actions]]-Tableau240723[[#This Row],[Exp nette action]]</f>
        <v>0</v>
      </c>
      <c r="BP6" s="19"/>
      <c r="BQ6" s="19"/>
      <c r="BR6" s="19"/>
      <c r="BS6" s="19"/>
      <c r="BT6" s="19"/>
    </row>
    <row r="7" spans="1:72" x14ac:dyDescent="0.25">
      <c r="A7" s="84"/>
      <c r="B7" s="98"/>
      <c r="C7" s="86"/>
      <c r="D7" s="86"/>
      <c r="E7" s="87"/>
      <c r="F7" s="55"/>
      <c r="G7" s="56"/>
      <c r="H7" s="102"/>
      <c r="I7" s="58"/>
      <c r="J7" s="59"/>
      <c r="K7" s="60"/>
      <c r="L7" s="103"/>
      <c r="M7" s="104"/>
      <c r="N7" s="105"/>
      <c r="O7" s="100"/>
      <c r="P7" s="65"/>
      <c r="Q7" s="66"/>
      <c r="R7" s="90"/>
      <c r="S7" s="91"/>
      <c r="T7" s="69"/>
      <c r="U7" s="92"/>
      <c r="V7" s="93"/>
      <c r="W7" s="72"/>
      <c r="X7" s="73"/>
      <c r="Y7" s="74"/>
      <c r="Z7" s="75"/>
      <c r="AA7" s="75"/>
      <c r="AB7" s="73"/>
      <c r="AC7" s="73"/>
      <c r="AD7" s="73"/>
      <c r="AE7" s="73"/>
      <c r="AF7" s="73"/>
      <c r="AG7" s="73"/>
      <c r="AH7" s="73"/>
      <c r="AI7" s="74"/>
      <c r="AJ7" s="74"/>
      <c r="AK7" s="74"/>
      <c r="AL7" s="74"/>
      <c r="AM7" s="74"/>
      <c r="AN7" s="74"/>
      <c r="AO7" s="74"/>
      <c r="AP7" s="74"/>
      <c r="AQ7" s="74"/>
      <c r="AR7" s="74"/>
      <c r="AS7" s="74"/>
      <c r="AT7" s="74"/>
      <c r="AU7" s="74"/>
      <c r="AV7" s="74"/>
      <c r="AW7" s="74"/>
      <c r="AX7" s="74"/>
      <c r="AY7" s="77"/>
      <c r="AZ7" s="78"/>
      <c r="BA7" s="78"/>
      <c r="BB7" s="79"/>
      <c r="BC7" s="106"/>
      <c r="BD7" s="94"/>
      <c r="BE7" s="95"/>
      <c r="BF7" s="70"/>
      <c r="BG7" s="81"/>
      <c r="BH7" s="19"/>
      <c r="BJ7" s="19"/>
      <c r="BN7" s="83">
        <f>Tableau240723[[#This Row],[% Sensi actions]]-Tableau240723[[#This Row],[Exp nette action]]</f>
        <v>0</v>
      </c>
      <c r="BP7" s="19"/>
      <c r="BQ7" s="19"/>
      <c r="BR7" s="19"/>
      <c r="BS7" s="19"/>
      <c r="BT7" s="19"/>
    </row>
    <row r="8" spans="1:72" x14ac:dyDescent="0.25">
      <c r="A8" s="84"/>
      <c r="B8" s="98"/>
      <c r="C8" s="86"/>
      <c r="D8" s="86"/>
      <c r="E8" s="87"/>
      <c r="F8" s="55"/>
      <c r="G8" s="107"/>
      <c r="H8" s="108"/>
      <c r="I8" s="58"/>
      <c r="J8" s="59"/>
      <c r="K8" s="60"/>
      <c r="L8" s="103"/>
      <c r="M8" s="104"/>
      <c r="N8" s="105"/>
      <c r="O8" s="109"/>
      <c r="P8" s="65"/>
      <c r="Q8" s="66"/>
      <c r="R8" s="90"/>
      <c r="S8" s="91"/>
      <c r="T8" s="69"/>
      <c r="U8" s="92"/>
      <c r="V8" s="93"/>
      <c r="W8" s="72"/>
      <c r="X8" s="73"/>
      <c r="Y8" s="74"/>
      <c r="Z8" s="75"/>
      <c r="AA8" s="75"/>
      <c r="AB8" s="73"/>
      <c r="AC8" s="73"/>
      <c r="AD8" s="73"/>
      <c r="AE8" s="73"/>
      <c r="AF8" s="73"/>
      <c r="AG8" s="73"/>
      <c r="AH8" s="73"/>
      <c r="AI8" s="74"/>
      <c r="AJ8" s="74"/>
      <c r="AK8" s="74"/>
      <c r="AL8" s="74"/>
      <c r="AM8" s="74"/>
      <c r="AN8" s="74"/>
      <c r="AO8" s="74"/>
      <c r="AP8" s="74"/>
      <c r="AQ8" s="74"/>
      <c r="AR8" s="74"/>
      <c r="AS8" s="74"/>
      <c r="AT8" s="74"/>
      <c r="AU8" s="74"/>
      <c r="AV8" s="74"/>
      <c r="AW8" s="74"/>
      <c r="AX8" s="74"/>
      <c r="AY8" s="77"/>
      <c r="AZ8" s="78"/>
      <c r="BA8" s="78"/>
      <c r="BB8" s="79"/>
      <c r="BC8" s="80"/>
      <c r="BD8" s="94"/>
      <c r="BE8" s="110"/>
      <c r="BF8" s="70"/>
      <c r="BG8" s="81"/>
      <c r="BH8" s="19"/>
      <c r="BJ8" s="19"/>
      <c r="BN8" s="83">
        <f>Tableau240723[[#This Row],[% Sensi actions]]-Tableau240723[[#This Row],[Exp nette action]]</f>
        <v>0</v>
      </c>
      <c r="BP8" s="19"/>
      <c r="BQ8" s="19"/>
      <c r="BR8" s="19"/>
      <c r="BS8" s="19"/>
      <c r="BT8" s="19"/>
    </row>
    <row r="9" spans="1:72" x14ac:dyDescent="0.25">
      <c r="A9" s="84"/>
      <c r="B9" s="98"/>
      <c r="C9" s="86"/>
      <c r="D9" s="86"/>
      <c r="E9" s="87"/>
      <c r="F9" s="55"/>
      <c r="G9" s="107"/>
      <c r="H9" s="108"/>
      <c r="I9" s="58"/>
      <c r="J9" s="59"/>
      <c r="K9" s="60"/>
      <c r="L9" s="103"/>
      <c r="M9" s="104"/>
      <c r="N9" s="105"/>
      <c r="O9" s="100"/>
      <c r="P9" s="65"/>
      <c r="Q9" s="66"/>
      <c r="R9" s="90"/>
      <c r="S9" s="91"/>
      <c r="T9" s="69"/>
      <c r="U9" s="111"/>
      <c r="V9" s="93"/>
      <c r="W9" s="72"/>
      <c r="X9" s="73"/>
      <c r="Y9" s="74"/>
      <c r="Z9" s="75"/>
      <c r="AA9" s="75"/>
      <c r="AB9" s="73"/>
      <c r="AC9" s="73"/>
      <c r="AD9" s="73"/>
      <c r="AE9" s="73"/>
      <c r="AF9" s="73"/>
      <c r="AG9" s="73"/>
      <c r="AH9" s="73"/>
      <c r="AI9" s="74"/>
      <c r="AJ9" s="74"/>
      <c r="AK9" s="74"/>
      <c r="AL9" s="74"/>
      <c r="AM9" s="74"/>
      <c r="AN9" s="74"/>
      <c r="AO9" s="74"/>
      <c r="AP9" s="74"/>
      <c r="AQ9" s="74"/>
      <c r="AR9" s="74"/>
      <c r="AS9" s="74"/>
      <c r="AT9" s="74"/>
      <c r="AU9" s="74"/>
      <c r="AV9" s="74"/>
      <c r="AW9" s="74"/>
      <c r="AX9" s="74"/>
      <c r="AY9" s="77"/>
      <c r="AZ9" s="78"/>
      <c r="BA9" s="78"/>
      <c r="BB9" s="79"/>
      <c r="BC9" s="80"/>
      <c r="BD9" s="94"/>
      <c r="BE9" s="110"/>
      <c r="BF9" s="70"/>
      <c r="BG9" s="81"/>
      <c r="BH9" s="19"/>
      <c r="BJ9" s="19"/>
      <c r="BN9" s="83">
        <f>Tableau240723[[#This Row],[% Sensi actions]]-Tableau240723[[#This Row],[Exp nette action]]</f>
        <v>0</v>
      </c>
      <c r="BP9" s="19"/>
      <c r="BQ9" s="19"/>
      <c r="BR9" s="19"/>
      <c r="BS9" s="19"/>
      <c r="BT9" s="19"/>
    </row>
    <row r="10" spans="1:72" x14ac:dyDescent="0.25">
      <c r="A10" s="84"/>
      <c r="B10" s="85"/>
      <c r="C10" s="112"/>
      <c r="D10" s="112"/>
      <c r="E10" s="87"/>
      <c r="F10" s="55"/>
      <c r="G10" s="107"/>
      <c r="H10" s="108"/>
      <c r="I10" s="58"/>
      <c r="J10" s="59"/>
      <c r="K10" s="60"/>
      <c r="L10" s="103"/>
      <c r="M10" s="104"/>
      <c r="N10" s="105"/>
      <c r="O10" s="100"/>
      <c r="P10" s="65"/>
      <c r="Q10" s="66"/>
      <c r="R10" s="90"/>
      <c r="S10" s="91"/>
      <c r="T10" s="69"/>
      <c r="U10" s="113"/>
      <c r="V10" s="114"/>
      <c r="W10" s="72"/>
      <c r="X10" s="73"/>
      <c r="Y10" s="74"/>
      <c r="Z10" s="75"/>
      <c r="AA10" s="75"/>
      <c r="AB10" s="73"/>
      <c r="AC10" s="73"/>
      <c r="AD10" s="73"/>
      <c r="AE10" s="73"/>
      <c r="AF10" s="73"/>
      <c r="AG10" s="73"/>
      <c r="AH10" s="73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  <c r="AY10" s="77"/>
      <c r="AZ10" s="78"/>
      <c r="BA10" s="78"/>
      <c r="BB10" s="79"/>
      <c r="BC10" s="80"/>
      <c r="BD10" s="94"/>
      <c r="BE10" s="110"/>
      <c r="BF10" s="70"/>
      <c r="BG10" s="81"/>
      <c r="BH10" s="19"/>
      <c r="BJ10" s="19"/>
      <c r="BN10" s="83">
        <f>Tableau240723[[#This Row],[% Sensi actions]]-Tableau240723[[#This Row],[Exp nette action]]</f>
        <v>0</v>
      </c>
      <c r="BP10" s="19"/>
      <c r="BQ10" s="19"/>
      <c r="BR10" s="19"/>
      <c r="BS10" s="19"/>
      <c r="BT10" s="19"/>
    </row>
    <row r="11" spans="1:72" x14ac:dyDescent="0.25">
      <c r="A11" s="84"/>
      <c r="B11" s="98"/>
      <c r="C11" s="86"/>
      <c r="D11" s="86"/>
      <c r="E11" s="87"/>
      <c r="F11" s="55"/>
      <c r="G11" s="107"/>
      <c r="H11" s="115"/>
      <c r="I11" s="58"/>
      <c r="J11" s="59"/>
      <c r="K11" s="60"/>
      <c r="L11" s="103"/>
      <c r="M11" s="104"/>
      <c r="N11" s="105"/>
      <c r="O11" s="100"/>
      <c r="P11" s="65"/>
      <c r="Q11" s="66"/>
      <c r="R11" s="90"/>
      <c r="S11" s="91"/>
      <c r="T11" s="69"/>
      <c r="U11" s="113"/>
      <c r="V11" s="114"/>
      <c r="W11" s="72"/>
      <c r="X11" s="74"/>
      <c r="Y11" s="74"/>
      <c r="Z11" s="75"/>
      <c r="AA11" s="75"/>
      <c r="AB11" s="74"/>
      <c r="AC11" s="73"/>
      <c r="AD11" s="73"/>
      <c r="AE11" s="73"/>
      <c r="AF11" s="73"/>
      <c r="AG11" s="73"/>
      <c r="AH11" s="73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7"/>
      <c r="AZ11" s="78"/>
      <c r="BA11" s="78"/>
      <c r="BB11" s="79"/>
      <c r="BC11" s="116"/>
      <c r="BD11" s="94"/>
      <c r="BE11" s="95"/>
      <c r="BF11" s="70"/>
      <c r="BG11" s="81"/>
      <c r="BH11" s="19"/>
      <c r="BJ11" s="19"/>
      <c r="BN11" s="83">
        <f>Tableau240723[[#This Row],[% Sensi actions]]-Tableau240723[[#This Row],[Exp nette action]]</f>
        <v>0</v>
      </c>
      <c r="BP11" s="19"/>
      <c r="BQ11" s="19"/>
      <c r="BR11" s="19"/>
      <c r="BS11" s="19"/>
      <c r="BT11" s="19"/>
    </row>
    <row r="12" spans="1:72" x14ac:dyDescent="0.25">
      <c r="A12" s="84"/>
      <c r="B12" s="98"/>
      <c r="C12" s="86"/>
      <c r="D12" s="86"/>
      <c r="E12" s="87"/>
      <c r="F12" s="55"/>
      <c r="G12" s="107"/>
      <c r="H12" s="108"/>
      <c r="I12" s="58"/>
      <c r="J12" s="59"/>
      <c r="K12" s="60"/>
      <c r="L12" s="103"/>
      <c r="M12" s="104"/>
      <c r="N12" s="105"/>
      <c r="O12" s="89"/>
      <c r="P12" s="65"/>
      <c r="Q12" s="66"/>
      <c r="R12" s="90"/>
      <c r="S12" s="91"/>
      <c r="T12" s="69"/>
      <c r="U12" s="117"/>
      <c r="V12" s="93"/>
      <c r="W12" s="72"/>
      <c r="X12" s="74"/>
      <c r="Y12" s="74"/>
      <c r="Z12" s="75"/>
      <c r="AA12" s="75"/>
      <c r="AB12" s="74"/>
      <c r="AC12" s="73"/>
      <c r="AD12" s="73"/>
      <c r="AE12" s="73"/>
      <c r="AF12" s="73"/>
      <c r="AG12" s="73"/>
      <c r="AH12" s="73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  <c r="AY12" s="77"/>
      <c r="AZ12" s="78"/>
      <c r="BA12" s="78"/>
      <c r="BB12" s="79"/>
      <c r="BC12" s="80"/>
      <c r="BD12" s="94"/>
      <c r="BE12" s="101"/>
      <c r="BF12" s="70"/>
      <c r="BG12" s="81"/>
      <c r="BH12" s="19"/>
      <c r="BJ12" s="19"/>
      <c r="BN12" s="83">
        <f>Tableau240723[[#This Row],[% Sensi actions]]-Tableau240723[[#This Row],[Exp nette action]]</f>
        <v>0</v>
      </c>
      <c r="BP12" s="19"/>
      <c r="BQ12" s="19"/>
      <c r="BR12" s="19"/>
      <c r="BS12" s="19"/>
      <c r="BT12" s="19"/>
    </row>
    <row r="13" spans="1:72" x14ac:dyDescent="0.25">
      <c r="A13" s="84"/>
      <c r="B13" s="98"/>
      <c r="C13" s="86"/>
      <c r="D13" s="86"/>
      <c r="E13" s="87"/>
      <c r="F13" s="118"/>
      <c r="G13" s="119"/>
      <c r="H13" s="120"/>
      <c r="I13" s="121"/>
      <c r="J13" s="122"/>
      <c r="K13" s="60"/>
      <c r="L13" s="61"/>
      <c r="M13" s="123"/>
      <c r="N13" s="63"/>
      <c r="O13" s="124"/>
      <c r="P13" s="125"/>
      <c r="Q13" s="126"/>
      <c r="R13" s="90"/>
      <c r="S13" s="91"/>
      <c r="T13" s="127"/>
      <c r="U13" s="128"/>
      <c r="V13" s="93"/>
      <c r="W13" s="129"/>
      <c r="X13" s="130"/>
      <c r="Y13" s="130"/>
      <c r="Z13" s="131"/>
      <c r="AA13" s="131"/>
      <c r="AB13" s="130"/>
      <c r="AC13" s="132"/>
      <c r="AD13" s="132"/>
      <c r="AE13" s="132"/>
      <c r="AF13" s="132"/>
      <c r="AG13" s="132"/>
      <c r="AH13" s="132"/>
      <c r="AI13" s="130"/>
      <c r="AJ13" s="130"/>
      <c r="AK13" s="130"/>
      <c r="AL13" s="130"/>
      <c r="AM13" s="130"/>
      <c r="AN13" s="130"/>
      <c r="AO13" s="130"/>
      <c r="AP13" s="130"/>
      <c r="AQ13" s="130"/>
      <c r="AR13" s="130"/>
      <c r="AS13" s="130"/>
      <c r="AT13" s="130"/>
      <c r="AU13" s="130"/>
      <c r="AV13" s="130"/>
      <c r="AW13" s="130"/>
      <c r="AX13" s="130"/>
      <c r="AY13" s="77"/>
      <c r="AZ13" s="134"/>
      <c r="BA13" s="134"/>
      <c r="BB13" s="135"/>
      <c r="BC13" s="80"/>
      <c r="BD13" s="94"/>
      <c r="BE13" s="95"/>
      <c r="BF13" s="92"/>
      <c r="BG13" s="94"/>
      <c r="BH13" s="19"/>
      <c r="BJ13" s="19"/>
      <c r="BN13" s="83">
        <f>Tableau240723[[#This Row],[% Sensi actions]]-Tableau240723[[#This Row],[Exp nette action]]</f>
        <v>0</v>
      </c>
      <c r="BP13" s="19"/>
      <c r="BQ13" s="19"/>
      <c r="BR13" s="19"/>
      <c r="BS13" s="19"/>
      <c r="BT13" s="19"/>
    </row>
    <row r="14" spans="1:72" ht="16.5" hidden="1" customHeight="1" x14ac:dyDescent="0.25">
      <c r="A14" s="84"/>
      <c r="B14" s="98"/>
      <c r="C14" s="86"/>
      <c r="D14" s="86"/>
      <c r="E14" s="87"/>
      <c r="F14" s="118"/>
      <c r="G14" s="119"/>
      <c r="H14" s="120"/>
      <c r="I14" s="121"/>
      <c r="J14" s="122"/>
      <c r="K14" s="60"/>
      <c r="L14" s="61"/>
      <c r="M14" s="123"/>
      <c r="N14" s="63"/>
      <c r="O14" s="100"/>
      <c r="P14" s="125"/>
      <c r="Q14" s="126"/>
      <c r="R14" s="90"/>
      <c r="S14" s="91"/>
      <c r="T14" s="127"/>
      <c r="U14" s="92"/>
      <c r="V14" s="93"/>
      <c r="W14" s="129"/>
      <c r="X14" s="130"/>
      <c r="Y14" s="130"/>
      <c r="Z14" s="131"/>
      <c r="AA14" s="131"/>
      <c r="AB14" s="130"/>
      <c r="AC14" s="130"/>
      <c r="AD14" s="130"/>
      <c r="AE14" s="130"/>
      <c r="AF14" s="130"/>
      <c r="AG14" s="130"/>
      <c r="AH14" s="130"/>
      <c r="AI14" s="130"/>
      <c r="AJ14" s="130"/>
      <c r="AK14" s="130"/>
      <c r="AL14" s="130"/>
      <c r="AM14" s="130"/>
      <c r="AN14" s="130"/>
      <c r="AO14" s="130"/>
      <c r="AP14" s="130"/>
      <c r="AQ14" s="130"/>
      <c r="AR14" s="130"/>
      <c r="AS14" s="130"/>
      <c r="AT14" s="130"/>
      <c r="AU14" s="130"/>
      <c r="AV14" s="130"/>
      <c r="AW14" s="130"/>
      <c r="AX14" s="130"/>
      <c r="AY14" s="77"/>
      <c r="AZ14" s="134"/>
      <c r="BA14" s="134"/>
      <c r="BB14" s="135"/>
      <c r="BC14" s="136"/>
      <c r="BD14" s="94"/>
      <c r="BE14" s="95"/>
      <c r="BF14" s="92"/>
      <c r="BG14" s="94"/>
      <c r="BH14" s="19"/>
      <c r="BJ14" s="19"/>
      <c r="BN14" s="83">
        <f>Tableau240723[[#This Row],[% Sensi actions]]-Tableau240723[[#This Row],[Exp nette action]]</f>
        <v>0</v>
      </c>
      <c r="BP14" s="19"/>
      <c r="BQ14" s="19"/>
      <c r="BR14" s="19"/>
      <c r="BS14" s="19"/>
      <c r="BT14" s="19"/>
    </row>
    <row r="15" spans="1:72" x14ac:dyDescent="0.25">
      <c r="A15" s="84"/>
      <c r="B15" s="98"/>
      <c r="C15" s="86"/>
      <c r="D15" s="86"/>
      <c r="E15" s="137"/>
      <c r="F15" s="118"/>
      <c r="G15" s="119"/>
      <c r="H15" s="138"/>
      <c r="I15" s="121"/>
      <c r="J15" s="122"/>
      <c r="K15" s="60"/>
      <c r="L15" s="61"/>
      <c r="M15" s="123"/>
      <c r="N15" s="63"/>
      <c r="O15" s="100"/>
      <c r="P15" s="125"/>
      <c r="Q15" s="126"/>
      <c r="R15" s="139"/>
      <c r="S15" s="140"/>
      <c r="T15" s="127"/>
      <c r="U15" s="92"/>
      <c r="V15" s="93"/>
      <c r="W15" s="129"/>
      <c r="X15" s="130"/>
      <c r="Y15" s="130"/>
      <c r="Z15" s="131"/>
      <c r="AA15" s="131"/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428"/>
      <c r="AP15" s="428"/>
      <c r="AQ15" s="130"/>
      <c r="AR15" s="130"/>
      <c r="AS15" s="130"/>
      <c r="AT15" s="130"/>
      <c r="AU15" s="130"/>
      <c r="AV15" s="130"/>
      <c r="AW15" s="130"/>
      <c r="AX15" s="130"/>
      <c r="AY15" s="77"/>
      <c r="AZ15" s="134"/>
      <c r="BA15" s="134"/>
      <c r="BB15" s="135"/>
      <c r="BC15" s="80"/>
      <c r="BD15" s="94"/>
      <c r="BE15" s="95"/>
      <c r="BF15" s="92"/>
      <c r="BG15" s="94"/>
      <c r="BH15" s="19"/>
      <c r="BJ15" s="19"/>
      <c r="BN15" s="83">
        <f>Tableau240723[[#This Row],[% Sensi actions]]-Tableau240723[[#This Row],[Exp nette action]]</f>
        <v>0</v>
      </c>
      <c r="BP15" s="19"/>
      <c r="BQ15" s="19"/>
      <c r="BR15" s="19"/>
      <c r="BS15" s="19"/>
      <c r="BT15" s="19"/>
    </row>
    <row r="16" spans="1:72" x14ac:dyDescent="0.25">
      <c r="A16" s="84"/>
      <c r="B16" s="98"/>
      <c r="C16" s="86"/>
      <c r="D16" s="86"/>
      <c r="E16" s="141"/>
      <c r="F16" s="55"/>
      <c r="G16" s="107"/>
      <c r="H16" s="115"/>
      <c r="I16" s="121"/>
      <c r="J16" s="122"/>
      <c r="K16" s="60"/>
      <c r="L16" s="103"/>
      <c r="M16" s="123"/>
      <c r="N16" s="105"/>
      <c r="O16" s="89"/>
      <c r="P16" s="65"/>
      <c r="Q16" s="66"/>
      <c r="R16" s="139"/>
      <c r="S16" s="140"/>
      <c r="T16" s="69"/>
      <c r="U16" s="92"/>
      <c r="V16" s="93"/>
      <c r="W16" s="72"/>
      <c r="X16" s="74"/>
      <c r="Y16" s="74"/>
      <c r="Z16" s="75"/>
      <c r="AA16" s="75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4"/>
      <c r="AP16" s="74"/>
      <c r="AQ16" s="74"/>
      <c r="AR16" s="74"/>
      <c r="AS16" s="74"/>
      <c r="AT16" s="74"/>
      <c r="AU16" s="74"/>
      <c r="AV16" s="74"/>
      <c r="AW16" s="74"/>
      <c r="AX16" s="74"/>
      <c r="AY16" s="77"/>
      <c r="AZ16" s="78"/>
      <c r="BA16" s="78"/>
      <c r="BB16" s="79"/>
      <c r="BC16" s="80"/>
      <c r="BD16" s="94"/>
      <c r="BE16" s="101"/>
      <c r="BF16" s="70"/>
      <c r="BG16" s="81"/>
      <c r="BH16" s="19"/>
      <c r="BJ16" s="19"/>
      <c r="BN16" s="83">
        <f>Tableau240723[[#This Row],[% Sensi actions]]-Tableau240723[[#This Row],[Exp nette action]]</f>
        <v>0</v>
      </c>
      <c r="BP16" s="19"/>
      <c r="BQ16" s="19"/>
      <c r="BR16" s="19"/>
      <c r="BS16" s="19"/>
      <c r="BT16" s="19"/>
    </row>
    <row r="17" spans="1:72" x14ac:dyDescent="0.25">
      <c r="A17" s="84"/>
      <c r="B17" s="98"/>
      <c r="C17" s="86"/>
      <c r="D17" s="86"/>
      <c r="E17" s="87"/>
      <c r="F17" s="55"/>
      <c r="G17" s="107"/>
      <c r="H17" s="108"/>
      <c r="I17" s="121"/>
      <c r="J17" s="122"/>
      <c r="K17" s="60"/>
      <c r="L17" s="142"/>
      <c r="M17" s="143"/>
      <c r="N17" s="105"/>
      <c r="O17" s="100"/>
      <c r="P17" s="65"/>
      <c r="Q17" s="66"/>
      <c r="R17" s="90"/>
      <c r="S17" s="91"/>
      <c r="T17" s="69"/>
      <c r="U17" s="92"/>
      <c r="V17" s="93"/>
      <c r="W17" s="72"/>
      <c r="X17" s="74"/>
      <c r="Y17" s="74"/>
      <c r="Z17" s="75"/>
      <c r="AA17" s="75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6"/>
      <c r="AP17" s="76"/>
      <c r="AQ17" s="74"/>
      <c r="AR17" s="74"/>
      <c r="AS17" s="74"/>
      <c r="AT17" s="74"/>
      <c r="AU17" s="74"/>
      <c r="AV17" s="74"/>
      <c r="AW17" s="74"/>
      <c r="AX17" s="74"/>
      <c r="AY17" s="77"/>
      <c r="AZ17" s="78"/>
      <c r="BA17" s="134"/>
      <c r="BB17" s="135"/>
      <c r="BC17" s="80"/>
      <c r="BD17" s="94"/>
      <c r="BE17" s="101"/>
      <c r="BF17" s="92"/>
      <c r="BG17" s="81"/>
      <c r="BH17" s="19"/>
      <c r="BJ17" s="19"/>
      <c r="BP17" s="19"/>
      <c r="BQ17" s="19"/>
      <c r="BR17" s="19"/>
      <c r="BS17" s="19"/>
      <c r="BT17" s="19"/>
    </row>
    <row r="18" spans="1:72" x14ac:dyDescent="0.25">
      <c r="A18" s="84"/>
      <c r="B18" s="98"/>
      <c r="C18" s="86"/>
      <c r="D18" s="86"/>
      <c r="E18" s="87"/>
      <c r="F18" s="55"/>
      <c r="G18" s="107"/>
      <c r="H18" s="115"/>
      <c r="I18" s="121"/>
      <c r="J18" s="122"/>
      <c r="K18" s="60"/>
      <c r="L18" s="103"/>
      <c r="M18" s="123"/>
      <c r="N18" s="105"/>
      <c r="O18" s="100"/>
      <c r="P18" s="65"/>
      <c r="Q18" s="66"/>
      <c r="R18" s="144"/>
      <c r="S18" s="140"/>
      <c r="T18" s="69"/>
      <c r="U18" s="92"/>
      <c r="V18" s="93"/>
      <c r="W18" s="72"/>
      <c r="X18" s="74"/>
      <c r="Y18" s="74"/>
      <c r="Z18" s="75"/>
      <c r="AA18" s="75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6"/>
      <c r="AP18" s="76"/>
      <c r="AQ18" s="74"/>
      <c r="AR18" s="74"/>
      <c r="AS18" s="74"/>
      <c r="AT18" s="74"/>
      <c r="AU18" s="74"/>
      <c r="AV18" s="74"/>
      <c r="AW18" s="74"/>
      <c r="AX18" s="74"/>
      <c r="AY18" s="77"/>
      <c r="AZ18" s="78"/>
      <c r="BA18" s="78"/>
      <c r="BB18" s="79"/>
      <c r="BC18" s="80"/>
      <c r="BD18" s="94"/>
      <c r="BE18" s="101"/>
      <c r="BF18" s="70"/>
      <c r="BG18" s="81"/>
      <c r="BH18" s="19"/>
      <c r="BJ18" s="19"/>
      <c r="BP18" s="19"/>
      <c r="BQ18" s="19"/>
      <c r="BR18" s="19"/>
      <c r="BS18" s="19"/>
      <c r="BT18" s="19"/>
    </row>
    <row r="19" spans="1:72" x14ac:dyDescent="0.25">
      <c r="A19" s="84"/>
      <c r="B19" s="98"/>
      <c r="C19" s="86"/>
      <c r="D19" s="86"/>
      <c r="E19" s="87"/>
      <c r="F19" s="55"/>
      <c r="G19" s="107"/>
      <c r="H19" s="115"/>
      <c r="I19" s="121"/>
      <c r="J19" s="122"/>
      <c r="K19" s="60"/>
      <c r="L19" s="103"/>
      <c r="M19" s="123"/>
      <c r="N19" s="105"/>
      <c r="O19" s="100"/>
      <c r="P19" s="65"/>
      <c r="Q19" s="66"/>
      <c r="R19" s="144"/>
      <c r="S19" s="140"/>
      <c r="T19" s="69"/>
      <c r="U19" s="92"/>
      <c r="V19" s="93"/>
      <c r="W19" s="72"/>
      <c r="X19" s="74"/>
      <c r="Y19" s="74"/>
      <c r="Z19" s="75"/>
      <c r="AA19" s="75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6"/>
      <c r="AP19" s="76"/>
      <c r="AQ19" s="74"/>
      <c r="AR19" s="74"/>
      <c r="AS19" s="74"/>
      <c r="AT19" s="74"/>
      <c r="AU19" s="74"/>
      <c r="AV19" s="74"/>
      <c r="AW19" s="74"/>
      <c r="AX19" s="74"/>
      <c r="AY19" s="77"/>
      <c r="AZ19" s="78"/>
      <c r="BA19" s="78"/>
      <c r="BB19" s="79"/>
      <c r="BC19" s="106"/>
      <c r="BD19" s="94"/>
      <c r="BE19" s="101"/>
      <c r="BF19" s="70"/>
      <c r="BG19" s="81"/>
      <c r="BH19" s="19"/>
      <c r="BJ19" s="19"/>
      <c r="BP19" s="19"/>
      <c r="BQ19" s="19"/>
      <c r="BR19" s="19"/>
      <c r="BS19" s="19"/>
      <c r="BT19" s="19"/>
    </row>
    <row r="20" spans="1:72" x14ac:dyDescent="0.25">
      <c r="A20" s="84"/>
      <c r="B20" s="98"/>
      <c r="C20" s="86"/>
      <c r="D20" s="86"/>
      <c r="E20" s="87"/>
      <c r="F20" s="55"/>
      <c r="G20" s="107"/>
      <c r="H20" s="115"/>
      <c r="I20" s="58"/>
      <c r="J20" s="122"/>
      <c r="K20" s="60"/>
      <c r="L20" s="103"/>
      <c r="M20" s="123"/>
      <c r="N20" s="105"/>
      <c r="O20" s="100"/>
      <c r="P20" s="65"/>
      <c r="Q20" s="66"/>
      <c r="R20" s="144"/>
      <c r="S20" s="140"/>
      <c r="T20" s="69"/>
      <c r="U20" s="92"/>
      <c r="V20" s="93"/>
      <c r="W20" s="72"/>
      <c r="X20" s="74"/>
      <c r="Y20" s="74"/>
      <c r="Z20" s="75"/>
      <c r="AA20" s="75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6"/>
      <c r="AP20" s="76"/>
      <c r="AQ20" s="74"/>
      <c r="AR20" s="74"/>
      <c r="AS20" s="74"/>
      <c r="AT20" s="74"/>
      <c r="AU20" s="74"/>
      <c r="AV20" s="74"/>
      <c r="AW20" s="74"/>
      <c r="AX20" s="74"/>
      <c r="AY20" s="77"/>
      <c r="AZ20" s="78"/>
      <c r="BA20" s="78"/>
      <c r="BB20" s="79"/>
      <c r="BC20" s="80"/>
      <c r="BD20" s="94"/>
      <c r="BE20" s="101"/>
      <c r="BF20" s="70"/>
      <c r="BG20" s="81"/>
      <c r="BH20" s="19"/>
      <c r="BJ20" s="19"/>
      <c r="BP20" s="19"/>
      <c r="BQ20" s="19"/>
      <c r="BR20" s="19"/>
      <c r="BS20" s="19"/>
      <c r="BT20" s="19"/>
    </row>
    <row r="21" spans="1:72" x14ac:dyDescent="0.25">
      <c r="A21" s="84"/>
      <c r="B21" s="98"/>
      <c r="C21" s="86"/>
      <c r="D21" s="86"/>
      <c r="E21" s="87"/>
      <c r="F21" s="55"/>
      <c r="G21" s="107"/>
      <c r="H21" s="115"/>
      <c r="I21" s="58"/>
      <c r="J21" s="122"/>
      <c r="K21" s="60"/>
      <c r="L21" s="145"/>
      <c r="M21" s="123"/>
      <c r="N21" s="105"/>
      <c r="O21" s="89"/>
      <c r="P21" s="65"/>
      <c r="Q21" s="66"/>
      <c r="R21" s="90"/>
      <c r="S21" s="91"/>
      <c r="T21" s="69"/>
      <c r="U21" s="92"/>
      <c r="V21" s="93"/>
      <c r="W21" s="72"/>
      <c r="X21" s="74"/>
      <c r="Y21" s="74"/>
      <c r="Z21" s="75"/>
      <c r="AA21" s="75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6"/>
      <c r="AP21" s="76"/>
      <c r="AQ21" s="74"/>
      <c r="AR21" s="74"/>
      <c r="AS21" s="74"/>
      <c r="AT21" s="74"/>
      <c r="AU21" s="74"/>
      <c r="AV21" s="74"/>
      <c r="AW21" s="74"/>
      <c r="AX21" s="74"/>
      <c r="AY21" s="77"/>
      <c r="AZ21" s="78"/>
      <c r="BA21" s="78"/>
      <c r="BB21" s="79"/>
      <c r="BC21" s="80"/>
      <c r="BD21" s="94"/>
      <c r="BE21" s="101"/>
      <c r="BF21" s="70"/>
      <c r="BG21" s="81"/>
      <c r="BH21" s="19"/>
      <c r="BJ21" s="19"/>
      <c r="BP21" s="19"/>
      <c r="BQ21" s="19"/>
      <c r="BR21" s="19"/>
      <c r="BS21" s="19"/>
      <c r="BT21" s="19"/>
    </row>
    <row r="22" spans="1:72" x14ac:dyDescent="0.25">
      <c r="A22" s="84"/>
      <c r="B22" s="85"/>
      <c r="C22" s="86"/>
      <c r="D22" s="86"/>
      <c r="E22" s="87"/>
      <c r="F22" s="55"/>
      <c r="G22" s="107"/>
      <c r="H22" s="108"/>
      <c r="I22" s="58"/>
      <c r="J22" s="122"/>
      <c r="K22" s="60"/>
      <c r="L22" s="145"/>
      <c r="M22" s="123"/>
      <c r="N22" s="105"/>
      <c r="O22" s="109"/>
      <c r="P22" s="65"/>
      <c r="Q22" s="66"/>
      <c r="R22" s="90"/>
      <c r="S22" s="91"/>
      <c r="T22" s="69"/>
      <c r="U22" s="92"/>
      <c r="V22" s="93"/>
      <c r="W22" s="72"/>
      <c r="X22" s="74"/>
      <c r="Y22" s="74"/>
      <c r="Z22" s="75"/>
      <c r="AA22" s="75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6"/>
      <c r="AP22" s="76"/>
      <c r="AQ22" s="74"/>
      <c r="AR22" s="74"/>
      <c r="AS22" s="74"/>
      <c r="AT22" s="74"/>
      <c r="AU22" s="74"/>
      <c r="AV22" s="74"/>
      <c r="AW22" s="74"/>
      <c r="AX22" s="74"/>
      <c r="AY22" s="77"/>
      <c r="AZ22" s="78"/>
      <c r="BA22" s="78"/>
      <c r="BB22" s="79"/>
      <c r="BC22" s="106"/>
      <c r="BD22" s="94"/>
      <c r="BE22" s="101"/>
      <c r="BF22" s="70"/>
      <c r="BG22" s="81"/>
      <c r="BH22" s="19"/>
      <c r="BJ22" s="19"/>
      <c r="BP22" s="19"/>
      <c r="BQ22" s="19"/>
      <c r="BR22" s="19"/>
      <c r="BS22" s="19"/>
      <c r="BT22" s="19"/>
    </row>
    <row r="23" spans="1:72" ht="16.5" customHeight="1" x14ac:dyDescent="0.25">
      <c r="A23" s="84"/>
      <c r="B23" s="98"/>
      <c r="C23" s="86"/>
      <c r="D23" s="86"/>
      <c r="E23" s="87"/>
      <c r="F23" s="55"/>
      <c r="G23" s="107"/>
      <c r="H23" s="108"/>
      <c r="I23" s="121"/>
      <c r="J23" s="122"/>
      <c r="K23" s="60"/>
      <c r="L23" s="145"/>
      <c r="M23" s="123"/>
      <c r="N23" s="105"/>
      <c r="O23" s="109"/>
      <c r="P23" s="65"/>
      <c r="Q23" s="66"/>
      <c r="R23" s="90"/>
      <c r="S23" s="91"/>
      <c r="T23" s="69"/>
      <c r="U23" s="92"/>
      <c r="V23" s="93"/>
      <c r="W23" s="72"/>
      <c r="X23" s="74"/>
      <c r="Y23" s="74"/>
      <c r="Z23" s="75"/>
      <c r="AA23" s="75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6"/>
      <c r="AP23" s="76"/>
      <c r="AQ23" s="74"/>
      <c r="AR23" s="74"/>
      <c r="AS23" s="74"/>
      <c r="AT23" s="74"/>
      <c r="AU23" s="74"/>
      <c r="AV23" s="74"/>
      <c r="AW23" s="74"/>
      <c r="AX23" s="74"/>
      <c r="AY23" s="77"/>
      <c r="AZ23" s="78"/>
      <c r="BA23" s="78"/>
      <c r="BB23" s="79"/>
      <c r="BC23" s="146"/>
      <c r="BD23" s="94"/>
      <c r="BE23" s="101"/>
      <c r="BF23" s="70"/>
      <c r="BG23" s="81"/>
      <c r="BH23" s="19"/>
      <c r="BJ23" s="19"/>
      <c r="BP23" s="19"/>
      <c r="BQ23" s="19"/>
      <c r="BR23" s="19"/>
      <c r="BS23" s="19"/>
      <c r="BT23" s="19"/>
    </row>
    <row r="24" spans="1:72" x14ac:dyDescent="0.25">
      <c r="A24" s="84"/>
      <c r="B24" s="98"/>
      <c r="C24" s="86"/>
      <c r="D24" s="86"/>
      <c r="E24" s="87"/>
      <c r="F24" s="55"/>
      <c r="G24" s="107"/>
      <c r="H24" s="108"/>
      <c r="I24" s="121"/>
      <c r="J24" s="122"/>
      <c r="K24" s="60"/>
      <c r="L24" s="145"/>
      <c r="M24" s="123"/>
      <c r="N24" s="105"/>
      <c r="O24" s="100"/>
      <c r="P24" s="65"/>
      <c r="Q24" s="66"/>
      <c r="R24" s="90"/>
      <c r="S24" s="91"/>
      <c r="T24" s="69"/>
      <c r="U24" s="92"/>
      <c r="V24" s="93"/>
      <c r="W24" s="72"/>
      <c r="X24" s="74"/>
      <c r="Y24" s="74"/>
      <c r="Z24" s="75"/>
      <c r="AA24" s="75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6"/>
      <c r="AP24" s="76"/>
      <c r="AQ24" s="74"/>
      <c r="AR24" s="74"/>
      <c r="AS24" s="74"/>
      <c r="AT24" s="74"/>
      <c r="AU24" s="74"/>
      <c r="AV24" s="74"/>
      <c r="AW24" s="74"/>
      <c r="AX24" s="74"/>
      <c r="AY24" s="77"/>
      <c r="AZ24" s="78"/>
      <c r="BA24" s="78"/>
      <c r="BB24" s="79"/>
      <c r="BC24" s="80"/>
      <c r="BD24" s="94"/>
      <c r="BE24" s="101"/>
      <c r="BF24" s="70"/>
      <c r="BG24" s="81"/>
      <c r="BH24" s="19"/>
      <c r="BJ24" s="19"/>
      <c r="BP24" s="19"/>
      <c r="BQ24" s="19"/>
      <c r="BR24" s="19"/>
      <c r="BS24" s="19"/>
      <c r="BT24" s="19"/>
    </row>
    <row r="25" spans="1:72" x14ac:dyDescent="0.25">
      <c r="A25" s="84"/>
      <c r="B25" s="98"/>
      <c r="C25" s="86"/>
      <c r="D25" s="86"/>
      <c r="E25" s="87"/>
      <c r="F25" s="55"/>
      <c r="G25" s="107"/>
      <c r="H25" s="108"/>
      <c r="I25" s="121"/>
      <c r="J25" s="122"/>
      <c r="K25" s="60"/>
      <c r="L25" s="145"/>
      <c r="M25" s="123"/>
      <c r="N25" s="105"/>
      <c r="O25" s="100"/>
      <c r="P25" s="147"/>
      <c r="Q25" s="66"/>
      <c r="R25" s="90"/>
      <c r="S25" s="91"/>
      <c r="T25" s="69"/>
      <c r="U25" s="92"/>
      <c r="V25" s="93"/>
      <c r="W25" s="72"/>
      <c r="X25" s="74"/>
      <c r="Y25" s="74"/>
      <c r="Z25" s="75"/>
      <c r="AA25" s="75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6"/>
      <c r="AP25" s="76"/>
      <c r="AQ25" s="74"/>
      <c r="AR25" s="74"/>
      <c r="AS25" s="74"/>
      <c r="AT25" s="74"/>
      <c r="AU25" s="74"/>
      <c r="AV25" s="74"/>
      <c r="AW25" s="74"/>
      <c r="AX25" s="74"/>
      <c r="AY25" s="77"/>
      <c r="AZ25" s="78"/>
      <c r="BA25" s="134"/>
      <c r="BB25" s="135"/>
      <c r="BC25" s="80"/>
      <c r="BD25" s="94"/>
      <c r="BE25" s="101"/>
      <c r="BF25" s="92"/>
      <c r="BG25" s="81"/>
      <c r="BH25" s="19"/>
      <c r="BJ25" s="19"/>
      <c r="BP25" s="19"/>
      <c r="BQ25" s="19"/>
      <c r="BR25" s="19"/>
      <c r="BS25" s="19"/>
      <c r="BT25" s="19"/>
    </row>
    <row r="26" spans="1:72" x14ac:dyDescent="0.25">
      <c r="A26" s="84"/>
      <c r="B26" s="98"/>
      <c r="C26" s="86"/>
      <c r="D26" s="86"/>
      <c r="E26" s="87"/>
      <c r="F26" s="55"/>
      <c r="G26" s="107"/>
      <c r="H26" s="148"/>
      <c r="I26" s="121"/>
      <c r="J26" s="122"/>
      <c r="K26" s="60"/>
      <c r="L26" s="142"/>
      <c r="M26" s="143"/>
      <c r="N26" s="149"/>
      <c r="O26" s="100"/>
      <c r="P26" s="147"/>
      <c r="Q26" s="66"/>
      <c r="R26" s="90"/>
      <c r="S26" s="91"/>
      <c r="T26" s="69"/>
      <c r="U26" s="92"/>
      <c r="V26" s="93"/>
      <c r="W26" s="72"/>
      <c r="X26" s="74"/>
      <c r="Y26" s="74"/>
      <c r="Z26" s="75"/>
      <c r="AA26" s="75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6"/>
      <c r="AP26" s="76"/>
      <c r="AQ26" s="74"/>
      <c r="AR26" s="74"/>
      <c r="AS26" s="74"/>
      <c r="AT26" s="74"/>
      <c r="AU26" s="74"/>
      <c r="AV26" s="74"/>
      <c r="AW26" s="74"/>
      <c r="AX26" s="74"/>
      <c r="AY26" s="77"/>
      <c r="AZ26" s="78"/>
      <c r="BA26" s="134"/>
      <c r="BB26" s="135"/>
      <c r="BC26" s="80"/>
      <c r="BD26" s="94"/>
      <c r="BE26" s="101"/>
      <c r="BF26" s="92"/>
      <c r="BG26" s="81"/>
      <c r="BH26" s="19"/>
      <c r="BJ26" s="19"/>
      <c r="BP26" s="19"/>
      <c r="BQ26" s="19"/>
      <c r="BR26" s="19"/>
      <c r="BS26" s="19"/>
      <c r="BT26" s="19"/>
    </row>
    <row r="27" spans="1:72" ht="17.25" thickBot="1" x14ac:dyDescent="0.3">
      <c r="A27" s="84"/>
      <c r="B27" s="98"/>
      <c r="C27" s="86"/>
      <c r="D27" s="86"/>
      <c r="E27" s="87"/>
      <c r="F27" s="55"/>
      <c r="G27" s="107"/>
      <c r="H27" s="150"/>
      <c r="I27" s="151"/>
      <c r="J27" s="122"/>
      <c r="K27" s="60"/>
      <c r="L27" s="61"/>
      <c r="M27" s="62"/>
      <c r="N27" s="63"/>
      <c r="O27" s="100"/>
      <c r="P27" s="65"/>
      <c r="Q27" s="126"/>
      <c r="R27" s="90"/>
      <c r="S27" s="91"/>
      <c r="T27" s="127"/>
      <c r="U27" s="92"/>
      <c r="V27" s="93"/>
      <c r="W27" s="72"/>
      <c r="X27" s="74"/>
      <c r="Y27" s="74"/>
      <c r="Z27" s="75"/>
      <c r="AA27" s="75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6"/>
      <c r="AP27" s="76"/>
      <c r="AQ27" s="74"/>
      <c r="AR27" s="74"/>
      <c r="AS27" s="74"/>
      <c r="AT27" s="74"/>
      <c r="AU27" s="74"/>
      <c r="AV27" s="74"/>
      <c r="AW27" s="74"/>
      <c r="AX27" s="74"/>
      <c r="AY27" s="77"/>
      <c r="AZ27" s="78"/>
      <c r="BA27" s="134"/>
      <c r="BB27" s="135"/>
      <c r="BC27" s="106"/>
      <c r="BD27" s="94"/>
      <c r="BE27" s="101"/>
      <c r="BF27" s="92"/>
      <c r="BG27" s="81"/>
      <c r="BH27" s="19"/>
      <c r="BJ27" s="19"/>
      <c r="BP27" s="19"/>
      <c r="BQ27" s="19"/>
      <c r="BR27" s="19"/>
      <c r="BS27" s="19"/>
      <c r="BT27" s="19"/>
    </row>
    <row r="28" spans="1:72" ht="16.5" customHeight="1" thickBot="1" x14ac:dyDescent="0.3">
      <c r="A28" s="152"/>
      <c r="B28" s="153"/>
      <c r="C28" s="153"/>
      <c r="D28" s="153"/>
      <c r="E28" s="154"/>
      <c r="F28" s="154"/>
      <c r="G28" s="155"/>
      <c r="H28" s="156"/>
      <c r="I28" s="157">
        <f>SUM(I3:I27)</f>
        <v>0</v>
      </c>
      <c r="J28" s="158"/>
      <c r="K28" s="159"/>
      <c r="L28" s="160">
        <f>SUM(L3:L27)</f>
        <v>0</v>
      </c>
      <c r="M28" s="161"/>
      <c r="N28" s="162"/>
      <c r="O28" s="163" t="s">
        <v>68</v>
      </c>
      <c r="P28" s="164">
        <f>SUM(Tableau240723[Montant])</f>
        <v>0</v>
      </c>
      <c r="Q28" s="164">
        <f>SUM(Tableau240723[Frais])</f>
        <v>0</v>
      </c>
      <c r="R28" s="165" t="s">
        <v>69</v>
      </c>
      <c r="S28" s="166"/>
      <c r="T28" s="167">
        <f>SUM(Tableau240723[[Total ]])</f>
        <v>0</v>
      </c>
      <c r="U28" s="168"/>
      <c r="V28" s="169"/>
      <c r="W28" s="158"/>
      <c r="X28" s="158"/>
      <c r="Y28" s="158"/>
      <c r="Z28" s="170"/>
      <c r="AA28" s="170"/>
      <c r="AB28" s="171">
        <f>SUMPRODUCT(Tableau240723[Exp nette action],Tableau240723[% Ptf])</f>
        <v>0</v>
      </c>
      <c r="AC28" s="171">
        <f>SUMPRODUCT(Tableau240723[Expo nette action Europe (Suisse et UK inclus) %],Tableau240723[% Ptf])</f>
        <v>0</v>
      </c>
      <c r="AD28" s="171">
        <f>SUMPRODUCT(Tableau240723[Expo nette action USA &amp; Canada % ],Tableau240723[% Ptf])</f>
        <v>0</v>
      </c>
      <c r="AE28" s="171">
        <f>SUMPRODUCT(Tableau240723[Expo nette action Asie &amp; Japon %],Tableau240723[% Ptf])</f>
        <v>0</v>
      </c>
      <c r="AF28" s="171">
        <f>SUMPRODUCT(Tableau240723[Expo nette action Reste du monde %],Tableau240723[% Ptf])</f>
        <v>0</v>
      </c>
      <c r="AG28" s="171">
        <f>SUMPRODUCT(Tableau240723[Expo nette action pays émergents  (pays présents dans le MSCI Emerging &amp; Frontier Markets)],Tableau240723[% Ptf])</f>
        <v>0</v>
      </c>
      <c r="AH28" s="171">
        <f>SUMPRODUCT(Tableau240723[Expo nette action petites capitalisations (capi &lt; 500 M d''euros) (%)],Tableau240723[% Ptf])</f>
        <v>0</v>
      </c>
      <c r="AI28" s="171">
        <f>SUMPRODUCT(Tableau240723[[Expo nette obligataire ]],Tableau240723[% Ptf])</f>
        <v>0</v>
      </c>
      <c r="AJ28" s="171">
        <f>SUMPRODUCT(Tableau240723[Expo nette taux spéculatifs (inf ou = à BB+, incluant les émissions NR) (%)],Tableau240723[% Ptf])</f>
        <v>0</v>
      </c>
      <c r="AK28" s="171">
        <f>SUMPRODUCT(Tableau240723[Expo nette taux Invesment Grade (notation comprise entre AAA et BBB- ) (%)],Tableau240723[% Ptf])</f>
        <v>0</v>
      </c>
      <c r="AL28" s="171">
        <f>SUMPRODUCT(Tableau240723[Expo nette taux pays émergents (pays présents dans le MSCI Emerging &amp; Frontier Markets) (%)],Tableau240723[% Ptf])</f>
        <v>0</v>
      </c>
      <c r="AM28" s="171">
        <f>SUMPRODUCT(Tableau240723[Expo nette obligataire convertibles],Tableau240723[% Ptf])</f>
        <v>0</v>
      </c>
      <c r="AN28" s="171">
        <f>SUMPRODUCT(Tableau240723[Expo nette Subordonnées financières (%)],Tableau240723[% Ptf])</f>
        <v>0</v>
      </c>
      <c r="AO28" s="172">
        <f>SUMPRODUCT(Tableau240723[Sensibilité taux],Tableau240723[% Ptf])</f>
        <v>0</v>
      </c>
      <c r="AP28" s="172">
        <f>SUMPRODUCT(Tableau240723[Maturité moyenne],Tableau240723[% Ptf])</f>
        <v>0</v>
      </c>
      <c r="AQ28" s="171">
        <f>SUMPRODUCT(Tableau240723[Taux de rendement à maturité],Tableau240723[% Ptf])</f>
        <v>0</v>
      </c>
      <c r="AR28" s="171" t="str">
        <f>INDEX([2]GPA!$A$1:$B$31,MATCH([2]Student!$E$17,[2]GPA!$B$1:$B$31,0),MATCH([2]Student!$H$1,[2]GPA!$A$1:$B$1,0))</f>
        <v>BBB-</v>
      </c>
      <c r="AS28" s="171">
        <f>SUMPRODUCT(Tableau240723[Sensibilité actions (oligations convertibles)],Tableau240723[% Ptf])</f>
        <v>0</v>
      </c>
      <c r="AT28" s="171">
        <f>SUMPRODUCT(Tableau240723[Exposition nette OPC %],Tableau240723[% Ptf])</f>
        <v>0</v>
      </c>
      <c r="AU28" s="171">
        <f>SUMPRODUCT(Tableau240723[Dérivés (swap, CDS, futures, options)],Tableau240723[% Ptf])</f>
        <v>0</v>
      </c>
      <c r="AV28" s="171">
        <f>SUMPRODUCT(Tableau240723[% Liquidités et équivalents (obligations arrivant à maturité, billets de trésorerie et dépots) ],Tableau240723[% Ptf])</f>
        <v>0</v>
      </c>
      <c r="AW28" s="171">
        <f>SUMPRODUCT(Tableau240723[Risque devise USD],Tableau240723[% Ptf])</f>
        <v>0</v>
      </c>
      <c r="AX28" s="171">
        <f>SUMPRODUCT(Tableau240723[Risque de change (% devises non hédgées hors Euro) ],Tableau240723[% Ptf])</f>
        <v>0</v>
      </c>
      <c r="AY28" s="171"/>
      <c r="AZ28" s="171"/>
      <c r="BA28" s="171"/>
      <c r="BB28" s="171"/>
      <c r="BC28" s="171"/>
      <c r="BD28" s="171"/>
      <c r="BE28" s="171"/>
      <c r="BF28" s="173">
        <f>SUMPRODUCT(Tableau240723[Frais courants % ],Tableau240723[% Ptf])</f>
        <v>0</v>
      </c>
      <c r="BG28" s="171"/>
      <c r="BH28" s="19"/>
      <c r="BJ28" s="19"/>
      <c r="BP28" s="19"/>
      <c r="BQ28" s="19"/>
      <c r="BR28" s="19"/>
      <c r="BS28" s="19"/>
      <c r="BT28" s="19"/>
    </row>
    <row r="29" spans="1:72" ht="17.25" customHeight="1" x14ac:dyDescent="0.3">
      <c r="E29" s="174"/>
      <c r="F29" s="174"/>
      <c r="G29" s="175"/>
      <c r="H29" s="176"/>
      <c r="I29" s="177"/>
      <c r="J29" s="178"/>
      <c r="L29" s="179"/>
      <c r="M29" s="180"/>
      <c r="N29" s="181"/>
      <c r="V29" s="183"/>
      <c r="Z29" s="177"/>
      <c r="AC29" s="184"/>
      <c r="AD29" s="185"/>
      <c r="AF29" s="185"/>
      <c r="AG29" s="185"/>
      <c r="AI29" s="184"/>
      <c r="AJ29" s="184"/>
      <c r="AK29" s="184"/>
      <c r="AL29" s="184"/>
      <c r="AM29" s="184"/>
      <c r="AN29" s="184"/>
      <c r="AQ29" s="184"/>
      <c r="AU29" s="184"/>
      <c r="BA29" s="184"/>
      <c r="BB29" s="187"/>
      <c r="BC29" s="187"/>
      <c r="BD29" s="187"/>
      <c r="BE29" s="187"/>
      <c r="BF29" s="187"/>
      <c r="BG29" s="187"/>
      <c r="BH29" s="188"/>
      <c r="BT29" s="189"/>
    </row>
    <row r="30" spans="1:72" ht="17.25" customHeight="1" x14ac:dyDescent="0.3">
      <c r="B30" s="190"/>
      <c r="C30" s="191"/>
      <c r="D30" s="191"/>
      <c r="E30" s="192"/>
      <c r="G30" s="193" t="s">
        <v>70</v>
      </c>
      <c r="H30" s="194">
        <f>SUM(Tableau240723[Valorisation
en euros])</f>
        <v>0</v>
      </c>
      <c r="I30" s="195">
        <f>H30/H33</f>
        <v>0</v>
      </c>
      <c r="J30" s="196"/>
      <c r="K30" s="197"/>
      <c r="L30" s="197"/>
      <c r="M30" s="197"/>
      <c r="N30" s="198"/>
      <c r="O30" s="199"/>
      <c r="P30" s="200"/>
      <c r="Q30" s="201"/>
      <c r="R30" s="202"/>
      <c r="S30" s="203"/>
      <c r="V30" s="183"/>
      <c r="BF30" s="205"/>
      <c r="BH30" s="188"/>
    </row>
    <row r="31" spans="1:72" ht="17.25" customHeight="1" x14ac:dyDescent="0.3">
      <c r="B31" s="206"/>
      <c r="C31" s="207"/>
      <c r="D31" s="207"/>
      <c r="E31" s="208"/>
      <c r="G31" s="209" t="s">
        <v>71</v>
      </c>
      <c r="H31" s="210">
        <f>'[1]210723'!H31+'[1]210723'!H32-'240723'!T28</f>
        <v>271205.48320999852</v>
      </c>
      <c r="I31" s="211">
        <f>(H31)/H33</f>
        <v>1</v>
      </c>
      <c r="J31" s="212"/>
      <c r="K31" s="213" t="s">
        <v>72</v>
      </c>
      <c r="L31" s="214" t="s">
        <v>73</v>
      </c>
      <c r="M31" s="215" t="s">
        <v>74</v>
      </c>
      <c r="N31" s="183"/>
      <c r="O31" s="216"/>
      <c r="P31" s="217" t="s">
        <v>75</v>
      </c>
      <c r="Q31" s="218"/>
      <c r="R31" s="219" t="s">
        <v>76</v>
      </c>
      <c r="S31" s="219"/>
      <c r="T31" s="220" t="s">
        <v>77</v>
      </c>
      <c r="U31" s="220" t="s">
        <v>78</v>
      </c>
      <c r="V31" s="221" t="s">
        <v>79</v>
      </c>
      <c r="W31" s="222"/>
      <c r="X31" s="223"/>
      <c r="AB31" s="223" t="s">
        <v>80</v>
      </c>
      <c r="AE31" s="222"/>
      <c r="AF31" s="223" t="s">
        <v>81</v>
      </c>
      <c r="AH31" s="19"/>
      <c r="AL31" s="222"/>
      <c r="AM31" s="222"/>
      <c r="AN31" s="222"/>
      <c r="AQ31" s="222"/>
      <c r="AR31" s="222"/>
      <c r="AU31" s="222"/>
      <c r="AZ31" s="222"/>
      <c r="BA31" s="222"/>
      <c r="BB31" s="224"/>
      <c r="BD31" s="183"/>
      <c r="BE31" s="19"/>
      <c r="BF31" s="19"/>
      <c r="BH31" s="19"/>
      <c r="BJ31" s="19"/>
      <c r="BT31" s="19"/>
    </row>
    <row r="32" spans="1:72" ht="17.25" customHeight="1" x14ac:dyDescent="0.3">
      <c r="B32" s="225"/>
      <c r="C32" s="226"/>
      <c r="D32" s="226"/>
      <c r="E32" s="227"/>
      <c r="G32" s="209" t="s">
        <v>82</v>
      </c>
      <c r="H32" s="210">
        <f>-191.387*'240723'!VLC</f>
        <v>-2005.73576</v>
      </c>
      <c r="J32" s="228"/>
      <c r="K32" s="213"/>
      <c r="L32" s="214"/>
      <c r="M32" s="215"/>
      <c r="N32" s="229"/>
      <c r="O32" s="230"/>
      <c r="P32" s="231"/>
      <c r="Q32" s="231"/>
      <c r="R32" s="232"/>
      <c r="S32" s="233"/>
      <c r="T32" s="234"/>
      <c r="U32" s="235"/>
      <c r="V32" s="236"/>
      <c r="W32" s="183"/>
      <c r="AB32" s="237"/>
      <c r="AC32" s="238"/>
      <c r="AD32" s="238"/>
      <c r="AE32" s="183"/>
      <c r="AF32" s="237"/>
      <c r="AG32" s="238"/>
      <c r="AH32" s="238"/>
      <c r="AL32" s="183"/>
      <c r="AM32" s="183"/>
      <c r="AN32" s="183"/>
      <c r="AQ32" s="183"/>
      <c r="AR32" s="183"/>
      <c r="AU32" s="183"/>
      <c r="AZ32" s="183"/>
      <c r="BA32" s="183"/>
      <c r="BB32" s="224"/>
      <c r="BD32" s="183"/>
      <c r="BE32" s="19"/>
      <c r="BF32" s="19"/>
      <c r="BH32" s="19"/>
      <c r="BJ32" s="19"/>
      <c r="BT32" s="19"/>
    </row>
    <row r="33" spans="1:72" ht="17.25" customHeight="1" x14ac:dyDescent="0.3">
      <c r="B33" s="206"/>
      <c r="C33" s="207"/>
      <c r="D33" s="207"/>
      <c r="E33" s="239"/>
      <c r="G33" s="193" t="s">
        <v>25</v>
      </c>
      <c r="H33" s="194">
        <f>SUM(H30:H31)</f>
        <v>271205.48320999852</v>
      </c>
      <c r="I33" s="240"/>
      <c r="J33" s="241"/>
      <c r="K33" s="242"/>
      <c r="L33" s="243"/>
      <c r="M33" s="244"/>
      <c r="N33" s="229"/>
      <c r="O33" s="230"/>
      <c r="P33" s="231"/>
      <c r="Q33" s="231"/>
      <c r="R33" s="245"/>
      <c r="S33" s="246"/>
      <c r="T33" s="247"/>
      <c r="U33" s="248"/>
      <c r="V33" s="249"/>
      <c r="W33" s="250"/>
      <c r="AB33" s="270"/>
      <c r="AC33" s="252"/>
      <c r="AD33" s="253"/>
      <c r="AE33" s="250"/>
      <c r="AF33" s="254"/>
      <c r="AG33" s="252"/>
      <c r="AH33" s="253"/>
      <c r="AL33" s="250"/>
      <c r="AM33" s="250"/>
      <c r="AN33" s="250"/>
      <c r="AQ33" s="250"/>
      <c r="AR33" s="250"/>
      <c r="AU33" s="250"/>
      <c r="AZ33" s="250"/>
      <c r="BA33" s="250"/>
      <c r="BB33" s="224"/>
      <c r="BD33" s="183"/>
      <c r="BE33" s="19"/>
      <c r="BF33" s="19"/>
      <c r="BH33" s="19"/>
      <c r="BJ33" s="19"/>
      <c r="BT33" s="19"/>
    </row>
    <row r="34" spans="1:72" ht="17.25" customHeight="1" x14ac:dyDescent="0.3">
      <c r="B34" s="255"/>
      <c r="C34" s="256"/>
      <c r="D34" s="256"/>
      <c r="E34" s="257"/>
      <c r="G34" s="258"/>
      <c r="H34" s="259"/>
      <c r="I34" s="200"/>
      <c r="J34" s="223"/>
      <c r="K34" s="223"/>
      <c r="L34" s="260"/>
      <c r="M34" s="223"/>
      <c r="N34" s="223"/>
      <c r="O34" s="261"/>
      <c r="P34" s="231"/>
      <c r="Q34" s="231"/>
      <c r="R34" s="245"/>
      <c r="S34" s="246"/>
      <c r="T34" s="247"/>
      <c r="U34" s="248"/>
      <c r="V34" s="249"/>
      <c r="AB34" s="270"/>
      <c r="AC34" s="252"/>
      <c r="AD34" s="253"/>
      <c r="AE34" s="250"/>
      <c r="AF34" s="254"/>
      <c r="AG34" s="252"/>
      <c r="AH34" s="253"/>
      <c r="AL34" s="250"/>
      <c r="BB34" s="224"/>
      <c r="BD34" s="183"/>
      <c r="BE34" s="19"/>
      <c r="BF34" s="19"/>
      <c r="BH34" s="19"/>
      <c r="BJ34" s="19"/>
      <c r="BT34" s="19"/>
    </row>
    <row r="35" spans="1:72" ht="17.25" customHeight="1" x14ac:dyDescent="0.3">
      <c r="B35" s="190"/>
      <c r="C35" s="191"/>
      <c r="D35" s="262"/>
      <c r="E35" s="263"/>
      <c r="G35" s="209" t="s">
        <v>84</v>
      </c>
      <c r="H35" s="264">
        <v>0</v>
      </c>
      <c r="J35" s="265"/>
      <c r="K35" s="266"/>
      <c r="L35" s="267"/>
      <c r="M35" s="267"/>
      <c r="N35" s="268"/>
      <c r="O35" s="269"/>
      <c r="P35" s="231"/>
      <c r="Q35" s="231"/>
      <c r="R35" s="245"/>
      <c r="S35" s="246"/>
      <c r="T35" s="247"/>
      <c r="U35" s="248"/>
      <c r="V35" s="249"/>
      <c r="AB35" s="251"/>
      <c r="AC35" s="252"/>
      <c r="AD35" s="253"/>
      <c r="AE35" s="271"/>
      <c r="AF35" s="254"/>
      <c r="AG35" s="252"/>
      <c r="AH35" s="253"/>
      <c r="BB35" s="224"/>
      <c r="BD35" s="183"/>
      <c r="BE35" s="19"/>
      <c r="BF35" s="19"/>
      <c r="BH35" s="19"/>
      <c r="BJ35" s="272"/>
      <c r="BT35" s="19"/>
    </row>
    <row r="36" spans="1:72" ht="17.25" customHeight="1" x14ac:dyDescent="0.3">
      <c r="B36" s="273"/>
      <c r="D36" s="274"/>
      <c r="E36" s="275"/>
      <c r="G36" s="209" t="s">
        <v>85</v>
      </c>
      <c r="H36" s="276">
        <f>Q28</f>
        <v>0</v>
      </c>
      <c r="I36" s="277"/>
      <c r="J36" s="278"/>
      <c r="K36" s="278"/>
      <c r="L36" s="279"/>
      <c r="M36" s="280"/>
      <c r="N36" s="281"/>
      <c r="O36" s="282"/>
      <c r="P36" s="231"/>
      <c r="Q36" s="231"/>
      <c r="R36" s="245"/>
      <c r="S36" s="246"/>
      <c r="T36" s="247"/>
      <c r="U36" s="248"/>
      <c r="V36" s="249"/>
      <c r="AB36" s="251"/>
      <c r="AC36" s="252"/>
      <c r="AD36" s="429"/>
      <c r="AE36" s="271"/>
      <c r="AF36" s="283"/>
      <c r="AG36" s="284"/>
      <c r="AH36" s="285"/>
      <c r="BB36" s="224"/>
      <c r="BD36" s="183"/>
      <c r="BE36" s="19"/>
      <c r="BF36" s="19"/>
      <c r="BH36" s="19"/>
      <c r="BJ36" s="272"/>
      <c r="BT36" s="19"/>
    </row>
    <row r="37" spans="1:72" ht="17.25" customHeight="1" x14ac:dyDescent="0.3">
      <c r="B37" s="286"/>
      <c r="C37" s="226"/>
      <c r="D37" s="287"/>
      <c r="E37" s="288"/>
      <c r="G37" s="209" t="s">
        <v>86</v>
      </c>
      <c r="H37" s="289">
        <f>'[1]210723'!H37+H33*0.006/365*3</f>
        <v>23155.795414708115</v>
      </c>
      <c r="I37" s="290"/>
      <c r="J37" s="291"/>
      <c r="K37" s="291"/>
      <c r="L37" s="252"/>
      <c r="M37" s="253"/>
      <c r="N37" s="281"/>
      <c r="O37" s="292"/>
      <c r="P37" s="231"/>
      <c r="Q37" s="231"/>
      <c r="R37" s="245"/>
      <c r="S37" s="246"/>
      <c r="T37" s="247"/>
      <c r="U37" s="248"/>
      <c r="V37" s="249"/>
      <c r="AB37" s="251"/>
      <c r="AC37" s="252"/>
      <c r="AD37" s="253"/>
      <c r="AE37" s="271"/>
      <c r="AF37" s="293"/>
      <c r="AG37" s="271"/>
      <c r="AH37" s="294"/>
      <c r="BB37" s="224"/>
      <c r="BD37" s="295"/>
      <c r="BE37" s="19"/>
      <c r="BF37" s="296"/>
      <c r="BH37" s="19"/>
      <c r="BJ37" s="272"/>
      <c r="BT37" s="19"/>
    </row>
    <row r="38" spans="1:72" ht="17.25" customHeight="1" x14ac:dyDescent="0.3">
      <c r="B38" s="273"/>
      <c r="D38" s="297"/>
      <c r="E38" s="275"/>
      <c r="G38" s="298" t="s">
        <v>87</v>
      </c>
      <c r="H38" s="299">
        <f>H33-SUM(H35:H37)</f>
        <v>248049.6877952904</v>
      </c>
      <c r="I38" s="188"/>
      <c r="J38" s="291"/>
      <c r="K38" s="291"/>
      <c r="L38" s="252"/>
      <c r="M38" s="253"/>
      <c r="N38" s="281"/>
      <c r="O38" s="300"/>
      <c r="P38" s="231"/>
      <c r="Q38" s="231"/>
      <c r="R38" s="245"/>
      <c r="S38" s="246"/>
      <c r="T38" s="247"/>
      <c r="U38" s="248"/>
      <c r="V38" s="249"/>
      <c r="AB38" s="251"/>
      <c r="AC38" s="252"/>
      <c r="AD38" s="253"/>
      <c r="AE38" s="271"/>
      <c r="AF38" s="293"/>
      <c r="AG38" s="271"/>
      <c r="AH38" s="294"/>
      <c r="AL38" s="301"/>
      <c r="BB38" s="224"/>
      <c r="BD38" s="183"/>
      <c r="BE38" s="19"/>
      <c r="BF38" s="19"/>
      <c r="BH38" s="19"/>
      <c r="BJ38" s="272"/>
      <c r="BT38" s="19"/>
    </row>
    <row r="39" spans="1:72" ht="17.25" customHeight="1" x14ac:dyDescent="0.3">
      <c r="B39" s="302"/>
      <c r="C39" s="256"/>
      <c r="D39" s="303"/>
      <c r="E39" s="304"/>
      <c r="G39" s="305"/>
      <c r="H39" s="305"/>
      <c r="I39" s="306"/>
      <c r="J39" s="291"/>
      <c r="K39" s="291"/>
      <c r="L39" s="252"/>
      <c r="M39" s="253"/>
      <c r="N39" s="281"/>
      <c r="O39" s="216"/>
      <c r="P39" s="231"/>
      <c r="Q39" s="231"/>
      <c r="R39" s="245"/>
      <c r="S39" s="246"/>
      <c r="T39" s="247"/>
      <c r="U39" s="307"/>
      <c r="V39" s="249"/>
      <c r="AB39" s="308"/>
      <c r="AC39" s="309"/>
      <c r="AD39" s="285"/>
      <c r="AF39" s="183"/>
      <c r="AG39" s="310"/>
      <c r="AH39" s="20"/>
      <c r="BB39" s="224"/>
      <c r="BC39" s="310"/>
      <c r="BD39" s="311"/>
      <c r="BE39" s="19"/>
      <c r="BF39" s="310"/>
      <c r="BH39" s="310"/>
      <c r="BJ39" s="272"/>
      <c r="BT39" s="19"/>
    </row>
    <row r="40" spans="1:72" ht="17.25" customHeight="1" x14ac:dyDescent="0.3">
      <c r="B40" s="190"/>
      <c r="C40" s="191"/>
      <c r="D40" s="191"/>
      <c r="E40" s="312"/>
      <c r="G40" s="313" t="s">
        <v>88</v>
      </c>
      <c r="H40" s="314">
        <v>45131</v>
      </c>
      <c r="I40" s="315"/>
      <c r="J40" s="291"/>
      <c r="K40" s="291"/>
      <c r="L40" s="252"/>
      <c r="M40" s="253"/>
      <c r="N40" s="281"/>
      <c r="O40" s="216"/>
      <c r="P40" s="231"/>
      <c r="Q40" s="231"/>
      <c r="R40" s="245"/>
      <c r="S40" s="246"/>
      <c r="T40" s="247"/>
      <c r="U40" s="307"/>
      <c r="V40" s="249"/>
      <c r="AB40" s="308"/>
      <c r="AC40" s="309"/>
      <c r="AD40" s="285"/>
      <c r="AF40" s="183"/>
      <c r="AG40" s="310"/>
      <c r="AH40" s="20"/>
      <c r="BB40" s="224"/>
      <c r="BC40" s="310"/>
      <c r="BD40" s="311"/>
      <c r="BE40" s="19"/>
      <c r="BF40" s="310"/>
      <c r="BH40" s="310"/>
      <c r="BJ40" s="272"/>
      <c r="BT40" s="19"/>
    </row>
    <row r="41" spans="1:72" ht="17.25" customHeight="1" x14ac:dyDescent="0.3">
      <c r="B41" s="316"/>
      <c r="D41" s="317"/>
      <c r="E41" s="318"/>
      <c r="G41" s="209" t="s">
        <v>89</v>
      </c>
      <c r="H41" s="319">
        <f>323350+0+0+51000+0+38892+17422.2+0+0+0+22323+0+0+2500+2950+47340+0+-1000+2125.398+-4000+0+0+0+0+0+2772.629+3550+4000+6700+1050+3460+1000+2000+4550+2300+28000+0+7134.372+13135.321+7245.302+860+0+10350+-118.253+19800+7100+500+632.328+6885+0+0+0+0+6765+200+0+17345.504+9880+6983.297+0+700+2079.002+9240+24884+15405+0+16389.887+7130+5695+550+0+10469.826+24335.004+3560+0+11003.009+24963.586+19808.942+10639.851+11966.19+0+15705.005+15800.85+8700+0+40+10914.457+35750+11295.817+-13250+5500+17449.59+4147.368+14907.141+3000+0+6800+12452.771+1000+20337.3+7300+12487.935+3200+7741.687+136723.284+1872.386+0+12229.702+2975.247+0+30372.989+21977+3700+0-23.598+5000+3766.928+3800+600+10060.194+8270.364+12799+3294.995+600+0+4950+19611+0+0+19374.479+11388.72+33269.359+7804.368+31171.179+44950+15543.688+8000+10782.812+3082+0+5296.425+10672.443+25890.668+2245.807+15940.19+1710.84+1250+5901.573+13512.676+4921.26+-391.967+2400+32344.896+1579.964+35215.097+1998.097+14634.783+14499.902+6418.694+974.658+2217.314+1000+3034.757+12531.4+24177.949+6192.68+2000+-3500+5842.259+34015+12009.412+12820.347+17711.428+800+-1500+16725.855+1300+72248.42+0+4236.928+0+101460.982+928.64+4000+-1200+28080.689+3650+35396.101+6327.9+52685.178+2000+33201.902+16398.405+4161.904+9029.258+11736.836-7150.499+33498.425+3603.653+14673.669+12829.924+-1956.481+-3002.838+5554.293+22544.191+37077.614+2268.182+-763.706+-386.793+6.02+939.849+37000+2976.058+4759.58+-1029.281+0+-200+1685.393+28181.928+3837.887+3000+-1000+2581.766+2000+5581.395+1185.222+1768.04+28765.775+11307.525+16934.49+150+-5886.691+8659.648+10601.222+15338.831+6035.283+1550+5806.56+10978.774+2115.642+5318.704+27675.276+26561.647+14498.071+4659.181+29346.637+1475.495+6900+11873.609+2709.918+1000+9153.201+2000+1450+23292.612+14865.479+-465.441+3167.557+0+1735+1000+4068.266+15824.597+-2447.956+3729.962+20634.831+63719.779+3000+77.485+11961.682+8771.255+1747.868+3441.979+6729.953+23800.738+9170.509+924.214+26751.528+6194.93+-138.121+26546.826+4032.828+20983.515+-3561.304+818.277+13837.295+17174.189+6273.717+7144.313+33841.458+2543.647+0+186900.278+4000+19144.919+16771.404+41599.134+15248.247+26734.731+2098.539+7083.27+25491.773+5671.196+5814.82+5122.76+64083.332+0+2546.743+8781.25+1600+8473.92+64811.926+170.569+-407.539+3737.064+38114.443+10471.355+2504.857+4035.123+56794.159+91384.617+10610.3+9153.742-7494.187+13648.771+1818.18+0+39774.489+-4752.308+44372.05+19395.462+-22.686+1362.397+0+105182.441+2457.825+708.827+10418.562+--13651.226-27302.452+0+3117.884+41228.428+4351.916+543.064+445.789+58386.23+6979.076+16047.098+2717.392+2495.462+10000+1800.406+42988.636+8500+4333.189+94.89+20356.034+78953.731+77592.885+11752.219+-653.388+3361.6+-1383.757+2961.214+492.849+0+45.372+-6329.29+0+0+-3519.774+-58.664+-1410.081+0+0+-180.668+-99.547+81.9+72269.8+903.342+-2963.95+13718.855+12647.658+18552.064+-47170.091+-4328.29+26004.567+2185.04+0+-371.04+-4518.034+-86.641+25981.046+36743.687+12703.068+-2030+23334.837+41820.719+29808.664+85+136434.512+0+5380.63+1724.55+2709.762+104768.882+39475.054+8932.317+40372.017+7058.688+-671.631+6744.871+4714.464+452.898+-470.989+6930.526+7909.121+34328.211+-839.91+-5441.94+29337.928+4449.906+783.078+ 4141.495+23924.288+45651.391+-469.784+632.366+13667.296+35666.909+2408.236+1715.992+28948.761+6806.764+-26779.661+8042.895+2459.894+58208.673+13721.798+29649.021+2690.114+4000+2138.111+9683.337+50041.457+3156.54+37994.758+67231.165+0+3073.884+-11637.484+13609.384+352207.101+53083.232+4047.674+8276.142+31344.794+62.355+30696.625+41318.384+22903.179+66360.27+14465.973+20352.947+120271.786+2365.964+7452.551+-652.951+-1276.219+9214.088+12698.837+31128.324+1778.374+28812.47+2338.556+72995.335+9950.065+98574.839+591.959+2126.905+15592.128+5329.72+57851.551+4927.537+-26992.753+-95.715+-22469.154+2293.577+-7252.436+18315.017+1489.945+347.654+-392.842+270.022+-2624.115+4530.344+8191.649+15110.461+4193.492+-887+5464.936+93738.695+40466.33+28381.522+-2794.377+24417.512+-2091.676+13043.52+-4587+2921.151+-1158.906+962+26782+0+5032.74+5668.763+-81.535+0+4832.186+0+1094+7015.962+540.651+9890+-85.58+-15457.843+727.643+0+0+18276.04+23284.535+9633+46695.623+-538.844+-146+-1567.464+2105.99+14098.387+-3220.408+23718.772+4400.339+8246.008+8320.734+-2399.612+-4939.661+466.597+2000+4947.271+-13675.688+10659.314+-350+4000+0+13527.68+-957.349+18066.058+17963.443+-1006.957+4310.767+-113024.83+-9373.458+2263.504+13625.037+-4431.22+19655.73+-3870.831+591.623+27537.262+5329.737+-2997.534+-1666+9184.805+34464.09+-4718.806+2000+26348.744+2000+-350.423+10624.967+0+-3601.91+-80209+0+-1439.342+-3839.994+158+-15000+2621.917+-16001.387+-172.744+28775.556+-29937.198+-600+-1753.428+7237.088+-4619.56+-14774.269+-3000+-2221.264+-7747.679+-373.184+-1266.292+-1160.852+23193.253+5087.125+1047.279+10911+15126.348+12936.139+-15011.721+-8733.54+3464.652+4826+-17003.674+-13710.014+30938.21+2296+-2038.35+-1300+0+-7621.374+-7249.164+-300+2392+-229.719+1945.808+0+-85824.809+692.382+-52162.857+17500+-9032.504+-807.886+0+5000+-564.333+-1000+2147.462+2181.328+350.774+-5781.78+-6814.578+-279.284+0+-4673.112+17678.64+-31471.461+-500+-533.058+1786.201+-17499.045+1000+-217.495+0+-992.336+-10696+0+5381.416+2832.551+-21029.39+-12458.426+-14520.701+-5863.979+-34069.068+1168.805+-26436.678+-10294.319+545+10000+-26112+6670.031+0+1178.691+0+-6253.329+53.802+-26618.595+-10437.875+0+-30000+-10789.116+980+2000+3396.397+-6259.474+-7063.385+-713.674+10175+12167.899+0+-3200+3400+3514.092+-16893.203+-10894.584+-4539.766+-5080+-11156.442+2000+6374.609+-344+1000+1461.764+-88955.374+989.836+-34475.727+-27159.592+0+2000+9366.034+9365+-16151.313+38701.657+6978.213+1852.856+-13462.649+-27947.56+-2.443+0+-20625.61+-421.58+1000+4996.088+454+-2431.906+-4815.449+74018.018+-7506.729+-1995.539+-29594+1471.617+-17150.625+-788.184+18613.207+-4500+11425.752+0+-5600+-191.938+9900.239+-95.877+10668.426+2804.192+-287.081+-5418+-500+11372.598+0+-3090.114+-3000+-1285.421+-8949.389+7929.435+-9315.769+-67723.97+2810.697+-3842.614+5558.519+10001.578+-3166+-3024.426+-323.809+-20660.598+9522.5+5186.393+16460.347+3145.945+-6556.599+8851.6+-132.448+12530.752+0+29483.324+0+-8088.943+-2137.119+-5228.029+1511.719+-7947.659+-9345.329+-13030+-9077.853+-1108+-800+-8009.631+9023+-12260.177+15193.03+8056.886+460.628+5565.076+-23489.835+-627.412+-2059.41+-659+-7323.683+224.9+-90620.001+11833.719+1062.188+-253.081+0+-913.106+0+-7186.045+-514.506+0+3000.116+-6094.837+-1181.024+-96.805+-1241.779+-22416.465+0+0+0+-3547.539+3716.839+-3306.138+11221.772+0+443.64+21755.9+8168.292-1843.42-8840.524+-625.755+4759.689+25086.57+9616.123+8407+0-2000-1500-1382.898-295.55+2384.69-1852.911+332.602+175.866+3112.575+1199.616+3282.618+0-12451.789+480+96.056-31+200+2958.092+0+2537.599+144.3-6812.883+675.91+2417.12+20876+1597</f>
        <v>6444048.9979999932</v>
      </c>
      <c r="I41" s="315"/>
      <c r="J41" s="320"/>
      <c r="K41" s="320"/>
      <c r="L41" s="321"/>
      <c r="M41" s="322"/>
      <c r="N41" s="281"/>
      <c r="O41" s="216"/>
      <c r="P41" s="231"/>
      <c r="Q41" s="231"/>
      <c r="R41" s="245"/>
      <c r="S41" s="246"/>
      <c r="T41" s="247"/>
      <c r="U41" s="307"/>
      <c r="V41" s="249"/>
      <c r="AF41" s="183"/>
      <c r="AG41" s="310"/>
      <c r="AH41" s="20"/>
      <c r="BB41" s="224"/>
      <c r="BC41" s="310"/>
      <c r="BD41" s="311"/>
      <c r="BE41" s="19"/>
      <c r="BF41" s="310"/>
      <c r="BH41" s="310"/>
      <c r="BJ41" s="272"/>
      <c r="BT41" s="19"/>
    </row>
    <row r="42" spans="1:72" ht="17.25" customHeight="1" x14ac:dyDescent="0.3">
      <c r="B42" s="286"/>
      <c r="C42" s="226"/>
      <c r="D42" s="323"/>
      <c r="E42" s="324"/>
      <c r="G42" s="209" t="s">
        <v>90</v>
      </c>
      <c r="H42" s="325">
        <v>10.48</v>
      </c>
      <c r="I42" s="315"/>
      <c r="J42" s="326"/>
      <c r="K42" s="326"/>
      <c r="L42" s="321"/>
      <c r="M42" s="322"/>
      <c r="N42" s="281"/>
      <c r="O42" s="216"/>
      <c r="P42" s="231"/>
      <c r="Q42" s="231"/>
      <c r="R42" s="245"/>
      <c r="S42" s="246"/>
      <c r="T42" s="247"/>
      <c r="U42" s="307"/>
      <c r="V42" s="249"/>
      <c r="AB42" s="223"/>
      <c r="AF42" s="223"/>
      <c r="AH42" s="19"/>
      <c r="BB42" s="224"/>
      <c r="BC42" s="310"/>
      <c r="BD42" s="311"/>
      <c r="BE42" s="19"/>
      <c r="BF42" s="310"/>
      <c r="BH42" s="310"/>
      <c r="BJ42" s="272"/>
      <c r="BT42" s="19"/>
    </row>
    <row r="43" spans="1:72" ht="17.25" customHeight="1" x14ac:dyDescent="0.3">
      <c r="B43" s="273"/>
      <c r="D43" s="327"/>
      <c r="E43" s="328"/>
      <c r="G43" s="329" t="s">
        <v>91</v>
      </c>
      <c r="H43" s="330">
        <f>VLC/'[1]210723'!VLC-1</f>
        <v>9.5510983763125168E-4</v>
      </c>
      <c r="I43" s="331"/>
      <c r="J43" s="291"/>
      <c r="K43" s="291"/>
      <c r="L43" s="332"/>
      <c r="M43" s="333"/>
      <c r="N43" s="281"/>
      <c r="O43" s="216"/>
      <c r="P43" s="231"/>
      <c r="Q43" s="231"/>
      <c r="R43" s="245"/>
      <c r="S43" s="246"/>
      <c r="T43" s="247"/>
      <c r="U43" s="307"/>
      <c r="V43" s="249"/>
      <c r="AB43" s="237"/>
      <c r="AC43" s="238"/>
      <c r="AD43" s="238"/>
      <c r="AF43" s="237"/>
      <c r="AG43" s="238"/>
      <c r="AH43" s="238"/>
      <c r="BB43" s="224"/>
      <c r="BC43" s="310"/>
      <c r="BD43" s="311"/>
      <c r="BE43" s="19"/>
      <c r="BF43" s="310"/>
      <c r="BH43" s="310"/>
      <c r="BJ43" s="272"/>
      <c r="BT43" s="19"/>
    </row>
    <row r="44" spans="1:72" ht="17.25" customHeight="1" x14ac:dyDescent="0.3">
      <c r="B44" s="286"/>
      <c r="C44" s="226"/>
      <c r="D44" s="334"/>
      <c r="E44" s="335"/>
      <c r="I44" s="336"/>
      <c r="J44" s="291"/>
      <c r="K44" s="291"/>
      <c r="L44" s="332"/>
      <c r="M44" s="333"/>
      <c r="N44" s="281"/>
      <c r="O44" s="292"/>
      <c r="P44" s="231"/>
      <c r="Q44" s="231"/>
      <c r="R44" s="245"/>
      <c r="S44" s="246"/>
      <c r="T44" s="247"/>
      <c r="U44" s="307"/>
      <c r="V44" s="249"/>
      <c r="AB44" s="251"/>
      <c r="AC44" s="252"/>
      <c r="AD44" s="253"/>
      <c r="AE44" s="271"/>
      <c r="AF44" s="254"/>
      <c r="AG44" s="252"/>
      <c r="AH44" s="253"/>
      <c r="BB44" s="224"/>
      <c r="BC44" s="310"/>
      <c r="BD44" s="311"/>
      <c r="BE44" s="19"/>
      <c r="BF44" s="310"/>
      <c r="BH44" s="310"/>
      <c r="BJ44" s="272"/>
      <c r="BT44" s="19"/>
    </row>
    <row r="45" spans="1:72" ht="17.25" customHeight="1" x14ac:dyDescent="0.3">
      <c r="B45" s="337"/>
      <c r="D45" s="317"/>
      <c r="E45" s="318"/>
      <c r="G45" s="338" t="s">
        <v>92</v>
      </c>
      <c r="H45" s="339">
        <f t="array" ref="H45">_xll.FDS("EURUSD","FG_PRICE("&amp;$H$40&amp;","&amp;$H$40&amp;")")</f>
        <v>1.1079999</v>
      </c>
      <c r="I45" s="340"/>
      <c r="J45" s="291"/>
      <c r="K45" s="291"/>
      <c r="L45" s="332"/>
      <c r="M45" s="333"/>
      <c r="N45" s="183"/>
      <c r="O45" s="216"/>
      <c r="P45" s="231"/>
      <c r="Q45" s="231"/>
      <c r="R45" s="245"/>
      <c r="S45" s="246"/>
      <c r="T45" s="247"/>
      <c r="U45" s="307"/>
      <c r="V45" s="249"/>
      <c r="AB45" s="251"/>
      <c r="AC45" s="252"/>
      <c r="AD45" s="253"/>
      <c r="AE45" s="271"/>
      <c r="AF45" s="254"/>
      <c r="AG45" s="252"/>
      <c r="AH45" s="253"/>
      <c r="BC45" s="224"/>
      <c r="BD45" s="188"/>
      <c r="BE45" s="19"/>
      <c r="BF45" s="310"/>
      <c r="BH45" s="311"/>
      <c r="BI45" s="311"/>
      <c r="BJ45" s="310"/>
      <c r="BT45" s="19"/>
    </row>
    <row r="46" spans="1:72" ht="17.25" customHeight="1" x14ac:dyDescent="0.3">
      <c r="B46" s="341"/>
      <c r="C46" s="226"/>
      <c r="D46" s="342"/>
      <c r="E46" s="288"/>
      <c r="G46" s="209" t="s">
        <v>93</v>
      </c>
      <c r="H46" s="343">
        <f>191.387</f>
        <v>191.387</v>
      </c>
      <c r="I46" s="310"/>
      <c r="J46" s="344"/>
      <c r="K46" s="344"/>
      <c r="L46" s="321"/>
      <c r="M46" s="322"/>
      <c r="N46" s="345"/>
      <c r="O46" s="346"/>
      <c r="P46" s="231"/>
      <c r="Q46" s="231"/>
      <c r="R46" s="347"/>
      <c r="S46" s="348"/>
      <c r="T46" s="247"/>
      <c r="U46" s="349"/>
      <c r="V46" s="249"/>
      <c r="AB46" s="251"/>
      <c r="AC46" s="252"/>
      <c r="AD46" s="253"/>
      <c r="AE46" s="271"/>
      <c r="AF46" s="254"/>
      <c r="AG46" s="252"/>
      <c r="AH46" s="253"/>
      <c r="BC46" s="224"/>
      <c r="BD46" s="188"/>
      <c r="BE46" s="19"/>
      <c r="BF46" s="310"/>
      <c r="BH46" s="311"/>
      <c r="BI46" s="311"/>
      <c r="BJ46" s="310"/>
      <c r="BT46" s="19"/>
    </row>
    <row r="47" spans="1:72" ht="17.25" customHeight="1" x14ac:dyDescent="0.3">
      <c r="B47" s="350"/>
      <c r="C47" s="351"/>
      <c r="D47" s="352"/>
      <c r="E47" s="353"/>
      <c r="G47" s="209" t="s">
        <v>94</v>
      </c>
      <c r="H47" s="354">
        <f>BF28</f>
        <v>0</v>
      </c>
      <c r="I47" s="355"/>
      <c r="J47" s="326"/>
      <c r="K47" s="326"/>
      <c r="L47" s="321"/>
      <c r="M47" s="322"/>
      <c r="N47" s="222"/>
      <c r="O47" s="300"/>
      <c r="P47" s="231"/>
      <c r="Q47" s="231"/>
      <c r="R47" s="356"/>
      <c r="S47" s="357"/>
      <c r="T47" s="234"/>
      <c r="U47" s="235"/>
      <c r="V47" s="236"/>
      <c r="AB47" s="358"/>
      <c r="AC47" s="252"/>
      <c r="AD47" s="253"/>
      <c r="AE47" s="271"/>
      <c r="AF47" s="283"/>
      <c r="AG47" s="284"/>
      <c r="AH47" s="285"/>
      <c r="BC47" s="224"/>
      <c r="BD47" s="188"/>
      <c r="BE47" s="19"/>
      <c r="BF47" s="310"/>
      <c r="BH47" s="311"/>
      <c r="BI47" s="311"/>
      <c r="BJ47" s="310"/>
      <c r="BT47" s="19"/>
    </row>
    <row r="48" spans="1:72" ht="17.25" customHeight="1" x14ac:dyDescent="0.3">
      <c r="A48" s="359"/>
      <c r="B48" s="360"/>
      <c r="C48" s="361"/>
      <c r="D48" s="362"/>
      <c r="E48" s="362"/>
      <c r="I48" s="310"/>
      <c r="J48" s="291"/>
      <c r="K48" s="291"/>
      <c r="L48" s="252"/>
      <c r="M48" s="253"/>
      <c r="N48" s="363"/>
      <c r="O48" s="364"/>
      <c r="P48" s="231"/>
      <c r="Q48" s="231"/>
      <c r="R48" s="365"/>
      <c r="S48" s="366"/>
      <c r="T48" s="247"/>
      <c r="U48" s="248"/>
      <c r="V48" s="249"/>
      <c r="AB48" s="308"/>
      <c r="AC48" s="309"/>
      <c r="AD48" s="285"/>
      <c r="AE48" s="271"/>
      <c r="AF48" s="293"/>
      <c r="AG48" s="311"/>
      <c r="AH48" s="294"/>
      <c r="BC48" s="224"/>
      <c r="BD48" s="188"/>
      <c r="BE48" s="19"/>
      <c r="BF48" s="310"/>
      <c r="BH48" s="311"/>
      <c r="BI48" s="311"/>
      <c r="BJ48" s="310"/>
      <c r="BT48" s="19"/>
    </row>
    <row r="49" spans="1:72" ht="17.25" customHeight="1" x14ac:dyDescent="0.3">
      <c r="A49" s="367"/>
      <c r="B49" s="368"/>
      <c r="C49" s="369"/>
      <c r="D49" s="370"/>
      <c r="E49" s="370"/>
      <c r="G49" s="371" t="s">
        <v>95</v>
      </c>
      <c r="H49" s="372">
        <v>45128</v>
      </c>
      <c r="I49" s="222"/>
      <c r="J49" s="291"/>
      <c r="K49" s="291"/>
      <c r="L49" s="252"/>
      <c r="M49" s="253"/>
      <c r="N49" s="373"/>
      <c r="O49" s="374"/>
      <c r="P49" s="231"/>
      <c r="Q49" s="231"/>
      <c r="R49" s="365"/>
      <c r="S49" s="366"/>
      <c r="T49" s="247"/>
      <c r="U49" s="248"/>
      <c r="V49" s="249"/>
      <c r="X49" s="223"/>
      <c r="Z49" s="19"/>
      <c r="AD49" s="183"/>
      <c r="AE49" s="311"/>
      <c r="AF49" s="20"/>
      <c r="BC49" s="224"/>
      <c r="BD49" s="188"/>
      <c r="BE49" s="19"/>
      <c r="BF49" s="310"/>
      <c r="BH49" s="311"/>
      <c r="BI49" s="311"/>
      <c r="BJ49" s="310"/>
      <c r="BT49" s="19"/>
    </row>
    <row r="50" spans="1:72" ht="17.25" customHeight="1" x14ac:dyDescent="0.3">
      <c r="A50" s="375"/>
      <c r="B50" s="286"/>
      <c r="C50" s="376"/>
      <c r="D50" s="376"/>
      <c r="E50" s="377"/>
      <c r="I50" s="378"/>
      <c r="J50" s="320"/>
      <c r="K50" s="320"/>
      <c r="L50" s="321"/>
      <c r="M50" s="322"/>
      <c r="N50" s="183"/>
      <c r="O50" s="216"/>
      <c r="P50" s="231"/>
      <c r="Q50" s="231"/>
      <c r="R50" s="379"/>
      <c r="S50" s="380"/>
      <c r="T50" s="381"/>
      <c r="U50" s="382"/>
      <c r="V50" s="383"/>
      <c r="AE50" s="188"/>
      <c r="BF50" s="19"/>
      <c r="BH50" s="224"/>
      <c r="BI50" s="183"/>
      <c r="BJ50" s="19"/>
    </row>
    <row r="51" spans="1:72" ht="17.25" customHeight="1" x14ac:dyDescent="0.3">
      <c r="A51" s="384"/>
      <c r="B51" s="273"/>
      <c r="C51" s="385"/>
      <c r="D51" s="385"/>
      <c r="E51" s="386"/>
      <c r="F51" s="387"/>
      <c r="G51" s="188"/>
      <c r="H51" s="388"/>
      <c r="I51" s="378"/>
      <c r="J51" s="389"/>
      <c r="K51" s="389"/>
      <c r="L51" s="309"/>
      <c r="M51" s="285"/>
      <c r="N51" s="183"/>
      <c r="O51" s="216"/>
      <c r="P51" s="390"/>
      <c r="Q51" s="391"/>
      <c r="R51" s="392"/>
      <c r="S51" s="393"/>
      <c r="T51" s="234"/>
      <c r="U51" s="235"/>
      <c r="V51" s="236"/>
      <c r="AE51" s="188"/>
      <c r="BF51" s="19"/>
      <c r="BH51" s="224"/>
      <c r="BI51" s="183"/>
      <c r="BJ51" s="19"/>
    </row>
    <row r="52" spans="1:72" ht="17.25" customHeight="1" x14ac:dyDescent="0.3">
      <c r="A52" s="375"/>
      <c r="B52" s="286"/>
      <c r="C52" s="376"/>
      <c r="D52" s="377"/>
      <c r="E52" s="377"/>
      <c r="G52" s="201"/>
      <c r="H52" s="394" t="s">
        <v>96</v>
      </c>
      <c r="I52" s="378"/>
      <c r="N52" s="395"/>
      <c r="O52" s="396"/>
      <c r="P52" s="397"/>
      <c r="Q52" s="398"/>
      <c r="R52" s="399"/>
      <c r="S52" s="400"/>
      <c r="T52" s="247"/>
      <c r="U52" s="248"/>
      <c r="V52" s="249"/>
      <c r="AE52" s="188"/>
      <c r="BF52" s="19"/>
      <c r="BH52" s="224"/>
      <c r="BI52" s="183"/>
      <c r="BJ52" s="19"/>
    </row>
    <row r="53" spans="1:72" ht="17.25" customHeight="1" x14ac:dyDescent="0.3">
      <c r="A53" s="384"/>
      <c r="B53" s="273"/>
      <c r="C53" s="385"/>
      <c r="D53" s="385"/>
      <c r="E53" s="386"/>
      <c r="G53" s="201"/>
      <c r="H53" s="394"/>
      <c r="I53" s="378"/>
      <c r="J53" s="401"/>
      <c r="K53" s="402"/>
      <c r="L53" s="402"/>
      <c r="M53" s="403"/>
      <c r="N53" s="183"/>
      <c r="O53" s="216"/>
      <c r="P53" s="397"/>
      <c r="Q53" s="398"/>
      <c r="R53" s="399"/>
      <c r="S53" s="400"/>
      <c r="T53" s="247"/>
      <c r="U53" s="248"/>
      <c r="V53" s="249"/>
      <c r="AE53" s="188"/>
      <c r="BF53" s="19"/>
      <c r="BH53" s="224"/>
      <c r="BI53" s="183"/>
      <c r="BJ53" s="19"/>
    </row>
    <row r="54" spans="1:72" ht="17.25" customHeight="1" x14ac:dyDescent="0.3">
      <c r="A54" s="375"/>
      <c r="B54" s="286"/>
      <c r="C54" s="376"/>
      <c r="D54" s="376"/>
      <c r="E54" s="377"/>
      <c r="G54" s="201"/>
      <c r="H54" s="394"/>
      <c r="I54" s="404"/>
      <c r="J54" s="273"/>
      <c r="L54" s="405"/>
      <c r="M54" s="406"/>
      <c r="N54" s="183"/>
      <c r="O54" s="216"/>
      <c r="P54" s="397"/>
      <c r="Q54" s="398"/>
      <c r="R54" s="399"/>
      <c r="S54" s="400"/>
      <c r="T54" s="247"/>
      <c r="U54" s="248"/>
      <c r="V54" s="249"/>
      <c r="AE54" s="188"/>
      <c r="BF54" s="19"/>
      <c r="BH54" s="224"/>
      <c r="BI54" s="183"/>
      <c r="BJ54" s="19"/>
    </row>
    <row r="55" spans="1:72" ht="17.25" customHeight="1" x14ac:dyDescent="0.3">
      <c r="A55" s="407"/>
      <c r="B55" s="273"/>
      <c r="C55" s="408"/>
      <c r="D55" s="408"/>
      <c r="E55" s="409"/>
      <c r="F55" s="410"/>
      <c r="G55" s="201"/>
      <c r="H55" s="394">
        <f>675.91</f>
        <v>675.91</v>
      </c>
      <c r="I55" s="410"/>
      <c r="J55" s="286"/>
      <c r="K55" s="226"/>
      <c r="L55" s="411"/>
      <c r="M55" s="412"/>
      <c r="N55" s="183"/>
      <c r="O55" s="216"/>
      <c r="P55" s="397"/>
      <c r="Q55" s="398"/>
      <c r="R55" s="245"/>
      <c r="S55" s="246"/>
      <c r="T55" s="247"/>
      <c r="U55" s="248"/>
      <c r="V55" s="249"/>
      <c r="W55" s="183"/>
      <c r="Y55" s="183"/>
      <c r="Z55" s="212"/>
      <c r="AE55" s="188"/>
      <c r="BF55" s="19"/>
      <c r="BH55" s="224"/>
      <c r="BI55" s="183"/>
      <c r="BJ55" s="19"/>
    </row>
    <row r="56" spans="1:72" ht="17.25" customHeight="1" x14ac:dyDescent="0.3">
      <c r="B56" s="302"/>
      <c r="C56" s="413"/>
      <c r="D56" s="413"/>
      <c r="E56" s="414"/>
      <c r="H56" s="394"/>
      <c r="I56" s="404"/>
      <c r="J56" s="350"/>
      <c r="K56" s="351"/>
      <c r="L56" s="415"/>
      <c r="M56" s="416"/>
      <c r="N56" s="183"/>
      <c r="O56" s="216"/>
      <c r="P56" s="417"/>
      <c r="Q56" s="418"/>
      <c r="R56" s="347"/>
      <c r="S56" s="348"/>
      <c r="T56" s="419"/>
      <c r="U56" s="420"/>
      <c r="V56" s="383"/>
      <c r="W56" s="183"/>
      <c r="Y56" s="183"/>
      <c r="Z56" s="212"/>
      <c r="AE56" s="188"/>
      <c r="BF56" s="19"/>
      <c r="BH56" s="224"/>
      <c r="BI56" s="183"/>
      <c r="BJ56" s="19"/>
    </row>
    <row r="57" spans="1:72" ht="17.25" customHeight="1" x14ac:dyDescent="0.3">
      <c r="H57" s="394"/>
      <c r="I57" s="404"/>
      <c r="W57" s="183"/>
      <c r="Y57" s="183"/>
      <c r="Z57" s="212"/>
      <c r="AE57" s="188"/>
      <c r="BF57" s="19"/>
      <c r="BH57" s="183"/>
      <c r="BI57" s="183"/>
      <c r="BJ57" s="19"/>
    </row>
    <row r="58" spans="1:72" x14ac:dyDescent="0.3">
      <c r="C58" s="204"/>
      <c r="D58" s="204"/>
      <c r="E58" s="204"/>
      <c r="I58" s="404"/>
      <c r="W58" s="183"/>
      <c r="Y58" s="183"/>
      <c r="Z58" s="212"/>
      <c r="AE58" s="188"/>
      <c r="BF58" s="19"/>
      <c r="BH58" s="183"/>
      <c r="BI58" s="183"/>
      <c r="BJ58" s="19"/>
    </row>
    <row r="59" spans="1:72" x14ac:dyDescent="0.3">
      <c r="I59" s="404"/>
      <c r="O59" s="216"/>
      <c r="P59" s="421"/>
      <c r="V59" s="183"/>
      <c r="BH59" s="188"/>
    </row>
    <row r="60" spans="1:72" x14ac:dyDescent="0.3">
      <c r="I60" s="404"/>
      <c r="J60" s="345"/>
      <c r="K60" s="183"/>
      <c r="L60" s="183"/>
      <c r="O60" s="216"/>
      <c r="P60" s="200"/>
      <c r="V60" s="183"/>
      <c r="X60" s="223"/>
      <c r="BH60" s="188"/>
    </row>
    <row r="61" spans="1:72" ht="18" x14ac:dyDescent="0.3">
      <c r="J61" s="183"/>
      <c r="K61" s="422"/>
      <c r="L61" s="423"/>
      <c r="P61" s="200"/>
      <c r="BH61" s="188"/>
    </row>
    <row r="62" spans="1:72" x14ac:dyDescent="0.3">
      <c r="J62" s="183"/>
      <c r="K62" s="212"/>
      <c r="L62" s="212"/>
      <c r="P62" s="200"/>
    </row>
    <row r="63" spans="1:72" x14ac:dyDescent="0.3">
      <c r="J63" s="183"/>
      <c r="K63" s="424"/>
      <c r="L63" s="424"/>
      <c r="P63" s="200"/>
    </row>
    <row r="64" spans="1:72" x14ac:dyDescent="0.3">
      <c r="J64" s="183"/>
      <c r="K64" s="183"/>
      <c r="L64" s="183"/>
      <c r="P64" s="200"/>
    </row>
    <row r="65" spans="10:16" x14ac:dyDescent="0.3">
      <c r="J65" s="183"/>
      <c r="K65" s="183"/>
      <c r="L65" s="183"/>
      <c r="P65" s="200"/>
    </row>
    <row r="66" spans="10:16" x14ac:dyDescent="0.3">
      <c r="J66" s="212"/>
      <c r="K66" s="212"/>
      <c r="L66" s="183"/>
    </row>
    <row r="67" spans="10:16" x14ac:dyDescent="0.3">
      <c r="J67" s="183"/>
    </row>
    <row r="68" spans="10:16" x14ac:dyDescent="0.3">
      <c r="J68" s="183"/>
    </row>
    <row r="69" spans="10:16" x14ac:dyDescent="0.3">
      <c r="J69" s="212"/>
    </row>
    <row r="70" spans="10:16" x14ac:dyDescent="0.3">
      <c r="J70" s="183"/>
    </row>
    <row r="79" spans="10:16" x14ac:dyDescent="0.3">
      <c r="N79" s="425"/>
      <c r="O79" s="426"/>
      <c r="P79" s="427"/>
    </row>
  </sheetData>
  <mergeCells count="7">
    <mergeCell ref="N79:P79"/>
    <mergeCell ref="A1:I1"/>
    <mergeCell ref="O1:P1"/>
    <mergeCell ref="Q1:T1"/>
    <mergeCell ref="P32:Q46"/>
    <mergeCell ref="P47:Q50"/>
    <mergeCell ref="P51:Q56"/>
  </mergeCells>
  <conditionalFormatting sqref="N36:N44 K3:L4 K14:L25 K6:L12">
    <cfRule type="cellIs" dxfId="217" priority="39" operator="lessThan">
      <formula>0</formula>
    </cfRule>
  </conditionalFormatting>
  <conditionalFormatting sqref="O39:O43 W32:Y32 AE32:AI32 BE32 AZ32:BA32 AL32:AU32">
    <cfRule type="containsText" dxfId="216" priority="40" operator="containsText" text="OK">
      <formula>NOT(ISERROR(SEARCH("OK",O32)))</formula>
    </cfRule>
  </conditionalFormatting>
  <conditionalFormatting sqref="I29">
    <cfRule type="cellIs" dxfId="215" priority="46" operator="greaterThan">
      <formula>0.1</formula>
    </cfRule>
  </conditionalFormatting>
  <conditionalFormatting sqref="L29 M3:M4 M14:M25 M6:M12">
    <cfRule type="cellIs" dxfId="214" priority="44" operator="lessThan">
      <formula>0</formula>
    </cfRule>
    <cfRule type="cellIs" dxfId="213" priority="45" operator="greaterThan">
      <formula>0</formula>
    </cfRule>
  </conditionalFormatting>
  <conditionalFormatting sqref="U39 U41:U48">
    <cfRule type="containsText" dxfId="212" priority="42" operator="containsText" text="OK">
      <formula>NOT(ISERROR(SEARCH("OK",U39)))</formula>
    </cfRule>
    <cfRule type="containsText" dxfId="211" priority="43" operator="containsText" text="X">
      <formula>NOT(ISERROR(SEARCH("X",U39)))</formula>
    </cfRule>
  </conditionalFormatting>
  <conditionalFormatting sqref="K3:L4 K14:L25 K6:L12">
    <cfRule type="cellIs" dxfId="210" priority="41" operator="greaterThan">
      <formula>0</formula>
    </cfRule>
  </conditionalFormatting>
  <conditionalFormatting sqref="U49">
    <cfRule type="containsText" dxfId="209" priority="37" operator="containsText" text="OK">
      <formula>NOT(ISERROR(SEARCH("OK",U49)))</formula>
    </cfRule>
    <cfRule type="containsText" dxfId="208" priority="38" operator="containsText" text="X">
      <formula>NOT(ISERROR(SEARCH("X",U49)))</formula>
    </cfRule>
  </conditionalFormatting>
  <conditionalFormatting sqref="U32:U38">
    <cfRule type="containsText" dxfId="207" priority="35" operator="containsText" text="OK">
      <formula>NOT(ISERROR(SEARCH("OK",U32)))</formula>
    </cfRule>
    <cfRule type="containsText" dxfId="206" priority="36" operator="containsText" text="X">
      <formula>NOT(ISERROR(SEARCH("X",U32)))</formula>
    </cfRule>
  </conditionalFormatting>
  <conditionalFormatting sqref="U40">
    <cfRule type="containsText" dxfId="205" priority="33" operator="containsText" text="OK">
      <formula>NOT(ISERROR(SEARCH("OK",U40)))</formula>
    </cfRule>
    <cfRule type="containsText" dxfId="204" priority="34" operator="containsText" text="X">
      <formula>NOT(ISERROR(SEARCH("X",U40)))</formula>
    </cfRule>
  </conditionalFormatting>
  <conditionalFormatting sqref="U51">
    <cfRule type="containsText" dxfId="203" priority="31" operator="containsText" text="OK">
      <formula>NOT(ISERROR(SEARCH("OK",U51)))</formula>
    </cfRule>
    <cfRule type="containsText" dxfId="202" priority="32" operator="containsText" text="X">
      <formula>NOT(ISERROR(SEARCH("X",U51)))</formula>
    </cfRule>
  </conditionalFormatting>
  <conditionalFormatting sqref="V51:V56">
    <cfRule type="containsText" dxfId="201" priority="29" operator="containsText" text="OK">
      <formula>NOT(ISERROR(SEARCH("OK",V51)))</formula>
    </cfRule>
    <cfRule type="containsText" dxfId="200" priority="30" operator="containsText" text="X">
      <formula>NOT(ISERROR(SEARCH("X",V51)))</formula>
    </cfRule>
  </conditionalFormatting>
  <conditionalFormatting sqref="U54:U55">
    <cfRule type="containsText" dxfId="199" priority="27" operator="containsText" text="OK">
      <formula>NOT(ISERROR(SEARCH("OK",U54)))</formula>
    </cfRule>
    <cfRule type="containsText" dxfId="198" priority="28" operator="containsText" text="X">
      <formula>NOT(ISERROR(SEARCH("X",U54)))</formula>
    </cfRule>
  </conditionalFormatting>
  <conditionalFormatting sqref="I31">
    <cfRule type="cellIs" dxfId="197" priority="26" operator="lessThan">
      <formula>0</formula>
    </cfRule>
  </conditionalFormatting>
  <conditionalFormatting sqref="V47:V50">
    <cfRule type="containsText" dxfId="196" priority="24" operator="containsText" text="OK">
      <formula>NOT(ISERROR(SEARCH("OK",V47)))</formula>
    </cfRule>
    <cfRule type="containsText" dxfId="195" priority="25" operator="containsText" text="X">
      <formula>NOT(ISERROR(SEARCH("X",V47)))</formula>
    </cfRule>
  </conditionalFormatting>
  <conditionalFormatting sqref="V32:V46">
    <cfRule type="containsText" dxfId="194" priority="22" operator="containsText" text="OK">
      <formula>NOT(ISERROR(SEARCH("OK",V32)))</formula>
    </cfRule>
    <cfRule type="containsText" dxfId="193" priority="23" operator="containsText" text="X">
      <formula>NOT(ISERROR(SEARCH("X",V32)))</formula>
    </cfRule>
  </conditionalFormatting>
  <conditionalFormatting sqref="I3:I4 I6:I25">
    <cfRule type="cellIs" dxfId="192" priority="21" operator="greaterThan">
      <formula>20</formula>
    </cfRule>
  </conditionalFormatting>
  <conditionalFormatting sqref="K13:L13">
    <cfRule type="cellIs" dxfId="191" priority="17" operator="lessThan">
      <formula>0</formula>
    </cfRule>
  </conditionalFormatting>
  <conditionalFormatting sqref="M13">
    <cfRule type="cellIs" dxfId="190" priority="19" operator="lessThan">
      <formula>0</formula>
    </cfRule>
    <cfRule type="cellIs" dxfId="189" priority="20" operator="greaterThan">
      <formula>0</formula>
    </cfRule>
  </conditionalFormatting>
  <conditionalFormatting sqref="K13:L13">
    <cfRule type="cellIs" dxfId="188" priority="18" operator="greaterThan">
      <formula>0</formula>
    </cfRule>
  </conditionalFormatting>
  <conditionalFormatting sqref="K26:L27">
    <cfRule type="cellIs" dxfId="187" priority="13" operator="lessThan">
      <formula>0</formula>
    </cfRule>
  </conditionalFormatting>
  <conditionalFormatting sqref="M26:M27">
    <cfRule type="cellIs" dxfId="186" priority="15" operator="lessThan">
      <formula>0</formula>
    </cfRule>
    <cfRule type="cellIs" dxfId="185" priority="16" operator="greaterThan">
      <formula>0</formula>
    </cfRule>
  </conditionalFormatting>
  <conditionalFormatting sqref="K26:L27">
    <cfRule type="cellIs" dxfId="184" priority="14" operator="greaterThan">
      <formula>0</formula>
    </cfRule>
  </conditionalFormatting>
  <conditionalFormatting sqref="I26:I27">
    <cfRule type="cellIs" dxfId="183" priority="12" operator="greaterThan">
      <formula>20</formula>
    </cfRule>
  </conditionalFormatting>
  <conditionalFormatting sqref="U52">
    <cfRule type="containsText" dxfId="182" priority="10" operator="containsText" text="OK">
      <formula>NOT(ISERROR(SEARCH("OK",U52)))</formula>
    </cfRule>
    <cfRule type="containsText" dxfId="181" priority="11" operator="containsText" text="X">
      <formula>NOT(ISERROR(SEARCH("X",U52)))</formula>
    </cfRule>
  </conditionalFormatting>
  <conditionalFormatting sqref="X50">
    <cfRule type="containsText" dxfId="180" priority="9" operator="containsText" text="OK">
      <formula>NOT(ISERROR(SEARCH("OK",X50)))</formula>
    </cfRule>
  </conditionalFormatting>
  <conditionalFormatting sqref="K5:L5">
    <cfRule type="cellIs" dxfId="179" priority="5" operator="lessThan">
      <formula>0</formula>
    </cfRule>
  </conditionalFormatting>
  <conditionalFormatting sqref="M5">
    <cfRule type="cellIs" dxfId="178" priority="7" operator="lessThan">
      <formula>0</formula>
    </cfRule>
    <cfRule type="cellIs" dxfId="177" priority="8" operator="greaterThan">
      <formula>0</formula>
    </cfRule>
  </conditionalFormatting>
  <conditionalFormatting sqref="K5:L5">
    <cfRule type="cellIs" dxfId="176" priority="6" operator="greaterThan">
      <formula>0</formula>
    </cfRule>
  </conditionalFormatting>
  <conditionalFormatting sqref="I5">
    <cfRule type="cellIs" dxfId="175" priority="4" operator="greaterThan">
      <formula>20</formula>
    </cfRule>
  </conditionalFormatting>
  <conditionalFormatting sqref="X61">
    <cfRule type="containsText" dxfId="174" priority="3" operator="containsText" text="OK">
      <formula>NOT(ISERROR(SEARCH("OK",X61)))</formula>
    </cfRule>
  </conditionalFormatting>
  <conditionalFormatting sqref="X63">
    <cfRule type="containsText" dxfId="173" priority="2" operator="containsText" text="OK">
      <formula>NOT(ISERROR(SEARCH("OK",X63)))</formula>
    </cfRule>
  </conditionalFormatting>
  <conditionalFormatting sqref="X65">
    <cfRule type="containsText" dxfId="172" priority="1" operator="containsText" text="OK">
      <formula>NOT(ISERROR(SEARCH("OK",X65)))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1]!Mail_small_Text_Outlook" altText="Envoie Mail VL">
                <anchor moveWithCells="1" sizeWithCells="1">
                  <from>
                    <xdr:col>2</xdr:col>
                    <xdr:colOff>2495550</xdr:colOff>
                    <xdr:row>0</xdr:row>
                    <xdr:rowOff>0</xdr:rowOff>
                  </from>
                  <to>
                    <xdr:col>5</xdr:col>
                    <xdr:colOff>19050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9D024-FA33-4A76-B339-ED528C6D10CA}">
  <sheetPr codeName="Feuil862">
    <pageSetUpPr fitToPage="1"/>
  </sheetPr>
  <dimension ref="A1:BT79"/>
  <sheetViews>
    <sheetView showGridLines="0" zoomScale="85" zoomScaleNormal="85" workbookViewId="0">
      <pane xSplit="3" ySplit="2" topLeftCell="D18" activePane="bottomRight" state="frozen"/>
      <selection activeCell="H49" sqref="H49"/>
      <selection pane="topRight" activeCell="H49" sqref="H49"/>
      <selection pane="bottomLeft" activeCell="H49" sqref="H49"/>
      <selection pane="bottomRight" activeCell="K17" sqref="K17"/>
    </sheetView>
  </sheetViews>
  <sheetFormatPr baseColWidth="10" defaultColWidth="10.7109375" defaultRowHeight="16.5" x14ac:dyDescent="0.3"/>
  <cols>
    <col min="1" max="1" width="15.7109375" style="19" hidden="1" customWidth="1"/>
    <col min="2" max="2" width="14.28515625" style="19" customWidth="1"/>
    <col min="3" max="3" width="37.42578125" style="19" customWidth="1"/>
    <col min="4" max="4" width="9.42578125" style="19" customWidth="1"/>
    <col min="5" max="5" width="10.28515625" style="19" customWidth="1"/>
    <col min="6" max="6" width="11.140625" style="19" customWidth="1"/>
    <col min="7" max="7" width="12.28515625" style="19" customWidth="1"/>
    <col min="8" max="8" width="16" style="19" customWidth="1"/>
    <col min="9" max="9" width="11.7109375" style="19" bestFit="1" customWidth="1"/>
    <col min="10" max="10" width="12.5703125" style="19" customWidth="1"/>
    <col min="11" max="11" width="10.28515625" style="19" customWidth="1"/>
    <col min="12" max="12" width="10.140625" style="19" customWidth="1"/>
    <col min="13" max="13" width="11.5703125" style="19" customWidth="1"/>
    <col min="14" max="14" width="11.28515625" style="19" customWidth="1"/>
    <col min="15" max="15" width="12.85546875" style="182" customWidth="1"/>
    <col min="16" max="16" width="16" style="19" customWidth="1"/>
    <col min="17" max="17" width="9.140625" style="19" customWidth="1"/>
    <col min="18" max="18" width="12.7109375" style="19" customWidth="1"/>
    <col min="19" max="19" width="14.85546875" style="19" customWidth="1"/>
    <col min="20" max="20" width="15.5703125" style="19" customWidth="1"/>
    <col min="21" max="21" width="8.5703125" style="19" customWidth="1"/>
    <col min="22" max="22" width="9.5703125" style="19" customWidth="1"/>
    <col min="23" max="23" width="7.7109375" style="19" customWidth="1"/>
    <col min="24" max="24" width="7.85546875" style="19" customWidth="1"/>
    <col min="25" max="25" width="9.28515625" style="19" customWidth="1"/>
    <col min="26" max="26" width="11.140625" style="204" customWidth="1"/>
    <col min="28" max="28" width="11.5703125" style="19" customWidth="1"/>
    <col min="29" max="29" width="13.7109375" style="19" customWidth="1"/>
    <col min="30" max="30" width="10.7109375" style="19"/>
    <col min="31" max="31" width="10.42578125" style="19" customWidth="1"/>
    <col min="32" max="33" width="10.7109375" style="19"/>
    <col min="34" max="34" width="10.7109375" style="186"/>
    <col min="35" max="35" width="15" style="19" customWidth="1"/>
    <col min="36" max="36" width="11.140625" style="19" customWidth="1"/>
    <col min="37" max="37" width="12.5703125" style="19" customWidth="1"/>
    <col min="38" max="38" width="11.42578125" style="19" customWidth="1"/>
    <col min="39" max="39" width="15.140625" style="19" customWidth="1"/>
    <col min="40" max="40" width="11.42578125" style="19" customWidth="1"/>
    <col min="41" max="42" width="10.7109375" style="186"/>
    <col min="43" max="43" width="17.7109375" style="19" customWidth="1"/>
    <col min="44" max="44" width="12" style="19" customWidth="1"/>
    <col min="45" max="46" width="10.7109375" style="186"/>
    <col min="47" max="47" width="11" style="19" customWidth="1"/>
    <col min="48" max="50" width="10.7109375" style="186"/>
    <col min="51" max="51" width="19.42578125" style="186" bestFit="1" customWidth="1"/>
    <col min="52" max="52" width="11.7109375" style="19" customWidth="1"/>
    <col min="53" max="53" width="9.7109375" style="19" customWidth="1"/>
    <col min="54" max="54" width="12.85546875" style="19" customWidth="1"/>
    <col min="55" max="55" width="25.85546875" style="19" bestFit="1" customWidth="1"/>
    <col min="56" max="56" width="15" style="19" customWidth="1"/>
    <col min="57" max="57" width="13.5703125" style="183" customWidth="1"/>
    <col min="58" max="58" width="13.7109375" style="183" customWidth="1"/>
    <col min="59" max="59" width="17.85546875" style="186" bestFit="1" customWidth="1"/>
    <col min="60" max="60" width="20.140625" style="201" bestFit="1" customWidth="1"/>
    <col min="61" max="61" width="13.5703125" style="19" customWidth="1"/>
    <col min="62" max="62" width="14.42578125" style="20" customWidth="1"/>
    <col min="63" max="63" width="13.140625" style="19" customWidth="1"/>
    <col min="64" max="64" width="7.7109375" style="19" customWidth="1"/>
    <col min="65" max="65" width="6.5703125" style="19" customWidth="1"/>
    <col min="66" max="66" width="18.42578125" style="19" customWidth="1"/>
    <col min="67" max="67" width="10.7109375" style="19"/>
    <col min="68" max="71" width="10.7109375" style="186"/>
    <col min="72" max="72" width="10.7109375" style="20"/>
    <col min="73" max="73" width="11.5703125" style="19" customWidth="1"/>
    <col min="74" max="16384" width="10.7109375" style="19"/>
  </cols>
  <sheetData>
    <row r="1" spans="1:72" x14ac:dyDescent="0.25">
      <c r="A1" s="1">
        <v>0</v>
      </c>
      <c r="B1" s="1"/>
      <c r="C1" s="1"/>
      <c r="D1" s="1"/>
      <c r="E1" s="1"/>
      <c r="F1" s="1"/>
      <c r="G1" s="1"/>
      <c r="H1" s="1"/>
      <c r="I1" s="1"/>
      <c r="J1" s="2"/>
      <c r="K1" s="2" t="s">
        <v>0</v>
      </c>
      <c r="L1" s="3"/>
      <c r="M1" s="3"/>
      <c r="N1" s="4"/>
      <c r="O1" s="5" t="s">
        <v>1</v>
      </c>
      <c r="P1" s="6"/>
      <c r="Q1" s="7" t="s">
        <v>2</v>
      </c>
      <c r="R1" s="8"/>
      <c r="S1" s="8"/>
      <c r="T1" s="8"/>
      <c r="U1" s="2"/>
      <c r="V1" s="2"/>
      <c r="W1" s="2"/>
      <c r="X1" s="2" t="s">
        <v>3</v>
      </c>
      <c r="Y1" s="2"/>
      <c r="Z1" s="9"/>
      <c r="AA1" s="3"/>
      <c r="AB1" s="10" t="s">
        <v>4</v>
      </c>
      <c r="AC1" s="10"/>
      <c r="AD1" s="11"/>
      <c r="AE1" s="10"/>
      <c r="AF1" s="10"/>
      <c r="AG1" s="10"/>
      <c r="AH1" s="10"/>
      <c r="AI1" s="12" t="s">
        <v>5</v>
      </c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4" t="s">
        <v>6</v>
      </c>
      <c r="AU1" s="14"/>
      <c r="AV1" s="14"/>
      <c r="AW1" s="15"/>
      <c r="AX1" s="16"/>
      <c r="AY1" s="17"/>
      <c r="AZ1" s="18"/>
      <c r="BA1" s="18"/>
      <c r="BB1" s="18"/>
      <c r="BE1" s="19"/>
      <c r="BF1" s="20"/>
      <c r="BG1" s="19"/>
      <c r="BH1" s="19"/>
      <c r="BJ1" s="19"/>
      <c r="BP1" s="19"/>
      <c r="BQ1" s="19"/>
      <c r="BR1" s="19"/>
      <c r="BS1" s="19"/>
      <c r="BT1" s="19"/>
    </row>
    <row r="2" spans="1:72" s="50" customFormat="1" ht="99.75" customHeight="1" x14ac:dyDescent="0.25">
      <c r="A2" s="21" t="s">
        <v>7</v>
      </c>
      <c r="B2" s="22" t="s">
        <v>8</v>
      </c>
      <c r="C2" s="23" t="s">
        <v>9</v>
      </c>
      <c r="D2" s="22" t="s">
        <v>10</v>
      </c>
      <c r="E2" s="22" t="s">
        <v>11</v>
      </c>
      <c r="F2" s="24" t="s">
        <v>12</v>
      </c>
      <c r="G2" s="25" t="s">
        <v>13</v>
      </c>
      <c r="H2" s="25" t="s">
        <v>14</v>
      </c>
      <c r="I2" s="26" t="s">
        <v>15</v>
      </c>
      <c r="J2" s="26" t="s">
        <v>16</v>
      </c>
      <c r="K2" s="27" t="s">
        <v>17</v>
      </c>
      <c r="L2" s="27" t="s">
        <v>18</v>
      </c>
      <c r="M2" s="27" t="s">
        <v>19</v>
      </c>
      <c r="N2" s="28" t="s">
        <v>20</v>
      </c>
      <c r="O2" s="29" t="s">
        <v>1</v>
      </c>
      <c r="P2" s="30" t="s">
        <v>21</v>
      </c>
      <c r="Q2" s="30" t="s">
        <v>22</v>
      </c>
      <c r="R2" s="30" t="s">
        <v>23</v>
      </c>
      <c r="S2" s="30" t="s">
        <v>24</v>
      </c>
      <c r="T2" s="30" t="s">
        <v>25</v>
      </c>
      <c r="U2" s="31" t="s">
        <v>26</v>
      </c>
      <c r="V2" s="32" t="s">
        <v>27</v>
      </c>
      <c r="W2" s="33" t="s">
        <v>28</v>
      </c>
      <c r="X2" s="33" t="s">
        <v>29</v>
      </c>
      <c r="Y2" s="34" t="s">
        <v>30</v>
      </c>
      <c r="Z2" s="33" t="s">
        <v>31</v>
      </c>
      <c r="AA2" s="33" t="s">
        <v>32</v>
      </c>
      <c r="AB2" s="35" t="s">
        <v>33</v>
      </c>
      <c r="AC2" s="36" t="s">
        <v>34</v>
      </c>
      <c r="AD2" s="36" t="s">
        <v>35</v>
      </c>
      <c r="AE2" s="36" t="s">
        <v>36</v>
      </c>
      <c r="AF2" s="37" t="s">
        <v>37</v>
      </c>
      <c r="AG2" s="38" t="s">
        <v>38</v>
      </c>
      <c r="AH2" s="38" t="s">
        <v>39</v>
      </c>
      <c r="AI2" s="39" t="s">
        <v>40</v>
      </c>
      <c r="AJ2" s="40" t="s">
        <v>41</v>
      </c>
      <c r="AK2" s="40" t="s">
        <v>42</v>
      </c>
      <c r="AL2" s="40" t="s">
        <v>43</v>
      </c>
      <c r="AM2" s="39" t="s">
        <v>44</v>
      </c>
      <c r="AN2" s="39" t="s">
        <v>45</v>
      </c>
      <c r="AO2" s="39" t="s">
        <v>46</v>
      </c>
      <c r="AP2" s="40" t="s">
        <v>47</v>
      </c>
      <c r="AQ2" s="40" t="s">
        <v>48</v>
      </c>
      <c r="AR2" s="39" t="s">
        <v>49</v>
      </c>
      <c r="AS2" s="39" t="s">
        <v>50</v>
      </c>
      <c r="AT2" s="41" t="s">
        <v>51</v>
      </c>
      <c r="AU2" s="41" t="s">
        <v>52</v>
      </c>
      <c r="AV2" s="42" t="s">
        <v>53</v>
      </c>
      <c r="AW2" s="43" t="s">
        <v>54</v>
      </c>
      <c r="AX2" s="42" t="s">
        <v>55</v>
      </c>
      <c r="AY2" s="44" t="s">
        <v>56</v>
      </c>
      <c r="AZ2" s="45" t="s">
        <v>57</v>
      </c>
      <c r="BA2" s="45" t="s">
        <v>58</v>
      </c>
      <c r="BB2" s="45" t="s">
        <v>59</v>
      </c>
      <c r="BC2" s="46" t="s">
        <v>60</v>
      </c>
      <c r="BD2" s="47" t="s">
        <v>61</v>
      </c>
      <c r="BE2" s="48" t="s">
        <v>62</v>
      </c>
      <c r="BF2" s="49" t="s">
        <v>63</v>
      </c>
      <c r="BG2" s="47" t="s">
        <v>64</v>
      </c>
    </row>
    <row r="3" spans="1:72" ht="16.5" customHeight="1" x14ac:dyDescent="0.25">
      <c r="A3" s="51"/>
      <c r="B3" s="52"/>
      <c r="C3" s="53"/>
      <c r="D3" s="53"/>
      <c r="E3" s="54"/>
      <c r="F3" s="55"/>
      <c r="G3" s="56"/>
      <c r="H3" s="57"/>
      <c r="I3" s="58"/>
      <c r="J3" s="59"/>
      <c r="K3" s="60"/>
      <c r="L3" s="61"/>
      <c r="M3" s="62"/>
      <c r="N3" s="63"/>
      <c r="O3" s="64"/>
      <c r="P3" s="65"/>
      <c r="Q3" s="66"/>
      <c r="R3" s="67"/>
      <c r="S3" s="68"/>
      <c r="T3" s="69"/>
      <c r="U3" s="70"/>
      <c r="V3" s="71"/>
      <c r="W3" s="72"/>
      <c r="X3" s="73"/>
      <c r="Y3" s="74"/>
      <c r="Z3" s="75"/>
      <c r="AA3" s="75"/>
      <c r="AB3" s="73"/>
      <c r="AC3" s="73"/>
      <c r="AD3" s="73"/>
      <c r="AE3" s="73"/>
      <c r="AF3" s="73"/>
      <c r="AG3" s="73"/>
      <c r="AH3" s="73"/>
      <c r="AI3" s="74"/>
      <c r="AJ3" s="74"/>
      <c r="AK3" s="74"/>
      <c r="AL3" s="74"/>
      <c r="AM3" s="74"/>
      <c r="AN3" s="74"/>
      <c r="AO3" s="76"/>
      <c r="AP3" s="76"/>
      <c r="AQ3" s="74"/>
      <c r="AR3" s="74"/>
      <c r="AS3" s="74"/>
      <c r="AT3" s="74"/>
      <c r="AU3" s="74"/>
      <c r="AV3" s="74"/>
      <c r="AW3" s="74"/>
      <c r="AX3" s="74"/>
      <c r="AY3" s="77"/>
      <c r="AZ3" s="78"/>
      <c r="BA3" s="78"/>
      <c r="BB3" s="79"/>
      <c r="BC3" s="80"/>
      <c r="BD3" s="81"/>
      <c r="BE3" s="82"/>
      <c r="BF3" s="70"/>
      <c r="BG3" s="81"/>
      <c r="BH3" s="19"/>
      <c r="BJ3" s="19"/>
      <c r="BN3" s="83">
        <f>Tableau24072383[[#This Row],[% Sensi actions]]-Tableau24072383[[#This Row],[Exp nette action]]</f>
        <v>0</v>
      </c>
      <c r="BP3" s="19"/>
      <c r="BQ3" s="19"/>
      <c r="BR3" s="19"/>
      <c r="BS3" s="19"/>
      <c r="BT3" s="19"/>
    </row>
    <row r="4" spans="1:72" x14ac:dyDescent="0.25">
      <c r="A4" s="84"/>
      <c r="B4" s="85"/>
      <c r="C4" s="86"/>
      <c r="D4" s="86"/>
      <c r="E4" s="87"/>
      <c r="F4" s="55"/>
      <c r="G4" s="56"/>
      <c r="H4" s="88"/>
      <c r="I4" s="58"/>
      <c r="J4" s="59"/>
      <c r="K4" s="60"/>
      <c r="L4" s="61"/>
      <c r="M4" s="62"/>
      <c r="N4" s="63"/>
      <c r="O4" s="89"/>
      <c r="P4" s="65"/>
      <c r="Q4" s="66"/>
      <c r="R4" s="90"/>
      <c r="S4" s="91"/>
      <c r="T4" s="69"/>
      <c r="U4" s="92"/>
      <c r="V4" s="93"/>
      <c r="W4" s="72"/>
      <c r="X4" s="73"/>
      <c r="Y4" s="74"/>
      <c r="Z4" s="75"/>
      <c r="AA4" s="75"/>
      <c r="AB4" s="73"/>
      <c r="AC4" s="73"/>
      <c r="AD4" s="73"/>
      <c r="AE4" s="73"/>
      <c r="AF4" s="73"/>
      <c r="AG4" s="73"/>
      <c r="AH4" s="73"/>
      <c r="AI4" s="74"/>
      <c r="AJ4" s="74"/>
      <c r="AK4" s="74"/>
      <c r="AL4" s="74"/>
      <c r="AM4" s="74"/>
      <c r="AN4" s="74"/>
      <c r="AO4" s="76"/>
      <c r="AP4" s="76"/>
      <c r="AQ4" s="74"/>
      <c r="AR4" s="74"/>
      <c r="AS4" s="74"/>
      <c r="AT4" s="74"/>
      <c r="AU4" s="74"/>
      <c r="AV4" s="74"/>
      <c r="AW4" s="74"/>
      <c r="AX4" s="74"/>
      <c r="AY4" s="77"/>
      <c r="AZ4" s="78"/>
      <c r="BA4" s="78"/>
      <c r="BB4" s="79"/>
      <c r="BC4" s="80"/>
      <c r="BD4" s="94"/>
      <c r="BE4" s="95"/>
      <c r="BF4" s="70"/>
      <c r="BG4" s="81"/>
      <c r="BH4" s="19"/>
      <c r="BJ4" s="19"/>
      <c r="BN4" s="83">
        <f>Tableau24072383[[#This Row],[% Sensi actions]]-Tableau24072383[[#This Row],[Exp nette action]]</f>
        <v>0</v>
      </c>
      <c r="BP4" s="19"/>
      <c r="BQ4" s="96" t="s">
        <v>65</v>
      </c>
      <c r="BR4" s="96">
        <f>VLC</f>
        <v>10.49</v>
      </c>
      <c r="BS4" s="97">
        <f>H43</f>
        <v>9.5419847328237495E-4</v>
      </c>
      <c r="BT4" s="97">
        <f>K33</f>
        <v>0</v>
      </c>
    </row>
    <row r="5" spans="1:72" x14ac:dyDescent="0.25">
      <c r="A5" s="84"/>
      <c r="B5" s="85"/>
      <c r="C5" s="86"/>
      <c r="D5" s="86"/>
      <c r="E5" s="87"/>
      <c r="F5" s="55"/>
      <c r="G5" s="56"/>
      <c r="H5" s="88"/>
      <c r="I5" s="58"/>
      <c r="J5" s="59"/>
      <c r="K5" s="60"/>
      <c r="L5" s="61"/>
      <c r="M5" s="62"/>
      <c r="N5" s="63"/>
      <c r="O5" s="89"/>
      <c r="P5" s="65"/>
      <c r="Q5" s="66"/>
      <c r="R5" s="90"/>
      <c r="S5" s="91"/>
      <c r="T5" s="69"/>
      <c r="U5" s="92"/>
      <c r="V5" s="93"/>
      <c r="W5" s="72"/>
      <c r="X5" s="73"/>
      <c r="Y5" s="74"/>
      <c r="Z5" s="75"/>
      <c r="AA5" s="75"/>
      <c r="AB5" s="73"/>
      <c r="AC5" s="73"/>
      <c r="AD5" s="73"/>
      <c r="AE5" s="73"/>
      <c r="AF5" s="73"/>
      <c r="AG5" s="73"/>
      <c r="AH5" s="73"/>
      <c r="AI5" s="74"/>
      <c r="AJ5" s="74"/>
      <c r="AK5" s="74"/>
      <c r="AL5" s="74"/>
      <c r="AM5" s="74"/>
      <c r="AN5" s="74"/>
      <c r="AO5" s="76"/>
      <c r="AP5" s="76"/>
      <c r="AQ5" s="74"/>
      <c r="AR5" s="74"/>
      <c r="AS5" s="74"/>
      <c r="AT5" s="74"/>
      <c r="AU5" s="74"/>
      <c r="AV5" s="74"/>
      <c r="AW5" s="74"/>
      <c r="AX5" s="74"/>
      <c r="AY5" s="77"/>
      <c r="AZ5" s="78"/>
      <c r="BA5" s="78"/>
      <c r="BB5" s="79"/>
      <c r="BC5" s="80"/>
      <c r="BD5" s="94"/>
      <c r="BE5" s="95"/>
      <c r="BF5" s="70"/>
      <c r="BG5" s="81"/>
      <c r="BH5" s="19"/>
      <c r="BJ5" s="19"/>
      <c r="BN5" s="83">
        <f>Tableau24072383[[#This Row],[% Sensi actions]]-Tableau24072383[[#This Row],[Exp nette action]]</f>
        <v>0</v>
      </c>
      <c r="BP5" s="19"/>
      <c r="BQ5" s="96" t="s">
        <v>66</v>
      </c>
      <c r="BR5" s="96"/>
      <c r="BS5" s="96"/>
      <c r="BT5" s="96"/>
    </row>
    <row r="6" spans="1:72" x14ac:dyDescent="0.25">
      <c r="A6" s="84"/>
      <c r="B6" s="98"/>
      <c r="C6" s="86"/>
      <c r="D6" s="86"/>
      <c r="E6" s="87"/>
      <c r="F6" s="55"/>
      <c r="G6" s="56"/>
      <c r="H6" s="57"/>
      <c r="I6" s="58"/>
      <c r="J6" s="59"/>
      <c r="K6" s="60"/>
      <c r="L6" s="61"/>
      <c r="M6" s="62"/>
      <c r="N6" s="99"/>
      <c r="O6" s="100"/>
      <c r="P6" s="65"/>
      <c r="Q6" s="66"/>
      <c r="R6" s="90"/>
      <c r="S6" s="91"/>
      <c r="T6" s="69"/>
      <c r="U6" s="92"/>
      <c r="V6" s="93"/>
      <c r="W6" s="72"/>
      <c r="X6" s="73"/>
      <c r="Y6" s="74"/>
      <c r="Z6" s="75"/>
      <c r="AA6" s="75"/>
      <c r="AB6" s="73"/>
      <c r="AC6" s="73"/>
      <c r="AD6" s="73"/>
      <c r="AE6" s="73"/>
      <c r="AF6" s="73"/>
      <c r="AG6" s="73"/>
      <c r="AH6" s="73"/>
      <c r="AI6" s="74"/>
      <c r="AJ6" s="74"/>
      <c r="AK6" s="74"/>
      <c r="AL6" s="74"/>
      <c r="AM6" s="74"/>
      <c r="AN6" s="74"/>
      <c r="AO6" s="76"/>
      <c r="AP6" s="76"/>
      <c r="AQ6" s="74"/>
      <c r="AR6" s="74"/>
      <c r="AS6" s="74"/>
      <c r="AT6" s="74"/>
      <c r="AU6" s="74"/>
      <c r="AV6" s="74"/>
      <c r="AW6" s="74"/>
      <c r="AX6" s="74"/>
      <c r="AY6" s="77"/>
      <c r="AZ6" s="78"/>
      <c r="BA6" s="78"/>
      <c r="BB6" s="79"/>
      <c r="BC6" s="80"/>
      <c r="BD6" s="81"/>
      <c r="BE6" s="101"/>
      <c r="BF6" s="70"/>
      <c r="BG6" s="81"/>
      <c r="BH6" s="19"/>
      <c r="BJ6" s="19"/>
      <c r="BN6" s="83">
        <f>Tableau24072383[[#This Row],[% Sensi actions]]-Tableau24072383[[#This Row],[Exp nette action]]</f>
        <v>0</v>
      </c>
      <c r="BP6" s="19"/>
      <c r="BQ6" s="19"/>
      <c r="BR6" s="19"/>
      <c r="BS6" s="19"/>
      <c r="BT6" s="19"/>
    </row>
    <row r="7" spans="1:72" x14ac:dyDescent="0.25">
      <c r="A7" s="84"/>
      <c r="B7" s="98"/>
      <c r="C7" s="86"/>
      <c r="D7" s="86"/>
      <c r="E7" s="87"/>
      <c r="F7" s="55"/>
      <c r="G7" s="56"/>
      <c r="H7" s="102"/>
      <c r="I7" s="58"/>
      <c r="J7" s="59"/>
      <c r="K7" s="60"/>
      <c r="L7" s="103"/>
      <c r="M7" s="104"/>
      <c r="N7" s="105"/>
      <c r="O7" s="100"/>
      <c r="P7" s="65"/>
      <c r="Q7" s="66"/>
      <c r="R7" s="90"/>
      <c r="S7" s="91"/>
      <c r="T7" s="69"/>
      <c r="U7" s="92"/>
      <c r="V7" s="93"/>
      <c r="W7" s="72"/>
      <c r="X7" s="73"/>
      <c r="Y7" s="74"/>
      <c r="Z7" s="75"/>
      <c r="AA7" s="75"/>
      <c r="AB7" s="73"/>
      <c r="AC7" s="73"/>
      <c r="AD7" s="73"/>
      <c r="AE7" s="73"/>
      <c r="AF7" s="73"/>
      <c r="AG7" s="73"/>
      <c r="AH7" s="73"/>
      <c r="AI7" s="74"/>
      <c r="AJ7" s="74"/>
      <c r="AK7" s="74"/>
      <c r="AL7" s="74"/>
      <c r="AM7" s="74"/>
      <c r="AN7" s="74"/>
      <c r="AO7" s="76"/>
      <c r="AP7" s="76"/>
      <c r="AQ7" s="74"/>
      <c r="AR7" s="74"/>
      <c r="AS7" s="74"/>
      <c r="AT7" s="74"/>
      <c r="AU7" s="74"/>
      <c r="AV7" s="74"/>
      <c r="AW7" s="74"/>
      <c r="AX7" s="74"/>
      <c r="AY7" s="77"/>
      <c r="AZ7" s="78"/>
      <c r="BA7" s="78"/>
      <c r="BB7" s="79"/>
      <c r="BC7" s="106"/>
      <c r="BD7" s="94"/>
      <c r="BE7" s="95"/>
      <c r="BF7" s="70"/>
      <c r="BG7" s="81"/>
      <c r="BH7" s="19"/>
      <c r="BJ7" s="19"/>
      <c r="BN7" s="83">
        <f>Tableau24072383[[#This Row],[% Sensi actions]]-Tableau24072383[[#This Row],[Exp nette action]]</f>
        <v>0</v>
      </c>
      <c r="BP7" s="19"/>
      <c r="BQ7" s="19"/>
      <c r="BR7" s="19"/>
      <c r="BS7" s="19"/>
      <c r="BT7" s="19"/>
    </row>
    <row r="8" spans="1:72" x14ac:dyDescent="0.25">
      <c r="A8" s="84"/>
      <c r="B8" s="98"/>
      <c r="C8" s="86"/>
      <c r="D8" s="86"/>
      <c r="E8" s="87"/>
      <c r="F8" s="55"/>
      <c r="G8" s="107"/>
      <c r="H8" s="108"/>
      <c r="I8" s="58"/>
      <c r="J8" s="59"/>
      <c r="K8" s="60"/>
      <c r="L8" s="103"/>
      <c r="M8" s="104"/>
      <c r="N8" s="105"/>
      <c r="O8" s="109"/>
      <c r="P8" s="65"/>
      <c r="Q8" s="66"/>
      <c r="R8" s="90"/>
      <c r="S8" s="91"/>
      <c r="T8" s="69"/>
      <c r="U8" s="92"/>
      <c r="V8" s="93"/>
      <c r="W8" s="72"/>
      <c r="X8" s="73"/>
      <c r="Y8" s="74"/>
      <c r="Z8" s="75"/>
      <c r="AA8" s="75"/>
      <c r="AB8" s="73"/>
      <c r="AC8" s="73"/>
      <c r="AD8" s="73"/>
      <c r="AE8" s="73"/>
      <c r="AF8" s="73"/>
      <c r="AG8" s="73"/>
      <c r="AH8" s="73"/>
      <c r="AI8" s="74"/>
      <c r="AJ8" s="74"/>
      <c r="AK8" s="74"/>
      <c r="AL8" s="74"/>
      <c r="AM8" s="74"/>
      <c r="AN8" s="74"/>
      <c r="AO8" s="76"/>
      <c r="AP8" s="76"/>
      <c r="AQ8" s="74"/>
      <c r="AR8" s="74"/>
      <c r="AS8" s="74"/>
      <c r="AT8" s="74"/>
      <c r="AU8" s="74"/>
      <c r="AV8" s="74"/>
      <c r="AW8" s="74"/>
      <c r="AX8" s="74"/>
      <c r="AY8" s="77"/>
      <c r="AZ8" s="78"/>
      <c r="BA8" s="78"/>
      <c r="BB8" s="79"/>
      <c r="BC8" s="80"/>
      <c r="BD8" s="94"/>
      <c r="BE8" s="110"/>
      <c r="BF8" s="70"/>
      <c r="BG8" s="81"/>
      <c r="BH8" s="19"/>
      <c r="BJ8" s="19"/>
      <c r="BN8" s="83">
        <f>Tableau24072383[[#This Row],[% Sensi actions]]-Tableau24072383[[#This Row],[Exp nette action]]</f>
        <v>0</v>
      </c>
      <c r="BP8" s="19"/>
      <c r="BQ8" s="19"/>
      <c r="BR8" s="19"/>
      <c r="BS8" s="19"/>
      <c r="BT8" s="19"/>
    </row>
    <row r="9" spans="1:72" x14ac:dyDescent="0.25">
      <c r="A9" s="84"/>
      <c r="B9" s="98"/>
      <c r="C9" s="86"/>
      <c r="D9" s="86"/>
      <c r="E9" s="87"/>
      <c r="F9" s="55"/>
      <c r="G9" s="107"/>
      <c r="H9" s="108"/>
      <c r="I9" s="58"/>
      <c r="J9" s="59"/>
      <c r="K9" s="60"/>
      <c r="L9" s="103"/>
      <c r="M9" s="104"/>
      <c r="N9" s="105"/>
      <c r="O9" s="100"/>
      <c r="P9" s="65"/>
      <c r="Q9" s="66"/>
      <c r="R9" s="90"/>
      <c r="S9" s="91"/>
      <c r="T9" s="69"/>
      <c r="U9" s="111"/>
      <c r="V9" s="93"/>
      <c r="W9" s="72"/>
      <c r="X9" s="73"/>
      <c r="Y9" s="74"/>
      <c r="Z9" s="75"/>
      <c r="AA9" s="75"/>
      <c r="AB9" s="73"/>
      <c r="AC9" s="73"/>
      <c r="AD9" s="73"/>
      <c r="AE9" s="73"/>
      <c r="AF9" s="73"/>
      <c r="AG9" s="73"/>
      <c r="AH9" s="73"/>
      <c r="AI9" s="74"/>
      <c r="AJ9" s="74"/>
      <c r="AK9" s="74"/>
      <c r="AL9" s="74"/>
      <c r="AM9" s="74"/>
      <c r="AN9" s="74"/>
      <c r="AO9" s="76"/>
      <c r="AP9" s="76"/>
      <c r="AQ9" s="74"/>
      <c r="AR9" s="74"/>
      <c r="AS9" s="74"/>
      <c r="AT9" s="74"/>
      <c r="AU9" s="74"/>
      <c r="AV9" s="74"/>
      <c r="AW9" s="74"/>
      <c r="AX9" s="74"/>
      <c r="AY9" s="77"/>
      <c r="AZ9" s="78"/>
      <c r="BA9" s="78"/>
      <c r="BB9" s="79"/>
      <c r="BC9" s="80"/>
      <c r="BD9" s="94"/>
      <c r="BE9" s="110"/>
      <c r="BF9" s="70"/>
      <c r="BG9" s="81"/>
      <c r="BH9" s="19"/>
      <c r="BJ9" s="19"/>
      <c r="BN9" s="83">
        <f>Tableau24072383[[#This Row],[% Sensi actions]]-Tableau24072383[[#This Row],[Exp nette action]]</f>
        <v>0</v>
      </c>
      <c r="BP9" s="19"/>
      <c r="BQ9" s="19"/>
      <c r="BR9" s="19"/>
      <c r="BS9" s="19"/>
      <c r="BT9" s="19"/>
    </row>
    <row r="10" spans="1:72" x14ac:dyDescent="0.25">
      <c r="A10" s="84"/>
      <c r="B10" s="85"/>
      <c r="C10" s="112"/>
      <c r="D10" s="112"/>
      <c r="E10" s="87"/>
      <c r="F10" s="55"/>
      <c r="G10" s="107"/>
      <c r="H10" s="108"/>
      <c r="I10" s="58"/>
      <c r="J10" s="59"/>
      <c r="K10" s="60"/>
      <c r="L10" s="103"/>
      <c r="M10" s="104"/>
      <c r="N10" s="105"/>
      <c r="O10" s="100"/>
      <c r="P10" s="65"/>
      <c r="Q10" s="66"/>
      <c r="R10" s="90"/>
      <c r="S10" s="91"/>
      <c r="T10" s="69"/>
      <c r="U10" s="113"/>
      <c r="V10" s="114"/>
      <c r="W10" s="72"/>
      <c r="X10" s="73"/>
      <c r="Y10" s="74"/>
      <c r="Z10" s="75"/>
      <c r="AA10" s="75"/>
      <c r="AB10" s="73"/>
      <c r="AC10" s="73"/>
      <c r="AD10" s="73"/>
      <c r="AE10" s="73"/>
      <c r="AF10" s="73"/>
      <c r="AG10" s="73"/>
      <c r="AH10" s="73"/>
      <c r="AI10" s="74"/>
      <c r="AJ10" s="74"/>
      <c r="AK10" s="74"/>
      <c r="AL10" s="74"/>
      <c r="AM10" s="74"/>
      <c r="AN10" s="74"/>
      <c r="AO10" s="76"/>
      <c r="AP10" s="76"/>
      <c r="AQ10" s="74"/>
      <c r="AR10" s="74"/>
      <c r="AS10" s="74"/>
      <c r="AT10" s="74"/>
      <c r="AU10" s="74"/>
      <c r="AV10" s="74"/>
      <c r="AW10" s="74"/>
      <c r="AX10" s="74"/>
      <c r="AY10" s="77"/>
      <c r="AZ10" s="78"/>
      <c r="BA10" s="78"/>
      <c r="BB10" s="79"/>
      <c r="BC10" s="80"/>
      <c r="BD10" s="94"/>
      <c r="BE10" s="110"/>
      <c r="BF10" s="70"/>
      <c r="BG10" s="81"/>
      <c r="BH10" s="19"/>
      <c r="BJ10" s="19"/>
      <c r="BN10" s="83">
        <f>Tableau24072383[[#This Row],[% Sensi actions]]-Tableau24072383[[#This Row],[Exp nette action]]</f>
        <v>0</v>
      </c>
      <c r="BP10" s="19"/>
      <c r="BQ10" s="19"/>
      <c r="BR10" s="19"/>
      <c r="BS10" s="19"/>
      <c r="BT10" s="19"/>
    </row>
    <row r="11" spans="1:72" x14ac:dyDescent="0.25">
      <c r="A11" s="84"/>
      <c r="B11" s="98"/>
      <c r="C11" s="86"/>
      <c r="D11" s="86"/>
      <c r="E11" s="87"/>
      <c r="F11" s="55"/>
      <c r="G11" s="107"/>
      <c r="H11" s="115"/>
      <c r="I11" s="58"/>
      <c r="J11" s="59"/>
      <c r="K11" s="60"/>
      <c r="L11" s="103"/>
      <c r="M11" s="104"/>
      <c r="N11" s="105"/>
      <c r="O11" s="100"/>
      <c r="P11" s="65"/>
      <c r="Q11" s="66"/>
      <c r="R11" s="90"/>
      <c r="S11" s="91"/>
      <c r="T11" s="69"/>
      <c r="U11" s="113"/>
      <c r="V11" s="114"/>
      <c r="W11" s="72"/>
      <c r="X11" s="74"/>
      <c r="Y11" s="74"/>
      <c r="Z11" s="75"/>
      <c r="AA11" s="75"/>
      <c r="AB11" s="74"/>
      <c r="AC11" s="73"/>
      <c r="AD11" s="73"/>
      <c r="AE11" s="73"/>
      <c r="AF11" s="73"/>
      <c r="AG11" s="73"/>
      <c r="AH11" s="73"/>
      <c r="AI11" s="74"/>
      <c r="AJ11" s="74"/>
      <c r="AK11" s="74"/>
      <c r="AL11" s="74"/>
      <c r="AM11" s="74"/>
      <c r="AN11" s="74"/>
      <c r="AO11" s="76"/>
      <c r="AP11" s="76"/>
      <c r="AQ11" s="74"/>
      <c r="AR11" s="74"/>
      <c r="AS11" s="74"/>
      <c r="AT11" s="74"/>
      <c r="AU11" s="74"/>
      <c r="AV11" s="74"/>
      <c r="AW11" s="74"/>
      <c r="AX11" s="74"/>
      <c r="AY11" s="77"/>
      <c r="AZ11" s="78"/>
      <c r="BA11" s="78"/>
      <c r="BB11" s="79"/>
      <c r="BC11" s="116"/>
      <c r="BD11" s="94"/>
      <c r="BE11" s="95"/>
      <c r="BF11" s="70"/>
      <c r="BG11" s="81"/>
      <c r="BH11" s="19"/>
      <c r="BJ11" s="19"/>
      <c r="BN11" s="83">
        <f>Tableau24072383[[#This Row],[% Sensi actions]]-Tableau24072383[[#This Row],[Exp nette action]]</f>
        <v>0</v>
      </c>
      <c r="BP11" s="19"/>
      <c r="BQ11" s="19"/>
      <c r="BR11" s="19"/>
      <c r="BS11" s="19"/>
      <c r="BT11" s="19"/>
    </row>
    <row r="12" spans="1:72" x14ac:dyDescent="0.25">
      <c r="A12" s="84"/>
      <c r="B12" s="98"/>
      <c r="C12" s="86"/>
      <c r="D12" s="86"/>
      <c r="E12" s="87"/>
      <c r="F12" s="55"/>
      <c r="G12" s="107"/>
      <c r="H12" s="108"/>
      <c r="I12" s="58"/>
      <c r="J12" s="59"/>
      <c r="K12" s="60"/>
      <c r="L12" s="103"/>
      <c r="M12" s="104"/>
      <c r="N12" s="105"/>
      <c r="O12" s="89"/>
      <c r="P12" s="65"/>
      <c r="Q12" s="66"/>
      <c r="R12" s="90"/>
      <c r="S12" s="91"/>
      <c r="T12" s="69"/>
      <c r="U12" s="117"/>
      <c r="V12" s="93"/>
      <c r="W12" s="72"/>
      <c r="X12" s="74"/>
      <c r="Y12" s="74"/>
      <c r="Z12" s="75"/>
      <c r="AA12" s="75"/>
      <c r="AB12" s="74"/>
      <c r="AC12" s="73"/>
      <c r="AD12" s="73"/>
      <c r="AE12" s="73"/>
      <c r="AF12" s="73"/>
      <c r="AG12" s="73"/>
      <c r="AH12" s="73"/>
      <c r="AI12" s="74"/>
      <c r="AJ12" s="74"/>
      <c r="AK12" s="74"/>
      <c r="AL12" s="74"/>
      <c r="AM12" s="74"/>
      <c r="AN12" s="74"/>
      <c r="AO12" s="76"/>
      <c r="AP12" s="76"/>
      <c r="AQ12" s="74"/>
      <c r="AR12" s="74"/>
      <c r="AS12" s="74"/>
      <c r="AT12" s="74"/>
      <c r="AU12" s="74"/>
      <c r="AV12" s="74"/>
      <c r="AW12" s="74"/>
      <c r="AX12" s="74"/>
      <c r="AY12" s="77"/>
      <c r="AZ12" s="78"/>
      <c r="BA12" s="78"/>
      <c r="BB12" s="79"/>
      <c r="BC12" s="80"/>
      <c r="BD12" s="94"/>
      <c r="BE12" s="101"/>
      <c r="BF12" s="70"/>
      <c r="BG12" s="81"/>
      <c r="BH12" s="19"/>
      <c r="BJ12" s="19"/>
      <c r="BN12" s="83">
        <f>Tableau24072383[[#This Row],[% Sensi actions]]-Tableau24072383[[#This Row],[Exp nette action]]</f>
        <v>0</v>
      </c>
      <c r="BP12" s="19"/>
      <c r="BQ12" s="19"/>
      <c r="BR12" s="19"/>
      <c r="BS12" s="19"/>
      <c r="BT12" s="19"/>
    </row>
    <row r="13" spans="1:72" x14ac:dyDescent="0.25">
      <c r="A13" s="84"/>
      <c r="B13" s="98"/>
      <c r="C13" s="86"/>
      <c r="D13" s="86"/>
      <c r="E13" s="87"/>
      <c r="F13" s="118"/>
      <c r="G13" s="119"/>
      <c r="H13" s="120"/>
      <c r="I13" s="121"/>
      <c r="J13" s="122"/>
      <c r="K13" s="60"/>
      <c r="L13" s="61"/>
      <c r="M13" s="123"/>
      <c r="N13" s="63"/>
      <c r="O13" s="124"/>
      <c r="P13" s="125"/>
      <c r="Q13" s="126"/>
      <c r="R13" s="90"/>
      <c r="S13" s="91"/>
      <c r="T13" s="127"/>
      <c r="U13" s="128"/>
      <c r="V13" s="93"/>
      <c r="W13" s="129"/>
      <c r="X13" s="130"/>
      <c r="Y13" s="130"/>
      <c r="Z13" s="131"/>
      <c r="AA13" s="131"/>
      <c r="AB13" s="130"/>
      <c r="AC13" s="132"/>
      <c r="AD13" s="132"/>
      <c r="AE13" s="132"/>
      <c r="AF13" s="132"/>
      <c r="AG13" s="132"/>
      <c r="AH13" s="132"/>
      <c r="AI13" s="130"/>
      <c r="AJ13" s="130"/>
      <c r="AK13" s="130"/>
      <c r="AL13" s="130"/>
      <c r="AM13" s="130"/>
      <c r="AN13" s="130"/>
      <c r="AO13" s="133"/>
      <c r="AP13" s="133"/>
      <c r="AQ13" s="130"/>
      <c r="AR13" s="130"/>
      <c r="AS13" s="130"/>
      <c r="AT13" s="130"/>
      <c r="AU13" s="130"/>
      <c r="AV13" s="130"/>
      <c r="AW13" s="130"/>
      <c r="AX13" s="130"/>
      <c r="AY13" s="77"/>
      <c r="AZ13" s="134"/>
      <c r="BA13" s="134"/>
      <c r="BB13" s="135"/>
      <c r="BC13" s="80"/>
      <c r="BD13" s="94"/>
      <c r="BE13" s="95"/>
      <c r="BF13" s="92"/>
      <c r="BG13" s="94"/>
      <c r="BH13" s="19"/>
      <c r="BJ13" s="19"/>
      <c r="BN13" s="83">
        <f>Tableau24072383[[#This Row],[% Sensi actions]]-Tableau24072383[[#This Row],[Exp nette action]]</f>
        <v>0</v>
      </c>
      <c r="BP13" s="19"/>
      <c r="BQ13" s="19"/>
      <c r="BR13" s="19"/>
      <c r="BS13" s="19"/>
      <c r="BT13" s="19"/>
    </row>
    <row r="14" spans="1:72" ht="16.5" hidden="1" customHeight="1" x14ac:dyDescent="0.25">
      <c r="A14" s="84"/>
      <c r="B14" s="98"/>
      <c r="C14" s="86"/>
      <c r="D14" s="86"/>
      <c r="E14" s="87"/>
      <c r="F14" s="118"/>
      <c r="G14" s="119"/>
      <c r="H14" s="120"/>
      <c r="I14" s="121"/>
      <c r="J14" s="122"/>
      <c r="K14" s="60"/>
      <c r="L14" s="61"/>
      <c r="M14" s="123"/>
      <c r="N14" s="63"/>
      <c r="O14" s="100"/>
      <c r="P14" s="125"/>
      <c r="Q14" s="126"/>
      <c r="R14" s="90"/>
      <c r="S14" s="91"/>
      <c r="T14" s="127"/>
      <c r="U14" s="92"/>
      <c r="V14" s="93"/>
      <c r="W14" s="129"/>
      <c r="X14" s="130"/>
      <c r="Y14" s="130"/>
      <c r="Z14" s="131"/>
      <c r="AA14" s="131"/>
      <c r="AB14" s="130"/>
      <c r="AC14" s="130"/>
      <c r="AD14" s="130"/>
      <c r="AE14" s="130"/>
      <c r="AF14" s="130"/>
      <c r="AG14" s="130"/>
      <c r="AH14" s="130"/>
      <c r="AI14" s="130"/>
      <c r="AJ14" s="130"/>
      <c r="AK14" s="130"/>
      <c r="AL14" s="130"/>
      <c r="AM14" s="130"/>
      <c r="AN14" s="130"/>
      <c r="AO14" s="133"/>
      <c r="AP14" s="133"/>
      <c r="AQ14" s="130"/>
      <c r="AR14" s="130"/>
      <c r="AS14" s="130"/>
      <c r="AT14" s="130"/>
      <c r="AU14" s="130"/>
      <c r="AV14" s="130"/>
      <c r="AW14" s="130"/>
      <c r="AX14" s="130"/>
      <c r="AY14" s="77"/>
      <c r="AZ14" s="134"/>
      <c r="BA14" s="134"/>
      <c r="BB14" s="135"/>
      <c r="BC14" s="136"/>
      <c r="BD14" s="94"/>
      <c r="BE14" s="95"/>
      <c r="BF14" s="92"/>
      <c r="BG14" s="94"/>
      <c r="BH14" s="19"/>
      <c r="BJ14" s="19"/>
      <c r="BN14" s="83">
        <f>Tableau24072383[[#This Row],[% Sensi actions]]-Tableau24072383[[#This Row],[Exp nette action]]</f>
        <v>0</v>
      </c>
      <c r="BP14" s="19"/>
      <c r="BQ14" s="19"/>
      <c r="BR14" s="19"/>
      <c r="BS14" s="19"/>
      <c r="BT14" s="19"/>
    </row>
    <row r="15" spans="1:72" x14ac:dyDescent="0.25">
      <c r="A15" s="84"/>
      <c r="B15" s="98"/>
      <c r="C15" s="86"/>
      <c r="D15" s="86"/>
      <c r="E15" s="137"/>
      <c r="F15" s="118"/>
      <c r="G15" s="119"/>
      <c r="H15" s="138"/>
      <c r="I15" s="121"/>
      <c r="J15" s="122"/>
      <c r="K15" s="60"/>
      <c r="L15" s="61"/>
      <c r="M15" s="123"/>
      <c r="N15" s="63"/>
      <c r="O15" s="100"/>
      <c r="P15" s="125"/>
      <c r="Q15" s="126"/>
      <c r="R15" s="139"/>
      <c r="S15" s="140"/>
      <c r="T15" s="127"/>
      <c r="U15" s="92"/>
      <c r="V15" s="93"/>
      <c r="W15" s="129"/>
      <c r="X15" s="130"/>
      <c r="Y15" s="130"/>
      <c r="Z15" s="131"/>
      <c r="AA15" s="131"/>
      <c r="AB15" s="130"/>
      <c r="AC15" s="130"/>
      <c r="AD15" s="130"/>
      <c r="AE15" s="130"/>
      <c r="AF15" s="130"/>
      <c r="AG15" s="130"/>
      <c r="AH15" s="130"/>
      <c r="AI15" s="130"/>
      <c r="AJ15" s="130"/>
      <c r="AK15" s="130"/>
      <c r="AL15" s="130"/>
      <c r="AM15" s="130"/>
      <c r="AN15" s="130"/>
      <c r="AO15" s="133"/>
      <c r="AP15" s="133"/>
      <c r="AQ15" s="130"/>
      <c r="AR15" s="130"/>
      <c r="AS15" s="130"/>
      <c r="AT15" s="130"/>
      <c r="AU15" s="130"/>
      <c r="AV15" s="130"/>
      <c r="AW15" s="130"/>
      <c r="AX15" s="130"/>
      <c r="AY15" s="77"/>
      <c r="AZ15" s="134"/>
      <c r="BA15" s="134"/>
      <c r="BB15" s="135"/>
      <c r="BC15" s="80"/>
      <c r="BD15" s="94"/>
      <c r="BE15" s="95"/>
      <c r="BF15" s="92"/>
      <c r="BG15" s="94"/>
      <c r="BH15" s="19"/>
      <c r="BJ15" s="19"/>
      <c r="BN15" s="83">
        <f>Tableau24072383[[#This Row],[% Sensi actions]]-Tableau24072383[[#This Row],[Exp nette action]]</f>
        <v>0</v>
      </c>
      <c r="BP15" s="19"/>
      <c r="BQ15" s="19"/>
      <c r="BR15" s="19"/>
      <c r="BS15" s="19"/>
      <c r="BT15" s="19"/>
    </row>
    <row r="16" spans="1:72" x14ac:dyDescent="0.25">
      <c r="A16" s="84"/>
      <c r="B16" s="98"/>
      <c r="C16" s="86"/>
      <c r="D16" s="86"/>
      <c r="E16" s="141"/>
      <c r="F16" s="55"/>
      <c r="G16" s="107"/>
      <c r="H16" s="115"/>
      <c r="I16" s="121"/>
      <c r="J16" s="122"/>
      <c r="K16" s="60"/>
      <c r="L16" s="103"/>
      <c r="M16" s="123"/>
      <c r="N16" s="105"/>
      <c r="O16" s="89"/>
      <c r="P16" s="65"/>
      <c r="Q16" s="66"/>
      <c r="R16" s="139"/>
      <c r="S16" s="140"/>
      <c r="T16" s="69"/>
      <c r="U16" s="92"/>
      <c r="V16" s="93"/>
      <c r="W16" s="72"/>
      <c r="X16" s="74"/>
      <c r="Y16" s="74"/>
      <c r="Z16" s="75"/>
      <c r="AA16" s="75"/>
      <c r="AB16" s="74"/>
      <c r="AC16" s="74"/>
      <c r="AD16" s="74"/>
      <c r="AE16" s="74"/>
      <c r="AF16" s="74"/>
      <c r="AG16" s="74"/>
      <c r="AH16" s="74"/>
      <c r="AI16" s="74"/>
      <c r="AJ16" s="74"/>
      <c r="AK16" s="74"/>
      <c r="AL16" s="74"/>
      <c r="AM16" s="74"/>
      <c r="AN16" s="74"/>
      <c r="AO16" s="76"/>
      <c r="AP16" s="76"/>
      <c r="AQ16" s="74"/>
      <c r="AR16" s="74"/>
      <c r="AS16" s="74"/>
      <c r="AT16" s="74"/>
      <c r="AU16" s="74"/>
      <c r="AV16" s="74"/>
      <c r="AW16" s="74"/>
      <c r="AX16" s="74"/>
      <c r="AY16" s="77"/>
      <c r="AZ16" s="78"/>
      <c r="BA16" s="78"/>
      <c r="BB16" s="79"/>
      <c r="BC16" s="80"/>
      <c r="BD16" s="94"/>
      <c r="BE16" s="101"/>
      <c r="BF16" s="70"/>
      <c r="BG16" s="81"/>
      <c r="BH16" s="19"/>
      <c r="BJ16" s="19"/>
      <c r="BN16" s="83">
        <f>Tableau24072383[[#This Row],[% Sensi actions]]-Tableau24072383[[#This Row],[Exp nette action]]</f>
        <v>0</v>
      </c>
      <c r="BP16" s="19"/>
      <c r="BQ16" s="19"/>
      <c r="BR16" s="19"/>
      <c r="BS16" s="19"/>
      <c r="BT16" s="19"/>
    </row>
    <row r="17" spans="1:72" x14ac:dyDescent="0.25">
      <c r="A17" s="84"/>
      <c r="B17" s="98"/>
      <c r="C17" s="86"/>
      <c r="D17" s="86"/>
      <c r="E17" s="87"/>
      <c r="F17" s="55"/>
      <c r="G17" s="107"/>
      <c r="H17" s="108"/>
      <c r="I17" s="121"/>
      <c r="J17" s="122"/>
      <c r="K17" s="60"/>
      <c r="L17" s="142"/>
      <c r="M17" s="143"/>
      <c r="N17" s="105"/>
      <c r="O17" s="100"/>
      <c r="P17" s="65"/>
      <c r="Q17" s="66"/>
      <c r="R17" s="90"/>
      <c r="S17" s="91"/>
      <c r="T17" s="69"/>
      <c r="U17" s="92"/>
      <c r="V17" s="93"/>
      <c r="W17" s="72"/>
      <c r="X17" s="74"/>
      <c r="Y17" s="74"/>
      <c r="Z17" s="75"/>
      <c r="AA17" s="75"/>
      <c r="AB17" s="74"/>
      <c r="AC17" s="74"/>
      <c r="AD17" s="74"/>
      <c r="AE17" s="74"/>
      <c r="AF17" s="74"/>
      <c r="AG17" s="74"/>
      <c r="AH17" s="74"/>
      <c r="AI17" s="74"/>
      <c r="AJ17" s="74"/>
      <c r="AK17" s="74"/>
      <c r="AL17" s="74"/>
      <c r="AM17" s="74"/>
      <c r="AN17" s="74"/>
      <c r="AO17" s="76"/>
      <c r="AP17" s="76"/>
      <c r="AQ17" s="74"/>
      <c r="AR17" s="74"/>
      <c r="AS17" s="74"/>
      <c r="AT17" s="74"/>
      <c r="AU17" s="74"/>
      <c r="AV17" s="74"/>
      <c r="AW17" s="74"/>
      <c r="AX17" s="74"/>
      <c r="AY17" s="77"/>
      <c r="AZ17" s="78"/>
      <c r="BA17" s="134"/>
      <c r="BB17" s="135"/>
      <c r="BC17" s="80"/>
      <c r="BD17" s="94"/>
      <c r="BE17" s="101"/>
      <c r="BF17" s="92"/>
      <c r="BG17" s="81"/>
      <c r="BH17" s="19"/>
      <c r="BJ17" s="19"/>
      <c r="BP17" s="19"/>
      <c r="BQ17" s="19"/>
      <c r="BR17" s="19"/>
      <c r="BS17" s="19"/>
      <c r="BT17" s="19"/>
    </row>
    <row r="18" spans="1:72" x14ac:dyDescent="0.25">
      <c r="A18" s="84"/>
      <c r="B18" s="98"/>
      <c r="C18" s="86"/>
      <c r="D18" s="86"/>
      <c r="E18" s="87"/>
      <c r="F18" s="55"/>
      <c r="G18" s="107"/>
      <c r="H18" s="115"/>
      <c r="I18" s="121"/>
      <c r="J18" s="122"/>
      <c r="K18" s="60"/>
      <c r="L18" s="103"/>
      <c r="M18" s="123"/>
      <c r="N18" s="105"/>
      <c r="O18" s="100"/>
      <c r="P18" s="65"/>
      <c r="Q18" s="66"/>
      <c r="R18" s="144"/>
      <c r="S18" s="140"/>
      <c r="T18" s="69"/>
      <c r="U18" s="92"/>
      <c r="V18" s="93"/>
      <c r="W18" s="72"/>
      <c r="X18" s="74"/>
      <c r="Y18" s="74"/>
      <c r="Z18" s="75"/>
      <c r="AA18" s="75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6"/>
      <c r="AP18" s="76"/>
      <c r="AQ18" s="74"/>
      <c r="AR18" s="74"/>
      <c r="AS18" s="74"/>
      <c r="AT18" s="74"/>
      <c r="AU18" s="74"/>
      <c r="AV18" s="74"/>
      <c r="AW18" s="74"/>
      <c r="AX18" s="74"/>
      <c r="AY18" s="77"/>
      <c r="AZ18" s="78"/>
      <c r="BA18" s="78"/>
      <c r="BB18" s="79"/>
      <c r="BC18" s="80"/>
      <c r="BD18" s="94"/>
      <c r="BE18" s="101"/>
      <c r="BF18" s="70"/>
      <c r="BG18" s="81"/>
      <c r="BH18" s="19"/>
      <c r="BJ18" s="19"/>
      <c r="BP18" s="19"/>
      <c r="BQ18" s="19"/>
      <c r="BR18" s="19"/>
      <c r="BS18" s="19"/>
      <c r="BT18" s="19"/>
    </row>
    <row r="19" spans="1:72" x14ac:dyDescent="0.25">
      <c r="A19" s="84"/>
      <c r="B19" s="98"/>
      <c r="C19" s="86"/>
      <c r="D19" s="86"/>
      <c r="E19" s="87"/>
      <c r="F19" s="55"/>
      <c r="G19" s="107"/>
      <c r="H19" s="115"/>
      <c r="I19" s="121"/>
      <c r="J19" s="122"/>
      <c r="K19" s="60"/>
      <c r="L19" s="103"/>
      <c r="M19" s="123"/>
      <c r="N19" s="105"/>
      <c r="O19" s="100"/>
      <c r="P19" s="65"/>
      <c r="Q19" s="66"/>
      <c r="R19" s="144"/>
      <c r="S19" s="140"/>
      <c r="T19" s="69"/>
      <c r="U19" s="92"/>
      <c r="V19" s="93"/>
      <c r="W19" s="72"/>
      <c r="X19" s="74"/>
      <c r="Y19" s="74"/>
      <c r="Z19" s="75"/>
      <c r="AA19" s="75"/>
      <c r="AB19" s="74"/>
      <c r="AC19" s="74"/>
      <c r="AD19" s="74"/>
      <c r="AE19" s="74"/>
      <c r="AF19" s="74"/>
      <c r="AG19" s="74"/>
      <c r="AH19" s="74"/>
      <c r="AI19" s="74"/>
      <c r="AJ19" s="74"/>
      <c r="AK19" s="74"/>
      <c r="AL19" s="74"/>
      <c r="AM19" s="74"/>
      <c r="AN19" s="74"/>
      <c r="AO19" s="76"/>
      <c r="AP19" s="76"/>
      <c r="AQ19" s="74"/>
      <c r="AR19" s="74"/>
      <c r="AS19" s="74"/>
      <c r="AT19" s="74"/>
      <c r="AU19" s="74"/>
      <c r="AV19" s="74"/>
      <c r="AW19" s="74"/>
      <c r="AX19" s="74"/>
      <c r="AY19" s="77"/>
      <c r="AZ19" s="78"/>
      <c r="BA19" s="78"/>
      <c r="BB19" s="79"/>
      <c r="BC19" s="106"/>
      <c r="BD19" s="94"/>
      <c r="BE19" s="101"/>
      <c r="BF19" s="70"/>
      <c r="BG19" s="81"/>
      <c r="BH19" s="19"/>
      <c r="BJ19" s="19"/>
      <c r="BP19" s="19"/>
      <c r="BQ19" s="19"/>
      <c r="BR19" s="19"/>
      <c r="BS19" s="19"/>
      <c r="BT19" s="19"/>
    </row>
    <row r="20" spans="1:72" x14ac:dyDescent="0.25">
      <c r="A20" s="84"/>
      <c r="B20" s="98"/>
      <c r="C20" s="86"/>
      <c r="D20" s="86"/>
      <c r="E20" s="87"/>
      <c r="F20" s="55"/>
      <c r="G20" s="107"/>
      <c r="H20" s="115"/>
      <c r="I20" s="58"/>
      <c r="J20" s="122"/>
      <c r="K20" s="60"/>
      <c r="L20" s="103"/>
      <c r="M20" s="123"/>
      <c r="N20" s="105"/>
      <c r="O20" s="100"/>
      <c r="P20" s="65"/>
      <c r="Q20" s="66"/>
      <c r="R20" s="144"/>
      <c r="S20" s="140"/>
      <c r="T20" s="69"/>
      <c r="U20" s="92"/>
      <c r="V20" s="93"/>
      <c r="W20" s="72"/>
      <c r="X20" s="74"/>
      <c r="Y20" s="74"/>
      <c r="Z20" s="75"/>
      <c r="AA20" s="75"/>
      <c r="AB20" s="74"/>
      <c r="AC20" s="74"/>
      <c r="AD20" s="74"/>
      <c r="AE20" s="74"/>
      <c r="AF20" s="74"/>
      <c r="AG20" s="74"/>
      <c r="AH20" s="74"/>
      <c r="AI20" s="74"/>
      <c r="AJ20" s="74"/>
      <c r="AK20" s="74"/>
      <c r="AL20" s="74"/>
      <c r="AM20" s="74"/>
      <c r="AN20" s="74"/>
      <c r="AO20" s="76"/>
      <c r="AP20" s="76"/>
      <c r="AQ20" s="74"/>
      <c r="AR20" s="74"/>
      <c r="AS20" s="74"/>
      <c r="AT20" s="74"/>
      <c r="AU20" s="74"/>
      <c r="AV20" s="74"/>
      <c r="AW20" s="74"/>
      <c r="AX20" s="74"/>
      <c r="AY20" s="77"/>
      <c r="AZ20" s="78"/>
      <c r="BA20" s="78"/>
      <c r="BB20" s="79"/>
      <c r="BC20" s="80"/>
      <c r="BD20" s="94"/>
      <c r="BE20" s="101"/>
      <c r="BF20" s="70"/>
      <c r="BG20" s="81"/>
      <c r="BH20" s="19"/>
      <c r="BJ20" s="19"/>
      <c r="BP20" s="19"/>
      <c r="BQ20" s="19"/>
      <c r="BR20" s="19"/>
      <c r="BS20" s="19"/>
      <c r="BT20" s="19"/>
    </row>
    <row r="21" spans="1:72" x14ac:dyDescent="0.25">
      <c r="A21" s="84"/>
      <c r="B21" s="98"/>
      <c r="C21" s="86"/>
      <c r="D21" s="86"/>
      <c r="E21" s="87"/>
      <c r="F21" s="55"/>
      <c r="G21" s="107"/>
      <c r="H21" s="115"/>
      <c r="I21" s="58"/>
      <c r="J21" s="122"/>
      <c r="K21" s="60"/>
      <c r="L21" s="145"/>
      <c r="M21" s="123"/>
      <c r="N21" s="105"/>
      <c r="O21" s="89"/>
      <c r="P21" s="65"/>
      <c r="Q21" s="66"/>
      <c r="R21" s="90"/>
      <c r="S21" s="91"/>
      <c r="T21" s="69"/>
      <c r="U21" s="92"/>
      <c r="V21" s="93"/>
      <c r="W21" s="72"/>
      <c r="X21" s="74"/>
      <c r="Y21" s="74"/>
      <c r="Z21" s="75"/>
      <c r="AA21" s="75"/>
      <c r="AB21" s="74"/>
      <c r="AC21" s="74"/>
      <c r="AD21" s="74"/>
      <c r="AE21" s="74"/>
      <c r="AF21" s="74"/>
      <c r="AG21" s="74"/>
      <c r="AH21" s="74"/>
      <c r="AI21" s="74"/>
      <c r="AJ21" s="74"/>
      <c r="AK21" s="74"/>
      <c r="AL21" s="74"/>
      <c r="AM21" s="74"/>
      <c r="AN21" s="74"/>
      <c r="AO21" s="76"/>
      <c r="AP21" s="76"/>
      <c r="AQ21" s="74"/>
      <c r="AR21" s="74"/>
      <c r="AS21" s="74"/>
      <c r="AT21" s="74"/>
      <c r="AU21" s="74"/>
      <c r="AV21" s="74"/>
      <c r="AW21" s="74"/>
      <c r="AX21" s="74"/>
      <c r="AY21" s="77"/>
      <c r="AZ21" s="78"/>
      <c r="BA21" s="78"/>
      <c r="BB21" s="79"/>
      <c r="BC21" s="80"/>
      <c r="BD21" s="94"/>
      <c r="BE21" s="101"/>
      <c r="BF21" s="70"/>
      <c r="BG21" s="81"/>
      <c r="BH21" s="19"/>
      <c r="BJ21" s="19"/>
      <c r="BP21" s="19"/>
      <c r="BQ21" s="19"/>
      <c r="BR21" s="19"/>
      <c r="BS21" s="19"/>
      <c r="BT21" s="19"/>
    </row>
    <row r="22" spans="1:72" x14ac:dyDescent="0.25">
      <c r="A22" s="84"/>
      <c r="B22" s="85"/>
      <c r="C22" s="86"/>
      <c r="D22" s="86"/>
      <c r="E22" s="87"/>
      <c r="F22" s="55"/>
      <c r="G22" s="107"/>
      <c r="H22" s="108"/>
      <c r="I22" s="58"/>
      <c r="J22" s="122"/>
      <c r="K22" s="60"/>
      <c r="L22" s="145"/>
      <c r="M22" s="123"/>
      <c r="N22" s="105"/>
      <c r="O22" s="109"/>
      <c r="P22" s="65"/>
      <c r="Q22" s="66"/>
      <c r="R22" s="90"/>
      <c r="S22" s="91"/>
      <c r="T22" s="69"/>
      <c r="U22" s="92"/>
      <c r="V22" s="93"/>
      <c r="W22" s="72"/>
      <c r="X22" s="74"/>
      <c r="Y22" s="74"/>
      <c r="Z22" s="75"/>
      <c r="AA22" s="75"/>
      <c r="AB22" s="74"/>
      <c r="AC22" s="74"/>
      <c r="AD22" s="74"/>
      <c r="AE22" s="74"/>
      <c r="AF22" s="74"/>
      <c r="AG22" s="74"/>
      <c r="AH22" s="74"/>
      <c r="AI22" s="74"/>
      <c r="AJ22" s="74"/>
      <c r="AK22" s="74"/>
      <c r="AL22" s="74"/>
      <c r="AM22" s="74"/>
      <c r="AN22" s="74"/>
      <c r="AO22" s="76"/>
      <c r="AP22" s="76"/>
      <c r="AQ22" s="74"/>
      <c r="AR22" s="74"/>
      <c r="AS22" s="74"/>
      <c r="AT22" s="74"/>
      <c r="AU22" s="74"/>
      <c r="AV22" s="74"/>
      <c r="AW22" s="74"/>
      <c r="AX22" s="74"/>
      <c r="AY22" s="77"/>
      <c r="AZ22" s="78"/>
      <c r="BA22" s="78"/>
      <c r="BB22" s="79"/>
      <c r="BC22" s="106"/>
      <c r="BD22" s="94"/>
      <c r="BE22" s="101"/>
      <c r="BF22" s="70"/>
      <c r="BG22" s="81"/>
      <c r="BH22" s="19"/>
      <c r="BJ22" s="19"/>
      <c r="BP22" s="19"/>
      <c r="BQ22" s="19"/>
      <c r="BR22" s="19"/>
      <c r="BS22" s="19"/>
      <c r="BT22" s="19"/>
    </row>
    <row r="23" spans="1:72" ht="16.5" customHeight="1" x14ac:dyDescent="0.25">
      <c r="A23" s="84"/>
      <c r="B23" s="98"/>
      <c r="C23" s="86"/>
      <c r="D23" s="86"/>
      <c r="E23" s="87"/>
      <c r="F23" s="55"/>
      <c r="G23" s="107"/>
      <c r="H23" s="108"/>
      <c r="I23" s="121"/>
      <c r="J23" s="122"/>
      <c r="K23" s="60"/>
      <c r="L23" s="145"/>
      <c r="M23" s="123"/>
      <c r="N23" s="105"/>
      <c r="O23" s="109"/>
      <c r="P23" s="65"/>
      <c r="Q23" s="66"/>
      <c r="R23" s="90"/>
      <c r="S23" s="91"/>
      <c r="T23" s="69"/>
      <c r="U23" s="92"/>
      <c r="V23" s="93"/>
      <c r="W23" s="72"/>
      <c r="X23" s="74"/>
      <c r="Y23" s="74"/>
      <c r="Z23" s="75"/>
      <c r="AA23" s="75"/>
      <c r="AB23" s="74"/>
      <c r="AC23" s="74"/>
      <c r="AD23" s="74"/>
      <c r="AE23" s="74"/>
      <c r="AF23" s="74"/>
      <c r="AG23" s="74"/>
      <c r="AH23" s="74"/>
      <c r="AI23" s="74"/>
      <c r="AJ23" s="74"/>
      <c r="AK23" s="74"/>
      <c r="AL23" s="74"/>
      <c r="AM23" s="74"/>
      <c r="AN23" s="74"/>
      <c r="AO23" s="76"/>
      <c r="AP23" s="76"/>
      <c r="AQ23" s="74"/>
      <c r="AR23" s="74"/>
      <c r="AS23" s="74"/>
      <c r="AT23" s="74"/>
      <c r="AU23" s="74"/>
      <c r="AV23" s="74"/>
      <c r="AW23" s="74"/>
      <c r="AX23" s="74"/>
      <c r="AY23" s="77"/>
      <c r="AZ23" s="78"/>
      <c r="BA23" s="78"/>
      <c r="BB23" s="79"/>
      <c r="BC23" s="146"/>
      <c r="BD23" s="94"/>
      <c r="BE23" s="101"/>
      <c r="BF23" s="70"/>
      <c r="BG23" s="81"/>
      <c r="BH23" s="19"/>
      <c r="BJ23" s="19"/>
      <c r="BP23" s="19"/>
      <c r="BQ23" s="19"/>
      <c r="BR23" s="19"/>
      <c r="BS23" s="19"/>
      <c r="BT23" s="19"/>
    </row>
    <row r="24" spans="1:72" x14ac:dyDescent="0.25">
      <c r="A24" s="84"/>
      <c r="B24" s="98"/>
      <c r="C24" s="86"/>
      <c r="D24" s="86"/>
      <c r="E24" s="87"/>
      <c r="F24" s="55"/>
      <c r="G24" s="107"/>
      <c r="H24" s="108"/>
      <c r="I24" s="121"/>
      <c r="J24" s="122"/>
      <c r="K24" s="60"/>
      <c r="L24" s="145"/>
      <c r="M24" s="123"/>
      <c r="N24" s="105"/>
      <c r="O24" s="100"/>
      <c r="P24" s="65"/>
      <c r="Q24" s="66"/>
      <c r="R24" s="90"/>
      <c r="S24" s="91"/>
      <c r="T24" s="69"/>
      <c r="U24" s="92"/>
      <c r="V24" s="93"/>
      <c r="W24" s="72"/>
      <c r="X24" s="74"/>
      <c r="Y24" s="74"/>
      <c r="Z24" s="75"/>
      <c r="AA24" s="75"/>
      <c r="AB24" s="74"/>
      <c r="AC24" s="74"/>
      <c r="AD24" s="74"/>
      <c r="AE24" s="74"/>
      <c r="AF24" s="74"/>
      <c r="AG24" s="74"/>
      <c r="AH24" s="74"/>
      <c r="AI24" s="74"/>
      <c r="AJ24" s="74"/>
      <c r="AK24" s="74"/>
      <c r="AL24" s="74"/>
      <c r="AM24" s="74"/>
      <c r="AN24" s="74"/>
      <c r="AO24" s="76"/>
      <c r="AP24" s="76"/>
      <c r="AQ24" s="74"/>
      <c r="AR24" s="74"/>
      <c r="AS24" s="74"/>
      <c r="AT24" s="74"/>
      <c r="AU24" s="74"/>
      <c r="AV24" s="74"/>
      <c r="AW24" s="74"/>
      <c r="AX24" s="74"/>
      <c r="AY24" s="77"/>
      <c r="AZ24" s="78"/>
      <c r="BA24" s="78"/>
      <c r="BB24" s="79"/>
      <c r="BC24" s="80"/>
      <c r="BD24" s="94"/>
      <c r="BE24" s="101"/>
      <c r="BF24" s="70"/>
      <c r="BG24" s="81"/>
      <c r="BH24" s="19"/>
      <c r="BJ24" s="19"/>
      <c r="BP24" s="19"/>
      <c r="BQ24" s="19"/>
      <c r="BR24" s="19"/>
      <c r="BS24" s="19"/>
      <c r="BT24" s="19"/>
    </row>
    <row r="25" spans="1:72" x14ac:dyDescent="0.25">
      <c r="A25" s="84"/>
      <c r="B25" s="98"/>
      <c r="C25" s="86"/>
      <c r="D25" s="86"/>
      <c r="E25" s="87"/>
      <c r="F25" s="55"/>
      <c r="G25" s="107"/>
      <c r="H25" s="108"/>
      <c r="I25" s="121"/>
      <c r="J25" s="122"/>
      <c r="K25" s="60"/>
      <c r="L25" s="145"/>
      <c r="M25" s="123"/>
      <c r="N25" s="105"/>
      <c r="O25" s="100"/>
      <c r="P25" s="147"/>
      <c r="Q25" s="66"/>
      <c r="R25" s="90"/>
      <c r="S25" s="91"/>
      <c r="T25" s="69"/>
      <c r="U25" s="92"/>
      <c r="V25" s="93"/>
      <c r="W25" s="72"/>
      <c r="X25" s="74"/>
      <c r="Y25" s="74"/>
      <c r="Z25" s="75"/>
      <c r="AA25" s="75"/>
      <c r="AB25" s="74"/>
      <c r="AC25" s="74"/>
      <c r="AD25" s="74"/>
      <c r="AE25" s="74"/>
      <c r="AF25" s="74"/>
      <c r="AG25" s="74"/>
      <c r="AH25" s="74"/>
      <c r="AI25" s="74"/>
      <c r="AJ25" s="74"/>
      <c r="AK25" s="74"/>
      <c r="AL25" s="74"/>
      <c r="AM25" s="74"/>
      <c r="AN25" s="74"/>
      <c r="AO25" s="76"/>
      <c r="AP25" s="76"/>
      <c r="AQ25" s="74"/>
      <c r="AR25" s="74"/>
      <c r="AS25" s="74"/>
      <c r="AT25" s="74"/>
      <c r="AU25" s="74"/>
      <c r="AV25" s="74"/>
      <c r="AW25" s="74"/>
      <c r="AX25" s="74"/>
      <c r="AY25" s="77"/>
      <c r="AZ25" s="78"/>
      <c r="BA25" s="134"/>
      <c r="BB25" s="135"/>
      <c r="BC25" s="80"/>
      <c r="BD25" s="94"/>
      <c r="BE25" s="101"/>
      <c r="BF25" s="92"/>
      <c r="BG25" s="81"/>
      <c r="BH25" s="19"/>
      <c r="BJ25" s="19"/>
      <c r="BP25" s="19"/>
      <c r="BQ25" s="19"/>
      <c r="BR25" s="19"/>
      <c r="BS25" s="19"/>
      <c r="BT25" s="19"/>
    </row>
    <row r="26" spans="1:72" x14ac:dyDescent="0.25">
      <c r="A26" s="84"/>
      <c r="B26" s="98"/>
      <c r="C26" s="86"/>
      <c r="D26" s="86"/>
      <c r="E26" s="87"/>
      <c r="F26" s="55"/>
      <c r="G26" s="107"/>
      <c r="H26" s="148"/>
      <c r="I26" s="121"/>
      <c r="J26" s="122"/>
      <c r="K26" s="60"/>
      <c r="L26" s="142"/>
      <c r="M26" s="143"/>
      <c r="N26" s="149"/>
      <c r="O26" s="100"/>
      <c r="P26" s="147"/>
      <c r="Q26" s="66"/>
      <c r="R26" s="90"/>
      <c r="S26" s="91"/>
      <c r="T26" s="69"/>
      <c r="U26" s="92"/>
      <c r="V26" s="93"/>
      <c r="W26" s="72"/>
      <c r="X26" s="74"/>
      <c r="Y26" s="74"/>
      <c r="Z26" s="75"/>
      <c r="AA26" s="75"/>
      <c r="AB26" s="74"/>
      <c r="AC26" s="74"/>
      <c r="AD26" s="74"/>
      <c r="AE26" s="74"/>
      <c r="AF26" s="74"/>
      <c r="AG26" s="74"/>
      <c r="AH26" s="74"/>
      <c r="AI26" s="74"/>
      <c r="AJ26" s="74"/>
      <c r="AK26" s="74"/>
      <c r="AL26" s="74"/>
      <c r="AM26" s="74"/>
      <c r="AN26" s="74"/>
      <c r="AO26" s="76"/>
      <c r="AP26" s="76"/>
      <c r="AQ26" s="74"/>
      <c r="AR26" s="74"/>
      <c r="AS26" s="74"/>
      <c r="AT26" s="74"/>
      <c r="AU26" s="74"/>
      <c r="AV26" s="74"/>
      <c r="AW26" s="74"/>
      <c r="AX26" s="74"/>
      <c r="AY26" s="77"/>
      <c r="AZ26" s="78"/>
      <c r="BA26" s="134"/>
      <c r="BB26" s="135"/>
      <c r="BC26" s="80"/>
      <c r="BD26" s="94"/>
      <c r="BE26" s="101"/>
      <c r="BF26" s="92"/>
      <c r="BG26" s="81"/>
      <c r="BH26" s="19"/>
      <c r="BJ26" s="19"/>
      <c r="BP26" s="19"/>
      <c r="BQ26" s="19"/>
      <c r="BR26" s="19"/>
      <c r="BS26" s="19"/>
      <c r="BT26" s="19"/>
    </row>
    <row r="27" spans="1:72" ht="17.25" thickBot="1" x14ac:dyDescent="0.3">
      <c r="A27" s="84"/>
      <c r="B27" s="98"/>
      <c r="C27" s="86"/>
      <c r="D27" s="86"/>
      <c r="E27" s="87"/>
      <c r="F27" s="55"/>
      <c r="G27" s="107"/>
      <c r="H27" s="150"/>
      <c r="I27" s="151"/>
      <c r="J27" s="122"/>
      <c r="K27" s="60"/>
      <c r="L27" s="61"/>
      <c r="M27" s="62"/>
      <c r="N27" s="63"/>
      <c r="O27" s="100"/>
      <c r="P27" s="65"/>
      <c r="Q27" s="126"/>
      <c r="R27" s="90"/>
      <c r="S27" s="91"/>
      <c r="T27" s="127"/>
      <c r="U27" s="92"/>
      <c r="V27" s="93"/>
      <c r="W27" s="72"/>
      <c r="X27" s="74"/>
      <c r="Y27" s="74"/>
      <c r="Z27" s="75"/>
      <c r="AA27" s="75"/>
      <c r="AB27" s="74"/>
      <c r="AC27" s="74"/>
      <c r="AD27" s="74"/>
      <c r="AE27" s="74"/>
      <c r="AF27" s="74"/>
      <c r="AG27" s="74"/>
      <c r="AH27" s="74"/>
      <c r="AI27" s="74"/>
      <c r="AJ27" s="74"/>
      <c r="AK27" s="74"/>
      <c r="AL27" s="74"/>
      <c r="AM27" s="74"/>
      <c r="AN27" s="74"/>
      <c r="AO27" s="76"/>
      <c r="AP27" s="76"/>
      <c r="AQ27" s="74"/>
      <c r="AR27" s="74"/>
      <c r="AS27" s="74"/>
      <c r="AT27" s="74"/>
      <c r="AU27" s="74"/>
      <c r="AV27" s="74"/>
      <c r="AW27" s="74"/>
      <c r="AX27" s="74"/>
      <c r="AY27" s="77"/>
      <c r="AZ27" s="78"/>
      <c r="BA27" s="134"/>
      <c r="BB27" s="135"/>
      <c r="BC27" s="106"/>
      <c r="BD27" s="94"/>
      <c r="BE27" s="101"/>
      <c r="BF27" s="92"/>
      <c r="BG27" s="81"/>
      <c r="BH27" s="19"/>
      <c r="BJ27" s="19"/>
      <c r="BP27" s="19"/>
      <c r="BQ27" s="19"/>
      <c r="BR27" s="19"/>
      <c r="BS27" s="19"/>
      <c r="BT27" s="19"/>
    </row>
    <row r="28" spans="1:72" ht="16.5" customHeight="1" thickBot="1" x14ac:dyDescent="0.3">
      <c r="A28" s="152"/>
      <c r="B28" s="153" t="s">
        <v>67</v>
      </c>
      <c r="C28" s="153" t="s">
        <v>67</v>
      </c>
      <c r="D28" s="153"/>
      <c r="E28" s="154"/>
      <c r="F28" s="154"/>
      <c r="G28" s="155"/>
      <c r="H28" s="156"/>
      <c r="I28" s="157">
        <f>SUM(I3:I27)</f>
        <v>0</v>
      </c>
      <c r="J28" s="158"/>
      <c r="K28" s="159"/>
      <c r="L28" s="160">
        <f>SUM(L3:L27)</f>
        <v>0</v>
      </c>
      <c r="M28" s="161"/>
      <c r="N28" s="162"/>
      <c r="O28" s="163" t="s">
        <v>68</v>
      </c>
      <c r="P28" s="164">
        <f>SUM(Tableau24072383[Montant])</f>
        <v>0</v>
      </c>
      <c r="Q28" s="164">
        <f>SUM(Tableau24072383[Frais])</f>
        <v>0</v>
      </c>
      <c r="R28" s="165" t="s">
        <v>69</v>
      </c>
      <c r="S28" s="166"/>
      <c r="T28" s="167">
        <f>SUM(Tableau24072383[[Total ]])</f>
        <v>0</v>
      </c>
      <c r="U28" s="168"/>
      <c r="V28" s="169"/>
      <c r="W28" s="158"/>
      <c r="X28" s="158"/>
      <c r="Y28" s="158"/>
      <c r="Z28" s="170"/>
      <c r="AA28" s="170"/>
      <c r="AB28" s="171">
        <f>SUMPRODUCT(Tableau24072383[Exp nette action],Tableau24072383[% Ptf])</f>
        <v>0</v>
      </c>
      <c r="AC28" s="171">
        <f>SUMPRODUCT(Tableau24072383[Expo nette action Europe (Suisse et UK inclus) %],Tableau24072383[% Ptf])</f>
        <v>0</v>
      </c>
      <c r="AD28" s="171">
        <f>SUMPRODUCT(Tableau24072383[Expo nette action USA &amp; Canada % ],Tableau24072383[% Ptf])</f>
        <v>0</v>
      </c>
      <c r="AE28" s="171">
        <f>SUMPRODUCT(Tableau24072383[Expo nette action Asie &amp; Japon %],Tableau24072383[% Ptf])</f>
        <v>0</v>
      </c>
      <c r="AF28" s="171">
        <f>SUMPRODUCT(Tableau24072383[Expo nette action Reste du monde %],Tableau24072383[% Ptf])</f>
        <v>0</v>
      </c>
      <c r="AG28" s="171">
        <f>SUMPRODUCT(Tableau24072383[Expo nette action pays émergents  (pays présents dans le MSCI Emerging &amp; Frontier Markets)],Tableau24072383[% Ptf])</f>
        <v>0</v>
      </c>
      <c r="AH28" s="171">
        <f>SUMPRODUCT(Tableau24072383[Expo nette action petites capitalisations (capi &lt; 500 M d''euros) (%)],Tableau24072383[% Ptf])</f>
        <v>0</v>
      </c>
      <c r="AI28" s="171">
        <f>SUMPRODUCT(Tableau24072383[[Expo nette obligataire ]],Tableau24072383[% Ptf])</f>
        <v>0</v>
      </c>
      <c r="AJ28" s="171">
        <f>SUMPRODUCT(Tableau24072383[Expo nette taux spéculatifs (inf ou = à BB+, incluant les émissions NR) (%)],Tableau24072383[% Ptf])</f>
        <v>0</v>
      </c>
      <c r="AK28" s="171">
        <f>SUMPRODUCT(Tableau24072383[Expo nette taux Invesment Grade (notation comprise entre AAA et BBB- ) (%)],Tableau24072383[% Ptf])</f>
        <v>0</v>
      </c>
      <c r="AL28" s="171">
        <f>SUMPRODUCT(Tableau24072383[Expo nette taux pays émergents (pays présents dans le MSCI Emerging &amp; Frontier Markets) (%)],Tableau24072383[% Ptf])</f>
        <v>0</v>
      </c>
      <c r="AM28" s="171">
        <f>SUMPRODUCT(Tableau24072383[Expo nette obligataire convertibles],Tableau24072383[% Ptf])</f>
        <v>0</v>
      </c>
      <c r="AN28" s="171">
        <f>SUMPRODUCT(Tableau24072383[Expo nette Subordonnées financières (%)],Tableau24072383[% Ptf])</f>
        <v>0</v>
      </c>
      <c r="AO28" s="172">
        <f>SUMPRODUCT(Tableau24072383[Sensibilité taux],Tableau24072383[% Ptf])</f>
        <v>0</v>
      </c>
      <c r="AP28" s="172">
        <f>SUMPRODUCT(Tableau24072383[Maturité moyenne],Tableau24072383[% Ptf])</f>
        <v>0</v>
      </c>
      <c r="AQ28" s="171">
        <f>SUMPRODUCT(Tableau24072383[Taux de rendement à maturité],Tableau24072383[% Ptf])</f>
        <v>0</v>
      </c>
      <c r="AR28" s="171" t="str">
        <f>INDEX([2]GPA!$A$1:$B$31,MATCH([2]Student!$E$17,[2]GPA!$B$1:$B$31,0),MATCH([2]Student!$H$1,[2]GPA!$A$1:$B$1,0))</f>
        <v>BBB-</v>
      </c>
      <c r="AS28" s="171">
        <f>SUMPRODUCT(Tableau24072383[Sensibilité actions (oligations convertibles)],Tableau24072383[% Ptf])</f>
        <v>0</v>
      </c>
      <c r="AT28" s="171">
        <f>SUMPRODUCT(Tableau24072383[Exposition nette OPC %],Tableau24072383[% Ptf])</f>
        <v>0</v>
      </c>
      <c r="AU28" s="171">
        <f>SUMPRODUCT(Tableau24072383[Dérivés (swap, CDS, futures, options)],Tableau24072383[% Ptf])</f>
        <v>0</v>
      </c>
      <c r="AV28" s="171">
        <f>SUMPRODUCT(Tableau24072383[% Liquidités et équivalents (obligations arrivant à maturité, billets de trésorerie et dépots) ],Tableau24072383[% Ptf])</f>
        <v>0</v>
      </c>
      <c r="AW28" s="171">
        <f>SUMPRODUCT(Tableau24072383[Risque devise USD],Tableau24072383[% Ptf])</f>
        <v>0</v>
      </c>
      <c r="AX28" s="171">
        <f>SUMPRODUCT(Tableau24072383[Risque de change (% devises non hédgées hors Euro) ],Tableau24072383[% Ptf])</f>
        <v>0</v>
      </c>
      <c r="AY28" s="171"/>
      <c r="AZ28" s="171"/>
      <c r="BA28" s="171"/>
      <c r="BB28" s="171"/>
      <c r="BC28" s="171"/>
      <c r="BD28" s="171"/>
      <c r="BE28" s="171"/>
      <c r="BF28" s="173">
        <f>SUMPRODUCT(Tableau24072383[Frais courants % ],Tableau24072383[% Ptf])</f>
        <v>0</v>
      </c>
      <c r="BG28" s="171"/>
      <c r="BH28" s="19"/>
      <c r="BJ28" s="19"/>
      <c r="BP28" s="19"/>
      <c r="BQ28" s="19"/>
      <c r="BR28" s="19"/>
      <c r="BS28" s="19"/>
      <c r="BT28" s="19"/>
    </row>
    <row r="29" spans="1:72" ht="17.25" customHeight="1" x14ac:dyDescent="0.3">
      <c r="E29" s="174"/>
      <c r="F29" s="174"/>
      <c r="G29" s="175"/>
      <c r="H29" s="176"/>
      <c r="I29" s="177"/>
      <c r="J29" s="178"/>
      <c r="L29" s="179"/>
      <c r="M29" s="180"/>
      <c r="N29" s="181"/>
      <c r="V29" s="183"/>
      <c r="Z29" s="177"/>
      <c r="AC29" s="184"/>
      <c r="AD29" s="185"/>
      <c r="AF29" s="185"/>
      <c r="AG29" s="185"/>
      <c r="AI29" s="184"/>
      <c r="AJ29" s="184"/>
      <c r="AK29" s="184"/>
      <c r="AL29" s="184"/>
      <c r="AM29" s="184"/>
      <c r="AN29" s="184"/>
      <c r="AQ29" s="184"/>
      <c r="AU29" s="184"/>
      <c r="BA29" s="184"/>
      <c r="BB29" s="187"/>
      <c r="BC29" s="187"/>
      <c r="BD29" s="187"/>
      <c r="BE29" s="187"/>
      <c r="BF29" s="187"/>
      <c r="BG29" s="187"/>
      <c r="BH29" s="188"/>
      <c r="BT29" s="189"/>
    </row>
    <row r="30" spans="1:72" ht="17.25" customHeight="1" x14ac:dyDescent="0.3">
      <c r="B30" s="190"/>
      <c r="C30" s="191"/>
      <c r="D30" s="191"/>
      <c r="E30" s="192"/>
      <c r="G30" s="193" t="s">
        <v>70</v>
      </c>
      <c r="H30" s="194">
        <f>SUM(Tableau24072383[Valorisation
en euros])</f>
        <v>0</v>
      </c>
      <c r="I30" s="195">
        <f>H30/H33</f>
        <v>0</v>
      </c>
      <c r="J30" s="196"/>
      <c r="K30" s="197"/>
      <c r="L30" s="197"/>
      <c r="M30" s="197"/>
      <c r="N30" s="198"/>
      <c r="O30" s="199"/>
      <c r="P30" s="200"/>
      <c r="Q30" s="201"/>
      <c r="R30" s="202"/>
      <c r="S30" s="203"/>
      <c r="V30" s="183"/>
      <c r="BF30" s="205"/>
      <c r="BH30" s="188"/>
    </row>
    <row r="31" spans="1:72" ht="17.25" customHeight="1" x14ac:dyDescent="0.3">
      <c r="B31" s="206"/>
      <c r="C31" s="207"/>
      <c r="D31" s="207"/>
      <c r="E31" s="208"/>
      <c r="G31" s="209" t="s">
        <v>71</v>
      </c>
      <c r="H31" s="210">
        <f>'[1]240723'!H31+'[1]240723'!H32-'250723'!T28</f>
        <v>1294617.6204499984</v>
      </c>
      <c r="I31" s="211">
        <f>(H31)/H33</f>
        <v>1</v>
      </c>
      <c r="J31" s="212"/>
      <c r="K31" s="213"/>
      <c r="L31" s="214"/>
      <c r="M31" s="215"/>
      <c r="N31" s="183"/>
      <c r="O31" s="216"/>
      <c r="P31" s="217"/>
      <c r="Q31" s="218"/>
      <c r="R31" s="219"/>
      <c r="S31" s="219"/>
      <c r="T31" s="220"/>
      <c r="U31" s="220"/>
      <c r="V31" s="221"/>
      <c r="W31" s="222"/>
      <c r="X31" s="223"/>
      <c r="AB31" s="223"/>
      <c r="AE31" s="222"/>
      <c r="AF31" s="223"/>
      <c r="AH31" s="19"/>
      <c r="AL31" s="222"/>
      <c r="AM31" s="222"/>
      <c r="AN31" s="222"/>
      <c r="AQ31" s="222"/>
      <c r="AR31" s="222"/>
      <c r="AU31" s="222"/>
      <c r="AZ31" s="222"/>
      <c r="BA31" s="222"/>
      <c r="BB31" s="224"/>
      <c r="BD31" s="183"/>
      <c r="BE31" s="19"/>
      <c r="BF31" s="19"/>
      <c r="BH31" s="19"/>
      <c r="BJ31" s="19"/>
      <c r="BT31" s="19"/>
    </row>
    <row r="32" spans="1:72" ht="17.25" customHeight="1" x14ac:dyDescent="0.3">
      <c r="B32" s="225"/>
      <c r="C32" s="226"/>
      <c r="D32" s="226"/>
      <c r="E32" s="227"/>
      <c r="G32" s="209" t="s">
        <v>82</v>
      </c>
      <c r="H32" s="210">
        <f>-96247.378*'250723'!VLC</f>
        <v>-1009634.99522</v>
      </c>
      <c r="J32" s="228"/>
      <c r="K32" s="213"/>
      <c r="L32" s="214"/>
      <c r="M32" s="215"/>
      <c r="N32" s="229"/>
      <c r="O32" s="230"/>
      <c r="P32" s="231"/>
      <c r="Q32" s="231"/>
      <c r="R32" s="232"/>
      <c r="S32" s="233"/>
      <c r="T32" s="234"/>
      <c r="U32" s="235"/>
      <c r="V32" s="236"/>
      <c r="W32" s="183"/>
      <c r="AB32" s="237"/>
      <c r="AC32" s="238"/>
      <c r="AD32" s="238"/>
      <c r="AE32" s="183"/>
      <c r="AF32" s="237"/>
      <c r="AG32" s="238"/>
      <c r="AH32" s="238"/>
      <c r="AL32" s="183"/>
      <c r="AM32" s="183"/>
      <c r="AN32" s="183"/>
      <c r="AQ32" s="183"/>
      <c r="AR32" s="183"/>
      <c r="AU32" s="183"/>
      <c r="AZ32" s="183"/>
      <c r="BA32" s="183"/>
      <c r="BB32" s="224"/>
      <c r="BD32" s="183"/>
      <c r="BE32" s="19"/>
      <c r="BF32" s="19"/>
      <c r="BH32" s="19"/>
      <c r="BJ32" s="19"/>
      <c r="BT32" s="19"/>
    </row>
    <row r="33" spans="1:72" ht="17.25" customHeight="1" x14ac:dyDescent="0.3">
      <c r="B33" s="206"/>
      <c r="C33" s="207"/>
      <c r="D33" s="207"/>
      <c r="E33" s="239"/>
      <c r="G33" s="193" t="s">
        <v>25</v>
      </c>
      <c r="H33" s="194">
        <f>SUM(H30:H31)</f>
        <v>1294617.6204499984</v>
      </c>
      <c r="I33" s="240"/>
      <c r="J33" s="241"/>
      <c r="K33" s="242"/>
      <c r="L33" s="243"/>
      <c r="M33" s="244"/>
      <c r="N33" s="229"/>
      <c r="O33" s="230"/>
      <c r="P33" s="231"/>
      <c r="Q33" s="231"/>
      <c r="R33" s="245"/>
      <c r="S33" s="246"/>
      <c r="T33" s="247"/>
      <c r="U33" s="248"/>
      <c r="V33" s="249"/>
      <c r="W33" s="250"/>
      <c r="AB33" s="251"/>
      <c r="AC33" s="252"/>
      <c r="AD33" s="253"/>
      <c r="AE33" s="250"/>
      <c r="AF33" s="254"/>
      <c r="AG33" s="252"/>
      <c r="AH33" s="253"/>
      <c r="AL33" s="250"/>
      <c r="AM33" s="250"/>
      <c r="AN33" s="250"/>
      <c r="AQ33" s="250"/>
      <c r="AR33" s="250"/>
      <c r="AU33" s="250"/>
      <c r="AZ33" s="250"/>
      <c r="BA33" s="250"/>
      <c r="BB33" s="224"/>
      <c r="BD33" s="183"/>
      <c r="BE33" s="19"/>
      <c r="BF33" s="19"/>
      <c r="BH33" s="19"/>
      <c r="BJ33" s="19"/>
      <c r="BT33" s="19"/>
    </row>
    <row r="34" spans="1:72" ht="17.25" customHeight="1" x14ac:dyDescent="0.3">
      <c r="B34" s="255"/>
      <c r="C34" s="256"/>
      <c r="D34" s="256"/>
      <c r="E34" s="257"/>
      <c r="G34" s="258"/>
      <c r="H34" s="259"/>
      <c r="I34" s="200"/>
      <c r="J34" s="223"/>
      <c r="K34" s="223"/>
      <c r="L34" s="260"/>
      <c r="M34" s="223"/>
      <c r="N34" s="223"/>
      <c r="O34" s="261"/>
      <c r="P34" s="231"/>
      <c r="Q34" s="231"/>
      <c r="R34" s="245"/>
      <c r="S34" s="246"/>
      <c r="T34" s="247"/>
      <c r="U34" s="248"/>
      <c r="V34" s="249"/>
      <c r="AB34" s="251"/>
      <c r="AC34" s="252"/>
      <c r="AD34" s="253"/>
      <c r="AE34" s="250"/>
      <c r="AF34" s="254"/>
      <c r="AG34" s="252"/>
      <c r="AH34" s="253"/>
      <c r="AL34" s="250"/>
      <c r="BB34" s="224"/>
      <c r="BD34" s="183"/>
      <c r="BE34" s="19"/>
      <c r="BF34" s="19"/>
      <c r="BH34" s="19"/>
      <c r="BJ34" s="19"/>
      <c r="BT34" s="19"/>
    </row>
    <row r="35" spans="1:72" ht="17.25" customHeight="1" x14ac:dyDescent="0.3">
      <c r="B35" s="190"/>
      <c r="C35" s="191"/>
      <c r="D35" s="262"/>
      <c r="E35" s="263"/>
      <c r="G35" s="209" t="s">
        <v>84</v>
      </c>
      <c r="H35" s="264">
        <v>0</v>
      </c>
      <c r="J35" s="265"/>
      <c r="K35" s="266"/>
      <c r="L35" s="267"/>
      <c r="M35" s="267"/>
      <c r="N35" s="268"/>
      <c r="O35" s="269"/>
      <c r="P35" s="231"/>
      <c r="Q35" s="231"/>
      <c r="R35" s="245"/>
      <c r="S35" s="246"/>
      <c r="T35" s="247"/>
      <c r="U35" s="248"/>
      <c r="V35" s="249"/>
      <c r="AB35" s="270"/>
      <c r="AC35" s="252"/>
      <c r="AD35" s="253"/>
      <c r="AE35" s="271"/>
      <c r="AF35" s="254"/>
      <c r="AG35" s="252"/>
      <c r="AH35" s="253"/>
      <c r="BB35" s="224"/>
      <c r="BD35" s="183"/>
      <c r="BE35" s="19"/>
      <c r="BF35" s="19"/>
      <c r="BH35" s="19"/>
      <c r="BJ35" s="272"/>
      <c r="BT35" s="19"/>
    </row>
    <row r="36" spans="1:72" ht="17.25" customHeight="1" x14ac:dyDescent="0.3">
      <c r="B36" s="273"/>
      <c r="D36" s="274"/>
      <c r="E36" s="275"/>
      <c r="G36" s="209" t="s">
        <v>85</v>
      </c>
      <c r="H36" s="276">
        <f>Q28</f>
        <v>0</v>
      </c>
      <c r="I36" s="277"/>
      <c r="J36" s="278"/>
      <c r="K36" s="278"/>
      <c r="L36" s="279"/>
      <c r="M36" s="280"/>
      <c r="N36" s="281"/>
      <c r="O36" s="282"/>
      <c r="P36" s="231"/>
      <c r="Q36" s="231"/>
      <c r="R36" s="245"/>
      <c r="S36" s="246"/>
      <c r="T36" s="247"/>
      <c r="U36" s="248"/>
      <c r="V36" s="249"/>
      <c r="AB36" s="251"/>
      <c r="AC36" s="252"/>
      <c r="AD36" s="253"/>
      <c r="AE36" s="271"/>
      <c r="AF36" s="283"/>
      <c r="AG36" s="284"/>
      <c r="AH36" s="285"/>
      <c r="BB36" s="224"/>
      <c r="BD36" s="183"/>
      <c r="BE36" s="19"/>
      <c r="BF36" s="19"/>
      <c r="BH36" s="19"/>
      <c r="BJ36" s="272"/>
      <c r="BT36" s="19"/>
    </row>
    <row r="37" spans="1:72" ht="17.25" customHeight="1" x14ac:dyDescent="0.3">
      <c r="B37" s="286"/>
      <c r="C37" s="226"/>
      <c r="D37" s="287"/>
      <c r="E37" s="288"/>
      <c r="G37" s="209" t="s">
        <v>86</v>
      </c>
      <c r="H37" s="289">
        <f>'[1]240723'!H37+H33*0.006/365</f>
        <v>26494.727715443016</v>
      </c>
      <c r="I37" s="290"/>
      <c r="J37" s="291"/>
      <c r="K37" s="291"/>
      <c r="L37" s="252"/>
      <c r="M37" s="253"/>
      <c r="N37" s="281"/>
      <c r="O37" s="292"/>
      <c r="P37" s="231"/>
      <c r="Q37" s="231"/>
      <c r="R37" s="245"/>
      <c r="S37" s="246"/>
      <c r="T37" s="247"/>
      <c r="U37" s="248"/>
      <c r="V37" s="249"/>
      <c r="AB37" s="251"/>
      <c r="AC37" s="252"/>
      <c r="AD37" s="253"/>
      <c r="AE37" s="271"/>
      <c r="AF37" s="293"/>
      <c r="AG37" s="271"/>
      <c r="AH37" s="294"/>
      <c r="BB37" s="224"/>
      <c r="BD37" s="295"/>
      <c r="BE37" s="19"/>
      <c r="BF37" s="296"/>
      <c r="BH37" s="19"/>
      <c r="BJ37" s="272"/>
      <c r="BT37" s="19"/>
    </row>
    <row r="38" spans="1:72" ht="17.25" customHeight="1" x14ac:dyDescent="0.3">
      <c r="B38" s="273"/>
      <c r="D38" s="297"/>
      <c r="E38" s="275"/>
      <c r="G38" s="298" t="s">
        <v>87</v>
      </c>
      <c r="H38" s="299">
        <f>H33-SUM(H35:H37)</f>
        <v>1268122.8927345553</v>
      </c>
      <c r="I38" s="188"/>
      <c r="J38" s="291"/>
      <c r="K38" s="291"/>
      <c r="L38" s="252"/>
      <c r="M38" s="253"/>
      <c r="N38" s="281"/>
      <c r="O38" s="300"/>
      <c r="P38" s="231"/>
      <c r="Q38" s="231"/>
      <c r="R38" s="245"/>
      <c r="S38" s="246"/>
      <c r="T38" s="247"/>
      <c r="U38" s="248"/>
      <c r="V38" s="249"/>
      <c r="AB38" s="270"/>
      <c r="AC38" s="252"/>
      <c r="AD38" s="253"/>
      <c r="AE38" s="271"/>
      <c r="AF38" s="293"/>
      <c r="AG38" s="271"/>
      <c r="AH38" s="294"/>
      <c r="AL38" s="301"/>
      <c r="BB38" s="224"/>
      <c r="BD38" s="183"/>
      <c r="BE38" s="19"/>
      <c r="BF38" s="19"/>
      <c r="BH38" s="19"/>
      <c r="BJ38" s="272"/>
      <c r="BT38" s="19"/>
    </row>
    <row r="39" spans="1:72" ht="17.25" customHeight="1" x14ac:dyDescent="0.3">
      <c r="B39" s="302"/>
      <c r="C39" s="256"/>
      <c r="D39" s="303"/>
      <c r="E39" s="304"/>
      <c r="G39" s="305"/>
      <c r="H39" s="305"/>
      <c r="I39" s="306"/>
      <c r="J39" s="291"/>
      <c r="K39" s="291"/>
      <c r="L39" s="252"/>
      <c r="M39" s="253"/>
      <c r="N39" s="281"/>
      <c r="O39" s="216"/>
      <c r="P39" s="231"/>
      <c r="Q39" s="231"/>
      <c r="R39" s="245"/>
      <c r="S39" s="246"/>
      <c r="T39" s="247"/>
      <c r="U39" s="307"/>
      <c r="V39" s="249"/>
      <c r="AB39" s="308"/>
      <c r="AC39" s="309"/>
      <c r="AD39" s="285"/>
      <c r="AF39" s="183"/>
      <c r="AG39" s="310"/>
      <c r="AH39" s="20"/>
      <c r="BB39" s="224"/>
      <c r="BC39" s="310"/>
      <c r="BD39" s="311"/>
      <c r="BE39" s="19"/>
      <c r="BF39" s="310"/>
      <c r="BH39" s="310"/>
      <c r="BJ39" s="272"/>
      <c r="BT39" s="19"/>
    </row>
    <row r="40" spans="1:72" ht="17.25" customHeight="1" x14ac:dyDescent="0.3">
      <c r="B40" s="190"/>
      <c r="C40" s="191"/>
      <c r="D40" s="191"/>
      <c r="E40" s="312"/>
      <c r="G40" s="313" t="s">
        <v>88</v>
      </c>
      <c r="H40" s="314">
        <v>45132</v>
      </c>
      <c r="I40" s="315"/>
      <c r="J40" s="291"/>
      <c r="K40" s="291"/>
      <c r="L40" s="252"/>
      <c r="M40" s="253"/>
      <c r="N40" s="281"/>
      <c r="O40" s="216"/>
      <c r="P40" s="231"/>
      <c r="Q40" s="231"/>
      <c r="R40" s="245"/>
      <c r="S40" s="246"/>
      <c r="T40" s="247"/>
      <c r="U40" s="307"/>
      <c r="V40" s="249"/>
      <c r="AB40" s="308"/>
      <c r="AC40" s="309"/>
      <c r="AD40" s="285"/>
      <c r="AF40" s="183"/>
      <c r="AG40" s="310"/>
      <c r="AH40" s="20"/>
      <c r="BB40" s="224"/>
      <c r="BC40" s="310"/>
      <c r="BD40" s="311"/>
      <c r="BE40" s="19"/>
      <c r="BF40" s="310"/>
      <c r="BH40" s="310"/>
      <c r="BJ40" s="272"/>
      <c r="BT40" s="19"/>
    </row>
    <row r="41" spans="1:72" ht="17.25" customHeight="1" x14ac:dyDescent="0.3">
      <c r="B41" s="316"/>
      <c r="D41" s="317"/>
      <c r="E41" s="318"/>
      <c r="G41" s="209" t="s">
        <v>89</v>
      </c>
      <c r="H41" s="319">
        <f>323350+0+0+51000+0+38892+17422.2+0+0+0+22323+0+0+2500+2950+47340+0+-1000+2125.398+-4000+0+0+0+0+0+2772.629+3550+4000+6700+1050+3460+1000+2000+4550+2300+28000+0+7134.372+13135.321+7245.302+860+0+10350+-118.253+19800+7100+500+632.328+6885+0+0+0+0+6765+200+0+17345.504+9880+6983.297+0+700+2079.002+9240+24884+15405+0+16389.887+7130+5695+550+0+10469.826+24335.004+3560+0+11003.009+24963.586+19808.942+10639.851+11966.19+0+15705.005+15800.85+8700+0+40+10914.457+35750+11295.817+-13250+5500+17449.59+4147.368+14907.141+3000+0+6800+12452.771+1000+20337.3+7300+12487.935+3200+7741.687+136723.284+1872.386+0+12229.702+2975.247+0+30372.989+21977+3700+0-23.598+5000+3766.928+3800+600+10060.194+8270.364+12799+3294.995+600+0+4950+19611+0+0+19374.479+11388.72+33269.359+7804.368+31171.179+44950+15543.688+8000+10782.812+3082+0+5296.425+10672.443+25890.668+2245.807+15940.19+1710.84+1250+5901.573+13512.676+4921.26+-391.967+2400+32344.896+1579.964+35215.097+1998.097+14634.783+14499.902+6418.694+974.658+2217.314+1000+3034.757+12531.4+24177.949+6192.68+2000+-3500+5842.259+34015+12009.412+12820.347+17711.428+800+-1500+16725.855+1300+72248.42+0+4236.928+0+101460.982+928.64+4000+-1200+28080.689+3650+35396.101+6327.9+52685.178+2000+33201.902+16398.405+4161.904+9029.258+11736.836-7150.499+33498.425+3603.653+14673.669+12829.924+-1956.481+-3002.838+5554.293+22544.191+37077.614+2268.182+-763.706+-386.793+6.02+939.849+37000+2976.058+4759.58+-1029.281+0+-200+1685.393+28181.928+3837.887+3000+-1000+2581.766+2000+5581.395+1185.222+1768.04+28765.775+11307.525+16934.49+150+-5886.691+8659.648+10601.222+15338.831+6035.283+1550+5806.56+10978.774+2115.642+5318.704+27675.276+26561.647+14498.071+4659.181+29346.637+1475.495+6900+11873.609+2709.918+1000+9153.201+2000+1450+23292.612+14865.479+-465.441+3167.557+0+1735+1000+4068.266+15824.597+-2447.956+3729.962+20634.831+63719.779+3000+77.485+11961.682+8771.255+1747.868+3441.979+6729.953+23800.738+9170.509+924.214+26751.528+6194.93+-138.121+26546.826+4032.828+20983.515+-3561.304+818.277+13837.295+17174.189+6273.717+7144.313+33841.458+2543.647+0+186900.278+4000+19144.919+16771.404+41599.134+15248.247+26734.731+2098.539+7083.27+25491.773+5671.196+5814.82+5122.76+64083.332+0+2546.743+8781.25+1600+8473.92+64811.926+170.569+-407.539+3737.064+38114.443+10471.355+2504.857+4035.123+56794.159+91384.617+10610.3+9153.742-7494.187+13648.771+1818.18+0+39774.489+-4752.308+44372.05+19395.462+-22.686+1362.397+0+105182.441+2457.825+708.827+10418.562+--13651.226-27302.452+0+3117.884+41228.428+4351.916+543.064+445.789+58386.23+6979.076+16047.098+2717.392+2495.462+10000+1800.406+42988.636+8500+4333.189+94.89+20356.034+78953.731+77592.885+11752.219+-653.388+3361.6+-1383.757+2961.214+492.849+0+45.372+-6329.29+0+0+-3519.774+-58.664+-1410.081+0+0+-180.668+-99.547+81.9+72269.8+903.342+-2963.95+13718.855+12647.658+18552.064+-47170.091+-4328.29+26004.567+2185.04+0+-371.04+-4518.034+-86.641+25981.046+36743.687+12703.068+-2030+23334.837+41820.719+29808.664+85+136434.512+0+5380.63+1724.55+2709.762+104768.882+39475.054+8932.317+40372.017+7058.688+-671.631+6744.871+4714.464+452.898+-470.989+6930.526+7909.121+34328.211+-839.91+-5441.94+29337.928+4449.906+783.078+ 4141.495+23924.288+45651.391+-469.784+632.366+13667.296+35666.909+2408.236+1715.992+28948.761+6806.764+-26779.661+8042.895+2459.894+58208.673+13721.798+29649.021+2690.114+4000+2138.111+9683.337+50041.457+3156.54+37994.758+67231.165+0+3073.884+-11637.484+13609.384+352207.101+53083.232+4047.674+8276.142+31344.794+62.355+30696.625+41318.384+22903.179+66360.27+14465.973+20352.947+120271.786+2365.964+7452.551+-652.951+-1276.219+9214.088+12698.837+31128.324+1778.374+28812.47+2338.556+72995.335+9950.065+98574.839+591.959+2126.905+15592.128+5329.72+57851.551+4927.537+-26992.753+-95.715+-22469.154+2293.577+-7252.436+18315.017+1489.945+347.654+-392.842+270.022+-2624.115+4530.344+8191.649+15110.461+4193.492+-887+5464.936+93738.695+40466.33+28381.522+-2794.377+24417.512+-2091.676+13043.52+-4587+2921.151+-1158.906+962+26782+0+5032.74+5668.763+-81.535+0+4832.186+0+1094+7015.962+540.651+9890+-85.58+-15457.843+727.643+0+0+18276.04+23284.535+9633+46695.623+-538.844+-146+-1567.464+2105.99+14098.387+-3220.408+23718.772+4400.339+8246.008+8320.734+-2399.612+-4939.661+466.597+2000+4947.271+-13675.688+10659.314+-350+4000+0+13527.68+-957.349+18066.058+17963.443+-1006.957+4310.767+-113024.83+-9373.458+2263.504+13625.037+-4431.22+19655.73+-3870.831+591.623+27537.262+5329.737+-2997.534+-1666+9184.805+34464.09+-4718.806+2000+26348.744+2000+-350.423+10624.967+0+-3601.91+-80209+0+-1439.342+-3839.994+158+-15000+2621.917+-16001.387+-172.744+28775.556+-29937.198+-600+-1753.428+7237.088+-4619.56+-14774.269+-3000+-2221.264+-7747.679+-373.184+-1266.292+-1160.852+23193.253+5087.125+1047.279+10911+15126.348+12936.139+-15011.721+-8733.54+3464.652+4826+-17003.674+-13710.014+30938.21+2296+-2038.35+-1300+0+-7621.374+-7249.164+-300+2392+-229.719+1945.808+0+-85824.809+692.382+-52162.857+17500+-9032.504+-807.886+0+5000+-564.333+-1000+2147.462+2181.328+350.774+-5781.78+-6814.578+-279.284+0+-4673.112+17678.64+-31471.461+-500+-533.058+1786.201+-17499.045+1000+-217.495+0+-992.336+-10696+0+5381.416+2832.551+-21029.39+-12458.426+-14520.701+-5863.979+-34069.068+1168.805+-26436.678+-10294.319+545+10000+-26112+6670.031+0+1178.691+0+-6253.329+53.802+-26618.595+-10437.875+0+-30000+-10789.116+980+2000+3396.397+-6259.474+-7063.385+-713.674+10175+12167.899+0+-3200+3400+3514.092+-16893.203+-10894.584+-4539.766+-5080+-11156.442+2000+6374.609+-344+1000+1461.764+-88955.374+989.836+-34475.727+-27159.592+0+2000+9366.034+9365+-16151.313+38701.657+6978.213+1852.856+-13462.649+-27947.56+-2.443+0+-20625.61+-421.58+1000+4996.088+454+-2431.906+-4815.449+74018.018+-7506.729+-1995.539+-29594+1471.617+-17150.625+-788.184+18613.207+-4500+11425.752+0+-5600+-191.938+9900.239+-95.877+10668.426+2804.192+-287.081+-5418+-500+11372.598+0+-3090.114+-3000+-1285.421+-8949.389+7929.435+-9315.769+-67723.97+2810.697+-3842.614+5558.519+10001.578+-3166+-3024.426+-323.809+-20660.598+9522.5+5186.393+16460.347+3145.945+-6556.599+8851.6+-132.448+12530.752+0+29483.324+0+-8088.943+-2137.119+-5228.029+1511.719+-7947.659+-9345.329+-13030+-9077.853+-1108+-800+-8009.631+9023+-12260.177+15193.03+8056.886+460.628+5565.076+-23489.835+-627.412+-2059.41+-659+-7323.683+224.9+-90620.001+11833.719+1062.188+-253.081+0+-913.106+0+-7186.045+-514.506+0+3000.116+-6094.837+-1181.024+-96.805+-1241.779+-22416.465+0+0+0+-3547.539+3716.839+-3306.138+11221.772+0+443.64+21755.9+8168.292-1843.42-8840.524+-625.755+4759.689+25086.57+9616.123+8407+0-2000-1500-1382.898-295.55+2384.69-1852.911+332.602+175.866+3112.575+1199.616+3282.618+0-12451.789+480+96.056-31+200+2958.092+0+2537.599+144.3-6812.883+675.91+2417.12+20876+1597-191.387</f>
        <v>6443857.610999993</v>
      </c>
      <c r="I41" s="315"/>
      <c r="J41" s="320"/>
      <c r="K41" s="320"/>
      <c r="L41" s="321"/>
      <c r="M41" s="322"/>
      <c r="N41" s="281"/>
      <c r="O41" s="216"/>
      <c r="P41" s="231"/>
      <c r="Q41" s="231"/>
      <c r="R41" s="245"/>
      <c r="S41" s="246"/>
      <c r="T41" s="247"/>
      <c r="U41" s="307"/>
      <c r="V41" s="249"/>
      <c r="AF41" s="183"/>
      <c r="AG41" s="310"/>
      <c r="AH41" s="20"/>
      <c r="BB41" s="224"/>
      <c r="BC41" s="310"/>
      <c r="BD41" s="311"/>
      <c r="BE41" s="19"/>
      <c r="BF41" s="310"/>
      <c r="BH41" s="310"/>
      <c r="BJ41" s="272"/>
      <c r="BT41" s="19"/>
    </row>
    <row r="42" spans="1:72" ht="17.25" customHeight="1" x14ac:dyDescent="0.3">
      <c r="B42" s="286"/>
      <c r="C42" s="226"/>
      <c r="D42" s="323"/>
      <c r="E42" s="324"/>
      <c r="G42" s="209" t="s">
        <v>90</v>
      </c>
      <c r="H42" s="325">
        <v>10.49</v>
      </c>
      <c r="I42" s="315"/>
      <c r="J42" s="326"/>
      <c r="K42" s="326"/>
      <c r="L42" s="321"/>
      <c r="M42" s="322"/>
      <c r="N42" s="281"/>
      <c r="O42" s="216"/>
      <c r="P42" s="231"/>
      <c r="Q42" s="231"/>
      <c r="R42" s="245"/>
      <c r="S42" s="246"/>
      <c r="T42" s="247"/>
      <c r="U42" s="307"/>
      <c r="V42" s="249"/>
      <c r="AB42" s="223"/>
      <c r="AF42" s="223"/>
      <c r="AH42" s="19"/>
      <c r="BB42" s="224"/>
      <c r="BC42" s="310"/>
      <c r="BD42" s="311"/>
      <c r="BE42" s="19"/>
      <c r="BF42" s="310"/>
      <c r="BH42" s="310"/>
      <c r="BJ42" s="272"/>
      <c r="BT42" s="19"/>
    </row>
    <row r="43" spans="1:72" ht="17.25" customHeight="1" x14ac:dyDescent="0.3">
      <c r="B43" s="273"/>
      <c r="D43" s="327"/>
      <c r="E43" s="328"/>
      <c r="G43" s="329" t="s">
        <v>91</v>
      </c>
      <c r="H43" s="330">
        <f>VLC/'[1]240723'!VLC-1</f>
        <v>9.5419847328237495E-4</v>
      </c>
      <c r="I43" s="331"/>
      <c r="J43" s="291"/>
      <c r="K43" s="291"/>
      <c r="L43" s="332"/>
      <c r="M43" s="333"/>
      <c r="N43" s="281"/>
      <c r="O43" s="216"/>
      <c r="P43" s="231"/>
      <c r="Q43" s="231"/>
      <c r="R43" s="245"/>
      <c r="S43" s="246"/>
      <c r="T43" s="247"/>
      <c r="U43" s="307"/>
      <c r="V43" s="249"/>
      <c r="AB43" s="237"/>
      <c r="AC43" s="238"/>
      <c r="AD43" s="238"/>
      <c r="AF43" s="237"/>
      <c r="AG43" s="238"/>
      <c r="AH43" s="238"/>
      <c r="BB43" s="224"/>
      <c r="BC43" s="310"/>
      <c r="BD43" s="311"/>
      <c r="BE43" s="19"/>
      <c r="BF43" s="310"/>
      <c r="BH43" s="310"/>
      <c r="BJ43" s="272"/>
      <c r="BT43" s="19"/>
    </row>
    <row r="44" spans="1:72" ht="17.25" customHeight="1" x14ac:dyDescent="0.3">
      <c r="B44" s="286"/>
      <c r="C44" s="226"/>
      <c r="D44" s="334"/>
      <c r="E44" s="335"/>
      <c r="I44" s="336"/>
      <c r="J44" s="291"/>
      <c r="K44" s="291"/>
      <c r="L44" s="332"/>
      <c r="M44" s="333"/>
      <c r="N44" s="281"/>
      <c r="O44" s="292"/>
      <c r="P44" s="231"/>
      <c r="Q44" s="231"/>
      <c r="R44" s="245"/>
      <c r="S44" s="246"/>
      <c r="T44" s="247"/>
      <c r="U44" s="307"/>
      <c r="V44" s="249"/>
      <c r="AB44" s="251"/>
      <c r="AC44" s="252"/>
      <c r="AD44" s="253"/>
      <c r="AE44" s="271"/>
      <c r="AF44" s="254"/>
      <c r="AG44" s="252"/>
      <c r="AH44" s="253"/>
      <c r="BB44" s="224"/>
      <c r="BC44" s="310"/>
      <c r="BD44" s="311"/>
      <c r="BE44" s="19"/>
      <c r="BF44" s="310"/>
      <c r="BH44" s="310"/>
      <c r="BJ44" s="272"/>
      <c r="BT44" s="19"/>
    </row>
    <row r="45" spans="1:72" ht="17.25" customHeight="1" x14ac:dyDescent="0.3">
      <c r="B45" s="337"/>
      <c r="D45" s="317"/>
      <c r="E45" s="318"/>
      <c r="G45" s="338" t="s">
        <v>92</v>
      </c>
      <c r="H45" s="339">
        <f t="array" ref="H45">_xll.FDS("EURUSD","FG_PRICE("&amp;$H$40&amp;","&amp;$H$40&amp;")")</f>
        <v>1.1044499999999999</v>
      </c>
      <c r="I45" s="340"/>
      <c r="J45" s="291"/>
      <c r="K45" s="291"/>
      <c r="L45" s="332"/>
      <c r="M45" s="333"/>
      <c r="N45" s="183"/>
      <c r="O45" s="216"/>
      <c r="P45" s="231"/>
      <c r="Q45" s="231"/>
      <c r="R45" s="245"/>
      <c r="S45" s="246"/>
      <c r="T45" s="247"/>
      <c r="U45" s="307"/>
      <c r="V45" s="249"/>
      <c r="AB45" s="251"/>
      <c r="AC45" s="252"/>
      <c r="AD45" s="253"/>
      <c r="AE45" s="271"/>
      <c r="AF45" s="254"/>
      <c r="AG45" s="252"/>
      <c r="AH45" s="253"/>
      <c r="BC45" s="224"/>
      <c r="BD45" s="188"/>
      <c r="BE45" s="19"/>
      <c r="BF45" s="310"/>
      <c r="BH45" s="311"/>
      <c r="BI45" s="311"/>
      <c r="BJ45" s="310"/>
      <c r="BT45" s="19"/>
    </row>
    <row r="46" spans="1:72" ht="17.25" customHeight="1" x14ac:dyDescent="0.3">
      <c r="B46" s="341"/>
      <c r="C46" s="226"/>
      <c r="D46" s="342"/>
      <c r="E46" s="288"/>
      <c r="G46" s="209" t="s">
        <v>93</v>
      </c>
      <c r="H46" s="343">
        <f>-96247.378</f>
        <v>-96247.377999999997</v>
      </c>
      <c r="I46" s="310"/>
      <c r="J46" s="344"/>
      <c r="K46" s="344"/>
      <c r="L46" s="321"/>
      <c r="M46" s="322"/>
      <c r="N46" s="345"/>
      <c r="O46" s="346"/>
      <c r="P46" s="231"/>
      <c r="Q46" s="231"/>
      <c r="R46" s="347"/>
      <c r="S46" s="348"/>
      <c r="T46" s="247"/>
      <c r="U46" s="349"/>
      <c r="V46" s="249"/>
      <c r="AB46" s="251"/>
      <c r="AC46" s="252"/>
      <c r="AD46" s="253"/>
      <c r="AE46" s="271"/>
      <c r="AF46" s="254"/>
      <c r="AG46" s="252"/>
      <c r="AH46" s="253"/>
      <c r="BC46" s="224"/>
      <c r="BD46" s="188"/>
      <c r="BE46" s="19"/>
      <c r="BF46" s="310"/>
      <c r="BH46" s="311"/>
      <c r="BI46" s="311"/>
      <c r="BJ46" s="310"/>
      <c r="BT46" s="19"/>
    </row>
    <row r="47" spans="1:72" ht="17.25" customHeight="1" x14ac:dyDescent="0.3">
      <c r="B47" s="350"/>
      <c r="C47" s="351"/>
      <c r="D47" s="352"/>
      <c r="E47" s="353"/>
      <c r="G47" s="209" t="s">
        <v>94</v>
      </c>
      <c r="H47" s="354">
        <f>BF28</f>
        <v>0</v>
      </c>
      <c r="I47" s="355"/>
      <c r="J47" s="326"/>
      <c r="K47" s="326"/>
      <c r="L47" s="321"/>
      <c r="M47" s="322"/>
      <c r="N47" s="222"/>
      <c r="O47" s="300"/>
      <c r="P47" s="231"/>
      <c r="Q47" s="231"/>
      <c r="R47" s="356"/>
      <c r="S47" s="357"/>
      <c r="T47" s="234"/>
      <c r="U47" s="235"/>
      <c r="V47" s="236"/>
      <c r="AB47" s="358"/>
      <c r="AC47" s="252"/>
      <c r="AD47" s="253"/>
      <c r="AE47" s="271"/>
      <c r="AF47" s="283"/>
      <c r="AG47" s="284"/>
      <c r="AH47" s="285"/>
      <c r="BC47" s="224"/>
      <c r="BD47" s="188"/>
      <c r="BE47" s="19"/>
      <c r="BF47" s="310"/>
      <c r="BH47" s="311"/>
      <c r="BI47" s="311"/>
      <c r="BJ47" s="310"/>
      <c r="BT47" s="19"/>
    </row>
    <row r="48" spans="1:72" ht="17.25" customHeight="1" x14ac:dyDescent="0.3">
      <c r="A48" s="359"/>
      <c r="B48" s="360"/>
      <c r="C48" s="361"/>
      <c r="D48" s="362"/>
      <c r="E48" s="362"/>
      <c r="I48" s="310"/>
      <c r="J48" s="291"/>
      <c r="K48" s="291"/>
      <c r="L48" s="252"/>
      <c r="M48" s="253"/>
      <c r="N48" s="363"/>
      <c r="O48" s="364"/>
      <c r="P48" s="231"/>
      <c r="Q48" s="231"/>
      <c r="R48" s="365"/>
      <c r="S48" s="366"/>
      <c r="T48" s="247"/>
      <c r="U48" s="248"/>
      <c r="V48" s="249"/>
      <c r="AB48" s="308"/>
      <c r="AC48" s="309"/>
      <c r="AD48" s="285"/>
      <c r="AE48" s="271"/>
      <c r="AF48" s="293"/>
      <c r="AG48" s="311"/>
      <c r="AH48" s="294"/>
      <c r="BC48" s="224"/>
      <c r="BD48" s="188"/>
      <c r="BE48" s="19"/>
      <c r="BF48" s="310"/>
      <c r="BH48" s="311"/>
      <c r="BI48" s="311"/>
      <c r="BJ48" s="310"/>
      <c r="BT48" s="19"/>
    </row>
    <row r="49" spans="1:72" ht="17.25" customHeight="1" x14ac:dyDescent="0.3">
      <c r="A49" s="367"/>
      <c r="B49" s="368"/>
      <c r="C49" s="369"/>
      <c r="D49" s="370"/>
      <c r="E49" s="370"/>
      <c r="G49" s="371" t="s">
        <v>95</v>
      </c>
      <c r="H49" s="372">
        <f>WORKDAY.INTL(H40,-1)</f>
        <v>45131</v>
      </c>
      <c r="I49" s="222"/>
      <c r="J49" s="291"/>
      <c r="K49" s="291"/>
      <c r="L49" s="252"/>
      <c r="M49" s="253"/>
      <c r="N49" s="373"/>
      <c r="O49" s="374"/>
      <c r="P49" s="231"/>
      <c r="Q49" s="231"/>
      <c r="R49" s="365"/>
      <c r="S49" s="366"/>
      <c r="T49" s="247"/>
      <c r="U49" s="248"/>
      <c r="V49" s="249"/>
      <c r="X49" s="223"/>
      <c r="Z49" s="19"/>
      <c r="AD49" s="183"/>
      <c r="AE49" s="311"/>
      <c r="AF49" s="20"/>
      <c r="BC49" s="224"/>
      <c r="BD49" s="188"/>
      <c r="BE49" s="19"/>
      <c r="BF49" s="310"/>
      <c r="BH49" s="311"/>
      <c r="BI49" s="311"/>
      <c r="BJ49" s="310"/>
      <c r="BT49" s="19"/>
    </row>
    <row r="50" spans="1:72" ht="17.25" customHeight="1" x14ac:dyDescent="0.3">
      <c r="A50" s="375"/>
      <c r="B50" s="286"/>
      <c r="C50" s="376"/>
      <c r="D50" s="376"/>
      <c r="E50" s="377"/>
      <c r="I50" s="378"/>
      <c r="J50" s="320"/>
      <c r="K50" s="320"/>
      <c r="L50" s="321"/>
      <c r="M50" s="322"/>
      <c r="N50" s="183"/>
      <c r="O50" s="216"/>
      <c r="P50" s="231"/>
      <c r="Q50" s="231"/>
      <c r="R50" s="379"/>
      <c r="S50" s="380"/>
      <c r="T50" s="381"/>
      <c r="U50" s="382"/>
      <c r="V50" s="383"/>
      <c r="AE50" s="188"/>
      <c r="BF50" s="19"/>
      <c r="BH50" s="224"/>
      <c r="BI50" s="183"/>
      <c r="BJ50" s="19"/>
    </row>
    <row r="51" spans="1:72" ht="17.25" customHeight="1" x14ac:dyDescent="0.3">
      <c r="A51" s="384"/>
      <c r="B51" s="273"/>
      <c r="C51" s="385"/>
      <c r="D51" s="385"/>
      <c r="E51" s="386"/>
      <c r="F51" s="387"/>
      <c r="G51" s="188"/>
      <c r="H51" s="388"/>
      <c r="I51" s="378"/>
      <c r="J51" s="389"/>
      <c r="K51" s="389"/>
      <c r="L51" s="309"/>
      <c r="M51" s="285"/>
      <c r="N51" s="183"/>
      <c r="O51" s="216"/>
      <c r="P51" s="390"/>
      <c r="Q51" s="391"/>
      <c r="R51" s="392"/>
      <c r="S51" s="393"/>
      <c r="T51" s="234"/>
      <c r="U51" s="235"/>
      <c r="V51" s="236"/>
      <c r="AE51" s="188"/>
      <c r="BF51" s="19"/>
      <c r="BH51" s="224"/>
      <c r="BI51" s="183"/>
      <c r="BJ51" s="19"/>
    </row>
    <row r="52" spans="1:72" ht="17.25" customHeight="1" x14ac:dyDescent="0.3">
      <c r="A52" s="375"/>
      <c r="B52" s="286"/>
      <c r="C52" s="376"/>
      <c r="D52" s="377"/>
      <c r="E52" s="377"/>
      <c r="G52" s="201"/>
      <c r="H52" s="394" t="s">
        <v>96</v>
      </c>
      <c r="I52" s="378"/>
      <c r="N52" s="395"/>
      <c r="O52" s="396"/>
      <c r="P52" s="397"/>
      <c r="Q52" s="398"/>
      <c r="R52" s="399"/>
      <c r="S52" s="400"/>
      <c r="T52" s="247"/>
      <c r="U52" s="248"/>
      <c r="V52" s="249"/>
      <c r="AE52" s="188"/>
      <c r="BF52" s="19"/>
      <c r="BH52" s="224"/>
      <c r="BI52" s="183"/>
      <c r="BJ52" s="19"/>
    </row>
    <row r="53" spans="1:72" ht="17.25" customHeight="1" x14ac:dyDescent="0.3">
      <c r="A53" s="384"/>
      <c r="B53" s="273"/>
      <c r="C53" s="385"/>
      <c r="D53" s="385"/>
      <c r="E53" s="386"/>
      <c r="G53" s="201"/>
      <c r="H53" s="394"/>
      <c r="I53" s="378"/>
      <c r="J53" s="401"/>
      <c r="K53" s="402"/>
      <c r="L53" s="402"/>
      <c r="M53" s="403"/>
      <c r="N53" s="183"/>
      <c r="O53" s="216"/>
      <c r="P53" s="397"/>
      <c r="Q53" s="398"/>
      <c r="R53" s="399"/>
      <c r="S53" s="400"/>
      <c r="T53" s="247"/>
      <c r="U53" s="248"/>
      <c r="V53" s="249"/>
      <c r="AE53" s="188"/>
      <c r="BF53" s="19"/>
      <c r="BH53" s="224"/>
      <c r="BI53" s="183"/>
      <c r="BJ53" s="19"/>
    </row>
    <row r="54" spans="1:72" ht="17.25" customHeight="1" x14ac:dyDescent="0.3">
      <c r="A54" s="375"/>
      <c r="B54" s="286"/>
      <c r="C54" s="376"/>
      <c r="D54" s="376"/>
      <c r="E54" s="377"/>
      <c r="G54" s="201"/>
      <c r="H54" s="394"/>
      <c r="I54" s="404"/>
      <c r="J54" s="273"/>
      <c r="L54" s="405"/>
      <c r="M54" s="406"/>
      <c r="N54" s="183"/>
      <c r="O54" s="216"/>
      <c r="P54" s="397"/>
      <c r="Q54" s="398"/>
      <c r="R54" s="399"/>
      <c r="S54" s="400"/>
      <c r="T54" s="247"/>
      <c r="U54" s="248"/>
      <c r="V54" s="249"/>
      <c r="AE54" s="188"/>
      <c r="BF54" s="19"/>
      <c r="BH54" s="224"/>
      <c r="BI54" s="183"/>
      <c r="BJ54" s="19"/>
    </row>
    <row r="55" spans="1:72" ht="17.25" customHeight="1" x14ac:dyDescent="0.3">
      <c r="A55" s="407"/>
      <c r="B55" s="273"/>
      <c r="C55" s="408"/>
      <c r="D55" s="408"/>
      <c r="E55" s="409"/>
      <c r="F55" s="410"/>
      <c r="G55" s="201"/>
      <c r="H55" s="394">
        <f>675.91</f>
        <v>675.91</v>
      </c>
      <c r="I55" s="410"/>
      <c r="J55" s="286"/>
      <c r="K55" s="226"/>
      <c r="L55" s="411"/>
      <c r="M55" s="412"/>
      <c r="N55" s="183"/>
      <c r="O55" s="216"/>
      <c r="P55" s="397"/>
      <c r="Q55" s="398"/>
      <c r="R55" s="245"/>
      <c r="S55" s="246"/>
      <c r="T55" s="247"/>
      <c r="U55" s="248"/>
      <c r="V55" s="249"/>
      <c r="W55" s="183"/>
      <c r="Y55" s="183"/>
      <c r="Z55" s="212"/>
      <c r="AE55" s="188"/>
      <c r="BF55" s="19"/>
      <c r="BH55" s="224"/>
      <c r="BI55" s="183"/>
      <c r="BJ55" s="19"/>
    </row>
    <row r="56" spans="1:72" ht="17.25" customHeight="1" x14ac:dyDescent="0.3">
      <c r="B56" s="302"/>
      <c r="C56" s="413"/>
      <c r="D56" s="413"/>
      <c r="E56" s="414"/>
      <c r="H56" s="394"/>
      <c r="I56" s="404"/>
      <c r="J56" s="350"/>
      <c r="K56" s="351"/>
      <c r="L56" s="415"/>
      <c r="M56" s="416"/>
      <c r="N56" s="183"/>
      <c r="O56" s="216"/>
      <c r="P56" s="417"/>
      <c r="Q56" s="418"/>
      <c r="R56" s="347"/>
      <c r="S56" s="348"/>
      <c r="T56" s="419"/>
      <c r="U56" s="420"/>
      <c r="V56" s="383"/>
      <c r="W56" s="183"/>
      <c r="Y56" s="183"/>
      <c r="Z56" s="212"/>
      <c r="AE56" s="188"/>
      <c r="BF56" s="19"/>
      <c r="BH56" s="224"/>
      <c r="BI56" s="183"/>
      <c r="BJ56" s="19"/>
    </row>
    <row r="57" spans="1:72" ht="17.25" customHeight="1" x14ac:dyDescent="0.3">
      <c r="H57" s="394"/>
      <c r="I57" s="404"/>
      <c r="W57" s="183"/>
      <c r="Y57" s="183"/>
      <c r="Z57" s="212"/>
      <c r="AE57" s="188"/>
      <c r="BF57" s="19"/>
      <c r="BH57" s="183"/>
      <c r="BI57" s="183"/>
      <c r="BJ57" s="19"/>
    </row>
    <row r="58" spans="1:72" x14ac:dyDescent="0.3">
      <c r="C58" s="204"/>
      <c r="D58" s="204"/>
      <c r="E58" s="204"/>
      <c r="I58" s="404"/>
      <c r="W58" s="183"/>
      <c r="Y58" s="183"/>
      <c r="Z58" s="212"/>
      <c r="AE58" s="188"/>
      <c r="BF58" s="19"/>
      <c r="BH58" s="183"/>
      <c r="BI58" s="183"/>
      <c r="BJ58" s="19"/>
    </row>
    <row r="59" spans="1:72" x14ac:dyDescent="0.3">
      <c r="I59" s="404"/>
      <c r="O59" s="216"/>
      <c r="P59" s="421"/>
      <c r="V59" s="183"/>
      <c r="BH59" s="188"/>
    </row>
    <row r="60" spans="1:72" x14ac:dyDescent="0.3">
      <c r="I60" s="404"/>
      <c r="J60" s="345"/>
      <c r="K60" s="183"/>
      <c r="L60" s="183"/>
      <c r="O60" s="216"/>
      <c r="P60" s="200"/>
      <c r="V60" s="183"/>
      <c r="X60" s="223"/>
      <c r="BH60" s="188"/>
    </row>
    <row r="61" spans="1:72" ht="18" x14ac:dyDescent="0.3">
      <c r="J61" s="183"/>
      <c r="K61" s="422"/>
      <c r="L61" s="423"/>
      <c r="P61" s="200"/>
      <c r="BH61" s="188"/>
    </row>
    <row r="62" spans="1:72" x14ac:dyDescent="0.3">
      <c r="J62" s="183"/>
      <c r="K62" s="212"/>
      <c r="L62" s="212"/>
      <c r="P62" s="200"/>
    </row>
    <row r="63" spans="1:72" x14ac:dyDescent="0.3">
      <c r="J63" s="183"/>
      <c r="K63" s="424"/>
      <c r="L63" s="424"/>
      <c r="P63" s="200"/>
    </row>
    <row r="64" spans="1:72" x14ac:dyDescent="0.3">
      <c r="J64" s="183"/>
      <c r="K64" s="183"/>
      <c r="L64" s="183"/>
      <c r="P64" s="200"/>
    </row>
    <row r="65" spans="10:16" x14ac:dyDescent="0.3">
      <c r="J65" s="183"/>
      <c r="K65" s="183"/>
      <c r="L65" s="183"/>
      <c r="P65" s="200"/>
    </row>
    <row r="66" spans="10:16" x14ac:dyDescent="0.3">
      <c r="J66" s="212"/>
      <c r="K66" s="212"/>
      <c r="L66" s="183"/>
    </row>
    <row r="67" spans="10:16" x14ac:dyDescent="0.3">
      <c r="J67" s="183"/>
    </row>
    <row r="68" spans="10:16" x14ac:dyDescent="0.3">
      <c r="J68" s="183"/>
    </row>
    <row r="69" spans="10:16" x14ac:dyDescent="0.3">
      <c r="J69" s="212"/>
    </row>
    <row r="70" spans="10:16" x14ac:dyDescent="0.3">
      <c r="J70" s="183"/>
    </row>
    <row r="79" spans="10:16" x14ac:dyDescent="0.3">
      <c r="N79" s="425"/>
      <c r="O79" s="426"/>
      <c r="P79" s="427"/>
    </row>
  </sheetData>
  <mergeCells count="7">
    <mergeCell ref="N79:P79"/>
    <mergeCell ref="A1:I1"/>
    <mergeCell ref="O1:P1"/>
    <mergeCell ref="Q1:T1"/>
    <mergeCell ref="P32:Q46"/>
    <mergeCell ref="P47:Q50"/>
    <mergeCell ref="P51:Q56"/>
  </mergeCells>
  <conditionalFormatting sqref="N36:N44 K3:L4 K14:L25 K6:L12">
    <cfRule type="cellIs" dxfId="326" priority="39" operator="lessThan">
      <formula>0</formula>
    </cfRule>
  </conditionalFormatting>
  <conditionalFormatting sqref="O39:O43 W32:Y32 AE32:AI32 BE32 AZ32:BA32 AL32:AU32">
    <cfRule type="containsText" dxfId="325" priority="40" operator="containsText" text="OK">
      <formula>NOT(ISERROR(SEARCH("OK",O32)))</formula>
    </cfRule>
  </conditionalFormatting>
  <conditionalFormatting sqref="I29">
    <cfRule type="cellIs" dxfId="324" priority="46" operator="greaterThan">
      <formula>0.1</formula>
    </cfRule>
  </conditionalFormatting>
  <conditionalFormatting sqref="L29 M3:M4 M14:M25 M6:M12">
    <cfRule type="cellIs" dxfId="323" priority="44" operator="lessThan">
      <formula>0</formula>
    </cfRule>
    <cfRule type="cellIs" dxfId="322" priority="45" operator="greaterThan">
      <formula>0</formula>
    </cfRule>
  </conditionalFormatting>
  <conditionalFormatting sqref="U39 U41:U48">
    <cfRule type="containsText" dxfId="321" priority="42" operator="containsText" text="OK">
      <formula>NOT(ISERROR(SEARCH("OK",U39)))</formula>
    </cfRule>
    <cfRule type="containsText" dxfId="320" priority="43" operator="containsText" text="X">
      <formula>NOT(ISERROR(SEARCH("X",U39)))</formula>
    </cfRule>
  </conditionalFormatting>
  <conditionalFormatting sqref="K3:L4 K14:L25 K6:L12">
    <cfRule type="cellIs" dxfId="319" priority="41" operator="greaterThan">
      <formula>0</formula>
    </cfRule>
  </conditionalFormatting>
  <conditionalFormatting sqref="U49">
    <cfRule type="containsText" dxfId="318" priority="37" operator="containsText" text="OK">
      <formula>NOT(ISERROR(SEARCH("OK",U49)))</formula>
    </cfRule>
    <cfRule type="containsText" dxfId="317" priority="38" operator="containsText" text="X">
      <formula>NOT(ISERROR(SEARCH("X",U49)))</formula>
    </cfRule>
  </conditionalFormatting>
  <conditionalFormatting sqref="U32:U38">
    <cfRule type="containsText" dxfId="316" priority="35" operator="containsText" text="OK">
      <formula>NOT(ISERROR(SEARCH("OK",U32)))</formula>
    </cfRule>
    <cfRule type="containsText" dxfId="315" priority="36" operator="containsText" text="X">
      <formula>NOT(ISERROR(SEARCH("X",U32)))</formula>
    </cfRule>
  </conditionalFormatting>
  <conditionalFormatting sqref="U40">
    <cfRule type="containsText" dxfId="314" priority="33" operator="containsText" text="OK">
      <formula>NOT(ISERROR(SEARCH("OK",U40)))</formula>
    </cfRule>
    <cfRule type="containsText" dxfId="313" priority="34" operator="containsText" text="X">
      <formula>NOT(ISERROR(SEARCH("X",U40)))</formula>
    </cfRule>
  </conditionalFormatting>
  <conditionalFormatting sqref="U51">
    <cfRule type="containsText" dxfId="312" priority="31" operator="containsText" text="OK">
      <formula>NOT(ISERROR(SEARCH("OK",U51)))</formula>
    </cfRule>
    <cfRule type="containsText" dxfId="311" priority="32" operator="containsText" text="X">
      <formula>NOT(ISERROR(SEARCH("X",U51)))</formula>
    </cfRule>
  </conditionalFormatting>
  <conditionalFormatting sqref="V51:V56">
    <cfRule type="containsText" dxfId="310" priority="29" operator="containsText" text="OK">
      <formula>NOT(ISERROR(SEARCH("OK",V51)))</formula>
    </cfRule>
    <cfRule type="containsText" dxfId="309" priority="30" operator="containsText" text="X">
      <formula>NOT(ISERROR(SEARCH("X",V51)))</formula>
    </cfRule>
  </conditionalFormatting>
  <conditionalFormatting sqref="U54:U55">
    <cfRule type="containsText" dxfId="308" priority="27" operator="containsText" text="OK">
      <formula>NOT(ISERROR(SEARCH("OK",U54)))</formula>
    </cfRule>
    <cfRule type="containsText" dxfId="307" priority="28" operator="containsText" text="X">
      <formula>NOT(ISERROR(SEARCH("X",U54)))</formula>
    </cfRule>
  </conditionalFormatting>
  <conditionalFormatting sqref="I31">
    <cfRule type="cellIs" dxfId="306" priority="26" operator="lessThan">
      <formula>0</formula>
    </cfRule>
  </conditionalFormatting>
  <conditionalFormatting sqref="V47:V50">
    <cfRule type="containsText" dxfId="305" priority="24" operator="containsText" text="OK">
      <formula>NOT(ISERROR(SEARCH("OK",V47)))</formula>
    </cfRule>
    <cfRule type="containsText" dxfId="304" priority="25" operator="containsText" text="X">
      <formula>NOT(ISERROR(SEARCH("X",V47)))</formula>
    </cfRule>
  </conditionalFormatting>
  <conditionalFormatting sqref="V32:V46">
    <cfRule type="containsText" dxfId="303" priority="22" operator="containsText" text="OK">
      <formula>NOT(ISERROR(SEARCH("OK",V32)))</formula>
    </cfRule>
    <cfRule type="containsText" dxfId="302" priority="23" operator="containsText" text="X">
      <formula>NOT(ISERROR(SEARCH("X",V32)))</formula>
    </cfRule>
  </conditionalFormatting>
  <conditionalFormatting sqref="I3:I4 I6:I25">
    <cfRule type="cellIs" dxfId="301" priority="21" operator="greaterThan">
      <formula>20</formula>
    </cfRule>
  </conditionalFormatting>
  <conditionalFormatting sqref="K13:L13">
    <cfRule type="cellIs" dxfId="300" priority="17" operator="lessThan">
      <formula>0</formula>
    </cfRule>
  </conditionalFormatting>
  <conditionalFormatting sqref="M13">
    <cfRule type="cellIs" dxfId="299" priority="19" operator="lessThan">
      <formula>0</formula>
    </cfRule>
    <cfRule type="cellIs" dxfId="298" priority="20" operator="greaterThan">
      <formula>0</formula>
    </cfRule>
  </conditionalFormatting>
  <conditionalFormatting sqref="K13:L13">
    <cfRule type="cellIs" dxfId="297" priority="18" operator="greaterThan">
      <formula>0</formula>
    </cfRule>
  </conditionalFormatting>
  <conditionalFormatting sqref="K26:L27">
    <cfRule type="cellIs" dxfId="296" priority="13" operator="lessThan">
      <formula>0</formula>
    </cfRule>
  </conditionalFormatting>
  <conditionalFormatting sqref="M26:M27">
    <cfRule type="cellIs" dxfId="295" priority="15" operator="lessThan">
      <formula>0</formula>
    </cfRule>
    <cfRule type="cellIs" dxfId="294" priority="16" operator="greaterThan">
      <formula>0</formula>
    </cfRule>
  </conditionalFormatting>
  <conditionalFormatting sqref="K26:L27">
    <cfRule type="cellIs" dxfId="293" priority="14" operator="greaterThan">
      <formula>0</formula>
    </cfRule>
  </conditionalFormatting>
  <conditionalFormatting sqref="I26:I27">
    <cfRule type="cellIs" dxfId="292" priority="12" operator="greaterThan">
      <formula>20</formula>
    </cfRule>
  </conditionalFormatting>
  <conditionalFormatting sqref="U52">
    <cfRule type="containsText" dxfId="291" priority="10" operator="containsText" text="OK">
      <formula>NOT(ISERROR(SEARCH("OK",U52)))</formula>
    </cfRule>
    <cfRule type="containsText" dxfId="290" priority="11" operator="containsText" text="X">
      <formula>NOT(ISERROR(SEARCH("X",U52)))</formula>
    </cfRule>
  </conditionalFormatting>
  <conditionalFormatting sqref="X50">
    <cfRule type="containsText" dxfId="289" priority="9" operator="containsText" text="OK">
      <formula>NOT(ISERROR(SEARCH("OK",X50)))</formula>
    </cfRule>
  </conditionalFormatting>
  <conditionalFormatting sqref="K5:L5">
    <cfRule type="cellIs" dxfId="288" priority="5" operator="lessThan">
      <formula>0</formula>
    </cfRule>
  </conditionalFormatting>
  <conditionalFormatting sqref="M5">
    <cfRule type="cellIs" dxfId="287" priority="7" operator="lessThan">
      <formula>0</formula>
    </cfRule>
    <cfRule type="cellIs" dxfId="286" priority="8" operator="greaterThan">
      <formula>0</formula>
    </cfRule>
  </conditionalFormatting>
  <conditionalFormatting sqref="K5:L5">
    <cfRule type="cellIs" dxfId="285" priority="6" operator="greaterThan">
      <formula>0</formula>
    </cfRule>
  </conditionalFormatting>
  <conditionalFormatting sqref="I5">
    <cfRule type="cellIs" dxfId="284" priority="4" operator="greaterThan">
      <formula>20</formula>
    </cfRule>
  </conditionalFormatting>
  <conditionalFormatting sqref="X61">
    <cfRule type="containsText" dxfId="283" priority="3" operator="containsText" text="OK">
      <formula>NOT(ISERROR(SEARCH("OK",X61)))</formula>
    </cfRule>
  </conditionalFormatting>
  <conditionalFormatting sqref="X63">
    <cfRule type="containsText" dxfId="282" priority="2" operator="containsText" text="OK">
      <formula>NOT(ISERROR(SEARCH("OK",X63)))</formula>
    </cfRule>
  </conditionalFormatting>
  <conditionalFormatting sqref="X65">
    <cfRule type="containsText" dxfId="281" priority="1" operator="containsText" text="OK">
      <formula>NOT(ISERROR(SEARCH("OK",X65)))</formula>
    </cfRule>
  </conditionalFormatting>
  <printOptions horizontalCentered="1"/>
  <pageMargins left="0.23622047244094491" right="0.23622047244094491" top="0.55118110236220474" bottom="0.55118110236220474" header="0.31496062992125984" footer="0.31496062992125984"/>
  <pageSetup paperSize="9" scale="4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Mail_small_Text_Outlook" altText="Envoie Mail VL">
                <anchor moveWithCells="1" sizeWithCells="1">
                  <from>
                    <xdr:col>2</xdr:col>
                    <xdr:colOff>2495550</xdr:colOff>
                    <xdr:row>0</xdr:row>
                    <xdr:rowOff>0</xdr:rowOff>
                  </from>
                  <to>
                    <xdr:col>5</xdr:col>
                    <xdr:colOff>19050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FdsFormulaCache xmlns="urn:fdsformulacache" version="2" timestamp="1690532564"><![CDATA[{"FR0011408426^MSTAR_KID_ONGOING_CHRG()":0.6,"FR0013202140^MSTAR_KID_ONGOING_CHRG()":0.6,"FR0000097495^MSTAR_KID_ONGOING_CHRG()":1.02,"FR0013496213^MSTAR_KID_ONGOING_CHRG()":0.61,"FR0000098683^MSTAR_KID_ONGOING_CHRG()":1.04,"FR0013432143^MSTAR_KID_ONGOING_CHRG()":0.62,"LU0438548280^MSTAR_KID_ONGOING_CHRG()":0.51,"LU0113258742^MSTAR_KID_ONGOING_CHRG()":0.63,"LU1694789378^MSTAR_KID_ONGOING_CHRG()":0.69,"LU1876459725^MSTAR_KID_ONGOING_CHRG()":1.13,"FR0013302965^MSTAR_KID_ONGOING_CHRG()":0.9,"FR0011381227^MSTAR_KID_ONGOING_CHRG()":0.05,"FR0000009987^MSTAR_KID_ONGOING_CHRG()":0.07,"LU0638557669^MSTAR_KID_ONGOING_CHRG()":1.13,"LU1569900605^MSTAR_KID_ONGOING_CHRG()":1.37,"LU1331973468^MSTAR_KID_ONGOING_CHRG()":1.13,"FR0013456886^MSTAR_KID_ONGOING_CHRG()":0.9,"FR0011646454^MSTAR_KID_ONGOING_CHRG()":1.79,"LU2261172709^MSTAR_KID_ONGOING_CHRG()":0.7,"FR0013179603^MSTAR_KID_ONGOING_CHRG()":1.29,"LU0661986264^MSTAR_KID_ONGOING_CHRG()":0.95,"LU2022049295^MSTAR_KID_ONGOING_CHRG()":1.29,"LU1103304132^MSTAR_KID_ONGOING_CHRG()":1.55,"FR0011400738^MSTAR_KID_ONGOING_CHRG()":1.26,"FR0011408426^FFD_UCITS_SRRI()":"4","FR0013202140^FFD_UCITS_SRRI()":"3","FR0000097495^FFD_UCITS_SRRI()":null,"FR0013496213^FFD_UCITS_SRRI()":"4","FR0000098683^FFD_UCITS_SRRI()":"5","FR0013432143^FFD_UCITS_SRRI()":null,"LU0438548280^FFD_UCITS_SRRI()":"3","LU0113258742^FFD_UCITS_SRRI()":"3","LU1694789378^FFD_UCITS_SRRI()":"3","LU1876459725^FFD_UCITS_SRRI()":"3","FR0013302965^FFD_UCITS_SRRI()":"3","FR0011381227^FFD_UCITS_SRRI()":"1","FR0000009987^FFD_UCITS_SRRI()":"1","LU0638557669^FFD_UCITS_SRRI()":"4","LU1569900605^FFD_UCITS_SRRI()":"3","LU1331973468^FFD_UCITS_SRRI()":"4","FR0013456886^FFD_UCITS_SRRI()":"6","FR0011646454^FFD_UCITS_SRRI()":"6","LU2261172709^FFD_UCITS_SRRI()":null,"FR0013179603^FFD_UCITS_SRRI()":"6","LU0661986264^FFD_UCITS_SRRI()":"6","LU2022049295^FFD_UCITS_SRRI()":null,"LU1103304132^FFD_UCITS_SRRI()":"6","FR0011400738^FFD_UCITS_SRRI()":"6","FR0013202140^MSTAR_TNA_FUND_LEVEL(45132,45132)":214409265.28,"FR0011408426^MSTAR_TNA_FUND_LEVEL(45132,45132)":239930235.07,"FR0000097495^MSTAR_TNA_FUND_LEVEL(45132,45132)":294523728.2,"FR0013496213^MSTAR_TNA_FUND_LEVEL(45132,45132)":271298995.69,"FR0000098683^MSTAR_TNA_FUND_LEVEL(45132,45132)":3765585974.82,"FR0013432143^MSTAR_TNA_FUND_LEVEL(45132,45132)":1219378563.89,"LU0438548280^MSTAR_TNA_FUND_LEVEL(45132,45132)":159727191.37,"LU0113258742^MSTAR_TNA_FUND_LEVEL(45132,45132)":8755141198.7,"LU1694789378^MSTAR_TNA_FUND_LEVEL(45132,45132)":7311145400.05,"LU1876459725^MSTAR_TNA_FUND_LEVEL(45132,45132)":447075286.0,"FR0013302965^MSTAR_TNA_FUND_LEVEL(45132,45132)":66080561.03,"FR0011381227^MSTAR_TNA_FUND_LEVEL(45132,45132)":4365139781.95,"FR0000009987^MSTAR_TNA_FUND_LEVEL(45132,45132)":11372602977.0,"LU0638557669^MSTAR_TNA_FUND_LEVEL(45132,45132)":6199509286.96,"LU1569900605^MSTAR_TNA_FUND_LEVEL(45132,45132)":1096700275.38,"LU1331973468^MSTAR_TNA_FUND_LEVEL(45132,45132)":3891142325.1,"FR0013456886^MSTAR_TNA_FUND_LEVEL(45132,45132)":102908706.08,"FR0011646454^MSTAR_TNA_FUND_LEVEL(45132,45132)":344941326.0,"LU2261172709^MSTAR_TNA_FUND_LEVEL(45132,45132)":160354238.67,"FR0013179603^MSTAR_TNA_FUND_LEVEL(45132,45132)":2749310551.39,"LU0661986264^MSTAR_TNA_FUND_LEVEL(45132,45132)":108936110.77,"LU2022049295^MSTAR_TNA_FUND_LEVEL(45132,45132)":69966525.08,"LU1103304132^MSTAR_TNA_FUND_LEVEL(45132,45132)":331534382.35,"FR0011400738^MSTAR_TNA_FUND_LEVEL(45132,45132)":131235700.0,"FR0011400738^P_CURRENCY(\"ISO\")":"EUR","FR0011408426^MSTAR_TNA_FUND_LEVEL(45131,45131)":239930235.07,"FR0013202140^MSTAR_TNA_FUND_LEVEL(45131,45131)":214409265.28,"FR0000097495^MSTAR_TNA_FUND_LEVEL(45131,45131)":294523728.2,"FR0013496213^MSTAR_TNA_FUND_LEVEL(45131,45131)":271298995.69,"FR0000098683^MSTAR_TNA_FUND_LEVEL(45131,45131)":3765585974.82,"FR0013432143^MSTAR_TNA_FUND_LEVEL(45131,45131)":1219378563.89,"LU0438548280^MSTAR_TNA_FUND_LEVEL(45131,45131)":159727191.37,"LU0113258742^MSTAR_TNA_FUND_LEVEL(45131,45131)":8755141198.7,"LU1694789378^MSTAR_TNA_FUND_LEVEL(45131,45131)":7311145400.05,"LU1876459725^MSTAR_TNA_FUND_LEVEL(45131,45131)":447075286.0,"FR0013302965^MSTAR_TNA_FUND_LEVEL(45131,45131)":66080561.03,"FR0011381227^MSTAR_TNA_FUND_LEVEL(45131,45131)":4365139781.95,"FR0000009987^MSTAR_TNA_FUND_LEVEL(45131,45131)":11372602977.0,"LU0638557669^MSTAR_TNA_FUND_LEVEL(45131,45131)":6199509286.96,"LU1569900605^MSTAR_TNA_FUND_LEVEL(45131,45131)":1096700275.38,"LU1331973468^MSTAR_TNA_FUND_LEVEL(45131,45131)":3891142325.1,"FR0013456886^MSTAR_TNA_FUND_LEVEL(45131,45131)":102908706.08,"FR0011646454^MSTAR_TNA_FUND_LEVEL(45131,45131)":344941326.0,"LU2261172709^MSTAR_TNA_FUND_LEVEL(45131,45131)":160354238.67,"FR0013179603^MSTAR_TNA_FUND_LEVEL(45131,45131)":2749310551.39,"LU0661986264^MSTAR_TNA_FUND_LEVEL(45131,45131)":108936110.77,"LU2022049295^MSTAR_TNA_FUND_LEVEL(45131,45131)":69966525.08,"LU1103304132^MSTAR_TNA_FUND_LEVEL(45131,45131)":331534382.35,"FR0011400738^MSTAR_TNA_FUND_LEVEL(45131,45131)":131235700.0,"FR0011400738^FIRST_DATE_AV(MSTAR_PRICE(45131,45131-10D,,\"NAV\"),P_DATE(45131,45131-10D,,\"DATEI\"))":"24/07/2023","EURUSD^FG_PRICE(45131,45131)":1.1079999,"FR0011408426^FIRST_ITEM_AV(MSTAR_PRICE(45131,45131-10D,,\"NAV\"))":127.7,"FR0011408426^FIRST_ITEM_AV(MSTAR_PRICE(45131-1D,45131-10D,D,\"NAV\"))":127.65,"FR0013202140^FIRST_ITEM_AV(MSTAR_PRICE(45131,45131-10D,,\"NAV\"))":5477.77,"FR0013202140^FIRST_ITEM_AV(MSTAR_PRICE(45131-1D,45131-10D,D,\"NAV\"))":5480.24,"FR0000097495^FIRST_ITEM_AV(MSTAR_PRICE(45131,45131-10D,,\"NAV\"))":106.94,"FR0000097495^FIRST_ITEM_AV(MSTAR_PRICE(45131-1D,45131-10D,D,\"NAV\"))":106.86,"FR0013496213^FIRST_ITEM_AV(MSTAR_PRICE(45131,45131-10D,,\"NAV\"))":1040.08,"FR0013496213^FIRST_ITEM_AV(MSTAR_PRICE(45131-1D,45131-10D,D,\"NAV\"))":1039.69,"FR0000098683^FIRST_ITEM_AV(MSTAR_PRICE(45131,45131-10D,,\"NAV\"))":1735.07,"FR0000098683^FIRST_ITEM_AV(MSTAR_PRICE(45131-1D,45131-10D,D,\"NAV\"))":1732.43,"FR0013432143^FIRST_ITEM_AV(MSTAR_PRICE(45131,45131-10D,,\"NAV\"))":1166.82,"FR0013432143^FIRST_ITEM_AV(MSTAR_PRICE(45131-1D,45131-10D,D,\"NAV\"))":1168.24,"LU0438548280^FIRST_ITEM_AV(MSTAR_PRICE(45131,45131-10D,,\"NAV\"))":122.674,"LU0438548280^FIRST_ITEM_AV(MSTAR_PRICE(45131-1D,45131-10D,D,\"NAV\"))":122.597,"LU0113258742^FIRST_ITEM_AV(MSTAR_PRICE(45131,45131-10D,,\"NAV\"))":23.4911,"LU0113258742^FIRST_ITEM_AV(MSTAR_PRICE(45131-1D,45131-10D,D,\"NAV\"))":23.4192,"LU1694789378^FIRST_ITEM_AV(MSTAR_PRICE(45131,45131-10D,,\"NAV\"))":121.23,"LU1694789378^FIRST_ITEM_AV(MSTAR_PRICE(45131-1D,45131-10D,D,\"NAV\"))":121.12,"LU1876459725^FIRST_ITEM_AV(MSTAR_PRICE(45131,45131-10D,,\"NAV\"))":1162.7,"LU1876459725^FIRST_ITEM_AV(MSTAR_PRICE(45131-1D,45131-10D,D,\"NAV\"))":1162.0,"FR0013302965^FIRST_ITEM_AV(MSTAR_PRICE(45131,45131-10D,,\"NAV\"))":1004.51,"FR0013302965^FIRST_ITEM_AV(MSTAR_PRICE(45131-1D,45131-10D,D,\"NAV\"))":1005.08,"FR0011381227^FIRST_ITEM_AV(MSTAR_PRICE(45131,45131-10D,,\"NAV\"))":101546.13,"FR0011381227^FIRST_ITEM_AV(MSTAR_PRICE(45131-1D,45131-10D,D,\"NAV\"))":101504.71,"FR0000009987^FIRST_ITEM_AV(MSTAR_PRICE(45131,45131-10D,,\"NAV\"))":191720.49,"FR0000009987^FIRST_ITEM_AV(MSTAR_PRICE(45131-1D,45131-10D,D,\"NAV\"))":191701.7,"LU0638557669^FIRST_ITEM_AV(MSTAR_PRICE(45131,45131-10D,,\"NAV\"))":1.5528,"LU0638557669^FIRST_ITEM_AV(MSTAR_PRICE(45131-1D,45131-10D,D,\"NAV\"))":1.5493,"LU1569900605^FIRST_ITEM_AV(MSTAR_PRICE(45131,45131-10D,,\"NAV\"))":1178.0,"LU1569900605^FIRST_ITEM_AV(MSTAR_PRICE(45131-1D,45131-10D,D,\"NAV\"))":1177.978,"LU1331973468^FIRST_ITEM_AV(MSTAR_PRICE(45131,45131-10D,,\"NAV\"))":141.62,"LU1331973468^FIRST_ITEM_AV(MSTAR_PRICE(45131-1D,45131-10D,D,\"NAV\"))":141.92,"FR0013456886^FIRST_ITEM_AV(MSTAR_PRICE(45131,45131-10D,,\"NAV\"))":151.87,"FR0013456886^FIRST_ITEM_AV(MSTAR_PRICE(45131-1D,45131-10D,D,\"NAV\"))":151.23,"FR0011646454^FIRST_ITEM_AV(MSTAR_PRICE(45131,45131-10D,,\"NAV\"))":2450.09,"FR0011646454^FIRST_ITEM_AV(MSTAR_PRICE(45131-1D,45131-10D,D,\"NAV\"))":2465.22,"LU2261172709^FIRST_ITEM_AV(MSTAR_PRICE(45131,45131-10D,,\"NAV\"))":1121.499,"LU2261172709^FIRST_ITEM_AV(MSTAR_PRICE(45131-1D,45131-10D,D,\"NAV\"))":1116.58,"FR0013179603^FIRST_ITEM_AV(MSTAR_PRICE(45131,45131-10D,,\"NAV\"))":888.25,"FR0013179603^FIRST_ITEM_AV(MSTAR_PRICE(45131-1D,45131-10D,D,\"NAV\"))":886.24,"LU0661986264^FIRST_ITEM_AV(MSTAR_PRICE(45131,45131-10D,,\"NAV\"))":203.11,"LU0661986264^FIRST_ITEM_AV(MSTAR_PRICE(45131-1D,45131-10D,D,\"NAV\"))":203.59,"LU2022049295^FIRST_ITEM_AV(MSTAR_PRICE(45131,45131-10D,,\"NAV\"))":220.1,"LU2022049295^FIRST_ITEM_AV(MSTAR_PRICE(45131-1D,45131-10D,D,\"NAV\"))":219.76,"LU1103304132^FIRST_ITEM_AV(MSTAR_PRICE(45131,45131-10D,,\"NAV\"))":403.12,"LU1103304132^FIRST_ITEM_AV(MSTAR_PRICE(45131-1D,45131-10D,D,\"NAV\"))":398.14,"FR0011400738^FIRST_ITEM_AV(MSTAR_PRICE(45131,45131-10D,,\"NAV\"))":67414.37,"FR0011400738^FIRST_ITEM_AV(MSTAR_PRICE(45131-1D,45131-10D,D,\"NAV\"))":67288.21,"FR0011400738^FIRST_DATE_AV(MSTAR_PRICE(45132,45132-10D,,\"NAV\"),P_DATE(45132,45132-10D,,\"DATEI\"))":"25/07/2023","LU2022049295^P_CURRENCY(\"ISO\")":"EUR","LHMN2500^FG_TRET_PCHG_IDX(45131,0CY,,EUR,\"NET\")":5.59314277725522,"LHMN9006^FG_TRET_PCHG_IDX(45131,0CY,,EUR,\"NET\")":2.5294852390507,"892400^FG_TRET_PCHG_IDX(45131,0CY,,EUR,\"NET\")":12.46009570617,"COMP^FG_PRICE(45131,,,EUR)/FG_PRICE(44926,,,EUR)-1":0.293826305470276,"SP50^FG_TRET_PCHG_IDX(45131,0CY,,EUR,\"NET\")":15.0001014003375,"183659^FG_TRET_PCHG_IDX(45131,0CY,,EUR,\"NET\")":15.4895601527649,"PXL-ENX^FG_TRET_PCHG_IDX(45131,0CY,,EUR,\"NET\")":17.1521576105915,"LHMN2500^FG_TRET_PCHG_IDX(45131,0CM,,EUR,\"NET\")":0.764852585499054,"LHMN9006^FG_TRET_PCHG_IDX(45131,0CM,,EUR,\"NET\")":0.259963858538503,"892400^FG_TRET_PCHG_IDX(45131,0CM,,EUR,\"NET\")":0.90256574886054,"SP50^FG_TRET_PCHG_IDX(45131,0CM,,EUR,\"NET\")":0.823948393855667,"183659^FG_TRET_PCHG_IDX(45131,0CM,,EUR,\"NET\")":0.596246300894032,"PXL-ENX^FG_TRET_PCHG_IDX(45131,0CM,,EUR,\"NET\")":0.426289516683753,"^P_EXCH_RATE(USD,EUR,45128,45128)":0.8998066,"LHMN2500^FG_TRET_PCHG_IDX(45131,45128,,EUR,\"NET\")":0.101386635222545,"LHMN9006^FG_TRET_PCHG_IDX(45131,45128,,EUR,\"NET\")":0.232004538514241,"892400^FG_TRET_PCHG_IDX(45131,45128,,EUR,\"NET\")":0.553208783913561,"COMP^FG_PRICE(45131,,,EUR)/FG_PRICE(45128,,,EUR)-1":0.00488626977043283,"SP50^FG_TRET_PCHG_IDX(45131,45128,,EUR,\"NET\")":0.70815409611098,"183659^FG_TRET_PCHG_IDX(45131,45128,,EUR,\"NET\")":-0.0906121512229019,"PXL-ENX^FG_TRET_PCHG_IDX(45131,45128,,EUR,\"NET\")":-0.0735055066082957,"FR0011408426^MSTAR_TNA_FUND_LEVEL(45128,45128)":239930235.07,"FR0013202140^MSTAR_TNA_FUND_LEVEL(45128,45128)":214409265.28,"FR0000097495^MSTAR_TNA_FUND_LEVEL(45128,45128)":294523728.2,"FR0013496213^MSTAR_TNA_FUND_LEVEL(45128,45128)":271298995.69,"FR0000098683^MSTAR_TNA_FUND_LEVEL(45128,45128)":3765585974.82,"FR0013432143^MSTAR_TNA_FUND_LEVEL(45128,45128)":1219378563.89,"LU0438548280^MSTAR_TNA_FUND_LEVEL(45128,45128)":159727191.37,"LU0113258742^MSTAR_TNA_FUND_LEVEL(45128,45128)":8755141198.7,"LU1694789378^MSTAR_TNA_FUND_LEVEL(45128,45128)":7311145400.05,"LU1876459725^MSTAR_TNA_FUND_LEVEL(45128,45128)":447075286.0,"FR0013302965^MSTAR_TNA_FUND_LEVEL(45128,45128)":66080561.03,"FR0011381227^MSTAR_TNA_FUND_LEVEL(45128,45128)":4365139781.95,"FR0000009987^MSTAR_TNA_FUND_LEVEL(45128,45128)":11372602977.0,"LU0638557669^MSTAR_TNA_FUND_LEVEL(45128,45128)":6199509286.96,"LU1569900605^MSTAR_TNA_FUND_LEVEL(45128,45128)":1096700275.38,"LU1331973468^MSTAR_TNA_FUND_LEVEL(45128,45128)":3891142325.1,"FR0013456886^MSTAR_TNA_FUND_LEVEL(45128,45128)":102908706.08,"FR0011646454^MSTAR_TNA_FUND_LEVEL(45128,45128)":344941326.0,"LU2261172709^MSTAR_TNA_FUND_LEVEL(45128,45128)":160354238.67,"FR0013179603^MSTAR_TNA_FUND_LEVEL(45128,45128)":2749310551.39,"LU0661986264^MSTAR_TNA_FUND_LEVEL(45128,45128)":108936110.77,"LU2022049295^MSTAR_TNA_FUND_LEVEL(45128,45128)":69966525.08,"LU1103304132^MSTAR_TNA_FUND_LEVEL(45128,45128)":331534382.35,"FR0011400738^MSTAR_TNA_FUND_LEVEL(45128,45128)":131235700.0,"FR0011400738^FIRST_DATE_AV(MSTAR_PRICE(45128,45128-10D,,\"NAV\"),P_DATE(45128,45128-10D,,\"DATEI\"))":"21/07/2023","EURUSD^FG_PRICE(45128,45128)":1.1113499,"FR0011408426^FIRST_ITEM_AV(MSTAR_PRICE(45128,45128-10D,,\"NAV\"))":127.65,"FR0011408426^FIRST_ITEM_AV(MSTAR_PRICE(45128-1D,45128-10D,D,\"NAV\"))":127.61,"FR0013202140^FIRST_ITEM_AV(MSTAR_PRICE(45128,45128-10D,,\"NAV\"))":5480.24,"FR0013202140^FIRST_ITEM_AV(MSTAR_PRICE(45128-1D,45128-10D,D,\"NAV\"))":5474.42,"FR0000097495^FIRST_ITEM_AV(MSTAR_PRICE(45128,45128-10D,,\"NAV\"))":106.86,"FR0000097495^FIRST_ITEM_AV(MSTAR_PRICE(45128-1D,45128-10D,D,\"NAV\"))":106.74,"FR0013496213^FIRST_ITEM_AV(MSTAR_PRICE(45128,45128-10D,,\"NAV\"))":1039.69,"FR0013496213^FIRST_ITEM_AV(MSTAR_PRICE(45128-1D,45128-10D,D,\"NAV\"))":1039.45,"FR0000098683^FIRST_ITEM_AV(MSTAR_PRICE(45128,45128-10D,,\"NAV\"))":1732.43,"FR0000098683^FIRST_ITEM_AV(MSTAR_PRICE(45128-1D,45128-10D,D,\"NAV\"))":1726.31,"FR0013432143^FIRST_ITEM_AV(MSTAR_PRICE(45128,45128-10D,,\"NAV\"))":1168.24,"FR0013432143^FIRST_ITEM_AV(MSTAR_PRICE(45128-1D,45128-10D,D,\"NAV\"))":1169.28,"LU0438548280^FIRST_ITEM_AV(MSTAR_PRICE(45128,45128-10D,,\"NAV\"))":122.597,"LU0438548280^FIRST_ITEM_AV(MSTAR_PRICE(45128-1D,45128-10D,D,\"NAV\"))":122.628,"LU0113258742^FIRST_ITEM_AV(MSTAR_PRICE(45128,45128-10D,,\"NAV\"))":23.4192,"LU0113258742^FIRST_ITEM_AV(MSTAR_PRICE(45128-1D,45128-10D,D,\"NAV\"))":23.4241,"LU1694789378^FIRST_ITEM_AV(MSTAR_PRICE(45128,45128-10D,,\"NAV\"))":121.12,"LU1694789378^FIRST_ITEM_AV(MSTAR_PRICE(45128-1D,45128-10D,D,\"NAV\"))":121.18,"LU1876459725^FIRST_ITEM_AV(MSTAR_PRICE(45128,45128-10D,,\"NAV\"))":1162.0,"LU1876459725^FIRST_ITEM_AV(MSTAR_PRICE(45128-1D,45128-10D,D,\"NAV\"))":1161.68,"FR0013302965^FIRST_ITEM_AV(MSTAR_PRICE(45128,45128-10D,,\"NAV\"))":1005.08,"FR0013302965^FIRST_ITEM_AV(MSTAR_PRICE(45128-1D,45128-10D,D,\"NAV\"))":1005.0,"FR0011381227^FIRST_ITEM_AV(MSTAR_PRICE(45128,45128-10D,,\"NAV\"))":101504.71,"FR0011381227^FIRST_ITEM_AV(MSTAR_PRICE(45128-1D,45128-10D,D,\"NAV\"))":101504.71,"FR0000009987^FIRST_ITEM_AV(MSTAR_PRICE(45128,45128-10D,,\"NAV\"))":191701.7,"FR0000009987^FIRST_ITEM_AV(MSTAR_PRICE(45128-1D,45128-10D,D,\"NAV\"))":191646.45,"LU0638557669^FIRST_ITEM_AV(MSTAR_PRICE(45128,45128-10D,,\"NAV\"))":1.5493,"LU0638557669^FIRST_ITEM_AV(MSTAR_PRICE(45128-1D,45128-10D,D,\"NAV\"))":1.5508,"LU1569900605^FIRST_ITEM_AV(MSTAR_PRICE(45128,45128-10D,,\"NAV\"))":1177.978,"LU1569900605^FIRST_ITEM_AV(MSTAR_PRICE(45128-1D,45128-10D,D,\"NAV\"))":1177.902,"LU1331973468^FIRST_ITEM_AV(MSTAR_PRICE(45128,45128-10D,,\"NAV\"))":141.92,"LU1331973468^FIRST_ITEM_AV(MSTAR_PRICE(45128-1D,45128-10D,D,\"NAV\"))":141.53,"FR0013456886^FIRST_ITEM_AV(MSTAR_PRICE(45128,45128-10D,,\"NAV\"))":151.23,"FR0013456886^FIRST_ITEM_AV(MSTAR_PRICE(45128-1D,45128-10D,D,\"NAV\"))":150.6,"FR0011646454^FIRST_ITEM_AV(MSTAR_PRICE(45128,45128-10D,,\"NAV\"))":2465.22,"FR0011646454^FIRST_ITEM_AV(MSTAR_PRICE(45128-1D,45128-10D,D,\"NAV\"))":2450.25,"LU2261172709^FIRST_ITEM_AV(MSTAR_PRICE(45128,45128-10D,,\"NAV\"))":1116.58,"LU2261172709^FIRST_ITEM_AV(MSTAR_PRICE(45128-1D,45128-10D,D,\"NAV\"))":1110.09,"FR0013179603^FIRST_ITEM_AV(MSTAR_PRICE(45128,45128-10D,,\"NAV\"))":886.24,"FR0013179603^FIRST_ITEM_AV(MSTAR_PRICE(45128-1D,45128-10D,D,\"NAV\"))":885.07,"LU0661986264^FIRST_ITEM_AV(MSTAR_PRICE(45128,45128-10D,,\"NAV\"))":203.59,"LU0661986264^FIRST_ITEM_AV(MSTAR_PRICE(45128-1D,45128-10D,D,\"NAV\"))":203.71,"LU2022049295^FIRST_ITEM_AV(MSTAR_PRICE(45128,45128-10D,,\"NAV\"))":219.76,"LU2022049295^FIRST_ITEM_AV(MSTAR_PRICE(45128-1D,45128-10D,D,\"NAV\"))":220.16,"LU1103304132^FIRST_ITEM_AV(MSTAR_PRICE(45128,45128-10D,,\"NAV\"))":398.14,"LU1103304132^FIRST_ITEM_AV(MSTAR_PRICE(45128-1D,45128-10D,D,\"NAV\"))":396.18,"FR0011400738^FIRST_ITEM_AV(MSTAR_PRICE(45128,45128-10D,,\"NAV\"))":67288.21,"FR0011400738^FIRST_ITEM_AV(MSTAR_PRICE(45128-1D,45128-10D,D,\"NAV\"))":66992.16,"LHMN2500^FG_TRET_PCHG_IDX(45128,0CY,,EUR,\"NET\")":5.48619387466136,"LHMN9006^FG_TRET_PCHG_IDX(45128,0CY,,EUR,\"NET\")":2.29216277885937,"892400^FG_TRET_PCHG_IDX(45128,0CY,,EUR,\"NET\")":11.8413793714371,"COMP^FG_PRICE(45128,,,EUR)/FG_PRICE(44926,,,EUR)-1":0.287535061819336,"SP50^FG_TRET_PCHG_IDX(45128,0CY,,EUR,\"NET\")":14.1914499699667,"183659^FG_TRET_PCHG_IDX(45128,0CY,,EUR,\"NET\")":15.5943026370754,"PXL-ENX^FG_TRET_PCHG_IDX(45128,0CY,,EUR,\"NET\")":17.2383342421153,"LHMN2500^FG_TRET_PCHG_IDX(45128,0CM,,EUR,\"NET\")":0.662793965776132,"LHMN9006^FG_TRET_PCHG_IDX(45128,0CM,,EUR,\"NET\")":0.0278946032786775,"892400^FG_TRET_PCHG_IDX(45128,0CM,,EUR,\"NET\")":0.347434924426682,"SP50^FG_TRET_PCHG_IDX(45128,0CM,,EUR,\"NET\")":0.114980061727854,"183659^FG_TRET_PCHG_IDX(45128,0CM,,EUR,\"NET\")":0.687481393797107,"PXL-ENX^FG_TRET_PCHG_IDX(45128,0CM,,EUR,\"NET\")":0.500162670396787,"LHMN2500^FG_TRET_PCHG_IDX(45128,45128,,EUR,\"NET\")":0.0,"LHMN9006^FG_TRET_PCHG_IDX(45128,45128,,EUR,\"NET\")":0.0,"892400^FG_TRET_PCHG_IDX(45128,45128,,EUR,\"NET\")":0.0,"COMP^FG_PRICE(45128,,,EUR)/FG_PRICE(45128,,,EUR)-1":0.0,"SP50^FG_TRET_PCHG_IDX(45128,45128,,EUR,\"NET\")":0.0,"183659^FG_TRET_PCHG_IDX(45128,45128,,EUR,\"NET\")":0.0,"PXL-ENX^FG_TRET_PCHG_IDX(45128,45128,,EUR,\"NET\")":0.0,"EURUSD^FG_PRICE(45132,45132)":1.10445,"FR0011408426^FIRST_ITEM_AV(MSTAR_PRICE(45132,45132-10D,,\"NAV\"))":127.77,"FR0011408426^FIRST_ITEM_AV(MSTAR_PRICE(45132-1D,45132-10D,D,\"NAV\"))":127.7,"FR0013202140^FIRST_ITEM_AV(MSTAR_PRICE(45132,45132-10D,,\"NAV\"))":5477.28,"FR0013202140^FIRST_ITEM_AV(MSTAR_PRICE(45132-1D,45132-10D,D,\"NAV\"))":5477.77,"FR0000097495^FIRST_ITEM_AV(MSTAR_PRICE(45132,45132-10D,,\"NAV\"))":106.91,"FR0000097495^FIRST_ITEM_AV(MSTAR_PRICE(45132-1D,45132-10D,D,\"NAV\"))":106.94,"FR0013496213^FIRST_ITEM_AV(MSTAR_PRICE(45132,45132-10D,,\"NAV\"))":1040.34,"FR0013496213^FIRST_ITEM_AV(MSTAR_PRICE(45132-1D,45132-10D,D,\"NAV\"))":1040.08,"FR0000098683^FIRST_ITEM_AV(MSTAR_PRICE(45132,45132-10D,,\"NAV\"))":1742.1,"FR0000098683^FIRST_ITEM_AV(MSTAR_PRICE(45132-1D,45132-10D,D,\"NAV\"))":1735.07,"FR0013432143^FIRST_ITEM_AV(MSTAR_PRICE(45132,45132-10D,,\"NAV\"))":1164.23,"FR0013432143^FIRST_ITEM_AV(MSTAR_PRICE(45132-1D,45132-10D,D,\"NAV\"))":1166.82,"LU0438548280^FIRST_ITEM_AV(MSTAR_PRICE(45132,45132-10D,,\"NAV\"))":122.638,"LU0438548280^FIRST_ITEM_AV(MSTAR_PRICE(45132-1D,45132-10D,D,\"NAV\"))":122.674,"LU0113258742^FIRST_ITEM_AV(MSTAR_PRICE(45132,45132-10D,,\"NAV\"))":23.4673,"LU0113258742^FIRST_ITEM_AV(MSTAR_PRICE(45132-1D,45132-10D,D,\"NAV\"))":23.4911,"LU1694789378^FIRST_ITEM_AV(MSTAR_PRICE(45132,45132-10D,,\"NAV\"))":121.35,"LU1694789378^FIRST_ITEM_AV(MSTAR_PRICE(45132-1D,45132-10D,D,\"NAV\"))":121.23,"LU1876459725^FIRST_ITEM_AV(MSTAR_PRICE(45132,45132-10D,,\"NAV\"))":1163.53,"LU1876459725^FIRST_ITEM_AV(MSTAR_PRICE(45132-1D,45132-10D,D,\"NAV\"))":1162.7,"FR0013302965^FIRST_ITEM_AV(MSTAR_PRICE(45132,45132-10D,,\"NAV\"))":1004.87,"FR0013302965^FIRST_ITEM_AV(MSTAR_PRICE(45132-1D,45132-10D,D,\"NAV\"))":1004.51,"FR0011381227^FIRST_ITEM_AV(MSTAR_PRICE(45132,45132-10D,,\"NAV\"))":101554.51,"FR0011381227^FIRST_ITEM_AV(MSTAR_PRICE(45132-1D,45132-10D,D,\"NAV\"))":101546.13,"FR0000009987^FIRST_ITEM_AV(MSTAR_PRICE(45132,45132-10D,,\"NAV\"))":191738.94,"FR0000009987^FIRST_ITEM_AV(MSTAR_PRICE(45132-1D,45132-10D,D,\"NAV\"))":191720.49,"FR0011408426^MSTAR_NAV(12/31/2022,12/31/2022)":121.31,"FR0013202140^MSTAR_NAV(12/31/2022,12/31/2022)":5372.81,"FR0000097495^MSTAR_NAV(12/31/2022,12/31/2022)":103.15,"FR0013496213^MSTAR_NAV(12/31/2022,12/31/2022)":993.04,"FR0000098683^MSTAR_NAV(12/31/2022,12/31/2022)":1621.27,"FR0013432143^MSTAR_NAV(12/31/2022,12/31/2022)":1204.5,"LU0438548280^MSTAR_NAV(12/31/2022,12/31/2022)":120.177,"LU0113258742^MSTAR_NAV(12/31/2022,12/31/2022)":22.5586,"LU1694789378^MSTAR_NAV(12/31/2022,12/31/2022)":116.89,"LU1876459725^MSTAR_NAV(12/31/2022,12/31/2022)":1142.03,"FR0013302965^MSTAR_NAV(12/31/2022,12/31/2022)":989.02,"FR0000009987^MSTAR_NAV(12/31/2022,12/31/2022)":188644.5,"LU0638557669^FIRST_ITEM_AV(MSTAR_PRICE(45132,45132-10D,,\"NAV\"))":1.5527,"LU0638557669^FIRST_ITEM_AV(MSTAR_PRICE(45132-1D,45132-10D,D,\"NAV\"))":1.5528,"LU0638557669^MSTAR_NAV(12/31/2022,12/31/2022)":1.6804,"LU1569900605^FIRST_ITEM_AV(MSTAR_PRICE(45132,45132-10D,,\"NAV\"))":1178.176,"LU1569900605^FIRST_ITEM_AV(MSTAR_PRICE(45132-1D,45132-10D,D,\"NAV\"))":1178.0,"LU1569900605^MSTAR_NAV(12/31/2022,12/31/2022)":1152.399,"LU1331973468^FIRST_ITEM_AV(MSTAR_PRICE(45132,45132-10D,,\"NAV\"))":141.71,"LU1331973468^FIRST_ITEM_AV(MSTAR_PRICE(45132-1D,45132-10D,D,\"NAV\"))":141.62,"LU1331973468^MSTAR_NAV(12/31/2022,12/31/2022)":137.82,"FR0013456886^FIRST_ITEM_AV(MSTAR_PRICE(45132,45132-10D,,\"NAV\"))":152.38,"FR0013456886^FIRST_ITEM_AV(MSTAR_PRICE(45132-1D,45132-10D,D,\"NAV\"))":151.87,"FR0013456886^MSTAR_NAV(12/31/2022,12/31/2022)":130.66,"FR0011646454^FIRST_ITEM_AV(MSTAR_PRICE(45132,45132-10D,,\"NAV\"))":2464.27,"FR0011646454^FIRST_ITEM_AV(MSTAR_PRICE(45132-1D,45132-10D,D,\"NAV\"))":2450.09,"FR0011646454^MSTAR_NAV(12/31/2022,12/31/2022)":2053.09,"LU2261172709^FIRST_ITEM_AV(MSTAR_PRICE(45132,45132-10D,,\"NAV\"))":1132.316,"LU2261172709^FIRST_ITEM_AV(MSTAR_PRICE(45132-1D,45132-10D,D,\"NAV\"))":1121.499,"LU2261172709^MSTAR_NAV(12/31/2022,12/31/2022)":1114.982,"FR0013179603^FIRST_ITEM_AV(MSTAR_PRICE(45132,45132-10D,,\"NAV\"))":888.04,"FR0013179603^FIRST_ITEM_AV(MSTAR_PRICE(45132-1D,45132-10D,D,\"NAV\"))":888.25,"FR0013179603^MSTAR_NAV(12/31/2022,12/31/2022)":821.36,"LU0661986264^FIRST_ITEM_AV(MSTAR_PRICE(45132,45132-10D,,\"NAV\"))":203.58,"LU0661986264^FIRST_ITEM_AV(MSTAR_PRICE(45132-1D,45132-10D,D,\"NAV\"))":203.11,"LU0661986264^MSTAR_NAV(12/31/2022,12/31/2022)":178.83,"LU2022049295^FIRST_ITEM_AV(MSTAR_PRICE(45132,45132-10D,,\"NAV\"))":221.03,"LU2022049295^FIRST_ITEM_AV(MSTAR_PRICE(45132-1D,45132-10D,D,\"NAV\"))":220.1,"LU2022049295^MSTAR_NAV(12/31/2022,12/31/2022)":212.85,"LU1103304132^FIRST_ITEM_AV(MSTAR_PRICE(45132,45132-10D,,\"NAV\"))":404.68,"LU1103304132^FIRST_ITEM_AV(MSTAR_PRICE(45132-1D,45132-10D,D,\"NAV\"))":403.12,"LU1103304132^MSTAR_NAV(12/31/2022,12/31/2022)":382.69,"FR0011400738^FIRST_ITEM_AV(MSTAR_PRICE(45132,45132-10D,,\"NAV\"))":67474.94,"FR0011400738^FIRST_ITEM_AV(MSTAR_PRICE(45132-1D,45132-10D,D,\"NAV\"))":67414.37,"FR0011400738^MSTAR_NAV(12/31/2022,12/31/2022)":55458.88,"^P_EXCH_RATE(USD,EUR,45132,45132)":0.90542805,"^P_EXCH_RATE(USD,EUR,12/31/2022,12/31/2022)":0.9369876,"LHMN2500^FG_TRET_PCHG_IDX(45132,0CY,,EUR,\"NET\")":5.7059971666255,"LHMN9006^FG_TRET_PCHG_IDX(45132,0CY,,EUR,\"NET\")":2.39979630135765,"892400^FG_TRET_PCHG_IDX(45132,0CY,,EUR,\"NET\")":13.3096176987735,"COMP^FG_PRICE(45132,,,EUR)/FG_PRICE(44926,,,EUR)-1":0.305896197844715,"SP50^FG_TRET_PCHG_IDX(45132,0CY,,EUR,\"NET\")":15.6959297866074,"183659^FG_TRET_PCHG_IDX(45132,0CY,,EUR,\"NET\")":15.7268822819276,"PXL-ENX^FG_TRET_PCHG_IDX(45132,0CY,,EUR,\"NET\")":16.9651745245685,"LHMN2500^FG_TRET_PCHG_IDX(45132,0CM,,EUR,\"NET\")":0.872546661169404,"LHMN9006^FG_TRET_PCHG_IDX(45132,0CM,,EUR,\"NET\")":0.133145624977282,"892400^FG_TRET_PCHG_IDX(45132,0CM,,EUR,\"NET\")":1.66478232155258,"SP50^FG_TRET_PCHG_IDX(45132,0CM,,EUR,\"NET\")":1.43400146732238,"183659^FG_TRET_PCHG_IDX(45132,0CM,,EUR,\"NET\")":0.802963820004177,"PXL-ENX^FG_TRET_PCHG_IDX(45132,0CM,,EUR,\"NET\")":0.266002092920803,"^P_EXCH_RATE(USD,EUR,45131,45131)":0.90252714999999994,"LHMN2500^FG_TRET_PCHG_IDX(45132,45131,,EUR,\"NET\")":0.106876627025243,"LHMN9006^FG_TRET_PCHG_IDX(45132,45131,,EUR,\"NET\")":-0.12648940681862,"892400^FG_TRET_PCHG_IDX(45132,45131,,EUR,\"NET\")":0.755398603628321,"COMP^FG_PRICE(45132,,,EUR)/FG_PRICE(45131,,,EUR)-1":0.00932883519480776,"SP50^FG_TRET_PCHG_IDX(45132,45131,,EUR,\"NET\")":0.605067628460287,"183659^FG_TRET_PCHG_IDX(45132,45131,,EUR,\"NET\")":0.205492278997998,"PXL-ENX^FG_TRET_PCHG_IDX(45132,45131,,EUR,\"NET\")":-0.159607035701859}]]></FdsFormulaCache>
</file>

<file path=customXml/itemProps1.xml><?xml version="1.0" encoding="utf-8"?>
<ds:datastoreItem xmlns:ds="http://schemas.openxmlformats.org/officeDocument/2006/customXml" ds:itemID="{15942E73-5294-41DE-A733-52D7D6A2D339}">
  <ds:schemaRefs>
    <ds:schemaRef ds:uri="urn:fdsformulacach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210723</vt:lpstr>
      <vt:lpstr>240723</vt:lpstr>
      <vt:lpstr>250723</vt:lpstr>
      <vt:lpstr>'210723'!DATEVL</vt:lpstr>
      <vt:lpstr>'240723'!DATEVL</vt:lpstr>
      <vt:lpstr>'250723'!DATEVL</vt:lpstr>
      <vt:lpstr>'210723'!INDICES</vt:lpstr>
      <vt:lpstr>'240723'!INDICES</vt:lpstr>
      <vt:lpstr>'250723'!INDICES</vt:lpstr>
      <vt:lpstr>'210723'!MOUVEMENTS</vt:lpstr>
      <vt:lpstr>'240723'!MOUVEMENTS</vt:lpstr>
      <vt:lpstr>'250723'!MOUVEMENTS</vt:lpstr>
      <vt:lpstr>'210723'!VARINDICES</vt:lpstr>
      <vt:lpstr>'240723'!VARINDICES</vt:lpstr>
      <vt:lpstr>'250723'!VARINDICES</vt:lpstr>
      <vt:lpstr>'210723'!VLC</vt:lpstr>
      <vt:lpstr>'240723'!VLC</vt:lpstr>
      <vt:lpstr>'250723'!VLC</vt:lpstr>
      <vt:lpstr>'210723'!Zone_d_impression</vt:lpstr>
      <vt:lpstr>'240723'!Zone_d_impression</vt:lpstr>
      <vt:lpstr>'250723'!Zone_d_impression</vt:lpstr>
    </vt:vector>
  </TitlesOfParts>
  <Company>La Financiere Tiepolo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GP</dc:creator>
  <cp:lastModifiedBy>Stagiaire GP</cp:lastModifiedBy>
  <dcterms:created xsi:type="dcterms:W3CDTF">2023-07-28T08:08:05Z</dcterms:created>
  <dcterms:modified xsi:type="dcterms:W3CDTF">2023-07-28T08:22:51Z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=fdsSearchOrder">
    <vt:i4>0</vt:i4>
  </property>
</Properties>
</file>