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idyafavreau/Documents/"/>
    </mc:Choice>
  </mc:AlternateContent>
  <xr:revisionPtr revIDLastSave="0" documentId="8_{25A03E1C-4FBC-7E4B-8759-0DF3D5C4EEBD}" xr6:coauthVersionLast="47" xr6:coauthVersionMax="47" xr10:uidLastSave="{00000000-0000-0000-0000-000000000000}"/>
  <bookViews>
    <workbookView xWindow="20" yWindow="460" windowWidth="25600" windowHeight="14160" activeTab="1" xr2:uid="{D0764BD5-EF41-F849-9E6A-B46EEA62A036}"/>
  </bookViews>
  <sheets>
    <sheet name="IJSS maladie" sheetId="18" r:id="rId1"/>
    <sheet name="Paramètres" sheetId="7" r:id="rId2"/>
  </sheets>
  <externalReferences>
    <externalReference r:id="rId3"/>
  </externalReferences>
  <definedNames>
    <definedName name="_absence" localSheetId="0">'IJSS maladie'!$AP$2:$AP$3</definedName>
    <definedName name="_absence">#REF!</definedName>
    <definedName name="_Annee" localSheetId="0">'IJSS maladie'!$B$2</definedName>
    <definedName name="_Annee">#REF!</definedName>
    <definedName name="_congé">Paramètres!#REF!</definedName>
    <definedName name="_Feries" localSheetId="0">Tableau1523[Date]</definedName>
    <definedName name="_Feries">#REF!</definedName>
    <definedName name="_Mois" localSheetId="0">'IJSS maladie'!$B$1</definedName>
    <definedName name="_Mois">#REF!</definedName>
    <definedName name="_PremJourMois" localSheetId="0">DATE('IJSS maladie'!_Annee,MONTH('IJSS maladie'!_Mois&amp;1),1)</definedName>
    <definedName name="_PremJourMois">DATE(_Annee,MONTH(_Mois&amp;1),1)</definedName>
    <definedName name="Ancienneté">[1]Parametres!$F$2:$F$7</definedName>
    <definedName name="l_Mois" localSheetId="0">t_Mois[Mois]</definedName>
    <definedName name="l_Mois">t_Mois[Mois]</definedName>
    <definedName name="OouN">[1]Parametres!$B$2:$B$3</definedName>
    <definedName name="t_Jour_férié" localSheetId="0">Tableau1523[#All]</definedName>
    <definedName name="t_Jour_férié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3" i="7" l="1"/>
  <c r="D53" i="7"/>
  <c r="F52" i="7"/>
  <c r="D52" i="7"/>
  <c r="F51" i="7"/>
  <c r="D51" i="7"/>
  <c r="F50" i="7"/>
  <c r="D50" i="7"/>
  <c r="F49" i="7"/>
  <c r="D49" i="7"/>
  <c r="F48" i="7"/>
  <c r="D48" i="7"/>
  <c r="F47" i="7"/>
  <c r="D47" i="7"/>
  <c r="F46" i="7"/>
  <c r="D46" i="7"/>
  <c r="F45" i="7"/>
  <c r="D45" i="7"/>
  <c r="F44" i="7"/>
  <c r="D44" i="7"/>
  <c r="F43" i="7"/>
  <c r="D43" i="7"/>
  <c r="F42" i="7"/>
  <c r="D42" i="7"/>
  <c r="F41" i="7"/>
  <c r="D41" i="7"/>
  <c r="F40" i="7"/>
  <c r="D40" i="7"/>
  <c r="F39" i="7"/>
  <c r="D39" i="7"/>
  <c r="F38" i="7"/>
  <c r="D38" i="7"/>
  <c r="F37" i="7"/>
  <c r="D37" i="7"/>
  <c r="F36" i="7"/>
  <c r="D36" i="7"/>
  <c r="F35" i="7"/>
  <c r="D35" i="7"/>
  <c r="F34" i="7"/>
  <c r="D34" i="7"/>
  <c r="F33" i="7"/>
  <c r="D33" i="7"/>
  <c r="F32" i="7"/>
  <c r="D32" i="7"/>
  <c r="F31" i="7"/>
  <c r="D31" i="7"/>
  <c r="F30" i="7"/>
  <c r="D30" i="7"/>
  <c r="F29" i="7"/>
  <c r="D29" i="7"/>
  <c r="F28" i="7"/>
  <c r="D28" i="7"/>
  <c r="F27" i="7"/>
  <c r="D27" i="7"/>
  <c r="F26" i="7"/>
  <c r="D26" i="7"/>
  <c r="F25" i="7"/>
  <c r="D25" i="7"/>
  <c r="F24" i="7"/>
  <c r="D24" i="7"/>
  <c r="F23" i="7"/>
  <c r="D23" i="7"/>
  <c r="F22" i="7"/>
  <c r="D22" i="7"/>
  <c r="F21" i="7"/>
  <c r="D21" i="7"/>
  <c r="F20" i="7"/>
  <c r="D20" i="7"/>
  <c r="F19" i="7"/>
  <c r="D19" i="7"/>
  <c r="F18" i="7"/>
  <c r="D18" i="7"/>
  <c r="D49" i="18" l="1"/>
  <c r="D50" i="18" s="1"/>
  <c r="E49" i="18"/>
  <c r="E50" i="18" s="1"/>
  <c r="C49" i="18"/>
  <c r="C50" i="18" s="1"/>
  <c r="G15" i="18"/>
  <c r="E72" i="18"/>
  <c r="D72" i="18" s="1"/>
  <c r="D63" i="18"/>
  <c r="D62" i="18"/>
  <c r="D61" i="18"/>
  <c r="D59" i="18"/>
  <c r="C53" i="18" l="1"/>
  <c r="C54" i="18" s="1"/>
  <c r="F30" i="18"/>
  <c r="E30" i="18"/>
  <c r="D30" i="18"/>
  <c r="C30" i="18"/>
  <c r="D36" i="18" s="1"/>
  <c r="G24" i="18"/>
  <c r="D31" i="18" s="1"/>
  <c r="G23" i="18"/>
  <c r="E31" i="18" s="1"/>
  <c r="D40" i="18" s="1"/>
  <c r="G22" i="18"/>
  <c r="F31" i="18" s="1"/>
  <c r="G16" i="18"/>
  <c r="C31" i="18" s="1"/>
  <c r="D35" i="18" s="1"/>
  <c r="AQ15" i="18"/>
  <c r="C15" i="18" a="1"/>
  <c r="C15" i="18" s="1"/>
  <c r="AQ14" i="18"/>
  <c r="C14" i="18" a="1"/>
  <c r="C14" i="18" s="1"/>
  <c r="AQ13" i="18"/>
  <c r="C13" i="18" a="1"/>
  <c r="C13" i="18" s="1"/>
  <c r="F65" i="18" s="1"/>
  <c r="F66" i="18" s="1"/>
  <c r="AQ12" i="18"/>
  <c r="AQ11" i="18"/>
  <c r="AQ8" i="18"/>
  <c r="AQ7" i="18"/>
  <c r="AQ6" i="18"/>
  <c r="AQ9" i="18" s="1"/>
  <c r="AQ10" i="18" s="1"/>
  <c r="AQ5" i="18"/>
  <c r="B5" i="18" a="1"/>
  <c r="B5" i="18" s="1"/>
  <c r="C5" i="18" s="1" a="1"/>
  <c r="C5" i="18" s="1"/>
  <c r="D5" i="18" s="1" a="1"/>
  <c r="D5" i="18" s="1"/>
  <c r="E5" i="18" s="1" a="1"/>
  <c r="E5" i="18" s="1"/>
  <c r="F5" i="18" s="1" a="1"/>
  <c r="F5" i="18" s="1"/>
  <c r="G5" i="18" s="1" a="1"/>
  <c r="G5" i="18" s="1"/>
  <c r="H5" i="18" s="1" a="1"/>
  <c r="H5" i="18" s="1"/>
  <c r="B6" i="18" s="1"/>
  <c r="C6" i="18" s="1"/>
  <c r="D6" i="18" s="1"/>
  <c r="E6" i="18" s="1"/>
  <c r="F6" i="18" s="1"/>
  <c r="G6" i="18" s="1"/>
  <c r="H6" i="18" s="1"/>
  <c r="B7" i="18" s="1"/>
  <c r="C7" i="18" s="1"/>
  <c r="D7" i="18" s="1"/>
  <c r="E7" i="18" s="1"/>
  <c r="F7" i="18" s="1"/>
  <c r="G7" i="18" s="1"/>
  <c r="H7" i="18" s="1"/>
  <c r="B8" i="18" s="1"/>
  <c r="C8" i="18" s="1"/>
  <c r="D8" i="18" s="1"/>
  <c r="E8" i="18" s="1"/>
  <c r="F8" i="18" s="1"/>
  <c r="G8" i="18" s="1"/>
  <c r="H8" i="18" s="1"/>
  <c r="B9" i="18" s="1"/>
  <c r="C9" i="18" s="1"/>
  <c r="D9" i="18" s="1"/>
  <c r="E9" i="18" s="1"/>
  <c r="F9" i="18" s="1"/>
  <c r="G9" i="18" s="1"/>
  <c r="H9" i="18" s="1"/>
  <c r="B10" i="18" s="1"/>
  <c r="C10" i="18" s="1"/>
  <c r="D10" i="18" s="1"/>
  <c r="E10" i="18" s="1"/>
  <c r="F10" i="18" s="1"/>
  <c r="G10" i="18" s="1"/>
  <c r="H10" i="18" s="1"/>
  <c r="J4" i="18" a="1"/>
  <c r="J4" i="18" s="1"/>
  <c r="AN3" i="18"/>
  <c r="AM3" i="18"/>
  <c r="AL3" i="18"/>
  <c r="AK3" i="18"/>
  <c r="AJ3" i="18"/>
  <c r="AI3" i="18"/>
  <c r="AH3" i="18"/>
  <c r="AG3" i="18"/>
  <c r="AF3" i="18"/>
  <c r="AE3" i="18"/>
  <c r="AD3" i="18"/>
  <c r="AC3" i="18"/>
  <c r="AB3" i="18"/>
  <c r="AA3" i="18"/>
  <c r="Z3" i="18"/>
  <c r="Y3" i="18"/>
  <c r="X3" i="18"/>
  <c r="W3" i="18"/>
  <c r="V3" i="18"/>
  <c r="U3" i="18"/>
  <c r="T3" i="18"/>
  <c r="S3" i="18"/>
  <c r="R3" i="18"/>
  <c r="Q3" i="18"/>
  <c r="P3" i="18"/>
  <c r="O3" i="18"/>
  <c r="N3" i="18"/>
  <c r="M3" i="18"/>
  <c r="L3" i="18"/>
  <c r="K3" i="18"/>
  <c r="J3" i="18"/>
  <c r="F67" i="18" l="1"/>
  <c r="F68" i="18" s="1"/>
  <c r="E76" i="18" s="1"/>
  <c r="D54" i="18"/>
  <c r="C55" i="18" s="1"/>
  <c r="C56" i="18" s="1"/>
  <c r="D42" i="18"/>
  <c r="D39" i="18"/>
  <c r="D41" i="18"/>
  <c r="D37" i="18"/>
  <c r="D38" i="18"/>
  <c r="K4" i="18"/>
  <c r="J5" i="18"/>
  <c r="L4" i="18" l="1"/>
  <c r="K5" i="18"/>
  <c r="M4" i="18" l="1"/>
  <c r="L5" i="18"/>
  <c r="M5" i="18" l="1"/>
  <c r="N4" i="18"/>
  <c r="O4" i="18" l="1"/>
  <c r="N5" i="18"/>
  <c r="P4" i="18" l="1"/>
  <c r="O5" i="18"/>
  <c r="Q4" i="18" l="1"/>
  <c r="P5" i="18"/>
  <c r="Q5" i="18" l="1"/>
  <c r="R4" i="18"/>
  <c r="S4" i="18" l="1"/>
  <c r="R5" i="18"/>
  <c r="T4" i="18" l="1"/>
  <c r="S5" i="18"/>
  <c r="U4" i="18" l="1"/>
  <c r="T5" i="18"/>
  <c r="U5" i="18" l="1"/>
  <c r="V4" i="18"/>
  <c r="W4" i="18" l="1"/>
  <c r="V5" i="18"/>
  <c r="X4" i="18" l="1"/>
  <c r="W5" i="18"/>
  <c r="Y4" i="18" l="1"/>
  <c r="X5" i="18"/>
  <c r="Y5" i="18" l="1"/>
  <c r="Z4" i="18"/>
  <c r="AA4" i="18" l="1"/>
  <c r="Z5" i="18"/>
  <c r="AB4" i="18" l="1"/>
  <c r="AA5" i="18"/>
  <c r="AC4" i="18" l="1"/>
  <c r="AB5" i="18"/>
  <c r="AC5" i="18" l="1"/>
  <c r="AD4" i="18"/>
  <c r="AE4" i="18" l="1"/>
  <c r="AD5" i="18"/>
  <c r="AF4" i="18" l="1"/>
  <c r="AE5" i="18"/>
  <c r="AG4" i="18" l="1"/>
  <c r="AF5" i="18"/>
  <c r="AG5" i="18" l="1"/>
  <c r="AH4" i="18"/>
  <c r="AI4" i="18" l="1"/>
  <c r="AH5" i="18"/>
  <c r="AJ4" i="18" l="1"/>
  <c r="AI5" i="18"/>
  <c r="AK4" i="18" l="1"/>
  <c r="AJ5" i="18"/>
  <c r="AK5" i="18" l="1"/>
  <c r="AL4" i="18" a="1"/>
  <c r="AL4" i="18" s="1"/>
  <c r="AM4" i="18" l="1" a="1"/>
  <c r="AM4" i="18" s="1"/>
  <c r="AL5" i="18"/>
  <c r="AM5" i="18" l="1"/>
  <c r="AN4" i="18" a="1"/>
  <c r="AN4" i="18" s="1"/>
  <c r="AN5" i="1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<sst xmlns="http://schemas.openxmlformats.org/spreadsheetml/2006/main" count="115" uniqueCount="106">
  <si>
    <t xml:space="preserve">Salaire de base : </t>
  </si>
  <si>
    <t>L</t>
  </si>
  <si>
    <t>M</t>
  </si>
  <si>
    <t>J</t>
  </si>
  <si>
    <t>V</t>
  </si>
  <si>
    <t>S</t>
  </si>
  <si>
    <t>D</t>
  </si>
  <si>
    <t>Mois 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</si>
  <si>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</si>
  <si>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</si>
  <si>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</si>
  <si>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</si>
  <si>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</si>
  <si>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</si>
  <si>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</si>
  <si>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</si>
  <si>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</si>
  <si>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</si>
  <si>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</si>
  <si>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</si>
  <si>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</si>
  <si>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</si>
  <si>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Jour de l'an</t>
  </si>
  <si>
    <t>Lundi de Pâques</t>
  </si>
  <si>
    <t>Fête du travail</t>
  </si>
  <si>
    <t>Victoire 39/45</t>
  </si>
  <si>
    <t>Ascension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</si>
  <si>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</si>
  <si>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</si>
  <si>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</si>
  <si>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</si>
  <si>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</si>
  <si>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</si>
  <si>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</si>
  <si>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Heures</t>
  </si>
  <si>
    <t xml:space="preserve">Absence du salarié : </t>
  </si>
  <si>
    <t xml:space="preserve">Du : </t>
  </si>
  <si>
    <t xml:space="preserve">Au : </t>
  </si>
  <si>
    <t>Inclus</t>
  </si>
  <si>
    <t>Jours ouvrés</t>
  </si>
  <si>
    <t>Jours ouvrables</t>
  </si>
  <si>
    <t xml:space="preserve">Jours calendaires </t>
  </si>
  <si>
    <t>L'absence correspond à :</t>
  </si>
  <si>
    <t>jours</t>
  </si>
  <si>
    <t>calendaires</t>
  </si>
  <si>
    <t xml:space="preserve">jours </t>
  </si>
  <si>
    <t>ouvrables</t>
  </si>
  <si>
    <t>ouvrés</t>
  </si>
  <si>
    <t>Durée moyennes :</t>
  </si>
  <si>
    <t xml:space="preserve">Durée réelles : </t>
  </si>
  <si>
    <t>Absences en heures réelles :</t>
  </si>
  <si>
    <t>Absences en heures moyennes :</t>
  </si>
  <si>
    <t xml:space="preserve">Absences en jours ouvrés réels : </t>
  </si>
  <si>
    <t>Absences en jours ouvrés moyens :</t>
  </si>
  <si>
    <t>Absences en jours ouvrables réels :</t>
  </si>
  <si>
    <t>Absences en jours ouvrables moyens :</t>
  </si>
  <si>
    <t>Absences en jours calendaires réels :</t>
  </si>
  <si>
    <t>Absences en jours calendaires moyens :</t>
  </si>
  <si>
    <t xml:space="preserve">Décomptes </t>
  </si>
  <si>
    <t xml:space="preserve">Heures hebdo : </t>
  </si>
  <si>
    <t xml:space="preserve">Année : </t>
  </si>
  <si>
    <t>F</t>
  </si>
  <si>
    <t xml:space="preserve">Heures d'absences : </t>
  </si>
  <si>
    <t>Heures réelles du mois :</t>
  </si>
  <si>
    <t>Type d'absence :</t>
  </si>
  <si>
    <t>CP</t>
  </si>
  <si>
    <t>MAL/AT/MAT/PAT</t>
  </si>
  <si>
    <t>Calcul complément employeur</t>
  </si>
  <si>
    <t>L'employeur complète à hauteur de 90 %</t>
  </si>
  <si>
    <t>Salaires</t>
  </si>
  <si>
    <t>OUI</t>
  </si>
  <si>
    <t>NON</t>
  </si>
  <si>
    <t>Base</t>
  </si>
  <si>
    <t>Taux</t>
  </si>
  <si>
    <t>A payer</t>
  </si>
  <si>
    <t>A déduire</t>
  </si>
  <si>
    <t>Paramètre de l'onglets</t>
  </si>
  <si>
    <t>Taux horaire</t>
  </si>
  <si>
    <t xml:space="preserve">Salaire de base </t>
  </si>
  <si>
    <t>TOTAL BRUT</t>
  </si>
  <si>
    <t>Jours ouvrés réels :</t>
  </si>
  <si>
    <t>Jours ouvrables réels :</t>
  </si>
  <si>
    <t>Jours calendaires réels :</t>
  </si>
  <si>
    <t>smic mensuel</t>
  </si>
  <si>
    <t>ANNEE 2023</t>
  </si>
  <si>
    <t>(formule à modifier)</t>
  </si>
  <si>
    <t>IJSS maladie</t>
  </si>
  <si>
    <t>Plafond SMIC</t>
  </si>
  <si>
    <t>PLAFOND IJSS accident du travail</t>
  </si>
  <si>
    <t>Calcul de l'absence (voir CCN)</t>
  </si>
  <si>
    <t xml:space="preserve">Calcul IJSS </t>
  </si>
  <si>
    <t>Plafond IJSS</t>
  </si>
  <si>
    <t>Salaire journalier de réf.</t>
  </si>
  <si>
    <t>IJSS brute journalière</t>
  </si>
  <si>
    <t xml:space="preserve">IJSS brutes   </t>
  </si>
  <si>
    <t>IJSS nettes (IJ brute - 6,7%)</t>
  </si>
  <si>
    <t>Carence du :</t>
  </si>
  <si>
    <t>Salaire que le salarié aurait perçu du 21 au 25/08/20220</t>
  </si>
  <si>
    <t xml:space="preserve">IJSS perçue durant cette période </t>
  </si>
  <si>
    <t>Complément employeur</t>
  </si>
  <si>
    <t>Salaires retenus</t>
  </si>
  <si>
    <t>SMIC horaire</t>
  </si>
  <si>
    <t>Plafond SS</t>
  </si>
  <si>
    <t>IJSS maximale les 28 premiers jours</t>
  </si>
  <si>
    <t>IJSS à compter du 29ème jour</t>
  </si>
  <si>
    <t>IJSS mat / pat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</si>
</sst>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6">
    <numFmt numFmtId="164" formatCode="#,##0.00\ &quot;€&quot;"/>
    <numFmt numFmtId="165" formatCode="d;d;&quot;&quot;"/>
    <numFmt numFmtId="167" formatCode="[$-F800]dddd\,\ mmmm\ dd\,\ yyyy"/>
    <numFmt numFmtId="168" formatCode=";;;"/>
    <numFmt numFmtId="169" formatCode="d"/>
    <numFmt numFmtId="170" formatCode="ddd"/>
    <numFmt numFmtId="171" formatCode="dd"/>
    <numFmt numFmtId="178" formatCode="_-* #,##0.00\ _€_-;\-* #,##0.00\ _€_-;_-* &quot;-&quot;??\ _€_-;_-@_-"/>
    <numFmt numFmtId="181" formatCode="General\ &quot;H&quot;"/>
    <numFmt numFmtId="182" formatCode="0.00\ &quot;H&quot;"/>
    <numFmt numFmtId="200" formatCode="mmmm\ yyyy"/>
    <numFmt numFmtId="203" formatCode="0\ &quot;jours&quot;"/>
    <numFmt numFmtId="205" formatCode="0\ &quot;jours ouvrés&quot;"/>
    <numFmt numFmtId="206" formatCode="0\ &quot;jours ouvrables&quot;"/>
    <numFmt numFmtId="207" formatCode="General\ &quot;jours calendaires&quot;"/>
    <numFmt numFmtId="209" formatCode="mm/yyyy"/>
  </numFmts>
  <fonts count="14">
    <font>
      <sz val="10"/>
      <color theme="1"/>
      <name val="ArialMT"/>
      <family val="2"/>
    </font>
    <font>
      <b/>
      <sz val="10"/>
      <color theme="1"/>
      <name val="ArialMT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name val="ArialMT"/>
      <family val="2"/>
    </font>
    <font>
      <sz val="9"/>
      <color theme="1"/>
      <name val="ArialMT"/>
      <family val="2"/>
    </font>
    <font>
      <sz val="10"/>
      <color theme="1"/>
      <name val="ArialMT"/>
      <family val="2"/>
    </font>
    <font>
      <b/>
      <sz val="10"/>
      <color theme="1"/>
      <name val="Arial"/>
      <family val="2"/>
    </font>
    <font>
      <b/>
      <sz val="9"/>
      <color theme="0"/>
      <name val="ArialMT"/>
    </font>
    <font>
      <b/>
      <sz val="9"/>
      <color theme="1"/>
      <name val="Arial"/>
      <family val="2"/>
    </font>
    <font>
      <sz val="9"/>
      <name val="Arial"/>
      <family val="2"/>
    </font>
    <font>
      <sz val="10"/>
      <name val="ArialMT"/>
      <family val="2"/>
    </font>
    <font>
      <b/>
      <u/>
      <sz val="10"/>
      <color theme="1"/>
      <name val="ArialMT"/>
    </font>
    <font>
      <b/>
      <sz val="9"/>
      <color rgb="FFFF0000"/>
      <name val="ArialMT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1" fillId="2" borderId="0" xfId="0" applyFont="1" applyFill="1" applyAlignment="1">
      <alignment vertical="center"/>
    </xf>
    <xf numFmtId="0" fontId="5" fillId="0" borderId="0" xfId="0" applyFont="1" applyAlignment="1">
      <alignment horizontal="left" vertical="center" inden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1" fontId="5" fillId="4" borderId="8" xfId="0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168" fontId="5" fillId="0" borderId="0" xfId="0" applyNumberFormat="1" applyFont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170" fontId="5" fillId="0" borderId="0" xfId="0" applyNumberFormat="1" applyFont="1" applyAlignment="1">
      <alignment horizontal="center" vertical="center"/>
    </xf>
    <xf numFmtId="171" fontId="5" fillId="0" borderId="0" xfId="0" applyNumberFormat="1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6" borderId="0" xfId="0" applyFont="1" applyFill="1" applyAlignment="1">
      <alignment horizontal="right" vertical="center"/>
    </xf>
    <xf numFmtId="0" fontId="5" fillId="0" borderId="13" xfId="0" applyFont="1" applyBorder="1" applyAlignment="1">
      <alignment horizontal="center" vertical="center"/>
    </xf>
    <xf numFmtId="167" fontId="5" fillId="0" borderId="10" xfId="0" applyNumberFormat="1" applyFont="1" applyBorder="1" applyAlignment="1">
      <alignment horizontal="center" vertical="center"/>
    </xf>
    <xf numFmtId="167" fontId="5" fillId="0" borderId="3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7" fontId="5" fillId="0" borderId="9" xfId="0" applyNumberFormat="1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5" fillId="0" borderId="15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5" fillId="0" borderId="0" xfId="0" applyNumberFormat="1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78" fontId="2" fillId="0" borderId="1" xfId="0" applyNumberFormat="1" applyFont="1" applyBorder="1" applyAlignment="1">
      <alignment vertical="center"/>
    </xf>
    <xf numFmtId="178" fontId="2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81" fontId="5" fillId="0" borderId="0" xfId="0" applyNumberFormat="1" applyFont="1" applyAlignment="1">
      <alignment horizontal="center" vertical="center"/>
    </xf>
    <xf numFmtId="181" fontId="5" fillId="5" borderId="6" xfId="0" applyNumberFormat="1" applyFont="1" applyFill="1" applyBorder="1" applyAlignment="1">
      <alignment horizontal="center" vertical="center"/>
    </xf>
    <xf numFmtId="182" fontId="5" fillId="4" borderId="8" xfId="0" applyNumberFormat="1" applyFont="1" applyFill="1" applyBorder="1" applyAlignment="1">
      <alignment horizontal="center" vertical="center"/>
    </xf>
    <xf numFmtId="1" fontId="1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vertical="center"/>
    </xf>
    <xf numFmtId="0" fontId="11" fillId="7" borderId="0" xfId="0" applyFont="1" applyFill="1" applyAlignment="1">
      <alignment vertical="center"/>
    </xf>
    <xf numFmtId="200" fontId="0" fillId="0" borderId="0" xfId="0" applyNumberFormat="1" applyAlignment="1">
      <alignment horizontal="left" vertical="center"/>
    </xf>
    <xf numFmtId="0" fontId="5" fillId="7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left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right" vertical="center"/>
    </xf>
    <xf numFmtId="167" fontId="13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vertical="center"/>
    </xf>
    <xf numFmtId="203" fontId="5" fillId="0" borderId="0" xfId="0" applyNumberFormat="1" applyFont="1" applyAlignment="1">
      <alignment horizontal="center" vertical="center"/>
    </xf>
    <xf numFmtId="206" fontId="5" fillId="0" borderId="0" xfId="0" applyNumberFormat="1" applyFont="1" applyAlignment="1">
      <alignment horizontal="left" vertical="center"/>
    </xf>
    <xf numFmtId="205" fontId="5" fillId="0" borderId="0" xfId="0" applyNumberFormat="1" applyFont="1" applyAlignment="1">
      <alignment horizontal="left" vertical="center"/>
    </xf>
    <xf numFmtId="207" fontId="5" fillId="0" borderId="0" xfId="0" applyNumberFormat="1" applyFont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5" fillId="0" borderId="0" xfId="0" applyNumberFormat="1" applyFont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207" fontId="5" fillId="0" borderId="0" xfId="0" applyNumberFormat="1" applyFont="1" applyAlignment="1">
      <alignment horizontal="left" vertical="center"/>
    </xf>
    <xf numFmtId="0" fontId="9" fillId="0" borderId="5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206" fontId="5" fillId="0" borderId="0" xfId="0" applyNumberFormat="1" applyFont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205" fontId="5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0" fontId="0" fillId="0" borderId="0" xfId="0" applyNumberFormat="1" applyAlignment="1">
      <alignment horizontal="center" vertical="center"/>
    </xf>
    <xf numFmtId="209" fontId="7" fillId="0" borderId="1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45621D80-57FB-8F4E-B738-7FD6FBEE4B13}"/>
    <cellStyle name="Normal 9" xfId="2" xr:uid="{0DD96425-DDC3-CB43-99FD-E84D81E310A2}"/>
  </cellStyles>
  <dxfs count="40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MT"/>
        <family val="2"/>
        <scheme val="none"/>
      </font>
      <numFmt numFmtId="167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M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 xr9:uid="{3AE9C818-9F44-C644-82CC-2740C1CADB41}"/>
  </tableStyles>
  <colors>
    <mruColors>
      <color rgb="FFC7FFB1"/>
      <color rgb="FFD5CAFF"/>
      <color rgb="FFC2FCFF"/>
      <color rgb="FFFFD1FF"/>
      <color rgb="FFE30000"/>
      <color rgb="FFE0BCAA"/>
      <color rgb="FFEB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2" max="2100" min="202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609600</xdr:colOff>
          <xdr:row>1</xdr:row>
          <xdr:rowOff>50800</xdr:rowOff>
        </xdr:from>
        <xdr:to>
          <xdr:col>1</xdr:col>
          <xdr:colOff>88900</xdr:colOff>
          <xdr:row>2</xdr:row>
          <xdr:rowOff>63500</xdr:rowOff>
        </xdr:to>
        <xdr:sp macro="" textlink="">
          <xdr:nvSpPr>
            <xdr:cNvPr id="37889" name="Spinner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1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dyafavreau/Library/Mobile%20Documents/com~apple~CloudDocs/LIDYA/ICADEMIE/TITRE%20PRO%20ARH/Examens/Calcul%20IJ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imulateur (2)"/>
      <sheetName val="Calcul IJ"/>
      <sheetName val="Parametres"/>
    </sheetNames>
    <sheetDataSet>
      <sheetData sheetId="0"/>
      <sheetData sheetId="1"/>
      <sheetData sheetId="2">
        <row r="2">
          <cell r="B2" t="str">
            <v>oui</v>
          </cell>
          <cell r="F2" t="str">
            <v>De 1 à 5 ans</v>
          </cell>
        </row>
        <row r="3">
          <cell r="B3" t="str">
            <v>non</v>
          </cell>
          <cell r="F3" t="str">
            <v>De 6 à 10 ans</v>
          </cell>
        </row>
        <row r="4">
          <cell r="F4" t="str">
            <v>De 11 à 15 ans</v>
          </cell>
        </row>
        <row r="5">
          <cell r="F5" t="str">
            <v>De 16 à 20 ans</v>
          </cell>
        </row>
        <row r="6">
          <cell r="F6" t="str">
            <v>De 26 à 30 ans</v>
          </cell>
        </row>
        <row r="7">
          <cell r="F7" t="str">
            <v>À partir de 31 ans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D5B7B736-CBA3-9548-8F82-65B95DBAD265}" name="Tableau1523" displayName="Tableau1523" ref="AP4:AQ15" totalsRowShown="0" headerRowDxfId="39" dataDxfId="37" headerRowBorderDxfId="38" tableBorderDxfId="36" totalsRowBorderDxfId="35">
  <autoFilter ref="AP4:AQ15" xr:uid="{F507BEF2-42E2-4549-9FF4-F9670C388777}">
    <filterColumn colId="0" hiddenButton="1"/>
    <filterColumn colId="1" hiddenButton="1"/>
  </autoFilter>
  <tableColumns count="2">
    <tableColumn id="1" xr3:uid="{944C243B-BCCE-5348-A15D-7B694896D620}" name="Jour férié" dataDxfId="34"/>
    <tableColumn id="2" xr3:uid="{5628F2AB-1CDB-C04A-A36C-F02CAC7B7C1D}" name="Date" dataDxfId="3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FBA35-DAEF-4200-81D2-5867EB24D01D}" name="t_Mois" displayName="t_Mois" ref="B2:B14" totalsRowShown="0" headerRowDxfId="32" dataDxfId="31">
  <autoFilter ref="B2:B14" xr:uid="{61FFBA35-DAEF-4200-81D2-5867EB24D01D}">
    <filterColumn colId="0" hiddenButton="1"/>
  </autoFilter>
  <tableColumns count="1">
    <tableColumn id="1" xr3:uid="{25F7C941-9244-40C7-99E0-2DD6A0D6EA5C}" name="Mois" dataDxfId="3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E84041E-93CA-6441-9BF7-B75566A72F7F}" name="Tableau23" displayName="Tableau23" ref="B62:D63" headerRowCount="0" totalsRowShown="0">
  <tableColumns count="3">
    <tableColumn id="1" xr3:uid="{3A75D158-CD29-9D4A-A451-1F92D327AECB}" name="Colonne1" headerRowDxfId="29" dataDxfId="28"/>
    <tableColumn id="2" xr3:uid="{550CD3EC-4177-2B47-9548-0CAF4BBE927C}" name="Colonne2" headerRowDxfId="27" dataDxfId="26"/>
    <tableColumn id="3" xr3:uid="{091792E5-F96C-CA4B-844D-221EB36361F5}" name="Colonne3" headerRowDxfId="25" dataDxfId="24"/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11C0738D-A6F3-544D-9051-C1A444B9D572}" name="Tableau740" displayName="Tableau740" ref="B17:H53" headerRowCount="0" totalsRowShown="0" headerRowDxfId="23" dataDxfId="22">
  <tableColumns count="7">
    <tableColumn id="1" xr3:uid="{7BBD6B0C-78C5-9142-9C29-389D723C053A}" name="Colonne1" headerRowDxfId="21" dataDxfId="20"/>
    <tableColumn id="2" xr3:uid="{3F29B167-D7FE-9A4F-859E-C5A6F4A88EF2}" name="Colonne2" headerRowDxfId="19" dataDxfId="18"/>
    <tableColumn id="3" xr3:uid="{201F846F-9216-6C4D-BBD4-31551C20F9B6}" name="Colonne3" headerRowDxfId="17" dataDxfId="16"/>
    <tableColumn id="4" xr3:uid="{3825CF0C-1334-CD4A-812C-1656791B1A15}" name="Colonne4" headerRowDxfId="15" dataDxfId="14"/>
    <tableColumn id="5" xr3:uid="{00890571-F785-CB47-8138-79EC294595AE}" name="Colonne5" headerRowDxfId="13" dataDxfId="12"/>
    <tableColumn id="6" xr3:uid="{F8692AD6-A0A3-3349-BCC4-E08F87A4E058}" name="Colonne6" headerRowDxfId="11" dataDxfId="10"/>
    <tableColumn id="7" xr3:uid="{BE46214A-2A5E-8E40-AC2F-BA0D759C1C20}" name="Colonne7" headerRowDxfId="9" dataDxfId="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16411-7C26-F144-AB80-E51396778B86}">
  <dimension ref="A1:AR76"/>
  <sheetViews>
    <sheetView showGridLines="0" topLeftCell="A39" zoomScale="110" zoomScaleNormal="110" workbookViewId="0">
      <selection activeCell="G44" sqref="G44"/>
    </sheetView>
  </sheetViews>
  <sheetFormatPr baseColWidth="10" defaultColWidth="11.6640625" defaultRowHeight="16.25" customHeight="1"/>
  <cols>
    <col min="1" max="1" width="10.83203125" style="6" customWidth="1"/>
    <col min="2" max="2" width="9.83203125" style="6" customWidth="1"/>
    <col min="3" max="3" width="9.83203125" style="7" customWidth="1"/>
    <col min="4" max="6" width="9.83203125" style="6" customWidth="1"/>
    <col min="7" max="7" width="9.83203125" style="35" customWidth="1"/>
    <col min="8" max="8" width="9.83203125" style="6" customWidth="1"/>
    <col min="9" max="9" width="6.5" style="6" customWidth="1"/>
    <col min="10" max="40" width="5" style="6" customWidth="1"/>
    <col min="41" max="41" width="11.6640625" style="6"/>
    <col min="42" max="42" width="16.33203125" style="7" customWidth="1"/>
    <col min="43" max="43" width="26.6640625" style="34" customWidth="1"/>
    <col min="44" max="44" width="11.6640625" style="6" customWidth="1"/>
    <col min="45" max="16384" width="11.6640625" style="6"/>
  </cols>
  <sheetData>
    <row r="1" spans="1:44" ht="16.25" customHeight="1" thickBot="1">
      <c r="A1" s="5" t="s">
        <v>7</v>
      </c>
      <c r="B1" s="5" t="s">
        <v>17</v>
      </c>
      <c r="E1" s="7"/>
      <c r="AP1" s="86" t="s">
        <v>76</v>
      </c>
      <c r="AQ1" s="87"/>
      <c r="AR1" s="44"/>
    </row>
    <row r="2" spans="1:44" ht="16.25" customHeight="1">
      <c r="A2" s="5" t="s">
        <v>60</v>
      </c>
      <c r="B2" s="5">
        <v>2022</v>
      </c>
      <c r="AP2" s="42" t="s">
        <v>65</v>
      </c>
      <c r="AR2" s="45" t="s">
        <v>6</v>
      </c>
    </row>
    <row r="3" spans="1:44" ht="16.25" customHeight="1" thickBot="1">
      <c r="J3" s="25">
        <f>J6</f>
        <v>0</v>
      </c>
      <c r="K3" s="25">
        <f t="shared" ref="K3:AN3" si="0">K6</f>
        <v>0</v>
      </c>
      <c r="L3" s="25">
        <f t="shared" si="0"/>
        <v>0</v>
      </c>
      <c r="M3" s="25">
        <f t="shared" si="0"/>
        <v>0</v>
      </c>
      <c r="N3" s="25">
        <f t="shared" si="0"/>
        <v>0</v>
      </c>
      <c r="O3" s="25">
        <f t="shared" si="0"/>
        <v>0</v>
      </c>
      <c r="P3" s="25">
        <f t="shared" si="0"/>
        <v>0</v>
      </c>
      <c r="Q3" s="25">
        <f t="shared" si="0"/>
        <v>0</v>
      </c>
      <c r="R3" s="25">
        <f t="shared" si="0"/>
        <v>0</v>
      </c>
      <c r="S3" s="25">
        <f t="shared" si="0"/>
        <v>0</v>
      </c>
      <c r="T3" s="25">
        <f t="shared" si="0"/>
        <v>0</v>
      </c>
      <c r="U3" s="25">
        <f t="shared" si="0"/>
        <v>0</v>
      </c>
      <c r="V3" s="25">
        <f t="shared" si="0"/>
        <v>0</v>
      </c>
      <c r="W3" s="25">
        <f t="shared" si="0"/>
        <v>0</v>
      </c>
      <c r="X3" s="25" t="str">
        <f t="shared" si="0"/>
        <v>D</v>
      </c>
      <c r="Y3" s="25">
        <f t="shared" si="0"/>
        <v>0</v>
      </c>
      <c r="Z3" s="25">
        <f t="shared" si="0"/>
        <v>0</v>
      </c>
      <c r="AA3" s="25">
        <f t="shared" si="0"/>
        <v>0</v>
      </c>
      <c r="AB3" s="25">
        <f t="shared" si="0"/>
        <v>0</v>
      </c>
      <c r="AC3" s="25">
        <f t="shared" si="0"/>
        <v>0</v>
      </c>
      <c r="AD3" s="25">
        <f t="shared" si="0"/>
        <v>0</v>
      </c>
      <c r="AE3" s="25">
        <f t="shared" si="0"/>
        <v>0</v>
      </c>
      <c r="AF3" s="25">
        <f t="shared" si="0"/>
        <v>0</v>
      </c>
      <c r="AG3" s="25">
        <f t="shared" si="0"/>
        <v>0</v>
      </c>
      <c r="AH3" s="25">
        <f t="shared" si="0"/>
        <v>0</v>
      </c>
      <c r="AI3" s="25">
        <f t="shared" si="0"/>
        <v>0</v>
      </c>
      <c r="AJ3" s="25">
        <f t="shared" si="0"/>
        <v>0</v>
      </c>
      <c r="AK3" s="25">
        <f t="shared" si="0"/>
        <v>0</v>
      </c>
      <c r="AL3" s="25">
        <f t="shared" si="0"/>
        <v>0</v>
      </c>
      <c r="AM3" s="25" t="str">
        <f t="shared" si="0"/>
        <v>F</v>
      </c>
      <c r="AN3" s="25">
        <f t="shared" si="0"/>
        <v>0</v>
      </c>
      <c r="AP3" s="43" t="s">
        <v>66</v>
      </c>
      <c r="AR3" s="46" t="s">
        <v>61</v>
      </c>
    </row>
    <row r="4" spans="1:44" s="7" customFormat="1" ht="16.25" customHeight="1">
      <c r="B4" s="8" t="s">
        <v>1</v>
      </c>
      <c r="C4" s="8" t="s">
        <v>2</v>
      </c>
      <c r="D4" s="8" t="s">
        <v>2</v>
      </c>
      <c r="E4" s="13" t="s">
        <v>3</v>
      </c>
      <c r="F4" s="8" t="s">
        <v>4</v>
      </c>
      <c r="G4" s="8" t="s">
        <v>5</v>
      </c>
      <c r="H4" s="8" t="s">
        <v>6</v>
      </c>
      <c r="J4" s="26" cm="1">
        <f t="array" ref="J4">_PremJourMois</f>
        <v>44805</v>
      </c>
      <c r="K4" s="26">
        <f>J4+1</f>
        <v>44806</v>
      </c>
      <c r="L4" s="26">
        <f t="shared" ref="L4:AK4" si="1">K4+1</f>
        <v>44807</v>
      </c>
      <c r="M4" s="26">
        <f t="shared" si="1"/>
        <v>44808</v>
      </c>
      <c r="N4" s="26">
        <f t="shared" si="1"/>
        <v>44809</v>
      </c>
      <c r="O4" s="26">
        <f t="shared" si="1"/>
        <v>44810</v>
      </c>
      <c r="P4" s="26">
        <f t="shared" si="1"/>
        <v>44811</v>
      </c>
      <c r="Q4" s="26">
        <f t="shared" si="1"/>
        <v>44812</v>
      </c>
      <c r="R4" s="26">
        <f t="shared" si="1"/>
        <v>44813</v>
      </c>
      <c r="S4" s="26">
        <f t="shared" si="1"/>
        <v>44814</v>
      </c>
      <c r="T4" s="26">
        <f t="shared" si="1"/>
        <v>44815</v>
      </c>
      <c r="U4" s="26">
        <f t="shared" si="1"/>
        <v>44816</v>
      </c>
      <c r="V4" s="26">
        <f t="shared" si="1"/>
        <v>44817</v>
      </c>
      <c r="W4" s="26">
        <f t="shared" si="1"/>
        <v>44818</v>
      </c>
      <c r="X4" s="26">
        <f t="shared" si="1"/>
        <v>44819</v>
      </c>
      <c r="Y4" s="26">
        <f t="shared" si="1"/>
        <v>44820</v>
      </c>
      <c r="Z4" s="26">
        <f t="shared" si="1"/>
        <v>44821</v>
      </c>
      <c r="AA4" s="26">
        <f t="shared" si="1"/>
        <v>44822</v>
      </c>
      <c r="AB4" s="26">
        <f t="shared" si="1"/>
        <v>44823</v>
      </c>
      <c r="AC4" s="26">
        <f t="shared" si="1"/>
        <v>44824</v>
      </c>
      <c r="AD4" s="26">
        <f t="shared" si="1"/>
        <v>44825</v>
      </c>
      <c r="AE4" s="26">
        <f t="shared" si="1"/>
        <v>44826</v>
      </c>
      <c r="AF4" s="26">
        <f t="shared" si="1"/>
        <v>44827</v>
      </c>
      <c r="AG4" s="26">
        <f t="shared" si="1"/>
        <v>44828</v>
      </c>
      <c r="AH4" s="26">
        <f t="shared" si="1"/>
        <v>44829</v>
      </c>
      <c r="AI4" s="26">
        <f t="shared" si="1"/>
        <v>44830</v>
      </c>
      <c r="AJ4" s="26">
        <f t="shared" si="1"/>
        <v>44831</v>
      </c>
      <c r="AK4" s="26">
        <f t="shared" si="1"/>
        <v>44832</v>
      </c>
      <c r="AL4" s="26" cm="1">
        <f t="array" ref="AL4">IFERROR(IF(MONTH(AK4+1)=MONTH(_PremJourMois),AK4+1,""),"")</f>
        <v>44833</v>
      </c>
      <c r="AM4" s="26" cm="1">
        <f t="array" ref="AM4">IFERROR(IF(MONTH(AL4+1)=MONTH(_PremJourMois),AL4+1,""),"")</f>
        <v>44834</v>
      </c>
      <c r="AN4" s="26" t="str" cm="1">
        <f t="array" ref="AN4">IFERROR(IF(MONTH(AM4+1)=MONTH(_PremJourMois),AM4+1,""),"")</f>
        <v/>
      </c>
      <c r="AP4" s="37" t="s">
        <v>21</v>
      </c>
      <c r="AQ4" s="38" t="s">
        <v>33</v>
      </c>
    </row>
    <row r="5" spans="1:44" s="7" customFormat="1" ht="16.25" customHeight="1">
      <c r="B5" s="9" cm="1">
        <f t="array" ref="B5">IF(WEEKDAY(_PremJourMois,2)=COLUMN()-1,_PremJourMois,IF(A5&gt;0,A5+1,0))</f>
        <v>0</v>
      </c>
      <c r="C5" s="9" cm="1">
        <f t="array" ref="C5">IF(WEEKDAY(_PremJourMois,2)=COLUMN()-1,_PremJourMois,IF(B5&gt;0,B5+1,0))</f>
        <v>0</v>
      </c>
      <c r="D5" s="9" cm="1">
        <f t="array" ref="D5">IF(WEEKDAY(_PremJourMois,2)=COLUMN()-1,_PremJourMois,IF(C5&gt;0,C5+1,0))</f>
        <v>0</v>
      </c>
      <c r="E5" s="14" cm="1">
        <f t="array" ref="E5">IF(WEEKDAY(_PremJourMois,2)=COLUMN()-1,_PremJourMois,IF(D5&gt;0,D5+1,0))</f>
        <v>44805</v>
      </c>
      <c r="F5" s="9" cm="1">
        <f t="array" ref="F5">IF(WEEKDAY(_PremJourMois,2)=COLUMN()-1,_PremJourMois,IF(E5&gt;0,E5+1,0))</f>
        <v>44806</v>
      </c>
      <c r="G5" s="9" cm="1">
        <f t="array" ref="G5">IF(WEEKDAY(_PremJourMois,2)=COLUMN()-1,_PremJourMois,IF(F5&gt;0,F5+1,0))</f>
        <v>44807</v>
      </c>
      <c r="H5" s="9" cm="1">
        <f t="array" ref="H5">IF(WEEKDAY(_PremJourMois,2)=COLUMN()-1,_PremJourMois,IF(G5&gt;0,G5+1,0))</f>
        <v>44808</v>
      </c>
      <c r="J5" s="27">
        <f>J4</f>
        <v>44805</v>
      </c>
      <c r="K5" s="27">
        <f t="shared" ref="K5:AN5" si="2">K4</f>
        <v>44806</v>
      </c>
      <c r="L5" s="27">
        <f t="shared" si="2"/>
        <v>44807</v>
      </c>
      <c r="M5" s="27">
        <f t="shared" si="2"/>
        <v>44808</v>
      </c>
      <c r="N5" s="27">
        <f t="shared" si="2"/>
        <v>44809</v>
      </c>
      <c r="O5" s="27">
        <f t="shared" si="2"/>
        <v>44810</v>
      </c>
      <c r="P5" s="27">
        <f t="shared" si="2"/>
        <v>44811</v>
      </c>
      <c r="Q5" s="27">
        <f t="shared" si="2"/>
        <v>44812</v>
      </c>
      <c r="R5" s="27">
        <f t="shared" si="2"/>
        <v>44813</v>
      </c>
      <c r="S5" s="27">
        <f t="shared" si="2"/>
        <v>44814</v>
      </c>
      <c r="T5" s="27">
        <f t="shared" si="2"/>
        <v>44815</v>
      </c>
      <c r="U5" s="27">
        <f t="shared" si="2"/>
        <v>44816</v>
      </c>
      <c r="V5" s="27">
        <f t="shared" si="2"/>
        <v>44817</v>
      </c>
      <c r="W5" s="27">
        <f t="shared" si="2"/>
        <v>44818</v>
      </c>
      <c r="X5" s="27">
        <f t="shared" si="2"/>
        <v>44819</v>
      </c>
      <c r="Y5" s="27">
        <f t="shared" si="2"/>
        <v>44820</v>
      </c>
      <c r="Z5" s="27">
        <f t="shared" si="2"/>
        <v>44821</v>
      </c>
      <c r="AA5" s="27">
        <f t="shared" si="2"/>
        <v>44822</v>
      </c>
      <c r="AB5" s="27">
        <f t="shared" si="2"/>
        <v>44823</v>
      </c>
      <c r="AC5" s="27">
        <f t="shared" si="2"/>
        <v>44824</v>
      </c>
      <c r="AD5" s="27">
        <f t="shared" si="2"/>
        <v>44825</v>
      </c>
      <c r="AE5" s="27">
        <f t="shared" si="2"/>
        <v>44826</v>
      </c>
      <c r="AF5" s="27">
        <f t="shared" si="2"/>
        <v>44827</v>
      </c>
      <c r="AG5" s="27">
        <f t="shared" si="2"/>
        <v>44828</v>
      </c>
      <c r="AH5" s="27">
        <f t="shared" si="2"/>
        <v>44829</v>
      </c>
      <c r="AI5" s="27">
        <f t="shared" si="2"/>
        <v>44830</v>
      </c>
      <c r="AJ5" s="27">
        <f t="shared" si="2"/>
        <v>44831</v>
      </c>
      <c r="AK5" s="27">
        <f t="shared" si="2"/>
        <v>44832</v>
      </c>
      <c r="AL5" s="27">
        <f t="shared" si="2"/>
        <v>44833</v>
      </c>
      <c r="AM5" s="27">
        <f t="shared" si="2"/>
        <v>44834</v>
      </c>
      <c r="AN5" s="27" t="str">
        <f t="shared" si="2"/>
        <v/>
      </c>
      <c r="AP5" s="13" t="s">
        <v>22</v>
      </c>
      <c r="AQ5" s="39">
        <f>DATE(_Annee,1,1)</f>
        <v>44562</v>
      </c>
    </row>
    <row r="6" spans="1:44" s="7" customFormat="1" ht="16.25" customHeight="1">
      <c r="B6" s="9">
        <f>H5+1</f>
        <v>44809</v>
      </c>
      <c r="C6" s="9">
        <f>B6+1</f>
        <v>44810</v>
      </c>
      <c r="D6" s="9">
        <f t="shared" ref="D6:H8" si="3">C6+1</f>
        <v>44811</v>
      </c>
      <c r="E6" s="14">
        <f t="shared" si="3"/>
        <v>44812</v>
      </c>
      <c r="F6" s="9">
        <f t="shared" si="3"/>
        <v>44813</v>
      </c>
      <c r="G6" s="9">
        <f t="shared" si="3"/>
        <v>44814</v>
      </c>
      <c r="H6" s="9">
        <f t="shared" si="3"/>
        <v>44815</v>
      </c>
      <c r="X6" s="7" t="s">
        <v>6</v>
      </c>
      <c r="AM6" s="7" t="s">
        <v>61</v>
      </c>
      <c r="AP6" s="13" t="s">
        <v>23</v>
      </c>
      <c r="AQ6" s="39">
        <f>FLOOR(DAY(MINUTE(_Annee/38)/2+56)&amp;"/5/"&amp;_Annee,7)-33</f>
        <v>44669</v>
      </c>
    </row>
    <row r="7" spans="1:44" s="7" customFormat="1" ht="16.25" customHeight="1">
      <c r="B7" s="9">
        <f>H6+1</f>
        <v>44816</v>
      </c>
      <c r="C7" s="9">
        <f>B7+1</f>
        <v>44817</v>
      </c>
      <c r="D7" s="9">
        <f t="shared" si="3"/>
        <v>44818</v>
      </c>
      <c r="E7" s="14">
        <f t="shared" si="3"/>
        <v>44819</v>
      </c>
      <c r="F7" s="9">
        <f t="shared" si="3"/>
        <v>44820</v>
      </c>
      <c r="G7" s="9">
        <f t="shared" si="3"/>
        <v>44821</v>
      </c>
      <c r="H7" s="9">
        <f t="shared" si="3"/>
        <v>44822</v>
      </c>
      <c r="J7" s="7">
        <v>7</v>
      </c>
      <c r="K7" s="7">
        <v>7</v>
      </c>
      <c r="N7" s="7">
        <v>7</v>
      </c>
      <c r="O7" s="7">
        <v>7</v>
      </c>
      <c r="P7" s="7">
        <v>7</v>
      </c>
      <c r="Q7" s="7">
        <v>7</v>
      </c>
      <c r="R7" s="7">
        <v>7</v>
      </c>
      <c r="U7" s="7">
        <v>7</v>
      </c>
      <c r="V7" s="7">
        <v>7</v>
      </c>
      <c r="W7" s="7">
        <v>7</v>
      </c>
      <c r="X7" s="7">
        <v>7</v>
      </c>
      <c r="Y7" s="7">
        <v>7</v>
      </c>
      <c r="AB7" s="7">
        <v>7</v>
      </c>
      <c r="AC7" s="7">
        <v>7</v>
      </c>
      <c r="AD7" s="7">
        <v>7</v>
      </c>
      <c r="AE7" s="7">
        <v>7</v>
      </c>
      <c r="AF7" s="7">
        <v>7</v>
      </c>
      <c r="AI7" s="7">
        <v>7</v>
      </c>
      <c r="AJ7" s="7">
        <v>7</v>
      </c>
      <c r="AK7" s="7">
        <v>7</v>
      </c>
      <c r="AL7" s="7">
        <v>7</v>
      </c>
      <c r="AM7" s="7">
        <v>7</v>
      </c>
      <c r="AP7" s="13" t="s">
        <v>24</v>
      </c>
      <c r="AQ7" s="39">
        <f>DATE(_Annee,5,1)</f>
        <v>44682</v>
      </c>
    </row>
    <row r="8" spans="1:44" s="7" customFormat="1" ht="16.25" customHeight="1">
      <c r="B8" s="9">
        <f>H7+1</f>
        <v>44823</v>
      </c>
      <c r="C8" s="9">
        <f>B8+1</f>
        <v>44824</v>
      </c>
      <c r="D8" s="9">
        <f t="shared" si="3"/>
        <v>44825</v>
      </c>
      <c r="E8" s="14">
        <f t="shared" si="3"/>
        <v>44826</v>
      </c>
      <c r="F8" s="9">
        <f t="shared" si="3"/>
        <v>44827</v>
      </c>
      <c r="G8" s="9">
        <f t="shared" si="3"/>
        <v>44828</v>
      </c>
      <c r="H8" s="9">
        <f t="shared" si="3"/>
        <v>44829</v>
      </c>
      <c r="AP8" s="13" t="s">
        <v>25</v>
      </c>
      <c r="AQ8" s="39">
        <f>DATE(_Annee,5,8)</f>
        <v>44689</v>
      </c>
    </row>
    <row r="9" spans="1:44" s="7" customFormat="1" ht="16.25" customHeight="1">
      <c r="B9" s="9">
        <f>IFERROR(IF(MONTH(H8+1)=MONTH(_Mois&amp;1),H8+1,""),"")</f>
        <v>44830</v>
      </c>
      <c r="C9" s="9">
        <f t="shared" ref="C9:H10" si="4">IFERROR(IF(MONTH(B9+1)=MONTH(_Mois&amp;1),B9+1,""),"")</f>
        <v>44831</v>
      </c>
      <c r="D9" s="9">
        <f t="shared" si="4"/>
        <v>44832</v>
      </c>
      <c r="E9" s="10">
        <f t="shared" si="4"/>
        <v>44833</v>
      </c>
      <c r="F9" s="10">
        <f>IFERROR(IF(MONTH(E9+1)=MONTH(_Mois&amp;1),E9+1,""),"")</f>
        <v>44834</v>
      </c>
      <c r="G9" s="10" t="str">
        <f>IFERROR(IF(MONTH(F9+1)=MONTH(_Mois&amp;1),F9+1,""),"")</f>
        <v/>
      </c>
      <c r="H9" s="10" t="str">
        <f t="shared" si="4"/>
        <v/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P9" s="13" t="s">
        <v>26</v>
      </c>
      <c r="AQ9" s="39">
        <f>AQ6+38</f>
        <v>44707</v>
      </c>
    </row>
    <row r="10" spans="1:44" s="7" customFormat="1" ht="16.25" customHeight="1">
      <c r="B10" s="11" t="str">
        <f>IFERROR(IF(MONTH(H9+1)=MONTH(_Mois&amp;1),H9+1,""),"")</f>
        <v/>
      </c>
      <c r="C10" s="11" t="str">
        <f t="shared" si="4"/>
        <v/>
      </c>
      <c r="D10" s="11" t="str">
        <f t="shared" si="4"/>
        <v/>
      </c>
      <c r="E10" s="11" t="str">
        <f t="shared" si="4"/>
        <v/>
      </c>
      <c r="F10" s="11" t="str">
        <f t="shared" si="4"/>
        <v/>
      </c>
      <c r="G10" s="11" t="str">
        <f t="shared" si="4"/>
        <v/>
      </c>
      <c r="H10" s="11" t="str">
        <f t="shared" si="4"/>
        <v/>
      </c>
      <c r="J10" s="6"/>
      <c r="K10" s="6"/>
      <c r="L10" s="28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P10" s="13" t="s">
        <v>27</v>
      </c>
      <c r="AQ10" s="39">
        <f>AQ9+11</f>
        <v>44718</v>
      </c>
    </row>
    <row r="11" spans="1:44" ht="16.25" customHeight="1">
      <c r="G11" s="7"/>
      <c r="AP11" s="13" t="s">
        <v>28</v>
      </c>
      <c r="AQ11" s="39">
        <f>DATE(_Annee,7,14)</f>
        <v>44756</v>
      </c>
    </row>
    <row r="12" spans="1:44" ht="16.25" customHeight="1">
      <c r="G12" s="7"/>
      <c r="M12" s="7"/>
      <c r="Q12" s="79"/>
      <c r="R12" s="79"/>
      <c r="AP12" s="13" t="s">
        <v>29</v>
      </c>
      <c r="AQ12" s="39">
        <f>DATE(_Annee,8,15)</f>
        <v>44788</v>
      </c>
    </row>
    <row r="13" spans="1:44" ht="16.25" customHeight="1">
      <c r="A13" s="6" t="s">
        <v>80</v>
      </c>
      <c r="C13" s="21" cm="1">
        <f t="array" ref="C13">NETWORKDAYS(_PremJourMois,EOMONTH(_PremJourMois,0))</f>
        <v>22</v>
      </c>
      <c r="E13" s="6" t="s">
        <v>0</v>
      </c>
      <c r="G13" s="54">
        <v>2900</v>
      </c>
      <c r="M13" s="7"/>
      <c r="Q13" s="79"/>
      <c r="R13" s="79"/>
      <c r="AP13" s="13" t="s">
        <v>30</v>
      </c>
      <c r="AQ13" s="39">
        <f>DATE(_Annee,11,1)</f>
        <v>44866</v>
      </c>
    </row>
    <row r="14" spans="1:44" ht="16.25" customHeight="1">
      <c r="A14" s="6" t="s">
        <v>81</v>
      </c>
      <c r="C14" s="21" cm="1">
        <f t="array" ref="C14">NETWORKDAYS.INTL(_PremJourMois,EOMONTH(_PremJourMois,0),11)</f>
        <v>26</v>
      </c>
      <c r="E14" s="6" t="s">
        <v>59</v>
      </c>
      <c r="G14" s="55">
        <v>35</v>
      </c>
      <c r="M14" s="7"/>
      <c r="V14" s="60"/>
      <c r="AP14" s="13" t="s">
        <v>31</v>
      </c>
      <c r="AQ14" s="39">
        <f>DATE(_Annee,11,11)</f>
        <v>44876</v>
      </c>
    </row>
    <row r="15" spans="1:44" ht="16.25" customHeight="1">
      <c r="A15" s="6" t="s">
        <v>82</v>
      </c>
      <c r="C15" s="21" cm="1">
        <f t="array" ref="C15">DATEDIF(_PremJourMois,EOMONTH(_PremJourMois,0)+1,"d")</f>
        <v>30</v>
      </c>
      <c r="E15" s="6" t="s">
        <v>62</v>
      </c>
      <c r="G15" s="55">
        <f>SUM(X7:AM7)</f>
        <v>84</v>
      </c>
      <c r="H15" s="61" t="s">
        <v>85</v>
      </c>
      <c r="I15" s="63"/>
      <c r="M15" s="7"/>
      <c r="Q15" s="79"/>
      <c r="R15" s="79"/>
      <c r="AP15" s="40" t="s">
        <v>32</v>
      </c>
      <c r="AQ15" s="41">
        <f>DATE(_Annee,12,25)</f>
        <v>44920</v>
      </c>
    </row>
    <row r="16" spans="1:44" ht="16.25" customHeight="1">
      <c r="E16" s="6" t="s">
        <v>63</v>
      </c>
      <c r="G16" s="55">
        <f>SUM(J7:AN7)</f>
        <v>154</v>
      </c>
      <c r="M16" s="7"/>
      <c r="Q16" s="79"/>
      <c r="R16" s="88"/>
    </row>
    <row r="17" spans="1:18" ht="16.25" customHeight="1">
      <c r="M17" s="7"/>
    </row>
    <row r="18" spans="1:18" ht="16.25" customHeight="1">
      <c r="E18" s="30" t="s">
        <v>64</v>
      </c>
      <c r="F18" s="30"/>
      <c r="G18" s="36" t="s">
        <v>66</v>
      </c>
      <c r="M18" s="7"/>
      <c r="Q18" s="79"/>
      <c r="R18" s="88"/>
    </row>
    <row r="19" spans="1:18" ht="16.25" customHeight="1">
      <c r="M19" s="7"/>
      <c r="Q19" s="79"/>
      <c r="R19" s="88"/>
    </row>
    <row r="20" spans="1:18" ht="16.25" customHeight="1">
      <c r="M20" s="7"/>
    </row>
    <row r="21" spans="1:18" ht="16.25" customHeight="1">
      <c r="A21" s="6" t="s">
        <v>35</v>
      </c>
      <c r="E21" s="6" t="s">
        <v>42</v>
      </c>
      <c r="M21" s="7"/>
      <c r="Q21" s="79"/>
      <c r="R21" s="88"/>
    </row>
    <row r="22" spans="1:18" ht="16.25" customHeight="1">
      <c r="A22" s="6" t="s">
        <v>36</v>
      </c>
      <c r="B22" s="29">
        <v>44819</v>
      </c>
      <c r="E22" s="6" t="s">
        <v>39</v>
      </c>
      <c r="G22" s="21">
        <f>IFERROR(IF($G$18=$AP$2,(NETWORKDAYS($B$22,$B$23,_Feries)),IF($G$18=$AP$3,(NETWORKDAYS($B$22,$B$23)),"")),"")</f>
        <v>12</v>
      </c>
      <c r="H22" s="58"/>
      <c r="M22" s="7"/>
      <c r="Q22" s="79"/>
      <c r="R22" s="88"/>
    </row>
    <row r="23" spans="1:18" ht="16.25" customHeight="1">
      <c r="A23" s="6" t="s">
        <v>37</v>
      </c>
      <c r="B23" s="29">
        <v>44834</v>
      </c>
      <c r="C23" s="7" t="s">
        <v>38</v>
      </c>
      <c r="E23" s="6" t="s">
        <v>40</v>
      </c>
      <c r="G23" s="21">
        <f>IFERROR(IF($G$18=$AP$2,(NETWORKDAYS.INTL($B$22,$B$23,11)),IF($G$18=$AP$3,(NETWORKDAYS.INTL($B$22,$B$23,11)),"")),)</f>
        <v>14</v>
      </c>
      <c r="H23" s="58"/>
    </row>
    <row r="24" spans="1:18" ht="16.25" customHeight="1">
      <c r="E24" s="6" t="s">
        <v>41</v>
      </c>
      <c r="G24" s="21">
        <f>IFERROR(B23-B22+1,"")</f>
        <v>16</v>
      </c>
      <c r="H24" s="59"/>
    </row>
    <row r="28" spans="1:18" ht="16.25" customHeight="1">
      <c r="A28" s="82" t="s">
        <v>58</v>
      </c>
      <c r="B28" s="83"/>
      <c r="C28" s="80" t="s">
        <v>34</v>
      </c>
      <c r="D28" s="15" t="s">
        <v>43</v>
      </c>
      <c r="E28" s="15" t="s">
        <v>45</v>
      </c>
      <c r="F28" s="15" t="s">
        <v>43</v>
      </c>
    </row>
    <row r="29" spans="1:18" ht="16.25" customHeight="1">
      <c r="A29" s="84"/>
      <c r="B29" s="85"/>
      <c r="C29" s="81"/>
      <c r="D29" s="16" t="s">
        <v>44</v>
      </c>
      <c r="E29" s="16" t="s">
        <v>46</v>
      </c>
      <c r="F29" s="16" t="s">
        <v>47</v>
      </c>
    </row>
    <row r="30" spans="1:18" ht="16.25" customHeight="1">
      <c r="A30" s="17" t="s">
        <v>48</v>
      </c>
      <c r="B30" s="18"/>
      <c r="C30" s="57">
        <f>(G14*52)/12</f>
        <v>151.66666666666666</v>
      </c>
      <c r="D30" s="22">
        <f>ROUND(360/12,0)</f>
        <v>30</v>
      </c>
      <c r="E30" s="23">
        <f>ROUND(6*52/12,0)</f>
        <v>26</v>
      </c>
      <c r="F30" s="23">
        <f>ROUND(5*52/12,0)</f>
        <v>22</v>
      </c>
    </row>
    <row r="31" spans="1:18" ht="16.25" customHeight="1">
      <c r="A31" s="19" t="s">
        <v>49</v>
      </c>
      <c r="B31" s="20"/>
      <c r="C31" s="56">
        <f>G16</f>
        <v>154</v>
      </c>
      <c r="D31" s="24">
        <f>G24</f>
        <v>16</v>
      </c>
      <c r="E31" s="24">
        <f>G23</f>
        <v>14</v>
      </c>
      <c r="F31" s="24">
        <f>G22</f>
        <v>12</v>
      </c>
    </row>
    <row r="34" spans="1:43" s="67" customFormat="1" ht="16.25" customHeight="1">
      <c r="A34" s="67" t="s">
        <v>89</v>
      </c>
      <c r="C34" s="68"/>
      <c r="G34" s="69"/>
      <c r="AP34" s="68"/>
      <c r="AQ34" s="70"/>
    </row>
    <row r="35" spans="1:43" ht="16.25" customHeight="1">
      <c r="A35" s="6" t="s">
        <v>50</v>
      </c>
      <c r="D35" s="79">
        <f>G13*(G15/C31)</f>
        <v>1581.8181818181818</v>
      </c>
      <c r="E35" s="79"/>
      <c r="F35" s="1"/>
      <c r="G35" s="1"/>
      <c r="H35" s="1"/>
    </row>
    <row r="36" spans="1:43" ht="16.25" customHeight="1">
      <c r="A36" s="6" t="s">
        <v>51</v>
      </c>
      <c r="D36" s="79">
        <f>G13*(G15/C30)</f>
        <v>1606.1538461538462</v>
      </c>
      <c r="E36" s="79"/>
      <c r="F36" s="62"/>
      <c r="G36" s="53"/>
      <c r="H36" s="53"/>
    </row>
    <row r="37" spans="1:43" ht="16.25" customHeight="1">
      <c r="A37" s="6" t="s">
        <v>52</v>
      </c>
      <c r="D37" s="79">
        <f>G13*(F31/C13)</f>
        <v>1581.8181818181818</v>
      </c>
      <c r="E37" s="79"/>
      <c r="F37" s="62"/>
      <c r="G37" s="53"/>
      <c r="H37" s="53"/>
    </row>
    <row r="38" spans="1:43" ht="16.25" customHeight="1">
      <c r="A38" s="6" t="s">
        <v>53</v>
      </c>
      <c r="D38" s="79">
        <f>G13*(F31/F30)</f>
        <v>1581.8181818181818</v>
      </c>
      <c r="E38" s="88"/>
      <c r="F38" s="62"/>
      <c r="G38" s="53"/>
      <c r="H38" s="53"/>
    </row>
    <row r="39" spans="1:43" ht="16.25" customHeight="1">
      <c r="A39" s="6" t="s">
        <v>54</v>
      </c>
      <c r="D39" s="79">
        <f>G13*(E31/C14)</f>
        <v>1561.5384615384614</v>
      </c>
      <c r="E39" s="88"/>
      <c r="F39" s="62"/>
      <c r="G39" s="53"/>
      <c r="H39" s="53"/>
    </row>
    <row r="40" spans="1:43" ht="16.25" customHeight="1">
      <c r="A40" s="6" t="s">
        <v>55</v>
      </c>
      <c r="D40" s="79">
        <f>G13*(E31/E30)</f>
        <v>1561.5384615384614</v>
      </c>
      <c r="E40" s="88"/>
      <c r="F40" s="62"/>
      <c r="G40" s="53"/>
      <c r="H40" s="53"/>
    </row>
    <row r="41" spans="1:43" ht="16.25" customHeight="1">
      <c r="A41" s="6" t="s">
        <v>56</v>
      </c>
      <c r="D41" s="79">
        <f>G13*(G24/C15)</f>
        <v>1546.6666666666667</v>
      </c>
      <c r="E41" s="88"/>
      <c r="F41" s="62"/>
      <c r="G41" s="53"/>
      <c r="H41" s="53"/>
    </row>
    <row r="42" spans="1:43" ht="16.25" customHeight="1">
      <c r="A42" s="6" t="s">
        <v>57</v>
      </c>
      <c r="D42" s="79">
        <f>G13*(D31/D30)</f>
        <v>1546.6666666666667</v>
      </c>
      <c r="E42" s="88"/>
      <c r="F42" s="62"/>
      <c r="G42" s="53"/>
      <c r="H42" s="53"/>
    </row>
    <row r="43" spans="1:43" ht="16.25" customHeight="1">
      <c r="F43" s="62"/>
      <c r="G43" s="53"/>
      <c r="H43" s="53"/>
    </row>
    <row r="44" spans="1:43" s="67" customFormat="1" ht="16.25" customHeight="1">
      <c r="A44" s="67" t="s">
        <v>90</v>
      </c>
      <c r="C44" s="68"/>
      <c r="F44" s="62"/>
      <c r="G44" s="53"/>
      <c r="H44" s="53"/>
      <c r="AP44" s="68"/>
      <c r="AQ44" s="70"/>
    </row>
    <row r="45" spans="1:43" ht="16.25" customHeight="1">
      <c r="F45" s="62"/>
      <c r="G45" s="53"/>
      <c r="H45" s="53"/>
    </row>
    <row r="46" spans="1:43" ht="16.25" customHeight="1">
      <c r="A46" s="31"/>
      <c r="C46" s="102">
        <v>45170</v>
      </c>
      <c r="D46" s="102">
        <v>44287</v>
      </c>
      <c r="E46" s="102">
        <v>44470</v>
      </c>
      <c r="F46" s="62"/>
      <c r="G46" s="78"/>
      <c r="H46" s="53"/>
    </row>
    <row r="47" spans="1:43" ht="16.25" customHeight="1">
      <c r="A47" s="94" t="s">
        <v>69</v>
      </c>
      <c r="B47" s="95"/>
      <c r="C47" s="65">
        <v>3200</v>
      </c>
      <c r="D47" s="65">
        <v>3200</v>
      </c>
      <c r="E47" s="65">
        <v>3200</v>
      </c>
      <c r="F47" s="62"/>
      <c r="G47" s="53"/>
      <c r="H47" s="53"/>
    </row>
    <row r="48" spans="1:43" ht="16.25" customHeight="1">
      <c r="A48" s="94" t="s">
        <v>101</v>
      </c>
      <c r="B48" s="95"/>
      <c r="C48" s="65"/>
      <c r="D48" s="65">
        <v>11.07</v>
      </c>
      <c r="E48" s="65">
        <v>11.07</v>
      </c>
      <c r="F48" s="62"/>
      <c r="G48" s="53"/>
      <c r="H48" s="53"/>
    </row>
    <row r="49" spans="1:43" ht="16.25" customHeight="1">
      <c r="A49" s="96" t="s">
        <v>87</v>
      </c>
      <c r="B49" s="96"/>
      <c r="C49" s="65">
        <f>(C48*151.67)*1.8</f>
        <v>0</v>
      </c>
      <c r="D49" s="65">
        <f>(C48*151.67)*1.8</f>
        <v>0</v>
      </c>
      <c r="E49" s="65">
        <f>(C48*151.67)*1.8</f>
        <v>0</v>
      </c>
    </row>
    <row r="50" spans="1:43" ht="16.25" customHeight="1">
      <c r="A50" s="94" t="s">
        <v>100</v>
      </c>
      <c r="B50" s="95"/>
      <c r="C50" s="76">
        <f>IF(C47&gt;C49,C49,C47)</f>
        <v>0</v>
      </c>
      <c r="D50" s="76">
        <f>IF(D47&gt;D49,D49,D47)</f>
        <v>0</v>
      </c>
      <c r="E50" s="76">
        <f>IF(E47&gt;E49,E49,E47)</f>
        <v>0</v>
      </c>
    </row>
    <row r="51" spans="1:43" ht="16.25" customHeight="1">
      <c r="A51" s="97" t="s">
        <v>91</v>
      </c>
      <c r="B51" s="97"/>
      <c r="C51" s="77">
        <v>49.68</v>
      </c>
      <c r="D51" s="77">
        <v>49.68</v>
      </c>
      <c r="E51" s="77">
        <v>49.68</v>
      </c>
    </row>
    <row r="53" spans="1:43" ht="16.25" customHeight="1">
      <c r="A53" s="6" t="s">
        <v>92</v>
      </c>
      <c r="C53" s="54">
        <f>SUM(C50:E50)/91.25</f>
        <v>0</v>
      </c>
      <c r="F53" s="35"/>
      <c r="G53" s="6"/>
    </row>
    <row r="54" spans="1:43" ht="16.25" customHeight="1">
      <c r="A54" s="6" t="s">
        <v>93</v>
      </c>
      <c r="C54" s="54">
        <f>C53*50%</f>
        <v>0</v>
      </c>
      <c r="D54" s="47">
        <f>IF(C54&gt;C51,C51,C54)</f>
        <v>0</v>
      </c>
    </row>
    <row r="55" spans="1:43" ht="16.25" customHeight="1">
      <c r="A55" s="6" t="s">
        <v>94</v>
      </c>
      <c r="C55" s="54">
        <f>(D31-3)*D54</f>
        <v>0</v>
      </c>
    </row>
    <row r="56" spans="1:43" ht="16.25" customHeight="1">
      <c r="A56" s="6" t="s">
        <v>95</v>
      </c>
      <c r="C56" s="54">
        <f>C55*(1-6.7%)</f>
        <v>0</v>
      </c>
    </row>
    <row r="58" spans="1:43" s="67" customFormat="1" ht="16.25" customHeight="1">
      <c r="A58" s="67" t="s">
        <v>67</v>
      </c>
      <c r="C58" s="68"/>
      <c r="G58" s="69"/>
      <c r="AP58" s="68"/>
      <c r="AQ58" s="70"/>
    </row>
    <row r="59" spans="1:43" ht="16.25" customHeight="1">
      <c r="A59" s="6" t="s">
        <v>96</v>
      </c>
      <c r="B59" s="71">
        <v>44057</v>
      </c>
      <c r="C59" s="29">
        <v>44063</v>
      </c>
      <c r="D59" s="72">
        <f>DATEDIF(B59,C59,"D")+1</f>
        <v>7</v>
      </c>
    </row>
    <row r="60" spans="1:43" ht="16.25" customHeight="1">
      <c r="B60" s="71"/>
      <c r="C60" s="29"/>
      <c r="D60" s="72"/>
    </row>
    <row r="61" spans="1:43" ht="16.25" customHeight="1">
      <c r="B61" s="71">
        <v>44064</v>
      </c>
      <c r="C61" s="29">
        <v>44068</v>
      </c>
      <c r="D61" s="98">
        <f>NETWORKDAYS(B61,C61)</f>
        <v>3</v>
      </c>
      <c r="E61" s="98"/>
      <c r="G61" s="6"/>
    </row>
    <row r="62" spans="1:43" ht="16.25" customHeight="1">
      <c r="B62" s="71"/>
      <c r="C62" s="29"/>
      <c r="D62" s="93">
        <f>NETWORKDAYS(B61,C61,11)+1</f>
        <v>4</v>
      </c>
      <c r="E62" s="93"/>
      <c r="F62" s="73"/>
      <c r="G62" s="73"/>
      <c r="H62" s="75"/>
      <c r="I62" s="75"/>
    </row>
    <row r="63" spans="1:43" ht="16.25" customHeight="1">
      <c r="B63" s="71"/>
      <c r="C63" s="29"/>
      <c r="D63" s="90">
        <f>(C61-B61)+1</f>
        <v>5</v>
      </c>
      <c r="E63" s="90"/>
      <c r="F63" s="73"/>
      <c r="G63" s="73"/>
      <c r="H63" s="75"/>
      <c r="I63" s="75"/>
    </row>
    <row r="64" spans="1:43" ht="16.25" customHeight="1">
      <c r="B64" s="71"/>
      <c r="C64" s="29"/>
      <c r="D64" s="74"/>
      <c r="E64" s="74"/>
      <c r="F64" s="73"/>
      <c r="G64" s="73"/>
      <c r="H64" s="75"/>
      <c r="I64" s="75"/>
    </row>
    <row r="65" spans="1:7" ht="16.25" customHeight="1">
      <c r="A65" s="6" t="s">
        <v>97</v>
      </c>
      <c r="F65" s="66">
        <f>G13*(D61/C13)</f>
        <v>395.45454545454544</v>
      </c>
    </row>
    <row r="66" spans="1:7" ht="16.25" customHeight="1">
      <c r="A66" s="6" t="s">
        <v>68</v>
      </c>
      <c r="F66" s="66">
        <f>F65*90%</f>
        <v>355.90909090909088</v>
      </c>
    </row>
    <row r="67" spans="1:7" ht="16.25" customHeight="1">
      <c r="A67" s="6" t="s">
        <v>98</v>
      </c>
      <c r="F67" s="66">
        <f>C54*D63</f>
        <v>0</v>
      </c>
      <c r="G67" s="66"/>
    </row>
    <row r="68" spans="1:7" ht="16.25" customHeight="1">
      <c r="A68" s="6" t="s">
        <v>99</v>
      </c>
      <c r="F68" s="66">
        <f>F66-F67</f>
        <v>355.90909090909088</v>
      </c>
    </row>
    <row r="71" spans="1:7" ht="16.25" customHeight="1">
      <c r="A71" s="91"/>
      <c r="B71" s="92"/>
      <c r="C71" s="49" t="s">
        <v>72</v>
      </c>
      <c r="D71" s="49" t="s">
        <v>73</v>
      </c>
      <c r="E71" s="49" t="s">
        <v>74</v>
      </c>
      <c r="F71" s="49" t="s">
        <v>75</v>
      </c>
    </row>
    <row r="72" spans="1:7" ht="16.25" customHeight="1">
      <c r="A72" s="89" t="s">
        <v>78</v>
      </c>
      <c r="B72" s="89"/>
      <c r="C72" s="50">
        <v>151.66999999999999</v>
      </c>
      <c r="D72" s="51">
        <f>E72/C72</f>
        <v>19.120458891013385</v>
      </c>
      <c r="E72" s="52">
        <f>G13</f>
        <v>2900</v>
      </c>
      <c r="F72" s="52"/>
    </row>
    <row r="73" spans="1:7" ht="16.25" customHeight="1">
      <c r="A73" s="89"/>
      <c r="B73" s="89"/>
      <c r="C73" s="50"/>
      <c r="D73" s="51"/>
      <c r="E73" s="52"/>
      <c r="F73" s="52"/>
    </row>
    <row r="74" spans="1:7" ht="16.25" customHeight="1">
      <c r="A74" s="89"/>
      <c r="B74" s="89"/>
      <c r="C74" s="50"/>
      <c r="D74" s="51"/>
      <c r="E74" s="52"/>
      <c r="F74" s="52"/>
    </row>
    <row r="75" spans="1:7" ht="16.25" customHeight="1">
      <c r="A75" s="89"/>
      <c r="B75" s="89"/>
      <c r="C75" s="49"/>
      <c r="D75" s="48"/>
      <c r="E75" s="52"/>
      <c r="F75" s="49"/>
    </row>
    <row r="76" spans="1:7" ht="16.25" customHeight="1">
      <c r="A76" s="89" t="s">
        <v>79</v>
      </c>
      <c r="B76" s="89"/>
      <c r="C76" s="48"/>
      <c r="D76" s="49"/>
      <c r="E76" s="52">
        <f>SUM(E72:E75)-SUM(F72:F75)</f>
        <v>2900</v>
      </c>
      <c r="F76" s="52"/>
    </row>
  </sheetData>
  <mergeCells count="33">
    <mergeCell ref="D35:E35"/>
    <mergeCell ref="AP1:AQ1"/>
    <mergeCell ref="Q12:R12"/>
    <mergeCell ref="Q13:R13"/>
    <mergeCell ref="Q15:R15"/>
    <mergeCell ref="Q16:R16"/>
    <mergeCell ref="Q18:R18"/>
    <mergeCell ref="Q19:R19"/>
    <mergeCell ref="Q21:R21"/>
    <mergeCell ref="Q22:R22"/>
    <mergeCell ref="A28:B29"/>
    <mergeCell ref="C28:C29"/>
    <mergeCell ref="D62:E62"/>
    <mergeCell ref="A50:B50"/>
    <mergeCell ref="A48:B48"/>
    <mergeCell ref="D36:E36"/>
    <mergeCell ref="D37:E37"/>
    <mergeCell ref="D38:E38"/>
    <mergeCell ref="D39:E39"/>
    <mergeCell ref="D40:E40"/>
    <mergeCell ref="D41:E41"/>
    <mergeCell ref="D42:E42"/>
    <mergeCell ref="A47:B47"/>
    <mergeCell ref="A49:B49"/>
    <mergeCell ref="A51:B51"/>
    <mergeCell ref="D61:E61"/>
    <mergeCell ref="A74:B74"/>
    <mergeCell ref="A75:B75"/>
    <mergeCell ref="A76:B76"/>
    <mergeCell ref="D63:E63"/>
    <mergeCell ref="A71:B71"/>
    <mergeCell ref="A72:B72"/>
    <mergeCell ref="A73:B73"/>
  </mergeCells>
  <conditionalFormatting sqref="B5:H9">
    <cfRule type="expression" dxfId="7" priority="8" stopIfTrue="1">
      <formula>COUNTIF(_Feries,B5)&gt;0</formula>
    </cfRule>
  </conditionalFormatting>
  <conditionalFormatting sqref="B9:H10">
    <cfRule type="expression" dxfId="6" priority="7">
      <formula>B9&lt;&gt;""</formula>
    </cfRule>
  </conditionalFormatting>
  <conditionalFormatting sqref="J4:AN6">
    <cfRule type="expression" dxfId="5" priority="4">
      <formula>COUNTIF(_Feries,J$4)</formula>
    </cfRule>
    <cfRule type="expression" dxfId="4" priority="5">
      <formula>J$4&lt;&gt;""</formula>
    </cfRule>
    <cfRule type="expression" dxfId="3" priority="6">
      <formula>WEEKDAY(J$4,2)&gt;5</formula>
    </cfRule>
  </conditionalFormatting>
  <conditionalFormatting sqref="J7:AN7">
    <cfRule type="expression" dxfId="2" priority="1">
      <formula>COUNTIF(_Feries,J$4)</formula>
    </cfRule>
    <cfRule type="expression" dxfId="1" priority="2">
      <formula>J$4&lt;&gt;""</formula>
    </cfRule>
    <cfRule type="expression" dxfId="0" priority="3">
      <formula>WEEKDAY(J$4,2)&gt;5</formula>
    </cfRule>
  </conditionalFormatting>
  <dataValidations count="4">
    <dataValidation type="list" allowBlank="1" showInputMessage="1" showErrorMessage="1" sqref="J6:AN6" xr:uid="{CA536E8C-B575-E147-A518-71BDF8A42ADB}">
      <formula1>$AR$2:$AR$3</formula1>
    </dataValidation>
    <dataValidation type="list" allowBlank="1" showInputMessage="1" showErrorMessage="1" sqref="AR2:AR3" xr:uid="{B96AEDDA-14C4-A746-8DA3-7411DE4CE9E0}">
      <formula1>$J$6:$AN$6</formula1>
    </dataValidation>
    <dataValidation type="list" allowBlank="1" showInputMessage="1" showErrorMessage="1" sqref="G18" xr:uid="{3C3421A4-5A98-4140-9B79-47BDBAF13B5A}">
      <formula1>_absence</formula1>
    </dataValidation>
    <dataValidation type="list" allowBlank="1" showInputMessage="1" showErrorMessage="1" sqref="B1" xr:uid="{B4C2B5AC-451D-514F-8341-9281CDA3CCD4}">
      <formula1>l_Mois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Spinner 1">
              <controlPr defaultSize="0" autoPict="0">
                <anchor moveWithCells="1" sizeWithCells="1">
                  <from>
                    <xdr:col>0</xdr:col>
                    <xdr:colOff>609600</xdr:colOff>
                    <xdr:row>1</xdr:row>
                    <xdr:rowOff>50800</xdr:rowOff>
                  </from>
                  <to>
                    <xdr:col>1</xdr:col>
                    <xdr:colOff>88900</xdr:colOff>
                    <xdr:row>2</xdr:row>
                    <xdr:rowOff>63500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268723-6B23-6744-9F52-847CB22097BD}">
          <x14:formula1>
            <xm:f>Paramètres!$B$18:$B$53</xm:f>
          </x14:formula1>
          <xm:sqref>C46 D46 E46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8FF8C-D68E-483B-ACC2-B6254A8583FF}">
  <sheetPr codeName="Feuil10"/>
  <dimension ref="B2:H63"/>
  <sheetViews>
    <sheetView showGridLines="0" tabSelected="1" workbookViewId="0">
      <selection activeCell="F9" sqref="F9"/>
    </sheetView>
  </sheetViews>
  <sheetFormatPr baseColWidth="10" defaultColWidth="11.6640625" defaultRowHeight="13"/>
  <cols>
    <col min="1" max="1" width="3.83203125" style="2" customWidth="1"/>
    <col min="2" max="8" width="15.83203125" style="2" customWidth="1"/>
    <col min="9" max="16384" width="11.6640625" style="2"/>
  </cols>
  <sheetData>
    <row r="2" spans="2:8">
      <c r="B2" s="3" t="s">
        <v>8</v>
      </c>
      <c r="D2" s="12" t="s">
        <v>70</v>
      </c>
      <c r="E2" s="1"/>
      <c r="F2" s="1"/>
      <c r="G2" s="1"/>
      <c r="H2" s="1"/>
    </row>
    <row r="3" spans="2:8">
      <c r="B3" s="3" t="s">
        <v>9</v>
      </c>
      <c r="D3" s="12" t="s">
        <v>71</v>
      </c>
      <c r="E3" s="12"/>
      <c r="F3" s="12"/>
      <c r="G3" s="12"/>
      <c r="H3" s="12"/>
    </row>
    <row r="4" spans="2:8">
      <c r="B4" s="3" t="s">
        <v>10</v>
      </c>
      <c r="D4" s="3"/>
      <c r="E4" s="12"/>
      <c r="F4" s="12"/>
      <c r="G4" s="12"/>
      <c r="H4" s="12"/>
    </row>
    <row r="5" spans="2:8">
      <c r="B5" s="3" t="s">
        <v>11</v>
      </c>
      <c r="D5" s="3"/>
      <c r="E5" s="12"/>
      <c r="F5" s="12"/>
      <c r="G5" s="12"/>
      <c r="H5" s="12"/>
    </row>
    <row r="6" spans="2:8">
      <c r="B6" s="3" t="s">
        <v>12</v>
      </c>
      <c r="D6" s="3"/>
      <c r="E6" s="12"/>
      <c r="F6" s="12"/>
      <c r="G6" s="12"/>
      <c r="H6" s="12"/>
    </row>
    <row r="7" spans="2:8">
      <c r="B7" s="3" t="s">
        <v>13</v>
      </c>
      <c r="D7" s="3"/>
      <c r="E7" s="12"/>
      <c r="F7" s="12"/>
      <c r="G7" s="12"/>
      <c r="H7" s="12"/>
    </row>
    <row r="8" spans="2:8">
      <c r="B8" s="3" t="s">
        <v>14</v>
      </c>
      <c r="D8" s="3"/>
      <c r="E8" s="12"/>
      <c r="F8" s="12"/>
      <c r="G8" s="12"/>
      <c r="H8" s="12"/>
    </row>
    <row r="9" spans="2:8">
      <c r="B9" s="3" t="s">
        <v>15</v>
      </c>
      <c r="D9" s="3">
        <v>2021</v>
      </c>
      <c r="E9" s="12"/>
      <c r="F9" s="12"/>
      <c r="G9" s="12"/>
      <c r="H9" s="12"/>
    </row>
    <row r="10" spans="2:8">
      <c r="B10" s="3" t="s">
        <v>16</v>
      </c>
      <c r="D10" s="3">
        <v>2022</v>
      </c>
      <c r="E10" s="12"/>
      <c r="F10" s="12"/>
      <c r="G10" s="12"/>
      <c r="H10" s="12"/>
    </row>
    <row r="11" spans="2:8">
      <c r="B11" s="3" t="s">
        <v>17</v>
      </c>
      <c r="D11" s="3">
        <v>2023</v>
      </c>
      <c r="E11" s="12"/>
      <c r="F11" s="12"/>
      <c r="G11" s="12"/>
      <c r="H11" s="12"/>
    </row>
    <row r="12" spans="2:8">
      <c r="B12" s="3" t="s">
        <v>18</v>
      </c>
      <c r="D12" s="3"/>
      <c r="E12" s="12"/>
      <c r="F12" s="12"/>
      <c r="G12" s="12"/>
      <c r="H12" s="12"/>
    </row>
    <row r="13" spans="2:8">
      <c r="B13" s="3" t="s">
        <v>19</v>
      </c>
      <c r="D13" s="3"/>
      <c r="E13" s="12"/>
      <c r="F13" s="12"/>
      <c r="G13" s="12"/>
      <c r="H13" s="12"/>
    </row>
    <row r="14" spans="2:8">
      <c r="B14" s="3" t="s">
        <v>20</v>
      </c>
    </row>
    <row r="17" spans="2:8" ht="18" customHeight="1">
      <c r="B17" s="100" t="s">
        <v>8</v>
      </c>
      <c r="C17" s="100" t="s">
        <v>77</v>
      </c>
      <c r="D17" s="100" t="s">
        <v>83</v>
      </c>
      <c r="E17" s="1" t="s">
        <v>86</v>
      </c>
      <c r="F17" s="1" t="s">
        <v>87</v>
      </c>
      <c r="G17" s="1" t="s">
        <v>105</v>
      </c>
      <c r="H17" s="1" t="s">
        <v>102</v>
      </c>
    </row>
    <row r="18" spans="2:8" ht="18" customHeight="1">
      <c r="B18" s="101">
        <v>44197</v>
      </c>
      <c r="C18" s="53">
        <v>10.25</v>
      </c>
      <c r="D18" s="53">
        <f t="shared" ref="D18:D41" si="0">C19*(35*52/12)</f>
        <v>1554.5833333333333</v>
      </c>
      <c r="E18" s="53">
        <v>46</v>
      </c>
      <c r="F18" s="53">
        <f t="shared" ref="F18:F41" si="1">C18*(35*52/12)*1.8</f>
        <v>2798.25</v>
      </c>
      <c r="G18" s="53">
        <v>89.03</v>
      </c>
      <c r="H18" s="53">
        <v>3428</v>
      </c>
    </row>
    <row r="19" spans="2:8" ht="18" customHeight="1">
      <c r="B19" s="101">
        <v>44228</v>
      </c>
      <c r="C19" s="53">
        <v>10.25</v>
      </c>
      <c r="D19" s="53">
        <f t="shared" si="0"/>
        <v>1554.5833333333333</v>
      </c>
      <c r="E19" s="53">
        <v>46</v>
      </c>
      <c r="F19" s="53">
        <f t="shared" si="1"/>
        <v>2798.25</v>
      </c>
      <c r="G19" s="53">
        <v>89.03</v>
      </c>
      <c r="H19" s="53">
        <v>3428</v>
      </c>
    </row>
    <row r="20" spans="2:8" ht="18" customHeight="1">
      <c r="B20" s="101">
        <v>44256</v>
      </c>
      <c r="C20" s="53">
        <v>10.25</v>
      </c>
      <c r="D20" s="53">
        <f t="shared" si="0"/>
        <v>1554.5833333333333</v>
      </c>
      <c r="E20" s="53">
        <v>46</v>
      </c>
      <c r="F20" s="53">
        <f t="shared" si="1"/>
        <v>2798.25</v>
      </c>
      <c r="G20" s="53">
        <v>89.03</v>
      </c>
      <c r="H20" s="53">
        <v>3428</v>
      </c>
    </row>
    <row r="21" spans="2:8" ht="18" customHeight="1">
      <c r="B21" s="101">
        <v>44287</v>
      </c>
      <c r="C21" s="53">
        <v>10.25</v>
      </c>
      <c r="D21" s="53">
        <f t="shared" si="0"/>
        <v>1554.5833333333333</v>
      </c>
      <c r="E21" s="53">
        <v>46</v>
      </c>
      <c r="F21" s="53">
        <f t="shared" si="1"/>
        <v>2798.25</v>
      </c>
      <c r="G21" s="53">
        <v>89.03</v>
      </c>
      <c r="H21" s="53">
        <v>3428</v>
      </c>
    </row>
    <row r="22" spans="2:8" ht="18" customHeight="1">
      <c r="B22" s="101">
        <v>44317</v>
      </c>
      <c r="C22" s="53">
        <v>10.25</v>
      </c>
      <c r="D22" s="53">
        <f t="shared" si="0"/>
        <v>1554.5833333333333</v>
      </c>
      <c r="E22" s="53">
        <v>46</v>
      </c>
      <c r="F22" s="53">
        <f t="shared" si="1"/>
        <v>2798.25</v>
      </c>
      <c r="G22" s="53">
        <v>89.03</v>
      </c>
      <c r="H22" s="53">
        <v>3428</v>
      </c>
    </row>
    <row r="23" spans="2:8" ht="18" customHeight="1">
      <c r="B23" s="101">
        <v>44348</v>
      </c>
      <c r="C23" s="53">
        <v>10.25</v>
      </c>
      <c r="D23" s="53">
        <f t="shared" si="0"/>
        <v>1554.5833333333333</v>
      </c>
      <c r="E23" s="53">
        <v>46</v>
      </c>
      <c r="F23" s="53">
        <f t="shared" si="1"/>
        <v>2798.25</v>
      </c>
      <c r="G23" s="53">
        <v>89.03</v>
      </c>
      <c r="H23" s="53">
        <v>3428</v>
      </c>
    </row>
    <row r="24" spans="2:8" ht="18" customHeight="1">
      <c r="B24" s="101">
        <v>44378</v>
      </c>
      <c r="C24" s="53">
        <v>10.25</v>
      </c>
      <c r="D24" s="53">
        <f t="shared" si="0"/>
        <v>1554.5833333333333</v>
      </c>
      <c r="E24" s="53">
        <v>46</v>
      </c>
      <c r="F24" s="53">
        <f t="shared" si="1"/>
        <v>2798.25</v>
      </c>
      <c r="G24" s="53">
        <v>89.03</v>
      </c>
      <c r="H24" s="53">
        <v>3428</v>
      </c>
    </row>
    <row r="25" spans="2:8" ht="18" customHeight="1">
      <c r="B25" s="101">
        <v>44409</v>
      </c>
      <c r="C25" s="53">
        <v>10.25</v>
      </c>
      <c r="D25" s="53">
        <f t="shared" si="0"/>
        <v>1554.5833333333333</v>
      </c>
      <c r="E25" s="53">
        <v>46</v>
      </c>
      <c r="F25" s="53">
        <f t="shared" si="1"/>
        <v>2798.25</v>
      </c>
      <c r="G25" s="53">
        <v>89.03</v>
      </c>
      <c r="H25" s="53">
        <v>3428</v>
      </c>
    </row>
    <row r="26" spans="2:8" ht="18" customHeight="1">
      <c r="B26" s="101">
        <v>44440</v>
      </c>
      <c r="C26" s="53">
        <v>10.25</v>
      </c>
      <c r="D26" s="53">
        <f t="shared" si="0"/>
        <v>1589.4666666666667</v>
      </c>
      <c r="E26" s="53">
        <v>46</v>
      </c>
      <c r="F26" s="53">
        <f t="shared" si="1"/>
        <v>2798.25</v>
      </c>
      <c r="G26" s="53">
        <v>89.03</v>
      </c>
      <c r="H26" s="53">
        <v>3428</v>
      </c>
    </row>
    <row r="27" spans="2:8" ht="18" customHeight="1">
      <c r="B27" s="101">
        <v>44470</v>
      </c>
      <c r="C27" s="53">
        <v>10.48</v>
      </c>
      <c r="D27" s="53">
        <f t="shared" si="0"/>
        <v>1589.4666666666667</v>
      </c>
      <c r="E27" s="53">
        <v>47.03</v>
      </c>
      <c r="F27" s="53">
        <f t="shared" si="1"/>
        <v>2861.04</v>
      </c>
      <c r="G27" s="53">
        <v>89.03</v>
      </c>
      <c r="H27" s="53">
        <v>3428</v>
      </c>
    </row>
    <row r="28" spans="2:8" ht="18" customHeight="1">
      <c r="B28" s="101">
        <v>44501</v>
      </c>
      <c r="C28" s="53">
        <v>10.48</v>
      </c>
      <c r="D28" s="53">
        <f t="shared" si="0"/>
        <v>1589.4666666666667</v>
      </c>
      <c r="E28" s="53">
        <v>47.03</v>
      </c>
      <c r="F28" s="53">
        <f t="shared" si="1"/>
        <v>2861.04</v>
      </c>
      <c r="G28" s="53">
        <v>89.03</v>
      </c>
      <c r="H28" s="53">
        <v>3428</v>
      </c>
    </row>
    <row r="29" spans="2:8" ht="18" customHeight="1">
      <c r="B29" s="101">
        <v>44531</v>
      </c>
      <c r="C29" s="53">
        <v>10.48</v>
      </c>
      <c r="D29" s="53">
        <f t="shared" si="0"/>
        <v>1603.1166666666666</v>
      </c>
      <c r="E29" s="53">
        <v>47.03</v>
      </c>
      <c r="F29" s="53">
        <f t="shared" si="1"/>
        <v>2861.04</v>
      </c>
      <c r="G29" s="53">
        <v>89.03</v>
      </c>
      <c r="H29" s="53">
        <v>3428</v>
      </c>
    </row>
    <row r="30" spans="2:8" ht="18" customHeight="1">
      <c r="B30" s="101">
        <v>44562</v>
      </c>
      <c r="C30" s="53">
        <v>10.57</v>
      </c>
      <c r="D30" s="53">
        <f t="shared" si="0"/>
        <v>1603.1166666666666</v>
      </c>
      <c r="E30" s="53">
        <v>47.43</v>
      </c>
      <c r="F30" s="53">
        <f t="shared" si="1"/>
        <v>2885.6099999999997</v>
      </c>
      <c r="G30" s="53">
        <v>89.03</v>
      </c>
      <c r="H30" s="53">
        <v>3428</v>
      </c>
    </row>
    <row r="31" spans="2:8" ht="18" customHeight="1">
      <c r="B31" s="101">
        <v>44593</v>
      </c>
      <c r="C31" s="53">
        <v>10.57</v>
      </c>
      <c r="D31" s="53">
        <f t="shared" si="0"/>
        <v>1603.1166666666666</v>
      </c>
      <c r="E31" s="53">
        <v>47.43</v>
      </c>
      <c r="F31" s="53">
        <f t="shared" si="1"/>
        <v>2885.6099999999997</v>
      </c>
      <c r="G31" s="53">
        <v>89.03</v>
      </c>
      <c r="H31" s="53">
        <v>3428</v>
      </c>
    </row>
    <row r="32" spans="2:8" ht="18" customHeight="1">
      <c r="B32" s="101">
        <v>44621</v>
      </c>
      <c r="C32" s="53">
        <v>10.57</v>
      </c>
      <c r="D32" s="53">
        <f t="shared" si="0"/>
        <v>1603.1166666666666</v>
      </c>
      <c r="E32" s="53">
        <v>47.43</v>
      </c>
      <c r="F32" s="53">
        <f t="shared" si="1"/>
        <v>2885.6099999999997</v>
      </c>
      <c r="G32" s="53">
        <v>89.03</v>
      </c>
      <c r="H32" s="53">
        <v>3428</v>
      </c>
    </row>
    <row r="33" spans="2:8" ht="18" customHeight="1">
      <c r="B33" s="101">
        <v>44652</v>
      </c>
      <c r="C33" s="53">
        <v>10.57</v>
      </c>
      <c r="D33" s="53">
        <f t="shared" si="0"/>
        <v>1645.5833333333333</v>
      </c>
      <c r="E33" s="53">
        <v>47.43</v>
      </c>
      <c r="F33" s="53">
        <f t="shared" si="1"/>
        <v>2885.6099999999997</v>
      </c>
      <c r="G33" s="53">
        <v>89.03</v>
      </c>
      <c r="H33" s="53">
        <v>3428</v>
      </c>
    </row>
    <row r="34" spans="2:8" ht="18" customHeight="1">
      <c r="B34" s="101">
        <v>44682</v>
      </c>
      <c r="C34" s="53">
        <v>10.85</v>
      </c>
      <c r="D34" s="53">
        <f t="shared" si="0"/>
        <v>1645.5833333333333</v>
      </c>
      <c r="E34" s="53">
        <v>48.69</v>
      </c>
      <c r="F34" s="53">
        <f t="shared" si="1"/>
        <v>2962.0499999999997</v>
      </c>
      <c r="G34" s="53">
        <v>89.03</v>
      </c>
      <c r="H34" s="53">
        <v>3428</v>
      </c>
    </row>
    <row r="35" spans="2:8" ht="18" customHeight="1">
      <c r="B35" s="101">
        <v>44713</v>
      </c>
      <c r="C35" s="53">
        <v>10.85</v>
      </c>
      <c r="D35" s="53">
        <f t="shared" si="0"/>
        <v>1645.5833333333333</v>
      </c>
      <c r="E35" s="53">
        <v>48.69</v>
      </c>
      <c r="F35" s="53">
        <f t="shared" si="1"/>
        <v>2962.0499999999997</v>
      </c>
      <c r="G35" s="53">
        <v>89.03</v>
      </c>
      <c r="H35" s="53">
        <v>3428</v>
      </c>
    </row>
    <row r="36" spans="2:8" ht="18" customHeight="1">
      <c r="B36" s="101">
        <v>44743</v>
      </c>
      <c r="C36" s="53">
        <v>10.85</v>
      </c>
      <c r="D36" s="53">
        <f t="shared" si="0"/>
        <v>1678.95</v>
      </c>
      <c r="E36" s="53">
        <v>48.69</v>
      </c>
      <c r="F36" s="53">
        <f t="shared" si="1"/>
        <v>2962.0499999999997</v>
      </c>
      <c r="G36" s="53">
        <v>89.03</v>
      </c>
      <c r="H36" s="53">
        <v>3428</v>
      </c>
    </row>
    <row r="37" spans="2:8" ht="18" customHeight="1">
      <c r="B37" s="101">
        <v>44774</v>
      </c>
      <c r="C37" s="53">
        <v>11.07</v>
      </c>
      <c r="D37" s="53">
        <f t="shared" si="0"/>
        <v>1678.95</v>
      </c>
      <c r="E37" s="53">
        <v>49.68</v>
      </c>
      <c r="F37" s="53">
        <f t="shared" si="1"/>
        <v>3022.11</v>
      </c>
      <c r="G37" s="53">
        <v>89.03</v>
      </c>
      <c r="H37" s="53">
        <v>3428</v>
      </c>
    </row>
    <row r="38" spans="2:8" ht="18" customHeight="1">
      <c r="B38" s="101">
        <v>44805</v>
      </c>
      <c r="C38" s="53">
        <v>11.07</v>
      </c>
      <c r="D38" s="53">
        <f t="shared" si="0"/>
        <v>1678.95</v>
      </c>
      <c r="E38" s="53">
        <v>49.68</v>
      </c>
      <c r="F38" s="53">
        <f t="shared" si="1"/>
        <v>3022.11</v>
      </c>
      <c r="G38" s="53">
        <v>89.03</v>
      </c>
      <c r="H38" s="53">
        <v>3428</v>
      </c>
    </row>
    <row r="39" spans="2:8" ht="18" customHeight="1">
      <c r="B39" s="101">
        <v>44835</v>
      </c>
      <c r="C39" s="53">
        <v>11.07</v>
      </c>
      <c r="D39" s="53">
        <f t="shared" si="0"/>
        <v>1678.95</v>
      </c>
      <c r="E39" s="53">
        <v>49.68</v>
      </c>
      <c r="F39" s="53">
        <f t="shared" si="1"/>
        <v>3022.11</v>
      </c>
      <c r="G39" s="53">
        <v>89.03</v>
      </c>
      <c r="H39" s="53">
        <v>3428</v>
      </c>
    </row>
    <row r="40" spans="2:8" ht="18" customHeight="1">
      <c r="B40" s="101">
        <v>44866</v>
      </c>
      <c r="C40" s="53">
        <v>11.07</v>
      </c>
      <c r="D40" s="53">
        <f t="shared" si="0"/>
        <v>1678.95</v>
      </c>
      <c r="E40" s="53">
        <v>49.68</v>
      </c>
      <c r="F40" s="53">
        <f t="shared" si="1"/>
        <v>3022.11</v>
      </c>
      <c r="G40" s="53">
        <v>89.03</v>
      </c>
      <c r="H40" s="53">
        <v>3428</v>
      </c>
    </row>
    <row r="41" spans="2:8" ht="18" customHeight="1">
      <c r="B41" s="101">
        <v>44896</v>
      </c>
      <c r="C41" s="53">
        <v>11.07</v>
      </c>
      <c r="D41" s="53">
        <f t="shared" si="0"/>
        <v>1709.2833333333331</v>
      </c>
      <c r="E41" s="53">
        <v>49.68</v>
      </c>
      <c r="F41" s="53">
        <f t="shared" si="1"/>
        <v>3022.11</v>
      </c>
      <c r="G41" s="53">
        <v>89.03</v>
      </c>
      <c r="H41" s="53">
        <v>3428</v>
      </c>
    </row>
    <row r="42" spans="2:8" ht="18" customHeight="1">
      <c r="B42" s="101">
        <v>44927</v>
      </c>
      <c r="C42" s="53">
        <v>11.27</v>
      </c>
      <c r="D42" s="53">
        <f>C42*(35*52/12)</f>
        <v>1709.2833333333331</v>
      </c>
      <c r="E42" s="53">
        <v>50.58</v>
      </c>
      <c r="F42" s="53">
        <f>C42*(35*52/12)*1.8</f>
        <v>3076.7099999999996</v>
      </c>
      <c r="G42" s="53">
        <v>95.22</v>
      </c>
      <c r="H42" s="53">
        <v>3666</v>
      </c>
    </row>
    <row r="43" spans="2:8" ht="18" customHeight="1">
      <c r="B43" s="101">
        <v>44958</v>
      </c>
      <c r="C43" s="53">
        <v>11.27</v>
      </c>
      <c r="D43" s="53">
        <f>C43*(35*52/12)</f>
        <v>1709.2833333333331</v>
      </c>
      <c r="E43" s="53">
        <v>50.58</v>
      </c>
      <c r="F43" s="53">
        <f t="shared" ref="F43:F53" si="2">C43*(35*52/12)*1.8</f>
        <v>3076.7099999999996</v>
      </c>
      <c r="G43" s="53">
        <v>95.22</v>
      </c>
      <c r="H43" s="53">
        <v>3666</v>
      </c>
    </row>
    <row r="44" spans="2:8" ht="18" customHeight="1">
      <c r="B44" s="101">
        <v>44986</v>
      </c>
      <c r="C44" s="53">
        <v>11.27</v>
      </c>
      <c r="D44" s="53">
        <f>C44*(35*52/12)</f>
        <v>1709.2833333333331</v>
      </c>
      <c r="E44" s="53">
        <v>50.58</v>
      </c>
      <c r="F44" s="53">
        <f t="shared" si="2"/>
        <v>3076.7099999999996</v>
      </c>
      <c r="G44" s="53">
        <v>95.22</v>
      </c>
      <c r="H44" s="53">
        <v>3666</v>
      </c>
    </row>
    <row r="45" spans="2:8" ht="18" customHeight="1">
      <c r="B45" s="101">
        <v>45017</v>
      </c>
      <c r="C45" s="53">
        <v>11.27</v>
      </c>
      <c r="D45" s="53">
        <f>C45*(35*52/12)</f>
        <v>1709.2833333333331</v>
      </c>
      <c r="E45" s="53">
        <v>50.58</v>
      </c>
      <c r="F45" s="53">
        <f t="shared" si="2"/>
        <v>3076.7099999999996</v>
      </c>
      <c r="G45" s="53">
        <v>95.22</v>
      </c>
      <c r="H45" s="53">
        <v>3666</v>
      </c>
    </row>
    <row r="46" spans="2:8" ht="18" customHeight="1">
      <c r="B46" s="101">
        <v>45047</v>
      </c>
      <c r="C46" s="53">
        <v>11.52</v>
      </c>
      <c r="D46" s="53">
        <f>C46*(35*52/12)</f>
        <v>1747.1999999999998</v>
      </c>
      <c r="E46" s="53">
        <v>51.7</v>
      </c>
      <c r="F46" s="53">
        <f t="shared" si="2"/>
        <v>3144.9599999999996</v>
      </c>
      <c r="G46" s="53">
        <v>95.22</v>
      </c>
      <c r="H46" s="53">
        <v>3666</v>
      </c>
    </row>
    <row r="47" spans="2:8" ht="18" customHeight="1">
      <c r="B47" s="101">
        <v>45078</v>
      </c>
      <c r="C47" s="53">
        <v>11.52</v>
      </c>
      <c r="D47" s="53">
        <f t="shared" ref="D47:D53" si="3">C47*(35*52/12)</f>
        <v>1747.1999999999998</v>
      </c>
      <c r="E47" s="53">
        <v>51.7</v>
      </c>
      <c r="F47" s="53">
        <f t="shared" si="2"/>
        <v>3144.9599999999996</v>
      </c>
      <c r="G47" s="53">
        <v>95.22</v>
      </c>
      <c r="H47" s="53">
        <v>3666</v>
      </c>
    </row>
    <row r="48" spans="2:8" ht="18" customHeight="1">
      <c r="B48" s="101">
        <v>45108</v>
      </c>
      <c r="C48" s="53">
        <v>11.52</v>
      </c>
      <c r="D48" s="53">
        <f t="shared" si="3"/>
        <v>1747.1999999999998</v>
      </c>
      <c r="E48" s="53">
        <v>51.7</v>
      </c>
      <c r="F48" s="53">
        <f t="shared" si="2"/>
        <v>3144.9599999999996</v>
      </c>
      <c r="G48" s="53">
        <v>95.22</v>
      </c>
      <c r="H48" s="53">
        <v>3666</v>
      </c>
    </row>
    <row r="49" spans="2:8" ht="18" customHeight="1">
      <c r="B49" s="101">
        <v>45139</v>
      </c>
      <c r="C49" s="53">
        <v>11.52</v>
      </c>
      <c r="D49" s="53">
        <f t="shared" si="3"/>
        <v>1747.1999999999998</v>
      </c>
      <c r="E49" s="53">
        <v>51.7</v>
      </c>
      <c r="F49" s="53">
        <f t="shared" si="2"/>
        <v>3144.9599999999996</v>
      </c>
      <c r="G49" s="53">
        <v>95.22</v>
      </c>
      <c r="H49" s="53">
        <v>3666</v>
      </c>
    </row>
    <row r="50" spans="2:8" ht="18" customHeight="1">
      <c r="B50" s="101">
        <v>45170</v>
      </c>
      <c r="C50" s="53">
        <v>11.52</v>
      </c>
      <c r="D50" s="53">
        <f t="shared" si="3"/>
        <v>1747.1999999999998</v>
      </c>
      <c r="E50" s="53">
        <v>51.7</v>
      </c>
      <c r="F50" s="53">
        <f t="shared" si="2"/>
        <v>3144.9599999999996</v>
      </c>
      <c r="G50" s="53">
        <v>95.22</v>
      </c>
      <c r="H50" s="53">
        <v>3666</v>
      </c>
    </row>
    <row r="51" spans="2:8" ht="18" customHeight="1">
      <c r="B51" s="101">
        <v>45200</v>
      </c>
      <c r="C51" s="53">
        <v>11.52</v>
      </c>
      <c r="D51" s="53">
        <f t="shared" si="3"/>
        <v>1747.1999999999998</v>
      </c>
      <c r="E51" s="53">
        <v>51.7</v>
      </c>
      <c r="F51" s="53">
        <f t="shared" si="2"/>
        <v>3144.9599999999996</v>
      </c>
      <c r="G51" s="53">
        <v>95.22</v>
      </c>
      <c r="H51" s="53">
        <v>3666</v>
      </c>
    </row>
    <row r="52" spans="2:8" ht="18" customHeight="1">
      <c r="B52" s="101">
        <v>45231</v>
      </c>
      <c r="C52" s="53">
        <v>11.52</v>
      </c>
      <c r="D52" s="53">
        <f t="shared" si="3"/>
        <v>1747.1999999999998</v>
      </c>
      <c r="E52" s="53">
        <v>51.7</v>
      </c>
      <c r="F52" s="53">
        <f t="shared" si="2"/>
        <v>3144.9599999999996</v>
      </c>
      <c r="G52" s="53">
        <v>95.22</v>
      </c>
      <c r="H52" s="53">
        <v>3666</v>
      </c>
    </row>
    <row r="53" spans="2:8" ht="18" customHeight="1">
      <c r="B53" s="101">
        <v>45261</v>
      </c>
      <c r="C53" s="53">
        <v>11.52</v>
      </c>
      <c r="D53" s="53">
        <f t="shared" si="3"/>
        <v>1747.1999999999998</v>
      </c>
      <c r="E53" s="53">
        <v>51.7</v>
      </c>
      <c r="F53" s="53">
        <f t="shared" si="2"/>
        <v>3144.9599999999996</v>
      </c>
      <c r="G53" s="53">
        <v>95.22</v>
      </c>
      <c r="H53" s="53">
        <v>3666</v>
      </c>
    </row>
    <row r="57" spans="2:8">
      <c r="B57" s="4" t="s">
        <v>88</v>
      </c>
      <c r="C57" s="64"/>
    </row>
    <row r="58" spans="2:8">
      <c r="B58" s="33"/>
    </row>
    <row r="60" spans="2:8">
      <c r="B60" s="99" t="s">
        <v>84</v>
      </c>
      <c r="C60" s="99"/>
      <c r="D60" s="99"/>
      <c r="E60" s="33"/>
      <c r="F60" s="33"/>
      <c r="G60" s="33"/>
      <c r="H60" s="33"/>
    </row>
    <row r="61" spans="2:8">
      <c r="B61"/>
      <c r="C61"/>
      <c r="D61"/>
    </row>
    <row r="62" spans="2:8" ht="20" customHeight="1">
      <c r="B62" s="32" t="s">
        <v>103</v>
      </c>
      <c r="C62" s="32"/>
      <c r="D62" s="2">
        <v>220.14</v>
      </c>
    </row>
    <row r="63" spans="2:8" ht="20" customHeight="1">
      <c r="B63" s="32" t="s">
        <v>104</v>
      </c>
      <c r="C63" s="32"/>
      <c r="D63" s="2">
        <v>293.51</v>
      </c>
    </row>
  </sheetData>
  <mergeCells count="1">
    <mergeCell ref="B60:D60"/>
  </mergeCells>
  <phoneticPr fontId="4" type="noConversion"/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IJSS maladie</vt:lpstr>
      <vt:lpstr>Paramètres</vt:lpstr>
      <vt:lpstr>'IJSS maladie'!_absence</vt:lpstr>
      <vt:lpstr>'IJSS maladie'!_Annee</vt:lpstr>
      <vt:lpstr>'IJSS maladie'!_Feries</vt:lpstr>
      <vt:lpstr>'IJSS maladie'!_Mois</vt:lpstr>
      <vt:lpstr>'IJSS maladie'!l_Mois</vt:lpstr>
      <vt:lpstr>l_Mois</vt:lpstr>
      <vt:lpstr>'IJSS maladie'!t_Jour_férié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2022-08-20T11:45:42Z</dcterms:created>
  <dcterms:modified xsi:type="dcterms:W3CDTF">2023-06-18T09:19:57Z</dcterms:modified>
</cp:coreProperties>
</file>