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Banque\"/>
    </mc:Choice>
  </mc:AlternateContent>
  <xr:revisionPtr revIDLastSave="0" documentId="13_ncr:1_{764BA1CE-8A47-49E1-96A4-9BC78B06DE21}" xr6:coauthVersionLast="47" xr6:coauthVersionMax="47" xr10:uidLastSave="{00000000-0000-0000-0000-000000000000}"/>
  <bookViews>
    <workbookView xWindow="-28920" yWindow="-510" windowWidth="29040" windowHeight="16440" tabRatio="745" activeTab="3" xr2:uid="{8FD6BD02-F0EC-42EE-96B0-B7CA60229513}"/>
  </bookViews>
  <sheets>
    <sheet name="Accueil" sheetId="1" r:id="rId1"/>
    <sheet name="Comptes" sheetId="2" r:id="rId2"/>
    <sheet name="Compte Courant" sheetId="6" r:id="rId3"/>
    <sheet name="AsVie Carme" sheetId="7" r:id="rId4"/>
    <sheet name="AsVie Pierre" sheetId="8" r:id="rId5"/>
    <sheet name="LiA Carme" sheetId="10" r:id="rId6"/>
    <sheet name="LiA Pierre" sheetId="9" r:id="rId7"/>
    <sheet name="LEP Carme" sheetId="11" r:id="rId8"/>
    <sheet name="LEP Pierre " sheetId="12" r:id="rId9"/>
    <sheet name="Echéances" sheetId="14" r:id="rId10"/>
    <sheet name="Listes" sheetId="4" r:id="rId11"/>
  </sheets>
  <functionGroups builtInGroupCount="19"/>
  <definedNames>
    <definedName name="ET_Cheque">Listes!$B$3:$B$32</definedName>
    <definedName name="ET_Classe">Listes!$F$3:$F$19</definedName>
    <definedName name="ET_Compte">Listes!$M$3:$M$9</definedName>
    <definedName name="ET_ModPaie">Listes!$J$3:$J$10</definedName>
    <definedName name="ET_Periodicite">Listes!$P$3:$P$7</definedName>
    <definedName name="ET_Rubrique">Listes!$D$3:$D$58</definedName>
    <definedName name="ET_Tiers">Listes!$H$3:$H$31</definedName>
    <definedName name="ET_TypePaie">Listes!#REF!</definedName>
    <definedName name="Solde_Ini" localSheetId="3">'AsVie Carme'!#REF!</definedName>
    <definedName name="Solde_Ini" localSheetId="4">'AsVie Pierre'!#REF!</definedName>
    <definedName name="Solde_Ini" localSheetId="7">'LEP Carme'!#REF!</definedName>
    <definedName name="Solde_Ini" localSheetId="8">'LEP Pierre '!#REF!</definedName>
    <definedName name="Solde_Ini" localSheetId="5">'LiA Carme'!#REF!</definedName>
    <definedName name="Solde_Ini" localSheetId="6">'LiA Pierre'!#REF!</definedName>
    <definedName name="Solde_Ini">'Compte Courant'!#REF!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0" i="6" l="1"/>
  <c r="N41" i="6"/>
  <c r="N42" i="6"/>
  <c r="N43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L27" i="8" l="1"/>
  <c r="H7" i="6" l="1"/>
  <c r="H7" i="7"/>
  <c r="H7" i="8"/>
  <c r="H7" i="10"/>
  <c r="H7" i="9"/>
  <c r="H7" i="11"/>
  <c r="H7" i="12"/>
  <c r="H6" i="12"/>
  <c r="H6" i="11"/>
  <c r="H6" i="9"/>
  <c r="H6" i="10"/>
  <c r="H6" i="8"/>
  <c r="H6" i="7"/>
  <c r="H6" i="6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0" i="9"/>
  <c r="D21" i="9"/>
  <c r="D22" i="9"/>
  <c r="D23" i="9"/>
  <c r="D24" i="9"/>
  <c r="D25" i="9"/>
  <c r="D26" i="9"/>
  <c r="D12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11" i="14"/>
  <c r="D11" i="12"/>
  <c r="D11" i="11"/>
  <c r="D11" i="9"/>
  <c r="D11" i="10"/>
  <c r="D11" i="8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11" i="7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L28" i="6"/>
  <c r="L29" i="6"/>
  <c r="L30" i="6"/>
  <c r="L31" i="6"/>
  <c r="L32" i="6"/>
  <c r="L33" i="6"/>
  <c r="L34" i="6"/>
  <c r="L35" i="6"/>
  <c r="L36" i="6"/>
  <c r="L37" i="6"/>
  <c r="L42" i="6" s="1"/>
  <c r="L38" i="6"/>
  <c r="L43" i="6" s="1"/>
  <c r="L39" i="6"/>
  <c r="L40" i="6"/>
  <c r="L41" i="6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N34" i="7"/>
  <c r="N35" i="7"/>
  <c r="N36" i="7"/>
  <c r="N37" i="7"/>
  <c r="N38" i="7"/>
  <c r="N39" i="7"/>
  <c r="N40" i="7"/>
  <c r="N41" i="7"/>
  <c r="N42" i="7"/>
  <c r="L42" i="7"/>
  <c r="L41" i="7"/>
  <c r="L40" i="7"/>
  <c r="L39" i="7"/>
  <c r="L38" i="7"/>
  <c r="L37" i="7"/>
  <c r="L36" i="7"/>
  <c r="L35" i="7"/>
  <c r="L34" i="7"/>
  <c r="L33" i="7"/>
  <c r="L32" i="7"/>
  <c r="L31" i="7"/>
  <c r="L30" i="7"/>
  <c r="L29" i="7"/>
  <c r="L28" i="7"/>
  <c r="L27" i="7"/>
  <c r="L14" i="2" l="1"/>
  <c r="L13" i="2"/>
  <c r="L12" i="2"/>
  <c r="L11" i="2"/>
  <c r="L15" i="2"/>
  <c r="L17" i="2"/>
  <c r="L16" i="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17" i="9"/>
  <c r="N18" i="9"/>
  <c r="N19" i="9"/>
  <c r="N20" i="9"/>
  <c r="N21" i="9"/>
  <c r="N22" i="9"/>
  <c r="N23" i="9"/>
  <c r="N24" i="9"/>
  <c r="N25" i="9"/>
  <c r="N26" i="9"/>
  <c r="N17" i="10"/>
  <c r="N18" i="10"/>
  <c r="N19" i="10"/>
  <c r="N20" i="10"/>
  <c r="N21" i="10"/>
  <c r="N22" i="10"/>
  <c r="N23" i="10"/>
  <c r="N24" i="10"/>
  <c r="N25" i="10"/>
  <c r="N26" i="10"/>
  <c r="N13" i="8"/>
  <c r="N15" i="8"/>
  <c r="N16" i="8"/>
  <c r="N17" i="8"/>
  <c r="N18" i="8"/>
  <c r="N19" i="8"/>
  <c r="N20" i="8"/>
  <c r="N21" i="8"/>
  <c r="N22" i="8"/>
  <c r="N23" i="8"/>
  <c r="N24" i="8"/>
  <c r="N25" i="8"/>
  <c r="N26" i="8"/>
  <c r="L14" i="11"/>
  <c r="L15" i="11"/>
  <c r="L16" i="11"/>
  <c r="L17" i="11"/>
  <c r="L18" i="11"/>
  <c r="L19" i="11"/>
  <c r="L20" i="11"/>
  <c r="L21" i="11"/>
  <c r="L22" i="11"/>
  <c r="L23" i="11"/>
  <c r="L24" i="11"/>
  <c r="L25" i="11"/>
  <c r="L26" i="11"/>
  <c r="L17" i="9"/>
  <c r="L18" i="9"/>
  <c r="L19" i="9"/>
  <c r="L20" i="9"/>
  <c r="L21" i="9"/>
  <c r="L22" i="9"/>
  <c r="L23" i="9"/>
  <c r="L24" i="9"/>
  <c r="L25" i="9"/>
  <c r="L26" i="9"/>
  <c r="L17" i="10"/>
  <c r="L18" i="10"/>
  <c r="L19" i="10"/>
  <c r="L20" i="10"/>
  <c r="L21" i="10"/>
  <c r="L22" i="10"/>
  <c r="L23" i="10"/>
  <c r="L24" i="10"/>
  <c r="L25" i="10"/>
  <c r="L26" i="10"/>
  <c r="L15" i="8"/>
  <c r="L16" i="8"/>
  <c r="L17" i="8"/>
  <c r="L18" i="8"/>
  <c r="L19" i="8"/>
  <c r="L20" i="8"/>
  <c r="L21" i="8"/>
  <c r="L22" i="8"/>
  <c r="L23" i="8"/>
  <c r="L24" i="8"/>
  <c r="L25" i="8"/>
  <c r="L26" i="8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6" i="6" l="1"/>
  <c r="L6" i="7"/>
  <c r="L6" i="12"/>
  <c r="L6" i="11"/>
  <c r="L6" i="9"/>
  <c r="L6" i="10"/>
  <c r="L6" i="8"/>
  <c r="L11" i="12" l="1"/>
  <c r="N11" i="12"/>
  <c r="N12" i="12" s="1"/>
  <c r="L11" i="11"/>
  <c r="N11" i="11"/>
  <c r="N12" i="11" s="1"/>
  <c r="N13" i="11" s="1"/>
  <c r="L11" i="9"/>
  <c r="L12" i="9" s="1"/>
  <c r="L13" i="9" s="1"/>
  <c r="L14" i="9" s="1"/>
  <c r="L15" i="9" s="1"/>
  <c r="L16" i="9" s="1"/>
  <c r="N11" i="9"/>
  <c r="L11" i="10"/>
  <c r="N11" i="10"/>
  <c r="N12" i="10" s="1"/>
  <c r="L11" i="8"/>
  <c r="L12" i="8" s="1"/>
  <c r="L13" i="8" s="1"/>
  <c r="L14" i="8" s="1"/>
  <c r="N11" i="8"/>
  <c r="N12" i="8" s="1"/>
  <c r="N14" i="8" s="1"/>
  <c r="L11" i="7"/>
  <c r="L12" i="7" s="1"/>
  <c r="N11" i="7"/>
  <c r="N12" i="7" s="1"/>
  <c r="N11" i="6"/>
  <c r="N12" i="6" s="1"/>
  <c r="L11" i="6"/>
  <c r="J4" i="6"/>
  <c r="J4" i="12"/>
  <c r="J4" i="11"/>
  <c r="J4" i="9"/>
  <c r="J4" i="10"/>
  <c r="J4" i="8"/>
  <c r="J4" i="7"/>
  <c r="J4" i="2"/>
  <c r="K4" i="14"/>
  <c r="I8" i="14"/>
  <c r="I7" i="14"/>
  <c r="I6" i="14"/>
  <c r="A25" i="14"/>
  <c r="B25" i="14" s="1"/>
  <c r="A26" i="14"/>
  <c r="B26" i="14" s="1"/>
  <c r="A27" i="14"/>
  <c r="B27" i="14" s="1"/>
  <c r="A28" i="14"/>
  <c r="B28" i="14" s="1"/>
  <c r="A24" i="14"/>
  <c r="B24" i="14" s="1"/>
  <c r="A23" i="14"/>
  <c r="B23" i="14" s="1"/>
  <c r="A12" i="14"/>
  <c r="B12" i="14" s="1"/>
  <c r="A13" i="14"/>
  <c r="B13" i="14" s="1"/>
  <c r="A14" i="14"/>
  <c r="B14" i="14" s="1"/>
  <c r="A15" i="14"/>
  <c r="B15" i="14" s="1"/>
  <c r="A16" i="14"/>
  <c r="B16" i="14" s="1"/>
  <c r="A17" i="14"/>
  <c r="B17" i="14" s="1"/>
  <c r="A18" i="14"/>
  <c r="B18" i="14" s="1"/>
  <c r="A19" i="14"/>
  <c r="B19" i="14" s="1"/>
  <c r="A20" i="14"/>
  <c r="B20" i="14" s="1"/>
  <c r="A21" i="14"/>
  <c r="B21" i="14" s="1"/>
  <c r="A22" i="14"/>
  <c r="B22" i="14" s="1"/>
  <c r="A11" i="14"/>
  <c r="B11" i="14" s="1"/>
  <c r="H17" i="1"/>
  <c r="H16" i="1"/>
  <c r="H15" i="1"/>
  <c r="H14" i="1"/>
  <c r="H13" i="1"/>
  <c r="H12" i="1"/>
  <c r="E17" i="1"/>
  <c r="E16" i="1"/>
  <c r="E15" i="1"/>
  <c r="E14" i="1"/>
  <c r="H8" i="10"/>
  <c r="E13" i="1"/>
  <c r="D13" i="1"/>
  <c r="E12" i="1"/>
  <c r="L25" i="12"/>
  <c r="L24" i="12"/>
  <c r="L12" i="12"/>
  <c r="L13" i="12" s="1"/>
  <c r="L14" i="12" s="1"/>
  <c r="L15" i="12" s="1"/>
  <c r="L16" i="12" s="1"/>
  <c r="L17" i="12" s="1"/>
  <c r="L18" i="12" s="1"/>
  <c r="N13" i="9" l="1"/>
  <c r="N12" i="9"/>
  <c r="N13" i="10"/>
  <c r="N14" i="10" s="1"/>
  <c r="N15" i="10" s="1"/>
  <c r="N16" i="10" s="1"/>
  <c r="L12" i="6"/>
  <c r="L13" i="6" s="1"/>
  <c r="H8" i="12"/>
  <c r="E18" i="1"/>
  <c r="H11" i="1"/>
  <c r="H18" i="1" s="1"/>
  <c r="H8" i="11"/>
  <c r="H8" i="7"/>
  <c r="D12" i="1"/>
  <c r="D16" i="1"/>
  <c r="H8" i="8"/>
  <c r="D14" i="1"/>
  <c r="H8" i="9"/>
  <c r="D15" i="1"/>
  <c r="D17" i="1"/>
  <c r="L12" i="11"/>
  <c r="L13" i="11" s="1"/>
  <c r="L19" i="12"/>
  <c r="L20" i="12" s="1"/>
  <c r="L21" i="12" s="1"/>
  <c r="L22" i="12" s="1"/>
  <c r="L23" i="12" s="1"/>
  <c r="N14" i="9" l="1"/>
  <c r="N15" i="9" s="1"/>
  <c r="L7" i="12"/>
  <c r="L7" i="9"/>
  <c r="L7" i="7"/>
  <c r="L8" i="7" s="1"/>
  <c r="N16" i="9" l="1"/>
  <c r="L8" i="9" s="1"/>
  <c r="K15" i="2" s="1"/>
  <c r="L7" i="8"/>
  <c r="F13" i="1" s="1"/>
  <c r="J12" i="2"/>
  <c r="L8" i="12"/>
  <c r="J17" i="2"/>
  <c r="J15" i="2"/>
  <c r="L7" i="11"/>
  <c r="F17" i="1"/>
  <c r="F15" i="1"/>
  <c r="F12" i="1"/>
  <c r="D11" i="1"/>
  <c r="D18" i="1" s="1"/>
  <c r="G15" i="1" l="1"/>
  <c r="J13" i="2"/>
  <c r="L8" i="8"/>
  <c r="K13" i="2" s="1"/>
  <c r="L8" i="11"/>
  <c r="K16" i="2" s="1"/>
  <c r="J16" i="2"/>
  <c r="G12" i="1"/>
  <c r="K12" i="2"/>
  <c r="G17" i="1"/>
  <c r="K17" i="2"/>
  <c r="F16" i="1"/>
  <c r="H8" i="6"/>
  <c r="G13" i="1" l="1"/>
  <c r="G16" i="1"/>
  <c r="L12" i="10" l="1"/>
  <c r="L7" i="10" l="1"/>
  <c r="L7" i="6"/>
  <c r="F14" i="1" l="1"/>
  <c r="J14" i="2"/>
  <c r="J7" i="2" s="1"/>
  <c r="L8" i="10"/>
  <c r="J11" i="2"/>
  <c r="J8" i="2" s="1"/>
  <c r="F18" i="1"/>
  <c r="L8" i="6"/>
  <c r="K11" i="2" s="1"/>
  <c r="G14" i="1" l="1"/>
  <c r="K14" i="2"/>
  <c r="K7" i="2" s="1"/>
  <c r="G18" i="1"/>
  <c r="K8" i="2" l="1"/>
</calcChain>
</file>

<file path=xl/sharedStrings.xml><?xml version="1.0" encoding="utf-8"?>
<sst xmlns="http://schemas.openxmlformats.org/spreadsheetml/2006/main" count="540" uniqueCount="213">
  <si>
    <t>Classes</t>
  </si>
  <si>
    <t>Tiers</t>
  </si>
  <si>
    <t>Mode de paiement</t>
  </si>
  <si>
    <t>Date</t>
  </si>
  <si>
    <t>N° chèque</t>
  </si>
  <si>
    <t>Commentaire</t>
  </si>
  <si>
    <t>Débit</t>
  </si>
  <si>
    <t>Crédit</t>
  </si>
  <si>
    <t xml:space="preserve">Rubrique </t>
  </si>
  <si>
    <t>Classe</t>
  </si>
  <si>
    <t>Périodicité</t>
  </si>
  <si>
    <t>Compte débité</t>
  </si>
  <si>
    <t>Libellé du compte</t>
  </si>
  <si>
    <t>Solde réel</t>
  </si>
  <si>
    <t xml:space="preserve">Solde pointé </t>
  </si>
  <si>
    <t>Tableau de bord</t>
  </si>
  <si>
    <t>Dépenses</t>
  </si>
  <si>
    <t>Recettes</t>
  </si>
  <si>
    <t>Compte courant Boursorama</t>
  </si>
  <si>
    <t>Livret A Pierre</t>
  </si>
  <si>
    <t>Livret d'Epargne Populaire Pierre</t>
  </si>
  <si>
    <t>Assurance Vie Carmen</t>
  </si>
  <si>
    <t>Assurance Vie Pierre</t>
  </si>
  <si>
    <t>Nb. Opér.</t>
  </si>
  <si>
    <t>Numéro de compte</t>
  </si>
  <si>
    <t>IBAN</t>
  </si>
  <si>
    <t>Devise</t>
  </si>
  <si>
    <t>Boursorama Banque</t>
  </si>
  <si>
    <t>Organisme bancaire</t>
  </si>
  <si>
    <t>Caisse d'Epargne</t>
  </si>
  <si>
    <t>Groupe GENERALI</t>
  </si>
  <si>
    <t>BIC</t>
  </si>
  <si>
    <t>Gestionnaire de comptes</t>
  </si>
  <si>
    <t>Euros</t>
  </si>
  <si>
    <t xml:space="preserve">Alimentation </t>
  </si>
  <si>
    <t>Animalerie</t>
  </si>
  <si>
    <t>Argent de poche</t>
  </si>
  <si>
    <t>Assurances</t>
  </si>
  <si>
    <t>Carburant</t>
  </si>
  <si>
    <t>Cave</t>
  </si>
  <si>
    <t>Avance Kathy</t>
  </si>
  <si>
    <t>Avance Phil</t>
  </si>
  <si>
    <t>Avance Yohan</t>
  </si>
  <si>
    <t>Avance Solstici</t>
  </si>
  <si>
    <t>Cadeaux</t>
  </si>
  <si>
    <t>Divers</t>
  </si>
  <si>
    <t>Dons œuvres</t>
  </si>
  <si>
    <t>Entretien</t>
  </si>
  <si>
    <t xml:space="preserve">Van </t>
  </si>
  <si>
    <t>Voiture</t>
  </si>
  <si>
    <t>Frais bancaires</t>
  </si>
  <si>
    <t>Habillement</t>
  </si>
  <si>
    <t>Coiffeur</t>
  </si>
  <si>
    <t>Habitation</t>
  </si>
  <si>
    <t>Articles ménager</t>
  </si>
  <si>
    <t>Bois de chauffage</t>
  </si>
  <si>
    <t>Bricolage</t>
  </si>
  <si>
    <t>Décoration</t>
  </si>
  <si>
    <t>Eau</t>
  </si>
  <si>
    <t>Electricité</t>
  </si>
  <si>
    <t>Gaz</t>
  </si>
  <si>
    <t>Jardin</t>
  </si>
  <si>
    <t>Linge de maison</t>
  </si>
  <si>
    <t>Produits d'entretien</t>
  </si>
  <si>
    <t>Impôts</t>
  </si>
  <si>
    <t xml:space="preserve">CSG </t>
  </si>
  <si>
    <t>Sur le revenu</t>
  </si>
  <si>
    <t>Taxe foncière</t>
  </si>
  <si>
    <t>Taxe habitation</t>
  </si>
  <si>
    <t>ASA</t>
  </si>
  <si>
    <t>Loisirs</t>
  </si>
  <si>
    <t>Recettes autres</t>
  </si>
  <si>
    <t>Revenus</t>
  </si>
  <si>
    <t>Remb. Maladie</t>
  </si>
  <si>
    <t>Remb. Kathy</t>
  </si>
  <si>
    <t>Remb. Phil</t>
  </si>
  <si>
    <t>Remb. Yohan</t>
  </si>
  <si>
    <t>Remb. Solstici</t>
  </si>
  <si>
    <t>ACTP</t>
  </si>
  <si>
    <t>Santé</t>
  </si>
  <si>
    <t>Téléphonie</t>
  </si>
  <si>
    <t>Intérêts</t>
  </si>
  <si>
    <t>Prime d'épargne</t>
  </si>
  <si>
    <t>Retraite Carmen</t>
  </si>
  <si>
    <t>Retraite Pierre</t>
  </si>
  <si>
    <t>Portables</t>
  </si>
  <si>
    <t>Internet, téléphone fixe</t>
  </si>
  <si>
    <t>Cinéma</t>
  </si>
  <si>
    <t>Multimédia</t>
  </si>
  <si>
    <t>Informatique</t>
  </si>
  <si>
    <t>Librairie</t>
  </si>
  <si>
    <t>Restaurant</t>
  </si>
  <si>
    <t>Sport</t>
  </si>
  <si>
    <t>Vacances</t>
  </si>
  <si>
    <t>Hôtels</t>
  </si>
  <si>
    <t>Médecin</t>
  </si>
  <si>
    <t>Pharmacie</t>
  </si>
  <si>
    <t>Analyse, radios</t>
  </si>
  <si>
    <t>ACommeAssure</t>
  </si>
  <si>
    <t>AGIRC</t>
  </si>
  <si>
    <t>Aldi</t>
  </si>
  <si>
    <t>Amazon</t>
  </si>
  <si>
    <t>ARRCO</t>
  </si>
  <si>
    <t>ASF</t>
  </si>
  <si>
    <t>Brico Dépôt</t>
  </si>
  <si>
    <t>Briconaute</t>
  </si>
  <si>
    <t>Camping Car Park</t>
  </si>
  <si>
    <t>CDiscount</t>
  </si>
  <si>
    <t>CPR</t>
  </si>
  <si>
    <t>EDF</t>
  </si>
  <si>
    <t>Etape auto</t>
  </si>
  <si>
    <t>Free</t>
  </si>
  <si>
    <t>Groupama</t>
  </si>
  <si>
    <t>Ircantec</t>
  </si>
  <si>
    <t>Lery Merlin</t>
  </si>
  <si>
    <t>Maif</t>
  </si>
  <si>
    <t>MSA Grand Sud</t>
  </si>
  <si>
    <t>Orange</t>
  </si>
  <si>
    <t>SNCF</t>
  </si>
  <si>
    <t>Antargaz</t>
  </si>
  <si>
    <t>Solstici</t>
  </si>
  <si>
    <t>Sosh</t>
  </si>
  <si>
    <t>Super U</t>
  </si>
  <si>
    <t>Trésor Public</t>
  </si>
  <si>
    <t>Youprice</t>
  </si>
  <si>
    <t>Carte Carme</t>
  </si>
  <si>
    <t>Carte Pierre</t>
  </si>
  <si>
    <t>Prélèvement</t>
  </si>
  <si>
    <t>Chèque</t>
  </si>
  <si>
    <t>Versement</t>
  </si>
  <si>
    <t>Virement</t>
  </si>
  <si>
    <t>Solde rapproché</t>
  </si>
  <si>
    <t xml:space="preserve">Mouvements au débit : </t>
  </si>
  <si>
    <t xml:space="preserve">Evolutions : </t>
  </si>
  <si>
    <t xml:space="preserve">Solde réel : </t>
  </si>
  <si>
    <t xml:space="preserve">Solde rapproché : </t>
  </si>
  <si>
    <t xml:space="preserve">Mouvements au crédit : </t>
  </si>
  <si>
    <t xml:space="preserve">Solde initial : </t>
  </si>
  <si>
    <t>Pointage</t>
  </si>
  <si>
    <t>ü</t>
  </si>
  <si>
    <t>Mode de
paiement</t>
  </si>
  <si>
    <t>N°
chèque</t>
  </si>
  <si>
    <t>Solde</t>
  </si>
  <si>
    <t>Assurance Vie Carme</t>
  </si>
  <si>
    <t>Livret A Carme</t>
  </si>
  <si>
    <t>Livret Epargne Populaire Carme</t>
  </si>
  <si>
    <t>Livret Epargne Populaire Pierre</t>
  </si>
  <si>
    <t>Livret d'Epargne Populaire Carme</t>
  </si>
  <si>
    <t>Les comptes</t>
  </si>
  <si>
    <t>Echéancier des paiements</t>
  </si>
  <si>
    <t>Compte crédité</t>
  </si>
  <si>
    <t>CC Boursorama</t>
  </si>
  <si>
    <t>LA Pierre</t>
  </si>
  <si>
    <t>LA Carme</t>
  </si>
  <si>
    <t xml:space="preserve">Assurance Vie Carme </t>
  </si>
  <si>
    <t>ó</t>
  </si>
  <si>
    <t>Æ</t>
  </si>
  <si>
    <t>Mensuelle</t>
  </si>
  <si>
    <t>Bimensuelle</t>
  </si>
  <si>
    <t>Trimestrielle</t>
  </si>
  <si>
    <t>Semestrielle</t>
  </si>
  <si>
    <t>Annuelle</t>
  </si>
  <si>
    <t>1 an</t>
  </si>
  <si>
    <t>1 mois</t>
  </si>
  <si>
    <t>2 mois</t>
  </si>
  <si>
    <t>3 mois</t>
  </si>
  <si>
    <t>6 mois</t>
  </si>
  <si>
    <t>Ini</t>
  </si>
  <si>
    <t>Retraite CARSAT Carmen</t>
  </si>
  <si>
    <t>Retraite ARRCO Carmen</t>
  </si>
  <si>
    <t>Retraite AGIRC Carmen</t>
  </si>
  <si>
    <t>Retraite SNCF Pierre</t>
  </si>
  <si>
    <t>Epargne Pierre</t>
  </si>
  <si>
    <t>Retraite complémentaire RG Pierre</t>
  </si>
  <si>
    <t>Epargne Carmen</t>
  </si>
  <si>
    <t>Portable Pierre</t>
  </si>
  <si>
    <t>Portable Carmen</t>
  </si>
  <si>
    <t>Retraite avec retenue Prévoyance Fer Pierre</t>
  </si>
  <si>
    <t>Impôt sur le revenu</t>
  </si>
  <si>
    <t>Eau - Facture Réelle</t>
  </si>
  <si>
    <t>Retraite Education Nationale Carmen</t>
  </si>
  <si>
    <t>Ê</t>
  </si>
  <si>
    <t>CARSAT LR</t>
  </si>
  <si>
    <t>Boursorama</t>
  </si>
  <si>
    <t xml:space="preserve">Encours tous comptes : </t>
  </si>
  <si>
    <t>Réel</t>
  </si>
  <si>
    <t>Rapproché</t>
  </si>
  <si>
    <t xml:space="preserve">Encours épargne : </t>
  </si>
  <si>
    <t>Trésorerie</t>
  </si>
  <si>
    <t xml:space="preserve">Nombre d'échéances mensuelles : </t>
  </si>
  <si>
    <t xml:space="preserve">Nombre d'échéances trimestrielles : </t>
  </si>
  <si>
    <t xml:space="preserve">Nombre d'échéances annuelles : </t>
  </si>
  <si>
    <t xml:space="preserve">Comptes </t>
  </si>
  <si>
    <t>Remise chèques</t>
  </si>
  <si>
    <t>Solde Initial</t>
  </si>
  <si>
    <t>12 mois</t>
  </si>
  <si>
    <t xml:space="preserve">Rubriques </t>
  </si>
  <si>
    <t>Type</t>
  </si>
  <si>
    <t>Virement du CC sur le Livret A Pierre</t>
  </si>
  <si>
    <t>Compte Courant</t>
  </si>
  <si>
    <t>Virement entre comptes</t>
  </si>
  <si>
    <t>+</t>
  </si>
  <si>
    <t>-</t>
  </si>
  <si>
    <t>Epargne</t>
  </si>
  <si>
    <t>LEP Carme</t>
  </si>
  <si>
    <t>LEP Pierre</t>
  </si>
  <si>
    <t>Virement externe</t>
  </si>
  <si>
    <t>Virement interne</t>
  </si>
  <si>
    <t>Feuille</t>
  </si>
  <si>
    <t>AsVie  Carme</t>
  </si>
  <si>
    <t>AsVie  Pierre</t>
  </si>
  <si>
    <t>LiA Carme</t>
  </si>
  <si>
    <t>LiA 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</si>
</sst>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#,##0.00\ _€"/>
    <numFmt numFmtId="165" formatCode="#,##0.00\ _€;[Red]#,##0.00\ _€"/>
    <numFmt numFmtId="166" formatCode="#,##0.00\ &quot;€&quot;"/>
    <numFmt numFmtId="167" formatCode="_-* #,##0.00\ _€_-;\-* #,##0.00\ _€_-;_-* &quot;-&quot;??\ _€_-;_-@_-"/>
    <numFmt numFmtId="168" formatCode="[$-F800]dddd\,\ mmmm\ dd\,\ yyyy"/>
    <numFmt numFmtId="169" formatCode="m/d/yyyy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sz val="11"/>
      <color theme="8" tint="-0.499984740745262"/>
      <name val="Wingdings"/>
      <charset val="2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B050"/>
      <name val="Calibri"/>
      <family val="2"/>
      <scheme val="minor"/>
    </font>
    <font>
      <sz val="13"/>
      <color rgb="FF00B050"/>
      <name val="Wingdings"/>
      <charset val="2"/>
    </font>
    <font>
      <b/>
      <sz val="13"/>
      <color rgb="FF094BDD"/>
      <name val="Wingdings"/>
      <charset val="2"/>
    </font>
    <font>
      <sz val="11"/>
      <color rgb="FF094BDD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B050"/>
      <name val="Wingdings"/>
      <charset val="2"/>
    </font>
    <font>
      <b/>
      <sz val="13"/>
      <color rgb="FFFF0000"/>
      <name val="Wingdings"/>
      <charset val="2"/>
    </font>
    <font>
      <b/>
      <sz val="13"/>
      <color rgb="FF00B050"/>
      <name val="Wingdings"/>
      <charset val="2"/>
    </font>
    <font>
      <b/>
      <sz val="12"/>
      <color rgb="FF00B050"/>
      <name val="Gill Sans Ultra Bold"/>
      <family val="2"/>
    </font>
    <font>
      <b/>
      <sz val="12"/>
      <color rgb="FFFF0000"/>
      <name val="Gill Sans Ultra Bold"/>
      <family val="2"/>
    </font>
  </fonts>
  <fills count="2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873AC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8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499984740745262"/>
        <bgColor theme="8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77111117893"/>
        <bgColor theme="8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49977111117893"/>
        <bgColor theme="8"/>
      </patternFill>
    </fill>
    <fill>
      <patternFill patternType="solid">
        <fgColor rgb="FFD13111"/>
        <bgColor indexed="64"/>
      </patternFill>
    </fill>
    <fill>
      <patternFill patternType="solid">
        <fgColor rgb="FFD13111"/>
        <bgColor theme="8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499984740745262"/>
        <bgColor theme="8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249977111117893"/>
        <bgColor theme="8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0" borderId="0"/>
    <xf numFmtId="0" fontId="16" fillId="0" borderId="0" applyNumberFormat="0" applyFill="0" applyBorder="0" applyAlignment="0" applyProtection="0"/>
  </cellStyleXfs>
  <cellXfs count="20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vertical="center" indent="1"/>
    </xf>
    <xf numFmtId="0" fontId="1" fillId="4" borderId="1" xfId="3" applyBorder="1" applyAlignment="1">
      <alignment horizontal="left" vertical="center" indent="1"/>
    </xf>
    <xf numFmtId="0" fontId="1" fillId="3" borderId="1" xfId="2" applyBorder="1" applyAlignment="1">
      <alignment horizontal="left" vertical="center" indent="1"/>
    </xf>
    <xf numFmtId="49" fontId="0" fillId="0" borderId="0" xfId="0" applyNumberFormat="1"/>
    <xf numFmtId="0" fontId="4" fillId="8" borderId="0" xfId="0" applyFont="1" applyFill="1" applyAlignment="1">
      <alignment horizontal="left" vertical="center" indent="1"/>
    </xf>
    <xf numFmtId="0" fontId="0" fillId="0" borderId="0" xfId="0" applyAlignment="1">
      <alignment horizontal="left"/>
    </xf>
    <xf numFmtId="164" fontId="5" fillId="0" borderId="0" xfId="0" applyNumberFormat="1" applyFont="1"/>
    <xf numFmtId="166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167" fontId="0" fillId="0" borderId="0" xfId="0" applyNumberFormat="1"/>
    <xf numFmtId="164" fontId="0" fillId="0" borderId="0" xfId="0" applyNumberFormat="1" applyAlignment="1">
      <alignment horizontal="left"/>
    </xf>
    <xf numFmtId="164" fontId="7" fillId="0" borderId="0" xfId="0" applyNumberFormat="1" applyFont="1"/>
    <xf numFmtId="0" fontId="6" fillId="0" borderId="0" xfId="0" applyFont="1"/>
    <xf numFmtId="164" fontId="9" fillId="0" borderId="0" xfId="0" applyNumberFormat="1" applyFont="1"/>
    <xf numFmtId="0" fontId="9" fillId="0" borderId="0" xfId="0" applyFont="1"/>
    <xf numFmtId="167" fontId="9" fillId="0" borderId="0" xfId="0" applyNumberFormat="1" applyFont="1"/>
    <xf numFmtId="0" fontId="9" fillId="8" borderId="0" xfId="0" applyFont="1" applyFill="1"/>
    <xf numFmtId="167" fontId="9" fillId="8" borderId="0" xfId="0" applyNumberFormat="1" applyFont="1" applyFill="1"/>
    <xf numFmtId="166" fontId="9" fillId="0" borderId="0" xfId="0" applyNumberFormat="1" applyFont="1"/>
    <xf numFmtId="167" fontId="10" fillId="0" borderId="0" xfId="0" applyNumberFormat="1" applyFont="1" applyAlignment="1">
      <alignment horizontal="center"/>
    </xf>
    <xf numFmtId="0" fontId="0" fillId="0" borderId="0" xfId="0" applyAlignment="1">
      <alignment horizontal="left" vertical="center"/>
    </xf>
    <xf numFmtId="164" fontId="6" fillId="0" borderId="0" xfId="0" applyNumberFormat="1" applyFont="1"/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left" vertical="center" indent="1"/>
    </xf>
    <xf numFmtId="14" fontId="0" fillId="0" borderId="0" xfId="0" applyNumberFormat="1" applyAlignment="1">
      <alignment vertical="center"/>
    </xf>
    <xf numFmtId="0" fontId="9" fillId="0" borderId="0" xfId="0" applyFont="1" applyAlignment="1">
      <alignment vertical="center"/>
    </xf>
    <xf numFmtId="14" fontId="2" fillId="9" borderId="0" xfId="0" applyNumberFormat="1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164" fontId="2" fillId="9" borderId="0" xfId="0" applyNumberFormat="1" applyFont="1" applyFill="1" applyAlignment="1">
      <alignment horizontal="center" vertical="center" wrapText="1"/>
    </xf>
    <xf numFmtId="167" fontId="2" fillId="9" borderId="0" xfId="0" applyNumberFormat="1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  <xf numFmtId="0" fontId="4" fillId="8" borderId="0" xfId="0" applyFont="1" applyFill="1" applyAlignment="1">
      <alignment horizontal="left" vertical="center" indent="4"/>
    </xf>
    <xf numFmtId="0" fontId="4" fillId="10" borderId="0" xfId="0" applyFont="1" applyFill="1" applyAlignment="1">
      <alignment horizontal="left" vertical="center" indent="4"/>
    </xf>
    <xf numFmtId="0" fontId="4" fillId="10" borderId="0" xfId="0" applyFont="1" applyFill="1" applyAlignment="1">
      <alignment horizontal="left" vertical="center" indent="1"/>
    </xf>
    <xf numFmtId="0" fontId="9" fillId="10" borderId="0" xfId="0" applyFont="1" applyFill="1"/>
    <xf numFmtId="167" fontId="9" fillId="10" borderId="0" xfId="0" applyNumberFormat="1" applyFont="1" applyFill="1"/>
    <xf numFmtId="14" fontId="2" fillId="11" borderId="0" xfId="0" applyNumberFormat="1" applyFont="1" applyFill="1" applyAlignment="1">
      <alignment horizontal="center" vertical="center" wrapText="1"/>
    </xf>
    <xf numFmtId="0" fontId="2" fillId="11" borderId="0" xfId="0" applyFont="1" applyFill="1" applyAlignment="1">
      <alignment horizontal="center" vertical="center" wrapText="1"/>
    </xf>
    <xf numFmtId="164" fontId="2" fillId="11" borderId="0" xfId="0" applyNumberFormat="1" applyFont="1" applyFill="1" applyAlignment="1">
      <alignment horizontal="center" vertical="center" wrapText="1"/>
    </xf>
    <xf numFmtId="167" fontId="2" fillId="11" borderId="0" xfId="0" applyNumberFormat="1" applyFont="1" applyFill="1" applyAlignment="1">
      <alignment horizontal="center" vertical="center" wrapText="1"/>
    </xf>
    <xf numFmtId="0" fontId="4" fillId="12" borderId="0" xfId="0" applyFont="1" applyFill="1" applyAlignment="1">
      <alignment horizontal="left" vertical="center" indent="4"/>
    </xf>
    <xf numFmtId="0" fontId="4" fillId="12" borderId="0" xfId="0" applyFont="1" applyFill="1" applyAlignment="1">
      <alignment horizontal="left" vertical="center" indent="1"/>
    </xf>
    <xf numFmtId="0" fontId="9" fillId="12" borderId="0" xfId="0" applyFont="1" applyFill="1"/>
    <xf numFmtId="167" fontId="9" fillId="12" borderId="0" xfId="0" applyNumberFormat="1" applyFont="1" applyFill="1"/>
    <xf numFmtId="14" fontId="2" fillId="13" borderId="0" xfId="0" applyNumberFormat="1" applyFont="1" applyFill="1" applyAlignment="1">
      <alignment horizontal="center" vertical="center" wrapText="1"/>
    </xf>
    <xf numFmtId="0" fontId="2" fillId="13" borderId="0" xfId="0" applyFont="1" applyFill="1" applyAlignment="1">
      <alignment horizontal="center" vertical="center" wrapText="1"/>
    </xf>
    <xf numFmtId="164" fontId="2" fillId="13" borderId="0" xfId="0" applyNumberFormat="1" applyFont="1" applyFill="1" applyAlignment="1">
      <alignment horizontal="center" vertical="center" wrapText="1"/>
    </xf>
    <xf numFmtId="167" fontId="2" fillId="13" borderId="0" xfId="0" applyNumberFormat="1" applyFont="1" applyFill="1" applyAlignment="1">
      <alignment horizontal="center" vertical="center" wrapText="1"/>
    </xf>
    <xf numFmtId="0" fontId="4" fillId="14" borderId="0" xfId="0" applyFont="1" applyFill="1" applyAlignment="1">
      <alignment horizontal="left" vertical="center" indent="4"/>
    </xf>
    <xf numFmtId="0" fontId="4" fillId="14" borderId="0" xfId="0" applyFont="1" applyFill="1" applyAlignment="1">
      <alignment horizontal="left" vertical="center" indent="1"/>
    </xf>
    <xf numFmtId="0" fontId="9" fillId="14" borderId="0" xfId="0" applyFont="1" applyFill="1"/>
    <xf numFmtId="167" fontId="9" fillId="14" borderId="0" xfId="0" applyNumberFormat="1" applyFont="1" applyFill="1"/>
    <xf numFmtId="14" fontId="2" fillId="15" borderId="0" xfId="0" applyNumberFormat="1" applyFont="1" applyFill="1" applyAlignment="1">
      <alignment horizontal="center" vertical="center" wrapText="1"/>
    </xf>
    <xf numFmtId="0" fontId="2" fillId="15" borderId="0" xfId="0" applyFont="1" applyFill="1" applyAlignment="1">
      <alignment horizontal="center" vertical="center" wrapText="1"/>
    </xf>
    <xf numFmtId="164" fontId="2" fillId="15" borderId="0" xfId="0" applyNumberFormat="1" applyFont="1" applyFill="1" applyAlignment="1">
      <alignment horizontal="center" vertical="center" wrapText="1"/>
    </xf>
    <xf numFmtId="167" fontId="2" fillId="15" borderId="0" xfId="0" applyNumberFormat="1" applyFont="1" applyFill="1" applyAlignment="1">
      <alignment horizontal="center" vertical="center" wrapText="1"/>
    </xf>
    <xf numFmtId="0" fontId="4" fillId="16" borderId="0" xfId="0" applyFont="1" applyFill="1" applyAlignment="1">
      <alignment horizontal="left" vertical="center" indent="4"/>
    </xf>
    <xf numFmtId="0" fontId="4" fillId="16" borderId="0" xfId="0" applyFont="1" applyFill="1" applyAlignment="1">
      <alignment horizontal="left" vertical="center" indent="1"/>
    </xf>
    <xf numFmtId="0" fontId="2" fillId="17" borderId="0" xfId="0" applyFont="1" applyFill="1" applyAlignment="1">
      <alignment horizontal="center" vertical="center" wrapText="1"/>
    </xf>
    <xf numFmtId="14" fontId="2" fillId="17" borderId="0" xfId="0" applyNumberFormat="1" applyFont="1" applyFill="1" applyAlignment="1">
      <alignment horizontal="center" vertical="center" wrapText="1"/>
    </xf>
    <xf numFmtId="164" fontId="2" fillId="17" borderId="0" xfId="0" applyNumberFormat="1" applyFont="1" applyFill="1" applyAlignment="1">
      <alignment horizontal="center" vertical="center" wrapText="1"/>
    </xf>
    <xf numFmtId="0" fontId="2" fillId="18" borderId="1" xfId="1" applyFont="1" applyFill="1" applyBorder="1" applyAlignment="1">
      <alignment horizontal="center" vertical="center" wrapText="1"/>
    </xf>
    <xf numFmtId="0" fontId="2" fillId="18" borderId="2" xfId="1" applyFont="1" applyFill="1" applyBorder="1" applyAlignment="1">
      <alignment horizontal="center" vertical="center" wrapText="1"/>
    </xf>
    <xf numFmtId="0" fontId="4" fillId="18" borderId="0" xfId="0" applyFont="1" applyFill="1" applyAlignment="1">
      <alignment horizontal="left" vertical="center" indent="4"/>
    </xf>
    <xf numFmtId="0" fontId="4" fillId="18" borderId="0" xfId="0" applyFont="1" applyFill="1" applyAlignment="1">
      <alignment horizontal="left" vertical="center" indent="1"/>
    </xf>
    <xf numFmtId="166" fontId="11" fillId="0" borderId="6" xfId="0" applyNumberFormat="1" applyFont="1" applyBorder="1" applyAlignment="1">
      <alignment vertical="center"/>
    </xf>
    <xf numFmtId="166" fontId="11" fillId="0" borderId="7" xfId="0" applyNumberFormat="1" applyFont="1" applyBorder="1" applyAlignment="1">
      <alignment vertical="center"/>
    </xf>
    <xf numFmtId="166" fontId="11" fillId="0" borderId="0" xfId="0" applyNumberFormat="1" applyFont="1" applyAlignment="1">
      <alignment vertical="center"/>
    </xf>
    <xf numFmtId="166" fontId="11" fillId="0" borderId="9" xfId="0" applyNumberFormat="1" applyFont="1" applyBorder="1" applyAlignment="1">
      <alignment vertical="center"/>
    </xf>
    <xf numFmtId="166" fontId="8" fillId="0" borderId="11" xfId="0" applyNumberFormat="1" applyFont="1" applyBorder="1" applyAlignment="1">
      <alignment vertical="center"/>
    </xf>
    <xf numFmtId="166" fontId="8" fillId="0" borderId="12" xfId="0" applyNumberFormat="1" applyFont="1" applyBorder="1" applyAlignment="1">
      <alignment vertical="center"/>
    </xf>
    <xf numFmtId="166" fontId="12" fillId="0" borderId="7" xfId="0" applyNumberFormat="1" applyFont="1" applyBorder="1" applyAlignment="1">
      <alignment horizontal="right" vertical="center" indent="3"/>
    </xf>
    <xf numFmtId="166" fontId="12" fillId="0" borderId="9" xfId="0" applyNumberFormat="1" applyFont="1" applyBorder="1" applyAlignment="1">
      <alignment horizontal="right" vertical="center" indent="3"/>
    </xf>
    <xf numFmtId="166" fontId="12" fillId="0" borderId="12" xfId="0" applyNumberFormat="1" applyFont="1" applyBorder="1" applyAlignment="1">
      <alignment horizontal="right" vertical="center" indent="3"/>
    </xf>
    <xf numFmtId="166" fontId="1" fillId="4" borderId="2" xfId="3" applyNumberFormat="1" applyBorder="1" applyAlignment="1">
      <alignment horizontal="right" vertical="center" indent="3"/>
    </xf>
    <xf numFmtId="166" fontId="1" fillId="3" borderId="2" xfId="2" applyNumberFormat="1" applyBorder="1" applyAlignment="1">
      <alignment horizontal="right" vertical="center" indent="3"/>
    </xf>
    <xf numFmtId="0" fontId="13" fillId="0" borderId="0" xfId="0" applyFont="1" applyAlignment="1">
      <alignment horizontal="left" vertical="center" indent="3"/>
    </xf>
    <xf numFmtId="0" fontId="4" fillId="19" borderId="0" xfId="0" applyFont="1" applyFill="1" applyAlignment="1">
      <alignment horizontal="left" vertical="center" indent="4"/>
    </xf>
    <xf numFmtId="0" fontId="4" fillId="19" borderId="0" xfId="0" applyFont="1" applyFill="1" applyAlignment="1">
      <alignment horizontal="left" vertical="center" indent="1"/>
    </xf>
    <xf numFmtId="0" fontId="9" fillId="19" borderId="0" xfId="0" applyFont="1" applyFill="1"/>
    <xf numFmtId="167" fontId="9" fillId="19" borderId="0" xfId="0" applyNumberFormat="1" applyFont="1" applyFill="1"/>
    <xf numFmtId="14" fontId="2" fillId="20" borderId="0" xfId="0" applyNumberFormat="1" applyFont="1" applyFill="1" applyAlignment="1">
      <alignment horizontal="center" vertical="center" wrapText="1"/>
    </xf>
    <xf numFmtId="0" fontId="2" fillId="20" borderId="0" xfId="0" applyFont="1" applyFill="1" applyAlignment="1">
      <alignment horizontal="center" vertical="center" wrapText="1"/>
    </xf>
    <xf numFmtId="164" fontId="2" fillId="20" borderId="0" xfId="0" applyNumberFormat="1" applyFont="1" applyFill="1" applyAlignment="1">
      <alignment horizontal="center" vertical="center" wrapText="1"/>
    </xf>
    <xf numFmtId="167" fontId="2" fillId="20" borderId="0" xfId="0" applyNumberFormat="1" applyFont="1" applyFill="1" applyAlignment="1">
      <alignment horizontal="center" vertical="center" wrapText="1"/>
    </xf>
    <xf numFmtId="0" fontId="4" fillId="21" borderId="0" xfId="0" applyFont="1" applyFill="1" applyAlignment="1">
      <alignment horizontal="left" vertical="center" indent="4"/>
    </xf>
    <xf numFmtId="0" fontId="4" fillId="21" borderId="0" xfId="0" applyFont="1" applyFill="1" applyAlignment="1">
      <alignment horizontal="left" vertical="center" indent="1"/>
    </xf>
    <xf numFmtId="0" fontId="9" fillId="21" borderId="0" xfId="0" applyFont="1" applyFill="1"/>
    <xf numFmtId="167" fontId="9" fillId="21" borderId="0" xfId="0" applyNumberFormat="1" applyFont="1" applyFill="1"/>
    <xf numFmtId="14" fontId="2" fillId="22" borderId="0" xfId="0" applyNumberFormat="1" applyFont="1" applyFill="1" applyAlignment="1">
      <alignment horizontal="center" vertical="center" wrapText="1"/>
    </xf>
    <xf numFmtId="0" fontId="2" fillId="22" borderId="0" xfId="0" applyFont="1" applyFill="1" applyAlignment="1">
      <alignment horizontal="center" vertical="center" wrapText="1"/>
    </xf>
    <xf numFmtId="164" fontId="2" fillId="22" borderId="0" xfId="0" applyNumberFormat="1" applyFont="1" applyFill="1" applyAlignment="1">
      <alignment horizontal="center" vertical="center" wrapText="1"/>
    </xf>
    <xf numFmtId="167" fontId="2" fillId="22" borderId="0" xfId="0" applyNumberFormat="1" applyFont="1" applyFill="1" applyAlignment="1">
      <alignment horizontal="center" vertical="center" wrapText="1"/>
    </xf>
    <xf numFmtId="166" fontId="12" fillId="0" borderId="0" xfId="0" applyNumberFormat="1" applyFont="1" applyAlignment="1">
      <alignment horizontal="right" vertical="center" indent="3"/>
    </xf>
    <xf numFmtId="14" fontId="0" fillId="0" borderId="0" xfId="0" applyNumberFormat="1" applyAlignment="1">
      <alignment horizontal="center" vertical="center"/>
    </xf>
    <xf numFmtId="0" fontId="17" fillId="0" borderId="0" xfId="0" applyFont="1" applyAlignment="1">
      <alignment horizontal="left" vertical="center" indent="1"/>
    </xf>
    <xf numFmtId="0" fontId="18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166" fontId="2" fillId="18" borderId="2" xfId="1" applyNumberFormat="1" applyFont="1" applyFill="1" applyBorder="1" applyAlignment="1">
      <alignment horizontal="right" vertical="center" wrapText="1" indent="3"/>
    </xf>
    <xf numFmtId="0" fontId="1" fillId="4" borderId="2" xfId="3" applyNumberFormat="1" applyBorder="1" applyAlignment="1">
      <alignment horizontal="right" vertical="center" indent="3"/>
    </xf>
    <xf numFmtId="0" fontId="1" fillId="3" borderId="2" xfId="2" applyNumberFormat="1" applyBorder="1" applyAlignment="1">
      <alignment horizontal="right" vertical="center" indent="3"/>
    </xf>
    <xf numFmtId="0" fontId="2" fillId="18" borderId="2" xfId="1" applyNumberFormat="1" applyFont="1" applyFill="1" applyBorder="1" applyAlignment="1">
      <alignment horizontal="right" vertical="center" wrapText="1" indent="3"/>
    </xf>
    <xf numFmtId="0" fontId="13" fillId="0" borderId="0" xfId="0" applyFont="1" applyAlignment="1">
      <alignment horizontal="left" indent="4"/>
    </xf>
    <xf numFmtId="165" fontId="17" fillId="0" borderId="0" xfId="0" applyNumberFormat="1" applyFont="1" applyAlignment="1">
      <alignment horizontal="right" vertical="center"/>
    </xf>
    <xf numFmtId="165" fontId="20" fillId="0" borderId="0" xfId="0" applyNumberFormat="1" applyFont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12" fillId="0" borderId="0" xfId="0" applyFont="1"/>
    <xf numFmtId="0" fontId="0" fillId="0" borderId="0" xfId="0" applyAlignment="1">
      <alignment horizontal="right" vertical="center" indent="2"/>
    </xf>
    <xf numFmtId="0" fontId="12" fillId="0" borderId="7" xfId="0" applyFont="1" applyBorder="1" applyAlignment="1">
      <alignment horizontal="right" vertical="center" indent="3"/>
    </xf>
    <xf numFmtId="0" fontId="12" fillId="0" borderId="9" xfId="0" applyFont="1" applyBorder="1" applyAlignment="1">
      <alignment horizontal="right" vertical="center" indent="3"/>
    </xf>
    <xf numFmtId="0" fontId="12" fillId="0" borderId="12" xfId="0" applyFont="1" applyBorder="1" applyAlignment="1">
      <alignment horizontal="right" vertical="center" indent="3"/>
    </xf>
    <xf numFmtId="165" fontId="5" fillId="0" borderId="0" xfId="0" applyNumberFormat="1" applyFont="1" applyAlignment="1">
      <alignment horizontal="right" vertical="center"/>
    </xf>
    <xf numFmtId="168" fontId="14" fillId="16" borderId="0" xfId="0" applyNumberFormat="1" applyFont="1" applyFill="1" applyAlignment="1">
      <alignment horizontal="centerContinuous" vertical="center"/>
    </xf>
    <xf numFmtId="0" fontId="4" fillId="16" borderId="0" xfId="0" applyFont="1" applyFill="1" applyAlignment="1">
      <alignment horizontal="centerContinuous" vertical="center"/>
    </xf>
    <xf numFmtId="0" fontId="4" fillId="23" borderId="0" xfId="0" applyFont="1" applyFill="1" applyAlignment="1">
      <alignment horizontal="left" vertical="center" indent="4"/>
    </xf>
    <xf numFmtId="0" fontId="4" fillId="23" borderId="0" xfId="0" applyFont="1" applyFill="1" applyAlignment="1">
      <alignment horizontal="left" vertical="center" indent="1"/>
    </xf>
    <xf numFmtId="0" fontId="9" fillId="23" borderId="0" xfId="0" applyFont="1" applyFill="1"/>
    <xf numFmtId="167" fontId="9" fillId="23" borderId="0" xfId="0" applyNumberFormat="1" applyFont="1" applyFill="1"/>
    <xf numFmtId="14" fontId="2" fillId="23" borderId="0" xfId="0" applyNumberFormat="1" applyFont="1" applyFill="1" applyAlignment="1">
      <alignment horizontal="center" vertical="center" wrapText="1"/>
    </xf>
    <xf numFmtId="0" fontId="2" fillId="23" borderId="0" xfId="0" applyFont="1" applyFill="1" applyAlignment="1">
      <alignment horizontal="center" vertical="center" wrapText="1"/>
    </xf>
    <xf numFmtId="164" fontId="2" fillId="23" borderId="0" xfId="0" applyNumberFormat="1" applyFont="1" applyFill="1" applyAlignment="1">
      <alignment horizontal="center" vertical="center" wrapText="1"/>
    </xf>
    <xf numFmtId="167" fontId="2" fillId="23" borderId="0" xfId="0" applyNumberFormat="1" applyFont="1" applyFill="1" applyAlignment="1">
      <alignment horizontal="center" vertical="center" wrapText="1"/>
    </xf>
    <xf numFmtId="0" fontId="4" fillId="8" borderId="0" xfId="0" applyFont="1" applyFill="1" applyAlignment="1">
      <alignment horizontal="left" vertical="center"/>
    </xf>
    <xf numFmtId="0" fontId="2" fillId="9" borderId="0" xfId="0" applyFont="1" applyFill="1" applyAlignment="1">
      <alignment horizontal="left" vertical="center" wrapText="1"/>
    </xf>
    <xf numFmtId="0" fontId="12" fillId="24" borderId="0" xfId="0" applyFont="1" applyFill="1" applyAlignment="1">
      <alignment horizontal="left" vertical="center" indent="1"/>
    </xf>
    <xf numFmtId="0" fontId="12" fillId="24" borderId="0" xfId="0" applyFont="1" applyFill="1"/>
    <xf numFmtId="0" fontId="12" fillId="0" borderId="0" xfId="0" applyFont="1" applyAlignment="1">
      <alignment horizontal="left" vertical="center" indent="1"/>
    </xf>
    <xf numFmtId="169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 indent="1"/>
    </xf>
    <xf numFmtId="0" fontId="0" fillId="0" borderId="0" xfId="0" applyProtection="1">
      <protection locked="0"/>
    </xf>
    <xf numFmtId="0" fontId="21" fillId="0" borderId="0" xfId="0" applyFont="1" applyAlignment="1" applyProtection="1">
      <alignment vertical="center"/>
      <protection locked="0"/>
    </xf>
    <xf numFmtId="0" fontId="4" fillId="6" borderId="0" xfId="0" applyFont="1" applyFill="1" applyAlignment="1" applyProtection="1">
      <alignment horizontal="left" vertical="center" indent="1"/>
      <protection locked="0"/>
    </xf>
    <xf numFmtId="14" fontId="4" fillId="6" borderId="0" xfId="0" applyNumberFormat="1" applyFont="1" applyFill="1" applyAlignment="1" applyProtection="1">
      <alignment horizontal="left" vertical="center" indent="1"/>
      <protection locked="0"/>
    </xf>
    <xf numFmtId="0" fontId="0" fillId="5" borderId="0" xfId="0" applyFill="1" applyProtection="1">
      <protection locked="0"/>
    </xf>
    <xf numFmtId="164" fontId="9" fillId="0" borderId="6" xfId="0" applyNumberFormat="1" applyFont="1" applyBorder="1" applyAlignment="1" applyProtection="1">
      <alignment horizontal="right" vertical="center"/>
      <protection locked="0"/>
    </xf>
    <xf numFmtId="164" fontId="9" fillId="0" borderId="0" xfId="0" applyNumberFormat="1" applyFont="1" applyAlignment="1" applyProtection="1">
      <alignment horizontal="right" vertical="center"/>
      <protection locked="0"/>
    </xf>
    <xf numFmtId="164" fontId="9" fillId="0" borderId="11" xfId="0" applyNumberFormat="1" applyFont="1" applyBorder="1" applyAlignment="1" applyProtection="1">
      <alignment horizontal="right" vertical="center"/>
      <protection locked="0"/>
    </xf>
    <xf numFmtId="0" fontId="2" fillId="7" borderId="4" xfId="1" applyFont="1" applyFill="1" applyBorder="1" applyAlignment="1" applyProtection="1">
      <alignment horizontal="center" vertical="center" wrapText="1"/>
      <protection locked="0"/>
    </xf>
    <xf numFmtId="0" fontId="16" fillId="0" borderId="0" xfId="5" applyProtection="1">
      <protection locked="0"/>
    </xf>
    <xf numFmtId="0" fontId="1" fillId="5" borderId="4" xfId="3" applyFill="1" applyBorder="1" applyAlignment="1" applyProtection="1">
      <alignment horizontal="left" vertical="center" indent="1"/>
      <protection locked="0"/>
    </xf>
    <xf numFmtId="49" fontId="1" fillId="5" borderId="4" xfId="3" applyNumberFormat="1" applyFill="1" applyBorder="1" applyAlignment="1" applyProtection="1">
      <alignment horizontal="left" vertical="center" indent="1"/>
      <protection locked="0"/>
    </xf>
    <xf numFmtId="165" fontId="1" fillId="5" borderId="4" xfId="3" applyNumberFormat="1" applyFill="1" applyBorder="1" applyAlignment="1" applyProtection="1">
      <alignment horizontal="left" vertical="center" indent="1"/>
      <protection locked="0"/>
    </xf>
    <xf numFmtId="166" fontId="1" fillId="5" borderId="4" xfId="3" applyNumberFormat="1" applyFill="1" applyBorder="1" applyAlignment="1" applyProtection="1">
      <alignment horizontal="right" vertical="center" indent="1"/>
      <protection locked="0"/>
    </xf>
    <xf numFmtId="0" fontId="1" fillId="3" borderId="4" xfId="2" applyBorder="1" applyAlignment="1" applyProtection="1">
      <alignment horizontal="left" vertical="center" indent="1"/>
      <protection locked="0"/>
    </xf>
    <xf numFmtId="49" fontId="1" fillId="3" borderId="4" xfId="2" applyNumberFormat="1" applyBorder="1" applyAlignment="1" applyProtection="1">
      <alignment horizontal="left" vertical="center" indent="1"/>
      <protection locked="0"/>
    </xf>
    <xf numFmtId="165" fontId="1" fillId="3" borderId="4" xfId="2" applyNumberFormat="1" applyBorder="1" applyAlignment="1" applyProtection="1">
      <alignment horizontal="left" vertical="center" indent="1"/>
      <protection locked="0"/>
    </xf>
    <xf numFmtId="166" fontId="1" fillId="3" borderId="4" xfId="2" applyNumberFormat="1" applyBorder="1" applyAlignment="1" applyProtection="1">
      <alignment horizontal="right" vertical="center" indent="1"/>
      <protection locked="0"/>
    </xf>
    <xf numFmtId="0" fontId="1" fillId="5" borderId="3" xfId="3" applyFill="1" applyBorder="1" applyAlignment="1" applyProtection="1">
      <alignment horizontal="left" vertical="center" indent="1"/>
      <protection locked="0"/>
    </xf>
    <xf numFmtId="49" fontId="1" fillId="5" borderId="3" xfId="3" applyNumberFormat="1" applyFill="1" applyBorder="1" applyAlignment="1" applyProtection="1">
      <alignment horizontal="left" vertical="center" indent="1"/>
      <protection locked="0"/>
    </xf>
    <xf numFmtId="165" fontId="1" fillId="5" borderId="3" xfId="3" applyNumberFormat="1" applyFill="1" applyBorder="1" applyAlignment="1" applyProtection="1">
      <alignment horizontal="left" vertical="center" indent="1"/>
      <protection locked="0"/>
    </xf>
    <xf numFmtId="166" fontId="1" fillId="5" borderId="3" xfId="3" applyNumberFormat="1" applyFill="1" applyBorder="1" applyAlignment="1" applyProtection="1">
      <alignment horizontal="right" vertical="center" indent="1"/>
      <protection locked="0"/>
    </xf>
    <xf numFmtId="0" fontId="4" fillId="6" borderId="0" xfId="0" applyFont="1" applyFill="1" applyAlignment="1">
      <alignment horizontal="left" vertical="center" indent="1"/>
    </xf>
    <xf numFmtId="0" fontId="0" fillId="5" borderId="0" xfId="0" applyFill="1"/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166" fontId="11" fillId="0" borderId="0" xfId="0" applyNumberFormat="1" applyFont="1" applyAlignment="1">
      <alignment horizontal="right" vertical="center" indent="1"/>
    </xf>
    <xf numFmtId="166" fontId="11" fillId="0" borderId="9" xfId="0" applyNumberFormat="1" applyFont="1" applyBorder="1" applyAlignment="1">
      <alignment horizontal="right" vertical="center" indent="1"/>
    </xf>
    <xf numFmtId="166" fontId="8" fillId="0" borderId="11" xfId="0" applyNumberFormat="1" applyFont="1" applyBorder="1" applyAlignment="1">
      <alignment horizontal="right" vertical="center" indent="1"/>
    </xf>
    <xf numFmtId="166" fontId="8" fillId="0" borderId="12" xfId="0" applyNumberFormat="1" applyFont="1" applyBorder="1" applyAlignment="1">
      <alignment horizontal="right" vertical="center" indent="1"/>
    </xf>
    <xf numFmtId="0" fontId="2" fillId="7" borderId="4" xfId="1" applyFont="1" applyFill="1" applyBorder="1" applyAlignment="1" applyProtection="1">
      <alignment horizontal="center" vertical="center" wrapText="1"/>
    </xf>
    <xf numFmtId="166" fontId="1" fillId="5" borderId="4" xfId="3" applyNumberFormat="1" applyFill="1" applyBorder="1" applyAlignment="1" applyProtection="1">
      <alignment horizontal="right" vertical="center" indent="1"/>
    </xf>
    <xf numFmtId="0" fontId="1" fillId="5" borderId="4" xfId="3" applyFill="1" applyBorder="1" applyAlignment="1" applyProtection="1">
      <alignment horizontal="right" vertical="center" indent="3"/>
    </xf>
    <xf numFmtId="166" fontId="1" fillId="3" borderId="4" xfId="2" applyNumberFormat="1" applyBorder="1" applyAlignment="1" applyProtection="1">
      <alignment horizontal="right" vertical="center" indent="1"/>
    </xf>
    <xf numFmtId="0" fontId="1" fillId="3" borderId="4" xfId="2" applyBorder="1" applyAlignment="1" applyProtection="1">
      <alignment horizontal="right" vertical="center" indent="3"/>
    </xf>
    <xf numFmtId="166" fontId="1" fillId="5" borderId="3" xfId="3" applyNumberFormat="1" applyFill="1" applyBorder="1" applyAlignment="1" applyProtection="1">
      <alignment horizontal="right" vertical="center" indent="1"/>
    </xf>
    <xf numFmtId="0" fontId="1" fillId="5" borderId="3" xfId="3" applyFill="1" applyBorder="1" applyAlignment="1" applyProtection="1">
      <alignment horizontal="right" vertical="center" indent="3"/>
    </xf>
    <xf numFmtId="0" fontId="23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2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 indent="1"/>
    </xf>
    <xf numFmtId="0" fontId="25" fillId="0" borderId="0" xfId="0" quotePrefix="1" applyFont="1" applyAlignment="1">
      <alignment horizontal="center"/>
    </xf>
    <xf numFmtId="0" fontId="26" fillId="0" borderId="0" xfId="0" quotePrefix="1" applyFont="1" applyAlignment="1">
      <alignment horizontal="center"/>
    </xf>
    <xf numFmtId="14" fontId="0" fillId="0" borderId="0" xfId="0" applyNumberFormat="1" applyAlignment="1">
      <alignment horizontal="right" vertical="center" indent="2"/>
    </xf>
    <xf numFmtId="166" fontId="7" fillId="0" borderId="0" xfId="0" applyNumberFormat="1" applyFont="1"/>
    <xf numFmtId="164" fontId="9" fillId="0" borderId="5" xfId="0" applyNumberFormat="1" applyFont="1" applyBorder="1" applyAlignment="1" applyProtection="1">
      <alignment horizontal="right" vertical="center"/>
      <protection locked="0"/>
    </xf>
    <xf numFmtId="164" fontId="9" fillId="0" borderId="6" xfId="0" applyNumberFormat="1" applyFont="1" applyBorder="1" applyAlignment="1" applyProtection="1">
      <alignment horizontal="right" vertical="center"/>
      <protection locked="0"/>
    </xf>
    <xf numFmtId="164" fontId="9" fillId="0" borderId="8" xfId="0" applyNumberFormat="1" applyFont="1" applyBorder="1" applyAlignment="1" applyProtection="1">
      <alignment horizontal="right" vertical="center"/>
      <protection locked="0"/>
    </xf>
    <xf numFmtId="164" fontId="9" fillId="0" borderId="0" xfId="0" applyNumberFormat="1" applyFont="1" applyAlignment="1" applyProtection="1">
      <alignment horizontal="right" vertical="center"/>
      <protection locked="0"/>
    </xf>
    <xf numFmtId="164" fontId="9" fillId="0" borderId="10" xfId="0" applyNumberFormat="1" applyFont="1" applyBorder="1" applyAlignment="1" applyProtection="1">
      <alignment horizontal="right" vertical="center"/>
      <protection locked="0"/>
    </xf>
    <xf numFmtId="164" fontId="9" fillId="0" borderId="11" xfId="0" applyNumberFormat="1" applyFont="1" applyBorder="1" applyAlignment="1" applyProtection="1">
      <alignment horizontal="right" vertical="center"/>
      <protection locked="0"/>
    </xf>
    <xf numFmtId="168" fontId="14" fillId="6" borderId="0" xfId="0" applyNumberFormat="1" applyFont="1" applyFill="1" applyAlignment="1">
      <alignment horizontal="center" vertical="center"/>
    </xf>
    <xf numFmtId="168" fontId="14" fillId="8" borderId="0" xfId="0" applyNumberFormat="1" applyFont="1" applyFill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164" fontId="9" fillId="0" borderId="5" xfId="0" applyNumberFormat="1" applyFont="1" applyBorder="1" applyAlignment="1">
      <alignment horizontal="right" vertical="center"/>
    </xf>
    <xf numFmtId="164" fontId="9" fillId="0" borderId="6" xfId="0" applyNumberFormat="1" applyFont="1" applyBorder="1" applyAlignment="1">
      <alignment horizontal="right" vertical="center"/>
    </xf>
    <xf numFmtId="164" fontId="9" fillId="0" borderId="8" xfId="0" applyNumberFormat="1" applyFont="1" applyBorder="1" applyAlignment="1">
      <alignment horizontal="right" vertical="center"/>
    </xf>
    <xf numFmtId="164" fontId="9" fillId="0" borderId="0" xfId="0" applyNumberFormat="1" applyFont="1" applyAlignment="1">
      <alignment horizontal="right" vertical="center"/>
    </xf>
    <xf numFmtId="164" fontId="9" fillId="0" borderId="10" xfId="0" applyNumberFormat="1" applyFont="1" applyBorder="1" applyAlignment="1">
      <alignment horizontal="right" vertical="center"/>
    </xf>
    <xf numFmtId="164" fontId="9" fillId="0" borderId="11" xfId="0" applyNumberFormat="1" applyFont="1" applyBorder="1" applyAlignment="1">
      <alignment horizontal="right" vertical="center"/>
    </xf>
    <xf numFmtId="168" fontId="14" fillId="10" borderId="0" xfId="0" applyNumberFormat="1" applyFont="1" applyFill="1" applyAlignment="1">
      <alignment horizontal="center" vertical="center"/>
    </xf>
    <xf numFmtId="168" fontId="14" fillId="12" borderId="0" xfId="0" applyNumberFormat="1" applyFont="1" applyFill="1" applyAlignment="1">
      <alignment horizontal="center" vertical="center"/>
    </xf>
    <xf numFmtId="168" fontId="14" fillId="23" borderId="0" xfId="0" applyNumberFormat="1" applyFont="1" applyFill="1" applyAlignment="1">
      <alignment horizontal="center" vertical="center"/>
    </xf>
    <xf numFmtId="168" fontId="14" fillId="14" borderId="0" xfId="0" applyNumberFormat="1" applyFont="1" applyFill="1" applyAlignment="1">
      <alignment horizontal="center" vertical="center"/>
    </xf>
    <xf numFmtId="168" fontId="14" fillId="19" borderId="0" xfId="0" applyNumberFormat="1" applyFont="1" applyFill="1" applyAlignment="1">
      <alignment horizontal="center" vertical="center"/>
    </xf>
    <xf numFmtId="168" fontId="14" fillId="21" borderId="0" xfId="0" applyNumberFormat="1" applyFont="1" applyFill="1" applyAlignment="1">
      <alignment horizontal="center" vertical="center"/>
    </xf>
  </cellXfs>
  <cellStyles count="6">
    <cellStyle name="20 % - Accent3" xfId="2" builtinId="38"/>
    <cellStyle name="40 % - Accent3" xfId="3" builtinId="39"/>
    <cellStyle name="Accent1" xfId="1" builtinId="29"/>
    <cellStyle name="Lien hypertexte" xfId="5" builtinId="8"/>
    <cellStyle name="Normal" xfId="0" builtinId="0"/>
    <cellStyle name="Normal 9" xfId="4" xr:uid="{AC8B3652-C29E-42D5-92C8-CA8C9411DED2}"/>
  </cellStyles>
  <dxfs count="207"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numFmt numFmtId="169" formatCode="m/d/yyyy"/>
      <alignment horizontal="center" vertical="bottom" textRotation="0" wrapText="0" indent="0" justifyLastLine="0" shrinkToFit="0" readingOrder="0"/>
    </dxf>
    <dxf>
      <numFmt numFmtId="169" formatCode="m/d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rgb="FFD13111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167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7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7" tint="-0.249977111117893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167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7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7" tint="-0.499984740745262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167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7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9" tint="-0.249977111117893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167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7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167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7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5" tint="-0.249977111117893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167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7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5" tint="-0.499984740745262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167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7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theme="1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vertical="bottom" textRotation="0" wrapText="0" indent="0" justifyLastLine="0" shrinkToFit="0" readingOrder="0"/>
    </dxf>
    <dxf>
      <fill>
        <patternFill patternType="solid">
          <fgColor theme="8"/>
          <bgColor rgb="FF0070C0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border>
        <horizontal/>
      </border>
    </dxf>
    <dxf>
      <border>
        <horizontal/>
      </border>
    </dxf>
    <dxf>
      <fill>
        <patternFill>
          <bgColor rgb="FF0070C0"/>
        </patternFill>
      </fill>
    </dxf>
    <dxf>
      <fill>
        <patternFill>
          <bgColor theme="2" tint="-0.24994659260841701"/>
        </patternFill>
      </fill>
    </dxf>
  </dxfs>
  <tableStyles count="2" defaultTableStyle="TableStyleMedium2" defaultPivotStyle="PivotStyleLight16">
    <tableStyle name="Style de tableau 1" pivot="0" count="2" xr9:uid="{84091625-0528-43D1-A39C-D2E862391DB9}">
      <tableStyleElement type="headerRow" dxfId="206"/>
      <tableStyleElement type="firstColumnStripe" dxfId="205"/>
    </tableStyle>
    <tableStyle name="Style de tableau 2" pivot="0" count="2" xr9:uid="{266FC2F1-F248-4AAF-B771-ADCE2E8A858B}">
      <tableStyleElement type="firstRowStripe" dxfId="204"/>
      <tableStyleElement type="secondRowStripe" dxfId="203"/>
    </tableStyle>
  </tableStyles>
  <colors>
    <mruColors>
      <color rgb="FFCC3399"/>
      <color rgb="FF873AC0"/>
      <color rgb="FF094BDD"/>
      <color rgb="FFD13111"/>
      <color rgb="FFFFFF00"/>
      <color rgb="FFF74515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718A-45A8-A071-89FFB11E3AA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718A-45A8-A071-89FFB11E3AA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718A-45A8-A071-89FFB11E3AA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718A-45A8-A071-89FFB11E3AA2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718A-45A8-A071-89FFB11E3AA2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718A-45A8-A071-89FFB11E3AA2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718A-45A8-A071-89FFB11E3AA2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Accueil!$C$11:$C$17</c:f>
              <c:strCache>
                <c:ptCount val="7"/>
                <c:pt idx="0">
                  <c:v>Virement</c:v>
                </c:pt>
                <c:pt idx="1">
                  <c:v>Assurance Vie Carmen</c:v>
                </c:pt>
                <c:pt idx="2">
                  <c:v>Assurance Vie Pierre</c:v>
                </c:pt>
                <c:pt idx="3">
                  <c:v>Livret A Carme</c:v>
                </c:pt>
                <c:pt idx="4">
                  <c:v>Livret A Pierre</c:v>
                </c:pt>
                <c:pt idx="5">
                  <c:v>Livret d'Epargne Populaire Carme</c:v>
                </c:pt>
                <c:pt idx="6">
                  <c:v>Livret d'Epargne Populaire Pierre</c:v>
                </c:pt>
              </c:strCache>
            </c:strRef>
          </c:cat>
          <c:val>
            <c:numRef>
              <c:f>Accueil!$G$11:$G$17</c:f>
              <c:numCache>
                <c:formatCode>#,##0.00\ "€"</c:formatCode>
                <c:ptCount val="7"/>
                <c:pt idx="1">
                  <c:v>10552.31</c:v>
                </c:pt>
                <c:pt idx="2">
                  <c:v>10552.31</c:v>
                </c:pt>
                <c:pt idx="3">
                  <c:v>3100</c:v>
                </c:pt>
                <c:pt idx="4">
                  <c:v>3200</c:v>
                </c:pt>
                <c:pt idx="5">
                  <c:v>4225.2299999999996</c:v>
                </c:pt>
                <c:pt idx="6">
                  <c:v>4225.2299999999996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8A-4B1F-BB09-3AF341C255A1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LiA Pierre'!A1"/><Relationship Id="rId3" Type="http://schemas.openxmlformats.org/officeDocument/2006/relationships/hyperlink" Target="#'Compte Courant'!A1"/><Relationship Id="rId7" Type="http://schemas.openxmlformats.org/officeDocument/2006/relationships/hyperlink" Target="#'LiA Carme'!A1"/><Relationship Id="rId2" Type="http://schemas.openxmlformats.org/officeDocument/2006/relationships/image" Target="../media/image1.png"/><Relationship Id="rId1" Type="http://schemas.openxmlformats.org/officeDocument/2006/relationships/hyperlink" Target="#Feuil5!A1"/><Relationship Id="rId6" Type="http://schemas.openxmlformats.org/officeDocument/2006/relationships/hyperlink" Target="#'AsVie Pierre'!A1"/><Relationship Id="rId11" Type="http://schemas.openxmlformats.org/officeDocument/2006/relationships/chart" Target="../charts/chart1.xml"/><Relationship Id="rId5" Type="http://schemas.openxmlformats.org/officeDocument/2006/relationships/hyperlink" Target="#'AsVie Carme'!A1"/><Relationship Id="rId10" Type="http://schemas.openxmlformats.org/officeDocument/2006/relationships/hyperlink" Target="#'LEP Pierre '!A1"/><Relationship Id="rId4" Type="http://schemas.openxmlformats.org/officeDocument/2006/relationships/image" Target="../media/image2.png"/><Relationship Id="rId9" Type="http://schemas.openxmlformats.org/officeDocument/2006/relationships/hyperlink" Target="#'LEP Carme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LEP Pierre '!A1"/><Relationship Id="rId13" Type="http://schemas.openxmlformats.org/officeDocument/2006/relationships/image" Target="../media/image7.png"/><Relationship Id="rId3" Type="http://schemas.openxmlformats.org/officeDocument/2006/relationships/image" Target="../media/image5.png"/><Relationship Id="rId7" Type="http://schemas.openxmlformats.org/officeDocument/2006/relationships/hyperlink" Target="#'LEP Carme'!A1"/><Relationship Id="rId12" Type="http://schemas.openxmlformats.org/officeDocument/2006/relationships/image" Target="../media/image6.png"/><Relationship Id="rId17" Type="http://schemas.openxmlformats.org/officeDocument/2006/relationships/image" Target="../media/image10.png"/><Relationship Id="rId2" Type="http://schemas.openxmlformats.org/officeDocument/2006/relationships/image" Target="../media/image4.png"/><Relationship Id="rId16" Type="http://schemas.openxmlformats.org/officeDocument/2006/relationships/hyperlink" Target="#Accueil!A1"/><Relationship Id="rId1" Type="http://schemas.openxmlformats.org/officeDocument/2006/relationships/image" Target="../media/image3.png"/><Relationship Id="rId6" Type="http://schemas.openxmlformats.org/officeDocument/2006/relationships/hyperlink" Target="#'LiA Pierre'!A1"/><Relationship Id="rId11" Type="http://schemas.openxmlformats.org/officeDocument/2006/relationships/hyperlink" Target="#'Compte Courant'!A1"/><Relationship Id="rId5" Type="http://schemas.openxmlformats.org/officeDocument/2006/relationships/image" Target="../media/image2.png"/><Relationship Id="rId15" Type="http://schemas.openxmlformats.org/officeDocument/2006/relationships/image" Target="../media/image9.png"/><Relationship Id="rId10" Type="http://schemas.openxmlformats.org/officeDocument/2006/relationships/hyperlink" Target="#'AsVie Pierre'!A1"/><Relationship Id="rId4" Type="http://schemas.openxmlformats.org/officeDocument/2006/relationships/hyperlink" Target="#'LiA Carme'!A1"/><Relationship Id="rId9" Type="http://schemas.openxmlformats.org/officeDocument/2006/relationships/hyperlink" Target="#'AsVie Carme'!A1"/><Relationship Id="rId14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9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5" Type="http://schemas.openxmlformats.org/officeDocument/2006/relationships/image" Target="../media/image6.png"/><Relationship Id="rId4" Type="http://schemas.openxmlformats.org/officeDocument/2006/relationships/image" Target="../media/image10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733425</xdr:colOff>
      <xdr:row>3</xdr:row>
      <xdr:rowOff>0</xdr:rowOff>
    </xdr:from>
    <xdr:to>
      <xdr:col>8</xdr:col>
      <xdr:colOff>619425</xdr:colOff>
      <xdr:row>6</xdr:row>
      <xdr:rowOff>41328</xdr:rowOff>
    </xdr:to>
    <xdr:sp macro="" textlink="">
      <xdr:nvSpPr>
        <xdr:cNvPr id="2" name="Rectangle à coins arrondis 17">
          <a:hlinkClick xmlns:r="http://schemas.openxmlformats.org/officeDocument/2006/relationships" r:id="rId1" tooltip="Statistiques"/>
          <a:extLst>
            <a:ext uri="{FF2B5EF4-FFF2-40B4-BE49-F238E27FC236}">
              <a16:creationId xmlns:a16="http://schemas.microsoft.com/office/drawing/2014/main" id="{627900B8-F488-4F26-9C32-034B12BEC7B9}"/>
            </a:ext>
          </a:extLst>
        </xdr:cNvPr>
        <xdr:cNvSpPr/>
      </xdr:nvSpPr>
      <xdr:spPr>
        <a:xfrm>
          <a:off x="9448800" y="790575"/>
          <a:ext cx="648000" cy="612828"/>
        </a:xfrm>
        <a:prstGeom prst="ellipse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/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0">
              <a:solidFill>
                <a:schemeClr val="accent1">
                  <a:lumMod val="50000"/>
                </a:schemeClr>
              </a:solidFill>
              <a:sym typeface="Webdings" panose="05030102010509060703" pitchFamily="18" charset="2"/>
            </a:rPr>
            <a:t></a:t>
          </a:r>
          <a:endParaRPr lang="fr-FR" sz="3200" b="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0</xdr:col>
      <xdr:colOff>85726</xdr:colOff>
      <xdr:row>2</xdr:row>
      <xdr:rowOff>66675</xdr:rowOff>
    </xdr:from>
    <xdr:to>
      <xdr:col>1</xdr:col>
      <xdr:colOff>703238</xdr:colOff>
      <xdr:row>8</xdr:row>
      <xdr:rowOff>114300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1C104E2-CB20-5872-3D27-8B45B9943F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726" y="590550"/>
          <a:ext cx="1227112" cy="1266825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10</xdr:row>
      <xdr:rowOff>85725</xdr:rowOff>
    </xdr:from>
    <xdr:to>
      <xdr:col>1</xdr:col>
      <xdr:colOff>714525</xdr:colOff>
      <xdr:row>10</xdr:row>
      <xdr:rowOff>409725</xdr:rowOff>
    </xdr:to>
    <xdr:pic>
      <xdr:nvPicPr>
        <xdr:cNvPr id="5" name="Imag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004C3C2-670F-48F6-A04A-313FEE373F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256222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11</xdr:row>
      <xdr:rowOff>85725</xdr:rowOff>
    </xdr:from>
    <xdr:to>
      <xdr:col>1</xdr:col>
      <xdr:colOff>714525</xdr:colOff>
      <xdr:row>11</xdr:row>
      <xdr:rowOff>409725</xdr:rowOff>
    </xdr:to>
    <xdr:pic>
      <xdr:nvPicPr>
        <xdr:cNvPr id="11" name="Image 1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82C4D4E9-D954-4F03-8206-C1D2C71F6F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30670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12</xdr:row>
      <xdr:rowOff>85725</xdr:rowOff>
    </xdr:from>
    <xdr:to>
      <xdr:col>1</xdr:col>
      <xdr:colOff>714525</xdr:colOff>
      <xdr:row>12</xdr:row>
      <xdr:rowOff>409725</xdr:rowOff>
    </xdr:to>
    <xdr:pic>
      <xdr:nvPicPr>
        <xdr:cNvPr id="12" name="Image 1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A6AAC81-E277-4771-A2A9-93236C9D93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357187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13</xdr:row>
      <xdr:rowOff>85725</xdr:rowOff>
    </xdr:from>
    <xdr:to>
      <xdr:col>1</xdr:col>
      <xdr:colOff>714525</xdr:colOff>
      <xdr:row>13</xdr:row>
      <xdr:rowOff>409725</xdr:rowOff>
    </xdr:to>
    <xdr:pic>
      <xdr:nvPicPr>
        <xdr:cNvPr id="13" name="Image 1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9D27149-F7A0-4A24-842F-BC6FC34234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407670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14</xdr:row>
      <xdr:rowOff>85725</xdr:rowOff>
    </xdr:from>
    <xdr:to>
      <xdr:col>1</xdr:col>
      <xdr:colOff>714525</xdr:colOff>
      <xdr:row>14</xdr:row>
      <xdr:rowOff>409725</xdr:rowOff>
    </xdr:to>
    <xdr:pic>
      <xdr:nvPicPr>
        <xdr:cNvPr id="14" name="Image 1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D7806A6-1488-4BB5-931E-B783DDDBB6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458152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15</xdr:row>
      <xdr:rowOff>85725</xdr:rowOff>
    </xdr:from>
    <xdr:to>
      <xdr:col>1</xdr:col>
      <xdr:colOff>714525</xdr:colOff>
      <xdr:row>15</xdr:row>
      <xdr:rowOff>409725</xdr:rowOff>
    </xdr:to>
    <xdr:pic>
      <xdr:nvPicPr>
        <xdr:cNvPr id="15" name="Image 14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B7BD78C5-1911-4DE9-8A67-F776279A5D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50863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16</xdr:row>
      <xdr:rowOff>85725</xdr:rowOff>
    </xdr:from>
    <xdr:to>
      <xdr:col>1</xdr:col>
      <xdr:colOff>714525</xdr:colOff>
      <xdr:row>16</xdr:row>
      <xdr:rowOff>409725</xdr:rowOff>
    </xdr:to>
    <xdr:pic>
      <xdr:nvPicPr>
        <xdr:cNvPr id="16" name="Imag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944F097-536E-42FD-A7CA-19E01AC5CE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5591175"/>
          <a:ext cx="324000" cy="324000"/>
        </a:xfrm>
        <a:prstGeom prst="rect">
          <a:avLst/>
        </a:prstGeom>
      </xdr:spPr>
    </xdr:pic>
    <xdr:clientData/>
  </xdr:twoCellAnchor>
  <xdr:twoCellAnchor>
    <xdr:from>
      <xdr:col>9</xdr:col>
      <xdr:colOff>171450</xdr:colOff>
      <xdr:row>3</xdr:row>
      <xdr:rowOff>76200</xdr:rowOff>
    </xdr:from>
    <xdr:to>
      <xdr:col>14</xdr:col>
      <xdr:colOff>681450</xdr:colOff>
      <xdr:row>11</xdr:row>
      <xdr:rowOff>401250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D01FFDE-EE55-23A5-82A9-3213BE1374F3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1409700</xdr:colOff>
      <xdr:row>13</xdr:row>
      <xdr:rowOff>95251</xdr:rowOff>
    </xdr:from>
    <xdr:to>
      <xdr:col>2</xdr:col>
      <xdr:colOff>2731622</xdr:colOff>
      <xdr:row>13</xdr:row>
      <xdr:rowOff>419251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4DCB33A-6E6A-1EC7-A16A-153D873FE9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1552576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15</xdr:row>
      <xdr:rowOff>73801</xdr:rowOff>
    </xdr:from>
    <xdr:to>
      <xdr:col>2</xdr:col>
      <xdr:colOff>2724486</xdr:colOff>
      <xdr:row>15</xdr:row>
      <xdr:rowOff>433801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DB67A9A3-9DE1-D17C-5F93-4947681F3C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2540776"/>
          <a:ext cx="1314786" cy="360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1716863</xdr:colOff>
      <xdr:row>11</xdr:row>
      <xdr:rowOff>61875</xdr:rowOff>
    </xdr:from>
    <xdr:to>
      <xdr:col>2</xdr:col>
      <xdr:colOff>2192062</xdr:colOff>
      <xdr:row>11</xdr:row>
      <xdr:rowOff>457875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E1974451-161F-C63B-5778-8A7F5F55C8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40863" y="3538500"/>
          <a:ext cx="475199" cy="39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14</xdr:row>
      <xdr:rowOff>104775</xdr:rowOff>
    </xdr:from>
    <xdr:to>
      <xdr:col>2</xdr:col>
      <xdr:colOff>2731622</xdr:colOff>
      <xdr:row>14</xdr:row>
      <xdr:rowOff>428775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65F9C6E-87E6-4F37-916F-560BB05C02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2066925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10</xdr:row>
      <xdr:rowOff>85725</xdr:rowOff>
    </xdr:from>
    <xdr:to>
      <xdr:col>2</xdr:col>
      <xdr:colOff>2731622</xdr:colOff>
      <xdr:row>10</xdr:row>
      <xdr:rowOff>409725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3E564815-D0AA-4EB3-BA1A-25AA068ABB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1038225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1716863</xdr:colOff>
      <xdr:row>12</xdr:row>
      <xdr:rowOff>57150</xdr:rowOff>
    </xdr:from>
    <xdr:to>
      <xdr:col>2</xdr:col>
      <xdr:colOff>2192062</xdr:colOff>
      <xdr:row>12</xdr:row>
      <xdr:rowOff>453150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90B8FEB1-C70D-4A31-A10B-167C076F50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40863" y="4038600"/>
          <a:ext cx="475199" cy="39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16</xdr:row>
      <xdr:rowOff>76200</xdr:rowOff>
    </xdr:from>
    <xdr:to>
      <xdr:col>2</xdr:col>
      <xdr:colOff>2724486</xdr:colOff>
      <xdr:row>16</xdr:row>
      <xdr:rowOff>436200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729E7100-51E0-4DFD-BF94-A924779B18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3048000"/>
          <a:ext cx="1314786" cy="36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13</xdr:row>
      <xdr:rowOff>95250</xdr:rowOff>
    </xdr:from>
    <xdr:to>
      <xdr:col>1</xdr:col>
      <xdr:colOff>483825</xdr:colOff>
      <xdr:row>13</xdr:row>
      <xdr:rowOff>419250</xdr:rowOff>
    </xdr:to>
    <xdr:pic>
      <xdr:nvPicPr>
        <xdr:cNvPr id="8" name="Imag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7F9820E-A38B-4E1B-BC54-0B97820C13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40576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14</xdr:row>
      <xdr:rowOff>95250</xdr:rowOff>
    </xdr:from>
    <xdr:to>
      <xdr:col>1</xdr:col>
      <xdr:colOff>483825</xdr:colOff>
      <xdr:row>14</xdr:row>
      <xdr:rowOff>419250</xdr:rowOff>
    </xdr:to>
    <xdr:pic>
      <xdr:nvPicPr>
        <xdr:cNvPr id="14" name="Image 1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BA248462-BFEF-4325-B682-5E1AF97565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456247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15</xdr:row>
      <xdr:rowOff>95250</xdr:rowOff>
    </xdr:from>
    <xdr:to>
      <xdr:col>1</xdr:col>
      <xdr:colOff>483825</xdr:colOff>
      <xdr:row>15</xdr:row>
      <xdr:rowOff>419250</xdr:rowOff>
    </xdr:to>
    <xdr:pic>
      <xdr:nvPicPr>
        <xdr:cNvPr id="15" name="Image 1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48E45EB-C655-4C57-AE4F-D2F165C318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506730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16</xdr:row>
      <xdr:rowOff>95250</xdr:rowOff>
    </xdr:from>
    <xdr:to>
      <xdr:col>1</xdr:col>
      <xdr:colOff>483825</xdr:colOff>
      <xdr:row>16</xdr:row>
      <xdr:rowOff>419250</xdr:rowOff>
    </xdr:to>
    <xdr:pic>
      <xdr:nvPicPr>
        <xdr:cNvPr id="16" name="Image 1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3DF719A1-67C1-4854-8431-4E0F09764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557212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11</xdr:row>
      <xdr:rowOff>95250</xdr:rowOff>
    </xdr:from>
    <xdr:to>
      <xdr:col>1</xdr:col>
      <xdr:colOff>483825</xdr:colOff>
      <xdr:row>11</xdr:row>
      <xdr:rowOff>419250</xdr:rowOff>
    </xdr:to>
    <xdr:pic>
      <xdr:nvPicPr>
        <xdr:cNvPr id="17" name="Image 1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2382A13-C535-4B61-B7D5-209D55C210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304800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12</xdr:row>
      <xdr:rowOff>95250</xdr:rowOff>
    </xdr:from>
    <xdr:to>
      <xdr:col>1</xdr:col>
      <xdr:colOff>483825</xdr:colOff>
      <xdr:row>12</xdr:row>
      <xdr:rowOff>419250</xdr:rowOff>
    </xdr:to>
    <xdr:pic>
      <xdr:nvPicPr>
        <xdr:cNvPr id="18" name="Image 1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BDE4ABE-2552-4972-B8E6-04BE722271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355282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10</xdr:row>
      <xdr:rowOff>95250</xdr:rowOff>
    </xdr:from>
    <xdr:to>
      <xdr:col>1</xdr:col>
      <xdr:colOff>483825</xdr:colOff>
      <xdr:row>10</xdr:row>
      <xdr:rowOff>419250</xdr:rowOff>
    </xdr:to>
    <xdr:pic>
      <xdr:nvPicPr>
        <xdr:cNvPr id="19" name="Image 1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B1A64AE5-E55A-4C9E-985C-D1AF3D69F8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254317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1110090</xdr:colOff>
      <xdr:row>0</xdr:row>
      <xdr:rowOff>119063</xdr:rowOff>
    </xdr:from>
    <xdr:to>
      <xdr:col>2</xdr:col>
      <xdr:colOff>1616102</xdr:colOff>
      <xdr:row>2</xdr:row>
      <xdr:rowOff>102721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74FE691A-6F3B-B7C8-B81F-E1843B327F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1995915" y="119063"/>
          <a:ext cx="50601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1574375</xdr:colOff>
      <xdr:row>0</xdr:row>
      <xdr:rowOff>119063</xdr:rowOff>
    </xdr:from>
    <xdr:to>
      <xdr:col>2</xdr:col>
      <xdr:colOff>2305958</xdr:colOff>
      <xdr:row>2</xdr:row>
      <xdr:rowOff>102721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8582B67B-1065-01D3-FCCB-E9255E2AA1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2460200" y="119063"/>
          <a:ext cx="731583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2207081</xdr:colOff>
      <xdr:row>0</xdr:row>
      <xdr:rowOff>119063</xdr:rowOff>
    </xdr:from>
    <xdr:to>
      <xdr:col>2</xdr:col>
      <xdr:colOff>2841120</xdr:colOff>
      <xdr:row>2</xdr:row>
      <xdr:rowOff>102721</xdr:rowOff>
    </xdr:to>
    <xdr:pic macro="[0]!ShowUF_Virement">
      <xdr:nvPicPr>
        <xdr:cNvPr id="35" name="Image 34">
          <a:extLst>
            <a:ext uri="{FF2B5EF4-FFF2-40B4-BE49-F238E27FC236}">
              <a16:creationId xmlns:a16="http://schemas.microsoft.com/office/drawing/2014/main" id="{C49C663C-556A-F44C-D6DE-E11AF15EA4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2969081" y="119063"/>
          <a:ext cx="634039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2713668</xdr:colOff>
      <xdr:row>0</xdr:row>
      <xdr:rowOff>119063</xdr:rowOff>
    </xdr:from>
    <xdr:to>
      <xdr:col>3</xdr:col>
      <xdr:colOff>541647</xdr:colOff>
      <xdr:row>2</xdr:row>
      <xdr:rowOff>102721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33793168-E173-4D90-CDE0-1C21F32BF4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3599493" y="119063"/>
          <a:ext cx="695004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523875</xdr:colOff>
      <xdr:row>0</xdr:row>
      <xdr:rowOff>119063</xdr:rowOff>
    </xdr:from>
    <xdr:to>
      <xdr:col>2</xdr:col>
      <xdr:colOff>1151817</xdr:colOff>
      <xdr:row>2</xdr:row>
      <xdr:rowOff>102721</xdr:rowOff>
    </xdr:to>
    <xdr:pic>
      <xdr:nvPicPr>
        <xdr:cNvPr id="39" name="Image 3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141A79B7-5B31-1C8C-A24F-F2AE91A797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/>
        <a:stretch>
          <a:fillRect/>
        </a:stretch>
      </xdr:blipFill>
      <xdr:spPr>
        <a:xfrm>
          <a:off x="1409700" y="119063"/>
          <a:ext cx="627942" cy="46943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5</xdr:row>
      <xdr:rowOff>47625</xdr:rowOff>
    </xdr:from>
    <xdr:to>
      <xdr:col>3</xdr:col>
      <xdr:colOff>66298</xdr:colOff>
      <xdr:row>7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D7D2F4E-E9BF-4B22-A27E-5DE8A7B0D6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1228725"/>
          <a:ext cx="2409448" cy="590550"/>
        </a:xfrm>
        <a:prstGeom prst="rect">
          <a:avLst/>
        </a:prstGeom>
      </xdr:spPr>
    </xdr:pic>
    <xdr:clientData/>
  </xdr:twoCellAnchor>
  <xdr:twoCellAnchor editAs="oneCell">
    <xdr:from>
      <xdr:col>2</xdr:col>
      <xdr:colOff>684843</xdr:colOff>
      <xdr:row>0</xdr:row>
      <xdr:rowOff>114300</xdr:rowOff>
    </xdr:from>
    <xdr:to>
      <xdr:col>2</xdr:col>
      <xdr:colOff>1379847</xdr:colOff>
      <xdr:row>3</xdr:row>
      <xdr:rowOff>12233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8C0056C8-23C5-4581-926C-C03A60DB60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89743" y="114300"/>
          <a:ext cx="695004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504825</xdr:colOff>
      <xdr:row>0</xdr:row>
      <xdr:rowOff>114300</xdr:rowOff>
    </xdr:from>
    <xdr:to>
      <xdr:col>2</xdr:col>
      <xdr:colOff>218367</xdr:colOff>
      <xdr:row>3</xdr:row>
      <xdr:rowOff>12233</xdr:rowOff>
    </xdr:to>
    <xdr:pic>
      <xdr:nvPicPr>
        <xdr:cNvPr id="25" name="Image 2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830942F-3444-4274-BF1D-C658FB5E48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95325" y="1143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198599</xdr:colOff>
      <xdr:row>0</xdr:row>
      <xdr:rowOff>114300</xdr:rowOff>
    </xdr:from>
    <xdr:to>
      <xdr:col>2</xdr:col>
      <xdr:colOff>704611</xdr:colOff>
      <xdr:row>3</xdr:row>
      <xdr:rowOff>12233</xdr:rowOff>
    </xdr:to>
    <xdr:pic macro="[0]!ShowUF_Ecritures">
      <xdr:nvPicPr>
        <xdr:cNvPr id="27" name="Image 26">
          <a:extLst>
            <a:ext uri="{FF2B5EF4-FFF2-40B4-BE49-F238E27FC236}">
              <a16:creationId xmlns:a16="http://schemas.microsoft.com/office/drawing/2014/main" id="{F619FE02-CB05-4829-B89F-D9826F32D7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303499" y="114300"/>
          <a:ext cx="50601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1276350</xdr:colOff>
      <xdr:row>0</xdr:row>
      <xdr:rowOff>114300</xdr:rowOff>
    </xdr:from>
    <xdr:to>
      <xdr:col>4</xdr:col>
      <xdr:colOff>81589</xdr:colOff>
      <xdr:row>3</xdr:row>
      <xdr:rowOff>12233</xdr:rowOff>
    </xdr:to>
    <xdr:pic macro="[0]!ShowUF_Virement">
      <xdr:nvPicPr>
        <xdr:cNvPr id="4" name="Image 3">
          <a:extLst>
            <a:ext uri="{FF2B5EF4-FFF2-40B4-BE49-F238E27FC236}">
              <a16:creationId xmlns:a16="http://schemas.microsoft.com/office/drawing/2014/main" id="{2E2399B6-F8E4-4BFD-A770-51580A1BE3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381250" y="114300"/>
          <a:ext cx="634039" cy="46943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0</xdr:row>
      <xdr:rowOff>85725</xdr:rowOff>
    </xdr:from>
    <xdr:to>
      <xdr:col>1</xdr:col>
      <xdr:colOff>847017</xdr:colOff>
      <xdr:row>2</xdr:row>
      <xdr:rowOff>174158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862F71F-8C7E-440B-8412-950C3054CC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3400" y="85725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4</xdr:row>
      <xdr:rowOff>219075</xdr:rowOff>
    </xdr:from>
    <xdr:to>
      <xdr:col>2</xdr:col>
      <xdr:colOff>487424</xdr:colOff>
      <xdr:row>7</xdr:row>
      <xdr:rowOff>217275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DA326DF-8E2F-4F96-81CF-D1E0F76859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350" y="1171575"/>
          <a:ext cx="820799" cy="684000"/>
        </a:xfrm>
        <a:prstGeom prst="rect">
          <a:avLst/>
        </a:prstGeom>
      </xdr:spPr>
    </xdr:pic>
    <xdr:clientData/>
  </xdr:twoCellAnchor>
  <xdr:twoCellAnchor editAs="oneCell">
    <xdr:from>
      <xdr:col>1</xdr:col>
      <xdr:colOff>771525</xdr:colOff>
      <xdr:row>0</xdr:row>
      <xdr:rowOff>95250</xdr:rowOff>
    </xdr:from>
    <xdr:to>
      <xdr:col>2</xdr:col>
      <xdr:colOff>363137</xdr:colOff>
      <xdr:row>2</xdr:row>
      <xdr:rowOff>183683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5E0B63FB-63C3-4690-93DD-515C846CBD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62025" y="95250"/>
          <a:ext cx="506012" cy="46943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381000</xdr:colOff>
      <xdr:row>0</xdr:row>
      <xdr:rowOff>76200</xdr:rowOff>
    </xdr:from>
    <xdr:to>
      <xdr:col>2</xdr:col>
      <xdr:colOff>94542</xdr:colOff>
      <xdr:row>2</xdr:row>
      <xdr:rowOff>164633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70840B0-51B0-42A0-99C2-632F06BBF0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95325" y="762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4</xdr:row>
      <xdr:rowOff>219075</xdr:rowOff>
    </xdr:from>
    <xdr:to>
      <xdr:col>2</xdr:col>
      <xdr:colOff>487424</xdr:colOff>
      <xdr:row>7</xdr:row>
      <xdr:rowOff>217275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7FF0593-A18E-4BDB-BA72-316B05929E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350" y="1171575"/>
          <a:ext cx="820799" cy="684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85725</xdr:rowOff>
    </xdr:from>
    <xdr:to>
      <xdr:col>2</xdr:col>
      <xdr:colOff>506012</xdr:colOff>
      <xdr:row>2</xdr:row>
      <xdr:rowOff>174158</xdr:rowOff>
    </xdr:to>
    <xdr:pic macro="[0]!ShowUF_Ecritures">
      <xdr:nvPicPr>
        <xdr:cNvPr id="4" name="Image 3">
          <a:extLst>
            <a:ext uri="{FF2B5EF4-FFF2-40B4-BE49-F238E27FC236}">
              <a16:creationId xmlns:a16="http://schemas.microsoft.com/office/drawing/2014/main" id="{8805DAC4-992A-4124-BD19-CF9967DC4D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04900" y="85725"/>
          <a:ext cx="506012" cy="46943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0</xdr:row>
      <xdr:rowOff>76200</xdr:rowOff>
    </xdr:from>
    <xdr:to>
      <xdr:col>2</xdr:col>
      <xdr:colOff>27867</xdr:colOff>
      <xdr:row>2</xdr:row>
      <xdr:rowOff>164633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C503FFC-C1DF-4EA4-ADDF-0A1E74BAA5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28650" y="762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5</xdr:row>
      <xdr:rowOff>57150</xdr:rowOff>
    </xdr:from>
    <xdr:to>
      <xdr:col>3</xdr:col>
      <xdr:colOff>104398</xdr:colOff>
      <xdr:row>7</xdr:row>
      <xdr:rowOff>190500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B683F02-DC72-40DE-8810-F41C225370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1238250"/>
          <a:ext cx="2409448" cy="590550"/>
        </a:xfrm>
        <a:prstGeom prst="rect">
          <a:avLst/>
        </a:prstGeom>
      </xdr:spPr>
    </xdr:pic>
    <xdr:clientData/>
  </xdr:twoCellAnchor>
  <xdr:twoCellAnchor editAs="oneCell">
    <xdr:from>
      <xdr:col>1</xdr:col>
      <xdr:colOff>866775</xdr:colOff>
      <xdr:row>0</xdr:row>
      <xdr:rowOff>76200</xdr:rowOff>
    </xdr:from>
    <xdr:to>
      <xdr:col>2</xdr:col>
      <xdr:colOff>458387</xdr:colOff>
      <xdr:row>2</xdr:row>
      <xdr:rowOff>164633</xdr:rowOff>
    </xdr:to>
    <xdr:pic macro="[0]!ShowUF_Ecritures">
      <xdr:nvPicPr>
        <xdr:cNvPr id="3" name="Image 2">
          <a:extLst>
            <a:ext uri="{FF2B5EF4-FFF2-40B4-BE49-F238E27FC236}">
              <a16:creationId xmlns:a16="http://schemas.microsoft.com/office/drawing/2014/main" id="{B07CFC0C-C77E-45A9-BBCA-5DAEF92D11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57275" y="76200"/>
          <a:ext cx="506012" cy="469433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0</xdr:row>
      <xdr:rowOff>76200</xdr:rowOff>
    </xdr:from>
    <xdr:to>
      <xdr:col>2</xdr:col>
      <xdr:colOff>27867</xdr:colOff>
      <xdr:row>2</xdr:row>
      <xdr:rowOff>164633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3BE3AA-1225-4938-9FDB-D0CA47167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28650" y="762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5</xdr:row>
      <xdr:rowOff>57150</xdr:rowOff>
    </xdr:from>
    <xdr:to>
      <xdr:col>3</xdr:col>
      <xdr:colOff>104398</xdr:colOff>
      <xdr:row>7</xdr:row>
      <xdr:rowOff>190500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914F44C-F9F7-43E3-934A-F380153F5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1238250"/>
          <a:ext cx="2409448" cy="590550"/>
        </a:xfrm>
        <a:prstGeom prst="rect">
          <a:avLst/>
        </a:prstGeom>
      </xdr:spPr>
    </xdr:pic>
    <xdr:clientData/>
  </xdr:twoCellAnchor>
  <xdr:twoCellAnchor editAs="oneCell">
    <xdr:from>
      <xdr:col>1</xdr:col>
      <xdr:colOff>876300</xdr:colOff>
      <xdr:row>0</xdr:row>
      <xdr:rowOff>66675</xdr:rowOff>
    </xdr:from>
    <xdr:to>
      <xdr:col>2</xdr:col>
      <xdr:colOff>467912</xdr:colOff>
      <xdr:row>2</xdr:row>
      <xdr:rowOff>155108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B28D7DF5-EFDE-4A0A-A3C3-7B97EE700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66800" y="66675"/>
          <a:ext cx="506012" cy="469433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457200</xdr:colOff>
      <xdr:row>0</xdr:row>
      <xdr:rowOff>95250</xdr:rowOff>
    </xdr:from>
    <xdr:to>
      <xdr:col>2</xdr:col>
      <xdr:colOff>170742</xdr:colOff>
      <xdr:row>2</xdr:row>
      <xdr:rowOff>183683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D029397-37F0-40AD-8A52-22C60E444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1525" y="9525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47622</xdr:colOff>
      <xdr:row>5</xdr:row>
      <xdr:rowOff>28575</xdr:rowOff>
    </xdr:from>
    <xdr:to>
      <xdr:col>2</xdr:col>
      <xdr:colOff>1368361</xdr:colOff>
      <xdr:row>7</xdr:row>
      <xdr:rowOff>183375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548B3DB-ACA3-4CEA-B7E3-9938A5302A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47" y="1209675"/>
          <a:ext cx="2235139" cy="612000"/>
        </a:xfrm>
        <a:prstGeom prst="rect">
          <a:avLst/>
        </a:prstGeom>
      </xdr:spPr>
    </xdr:pic>
    <xdr:clientData/>
  </xdr:twoCellAnchor>
  <xdr:twoCellAnchor editAs="oneCell">
    <xdr:from>
      <xdr:col>2</xdr:col>
      <xdr:colOff>57150</xdr:colOff>
      <xdr:row>0</xdr:row>
      <xdr:rowOff>95250</xdr:rowOff>
    </xdr:from>
    <xdr:to>
      <xdr:col>2</xdr:col>
      <xdr:colOff>563162</xdr:colOff>
      <xdr:row>2</xdr:row>
      <xdr:rowOff>183683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4F225625-36E5-4476-B5FC-8B0899B20F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62050" y="95250"/>
          <a:ext cx="506012" cy="469433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390525</xdr:colOff>
      <xdr:row>0</xdr:row>
      <xdr:rowOff>95250</xdr:rowOff>
    </xdr:from>
    <xdr:to>
      <xdr:col>2</xdr:col>
      <xdr:colOff>104067</xdr:colOff>
      <xdr:row>2</xdr:row>
      <xdr:rowOff>183683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D2CBD93-E539-472D-875B-5ACDC506AA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04850" y="9525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47625</xdr:colOff>
      <xdr:row>5</xdr:row>
      <xdr:rowOff>28575</xdr:rowOff>
    </xdr:from>
    <xdr:to>
      <xdr:col>2</xdr:col>
      <xdr:colOff>1368364</xdr:colOff>
      <xdr:row>7</xdr:row>
      <xdr:rowOff>183375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06C0A88-817D-464D-A4AF-C06BD6720A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1209675"/>
          <a:ext cx="2235139" cy="612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95250</xdr:rowOff>
    </xdr:from>
    <xdr:to>
      <xdr:col>2</xdr:col>
      <xdr:colOff>506012</xdr:colOff>
      <xdr:row>2</xdr:row>
      <xdr:rowOff>183683</xdr:rowOff>
    </xdr:to>
    <xdr:pic macro="[0]!ShowUF_Ecritures">
      <xdr:nvPicPr>
        <xdr:cNvPr id="4" name="Image 3">
          <a:extLst>
            <a:ext uri="{FF2B5EF4-FFF2-40B4-BE49-F238E27FC236}">
              <a16:creationId xmlns:a16="http://schemas.microsoft.com/office/drawing/2014/main" id="{E37DEB63-4918-45D6-BA16-E21C7400CD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04900" y="95250"/>
          <a:ext cx="506012" cy="469433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247650</xdr:colOff>
      <xdr:row>0</xdr:row>
      <xdr:rowOff>66675</xdr:rowOff>
    </xdr:from>
    <xdr:to>
      <xdr:col>2</xdr:col>
      <xdr:colOff>27867</xdr:colOff>
      <xdr:row>2</xdr:row>
      <xdr:rowOff>155108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8A69C23-3732-4F35-91CD-4161C5AAD2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81125" y="66675"/>
          <a:ext cx="627942" cy="46943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D85F59-26DD-4610-9FD1-FD8BF0A207DA}" name="Tableau1" displayName="Tableau1" ref="B10:N43" totalsRowShown="0" headerRowDxfId="193" dataDxfId="192" tableBorderDxfId="191">
  <autoFilter ref="B10:N43" xr:uid="{D9D85F59-26DD-4610-9FD1-FD8BF0A207DA}"/>
  <tableColumns count="13">
    <tableColumn id="1" xr3:uid="{51803405-6C24-4C6F-AF77-4E69ED26BE60}" name="Date" dataDxfId="190"/>
    <tableColumn id="2" xr3:uid="{3C568925-6EDB-44CF-9523-2FA093C9C813}" name="Mode de_x000a_paiement" dataDxfId="189"/>
    <tableColumn id="14" xr3:uid="{6462A39D-3CC1-45B5-B9AC-2DC957EAFB2D}" name="Type" dataDxfId="188">
      <calculatedColumnFormula>IF(C11="","",VLOOKUP(C11,Listes!$J$3:$K$10,2,0))</calculatedColumnFormula>
    </tableColumn>
    <tableColumn id="3" xr3:uid="{D8B4F596-AEF5-4A60-92D2-24A191AC34E8}" name="N°_x000a_chèque" dataDxfId="187"/>
    <tableColumn id="4" xr3:uid="{4D09173F-796E-42BF-9F11-5A949E5CC6D0}" name="Tiers" dataDxfId="186"/>
    <tableColumn id="5" xr3:uid="{ACC31537-4A42-4781-8E0E-58CC85E98972}" name="Rubrique " dataDxfId="185"/>
    <tableColumn id="6" xr3:uid="{4E605135-84CF-4785-AA67-7F3EF575C809}" name="Classe" dataDxfId="184"/>
    <tableColumn id="7" xr3:uid="{27052DA7-04B2-4B72-BF45-30C532D7320B}" name="Commentaire" dataDxfId="183"/>
    <tableColumn id="8" xr3:uid="{A31C24A7-82BE-4D8E-A1BE-12B2269692F2}" name="Débit" dataDxfId="182"/>
    <tableColumn id="9" xr3:uid="{C065772D-9EA6-47E5-8C4F-86644CBEBBD8}" name="Crédit" dataDxfId="181"/>
    <tableColumn id="11" xr3:uid="{B374A3F7-CB9B-49F4-9B49-9E0C7DACD5E6}" name="Solde" dataDxfId="180">
      <calculatedColumnFormula>L6</calculatedColumnFormula>
    </tableColumn>
    <tableColumn id="10" xr3:uid="{AE9BE9D0-CDE4-4934-AAC4-B27C9CDFFFB3}" name="Pointage" dataDxfId="179"/>
    <tableColumn id="12" xr3:uid="{568DF461-D181-466E-BFAF-663A292C5FFB}" name="Solde rapproché" dataDxfId="178">
      <calculatedColumnFormula>IF(M11="","",L11-J11+K11)</calculatedColumnFormula>
    </tableColumn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B727D2-BAF7-4C0A-BFE5-9B32BD7C10A3}" name="Tableau2" displayName="Tableau2" ref="B10:N42" totalsRowShown="0" headerRowDxfId="168" dataDxfId="167" tableBorderDxfId="166">
  <autoFilter ref="B10:N42" xr:uid="{D9D85F59-26DD-4610-9FD1-FD8BF0A207DA}"/>
  <tableColumns count="13">
    <tableColumn id="1" xr3:uid="{2EB0277E-3FAC-4F9A-84F2-6935646DD3B0}" name="Date" dataDxfId="165"/>
    <tableColumn id="2" xr3:uid="{87B30E64-1216-4FA6-8E71-0A26CC990E10}" name="Mode de_x000a_paiement" dataDxfId="164"/>
    <tableColumn id="13" xr3:uid="{C378763B-C157-4550-977A-7539DF0A645D}" name="Type" dataDxfId="163">
      <calculatedColumnFormula>IF(C11="","",VLOOKUP(C11,Listes!$J$3:$K$10,2,0))</calculatedColumnFormula>
    </tableColumn>
    <tableColumn id="3" xr3:uid="{637B2DA8-6273-4BCD-9CB4-CBACDDF2150C}" name="N°_x000a_chèque" dataDxfId="162"/>
    <tableColumn id="4" xr3:uid="{07A562A4-6C94-4988-AFF0-0B380A0868BA}" name="Tiers" dataDxfId="161"/>
    <tableColumn id="5" xr3:uid="{B46C5D49-83F6-4739-9E5F-C908CE152FB6}" name="Rubrique " dataDxfId="160"/>
    <tableColumn id="6" xr3:uid="{15469208-BFA6-4C1C-B773-C618C8D3D714}" name="Classe" dataDxfId="159"/>
    <tableColumn id="7" xr3:uid="{0259E092-F602-4A9F-A3E1-35D221074216}" name="Commentaire" dataDxfId="158"/>
    <tableColumn id="8" xr3:uid="{A0B00305-C3E0-4DB1-8F05-42537E9B4A35}" name="Débit" dataDxfId="157"/>
    <tableColumn id="9" xr3:uid="{40FC0468-FCFB-4D19-AB2F-36B32359B524}" name="Crédit" dataDxfId="156"/>
    <tableColumn id="11" xr3:uid="{3062DCAB-8C12-403C-99B0-56CE9214B4D1}" name="Solde" dataDxfId="155">
      <calculatedColumnFormula>IF(AND(J11="",K11=""),"",L10-J11+K11)</calculatedColumnFormula>
    </tableColumn>
    <tableColumn id="10" xr3:uid="{ADD099B7-D18A-407B-87B7-660D961A1DF4}" name="Pointage" dataDxfId="154"/>
    <tableColumn id="12" xr3:uid="{79AE4AC8-F5DD-44CC-8D2C-53BF85E5409F}" name="Solde rapproché" dataDxfId="153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7EE0632-1931-477E-BFC2-55C3B81064D1}" name="Tableau3" displayName="Tableau3" ref="B10:N27" totalsRowShown="0" headerRowDxfId="143" dataDxfId="142" tableBorderDxfId="141">
  <autoFilter ref="B10:N27" xr:uid="{D9D85F59-26DD-4610-9FD1-FD8BF0A207DA}"/>
  <tableColumns count="13">
    <tableColumn id="1" xr3:uid="{56EC603A-6EEF-42A3-809C-6F3ED2B9CB3E}" name="Date" dataDxfId="140"/>
    <tableColumn id="2" xr3:uid="{500B4128-D764-460B-8E6C-E0140D149759}" name="Mode de_x000a_paiement" dataDxfId="139"/>
    <tableColumn id="13" xr3:uid="{EC103F80-ACE1-45D0-B2D5-B41D60DAD0AC}" name="Type" dataDxfId="138">
      <calculatedColumnFormula>IF(C11="","",VLOOKUP(C11,Listes!$J$3:$K$10,2,0))</calculatedColumnFormula>
    </tableColumn>
    <tableColumn id="3" xr3:uid="{F536A484-EF5D-45E1-A368-9A5160563B8E}" name="N°_x000a_chèque" dataDxfId="137"/>
    <tableColumn id="4" xr3:uid="{A8AE01BA-B975-42A1-96AB-672846BCDBBA}" name="Tiers" dataDxfId="136"/>
    <tableColumn id="5" xr3:uid="{DF709A6A-7DC1-46B0-A353-A543B4B60148}" name="Rubrique " dataDxfId="135"/>
    <tableColumn id="6" xr3:uid="{258B374E-266E-4D08-8CE5-6D2840E5AE93}" name="Classe" dataDxfId="134"/>
    <tableColumn id="7" xr3:uid="{2B2A9E3B-3CF0-4819-A769-8B9501E5F3BE}" name="Commentaire" dataDxfId="133"/>
    <tableColumn id="8" xr3:uid="{BFD61E22-694E-41D3-B0C7-AB1C2E015D83}" name="Débit" dataDxfId="132"/>
    <tableColumn id="9" xr3:uid="{B601941E-97AA-4D64-B8C8-AF1EBFB43B3B}" name="Crédit" dataDxfId="131"/>
    <tableColumn id="11" xr3:uid="{32A3E707-BEE1-43B2-8FAC-E67CA6345C01}" name="Solde" dataDxfId="130">
      <calculatedColumnFormula>IF(AND(J11="",K11=""),"",L10-J11+K11)</calculatedColumnFormula>
    </tableColumn>
    <tableColumn id="10" xr3:uid="{2715D9AB-2D7C-4564-A809-B1DB86A29FE8}" name="Pointage" dataDxfId="129"/>
    <tableColumn id="12" xr3:uid="{AE615381-955F-45D7-9F7D-4E3F8BEA3DCF}" name="Solde rapproché" dataDxfId="128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1570EF-D4BC-46F5-806A-95F379BC22AA}" name="Tableau4" displayName="Tableau4" ref="B10:N26" totalsRowShown="0" headerRowDxfId="118" dataDxfId="117" tableBorderDxfId="116">
  <autoFilter ref="B10:N26" xr:uid="{D9D85F59-26DD-4610-9FD1-FD8BF0A207DA}"/>
  <tableColumns count="13">
    <tableColumn id="1" xr3:uid="{BCF06D6B-9780-48BC-9738-9B74E126461F}" name="Date" dataDxfId="115"/>
    <tableColumn id="2" xr3:uid="{8DA3AE4A-76C0-450E-BB7F-497A2D5311B5}" name="Mode de_x000a_paiement" dataDxfId="114"/>
    <tableColumn id="13" xr3:uid="{C4B1DC5E-7DE7-4957-8C8A-24E93B52C485}" name="Type" dataDxfId="113">
      <calculatedColumnFormula>IF(C11="","",VLOOKUP(C11,Listes!$J$3:$K$10,2,0))</calculatedColumnFormula>
    </tableColumn>
    <tableColumn id="3" xr3:uid="{E1082F39-0BCD-4C70-A90B-4392917FA2D9}" name="N°_x000a_chèque" dataDxfId="112"/>
    <tableColumn id="4" xr3:uid="{AA7D35D8-F10A-4C0D-B119-13F15F5B18A3}" name="Tiers" dataDxfId="111"/>
    <tableColumn id="5" xr3:uid="{C783D3DD-705F-4E1B-A5AA-D7A2AFB70B4E}" name="Rubrique " dataDxfId="110"/>
    <tableColumn id="6" xr3:uid="{DA671AD1-4584-4988-B682-FDD048B959D6}" name="Classe" dataDxfId="109"/>
    <tableColumn id="7" xr3:uid="{51B21BAB-C287-4F22-B6C1-9927C554F563}" name="Commentaire" dataDxfId="108"/>
    <tableColumn id="8" xr3:uid="{C0800A1F-BB62-49EE-81EB-254CE8D6BCC8}" name="Débit" dataDxfId="107"/>
    <tableColumn id="9" xr3:uid="{BBBCB049-A563-4E3B-BB81-C6E6E6314A1C}" name="Crédit" dataDxfId="106"/>
    <tableColumn id="11" xr3:uid="{2F956387-E002-402B-9DF4-9880CF8A77AF}" name="Solde" dataDxfId="105">
      <calculatedColumnFormula>IF(AND(J11="",K11=""),"",L10-J11+K11)</calculatedColumnFormula>
    </tableColumn>
    <tableColumn id="10" xr3:uid="{578CF0C5-8097-4A5E-9111-9E65ED89738F}" name="Pointage" dataDxfId="104"/>
    <tableColumn id="12" xr3:uid="{961DFE88-4A9D-4F5F-AC1A-2F37E787E8C1}" name="Solde rapproché" dataDxfId="103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A6DDBBE-EE26-4DD7-9254-6659F796C96A}" name="Tableau5" displayName="Tableau5" ref="B10:N26" totalsRowShown="0" headerRowDxfId="93" dataDxfId="92" tableBorderDxfId="91">
  <autoFilter ref="B10:N26" xr:uid="{D9D85F59-26DD-4610-9FD1-FD8BF0A207DA}"/>
  <tableColumns count="13">
    <tableColumn id="1" xr3:uid="{024CDE62-11DB-44FF-B8A4-C8E36D8E5B82}" name="Date" dataDxfId="90"/>
    <tableColumn id="2" xr3:uid="{899B639E-0A43-4670-A781-8816EDF78F67}" name="Mode de_x000a_paiement" dataDxfId="89"/>
    <tableColumn id="13" xr3:uid="{FDCC48E3-D984-4DD0-90DD-057323E685C5}" name="Type" dataDxfId="88">
      <calculatedColumnFormula>IF(C11="","",VLOOKUP(C11,Listes!$J$3:$K$10,2,0))</calculatedColumnFormula>
    </tableColumn>
    <tableColumn id="3" xr3:uid="{32AA5C8D-74E3-4DD5-8BA8-5473D49E162D}" name="N°_x000a_chèque" dataDxfId="87"/>
    <tableColumn id="4" xr3:uid="{737C8522-61CD-4C61-8E35-DD90DF7C7F69}" name="Tiers" dataDxfId="86"/>
    <tableColumn id="5" xr3:uid="{9FC5D268-1710-441B-A3A7-2BA8AFA6F1EE}" name="Rubrique " dataDxfId="85"/>
    <tableColumn id="6" xr3:uid="{66938209-DF87-4898-98C6-49583A7FF8EB}" name="Classe" dataDxfId="84"/>
    <tableColumn id="7" xr3:uid="{327BA354-B9B5-4991-B61A-2F74729FAB3A}" name="Commentaire" dataDxfId="83"/>
    <tableColumn id="8" xr3:uid="{6D86AE42-44F0-4529-B77D-EEC7B9969838}" name="Débit" dataDxfId="82"/>
    <tableColumn id="9" xr3:uid="{102BBB31-4A9E-4D0E-B4DD-94B619AF8FF4}" name="Crédit" dataDxfId="81"/>
    <tableColumn id="11" xr3:uid="{A243D6B4-4A7E-47BC-A5FA-97D4C31A44E5}" name="Solde" dataDxfId="80">
      <calculatedColumnFormula>IF(AND(J11="",K11=""),"",L10-J11+K11)</calculatedColumnFormula>
    </tableColumn>
    <tableColumn id="10" xr3:uid="{AABA5D59-DE9C-4CF7-9A8D-D9C3DE91D0D1}" name="Pointage" dataDxfId="79"/>
    <tableColumn id="12" xr3:uid="{0A85B9D9-572A-4D46-8AA6-CC878403F12D}" name="Solde rapproché" dataDxfId="78"/>
  </tableColumns>
  <tableStyleInfo name="TableStyleLight1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CE56AF9-3BF3-4101-B260-253B24D7B29A}" name="Tableau6" displayName="Tableau6" ref="B10:N26" totalsRowShown="0" headerRowDxfId="68" dataDxfId="67" tableBorderDxfId="66">
  <autoFilter ref="B10:N26" xr:uid="{D9D85F59-26DD-4610-9FD1-FD8BF0A207DA}"/>
  <tableColumns count="13">
    <tableColumn id="1" xr3:uid="{80DA5B45-18BD-48BA-9FD8-7DB1AF439A51}" name="Date" dataDxfId="65"/>
    <tableColumn id="2" xr3:uid="{FACCED3C-47F1-4644-933E-968997AA50A9}" name="Mode de_x000a_paiement" dataDxfId="64"/>
    <tableColumn id="13" xr3:uid="{486FB1CD-6D24-475E-8DA6-0CAEAB759DB6}" name="Type" dataDxfId="63">
      <calculatedColumnFormula>IF(C11="","",VLOOKUP(C11,Listes!$J$3:$K$10,2,0))</calculatedColumnFormula>
    </tableColumn>
    <tableColumn id="3" xr3:uid="{7A711866-4518-4A81-82E1-2F1A78FF96EF}" name="N°_x000a_chèque" dataDxfId="62"/>
    <tableColumn id="4" xr3:uid="{F76F76C5-D12C-49A2-AA1C-C03C42D226FB}" name="Tiers" dataDxfId="61"/>
    <tableColumn id="5" xr3:uid="{E7A6C258-18D2-401D-820C-E97C166F2E72}" name="Rubrique " dataDxfId="60"/>
    <tableColumn id="6" xr3:uid="{372CEBE9-97A9-486F-B4B6-7B8D138D5171}" name="Classe" dataDxfId="59"/>
    <tableColumn id="7" xr3:uid="{5E160BC3-C95A-4D56-BF5F-703ACF61550A}" name="Commentaire" dataDxfId="58"/>
    <tableColumn id="8" xr3:uid="{E5E0F00E-3D6F-4D4B-8324-AD860CB34713}" name="Débit" dataDxfId="57"/>
    <tableColumn id="9" xr3:uid="{AC48747C-DDF9-456E-B67B-45060D9EED99}" name="Crédit" dataDxfId="56"/>
    <tableColumn id="11" xr3:uid="{B5859D50-8350-4030-89E7-544736F265B9}" name="Solde" dataDxfId="55">
      <calculatedColumnFormula>IF(AND(J11="",K11=""),"",L10-J11+K11)</calculatedColumnFormula>
    </tableColumn>
    <tableColumn id="10" xr3:uid="{03A5A369-FBDE-4F39-962E-9866D7A09D48}" name="Pointage" dataDxfId="54"/>
    <tableColumn id="12" xr3:uid="{21F95954-C67C-45C6-B3A5-37EC9BEFE8CB}" name="Solde rapproché" dataDxfId="53"/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EB534A1-084B-45BE-BCFC-67E85FAB2D38}" name="Tableau7" displayName="Tableau7" ref="B10:N26" totalsRowShown="0" headerRowDxfId="43" dataDxfId="42" tableBorderDxfId="41">
  <autoFilter ref="B10:N26" xr:uid="{D9D85F59-26DD-4610-9FD1-FD8BF0A207DA}"/>
  <tableColumns count="13">
    <tableColumn id="1" xr3:uid="{CEF88B12-AB7C-4DC1-98AA-5A3DE7B3750D}" name="Date" dataDxfId="40"/>
    <tableColumn id="2" xr3:uid="{B67E1197-D289-4E35-86FC-3460E2742728}" name="Mode de_x000a_paiement" dataDxfId="39"/>
    <tableColumn id="13" xr3:uid="{0EA48A7B-F4E1-4780-8CB3-1DD632661F7F}" name="Type" dataDxfId="38">
      <calculatedColumnFormula>IF(C11="","",VLOOKUP(C11,Listes!$J$3:$K$10,2,0))</calculatedColumnFormula>
    </tableColumn>
    <tableColumn id="3" xr3:uid="{FDA83560-66C3-4E1F-A2ED-B76BA12A3A54}" name="N°_x000a_chèque" dataDxfId="37"/>
    <tableColumn id="4" xr3:uid="{33425E59-7461-46BD-8B00-6287E474B07E}" name="Tiers" dataDxfId="36"/>
    <tableColumn id="5" xr3:uid="{2C22A702-8931-40EE-AB7F-884DE9DA93B0}" name="Rubrique " dataDxfId="35"/>
    <tableColumn id="6" xr3:uid="{0792CE13-05D1-4AE0-8DF6-751F1B6ECBDA}" name="Classe" dataDxfId="34"/>
    <tableColumn id="7" xr3:uid="{B57B63E2-9041-47D4-B34F-DCB61765C754}" name="Commentaire" dataDxfId="33"/>
    <tableColumn id="8" xr3:uid="{F4F2B3A7-ECA0-485F-AB9A-4C1DA529B691}" name="Débit" dataDxfId="32"/>
    <tableColumn id="9" xr3:uid="{991A68F3-1244-4033-B482-860ADFBB9810}" name="Crédit" dataDxfId="31"/>
    <tableColumn id="11" xr3:uid="{688183CE-1EFB-4055-BEFC-950CA7FC0088}" name="Solde" dataDxfId="30">
      <calculatedColumnFormula>IF(AND(J11="",K11=""),"",L10-J11+K11)</calculatedColumnFormula>
    </tableColumn>
    <tableColumn id="10" xr3:uid="{E4C5A337-752D-424A-8B57-717540B451BA}" name="Pointage" dataDxfId="29"/>
    <tableColumn id="12" xr3:uid="{865B1C5A-8C95-45B3-A8B4-07010C454337}" name="Solde rapproché" dataDxfId="28"/>
  </tableColumns>
  <tableStyleInfo name="TableStyleLight1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07366F9-AA38-4B26-A331-792AF8B00F62}" name="Tableau8" displayName="Tableau8" ref="B10:M28" totalsRowShown="0" headerRowDxfId="18" dataDxfId="17" tableBorderDxfId="16">
  <autoFilter ref="B10:M28" xr:uid="{307366F9-AA38-4B26-A331-792AF8B00F62}"/>
  <tableColumns count="12">
    <tableColumn id="1" xr3:uid="{36A0D28C-3CF1-4DEB-96E7-B3DFDDEDCA12}" name="Date" dataDxfId="15">
      <calculatedColumnFormula>EDATE(#REF!,3)</calculatedColumnFormula>
    </tableColumn>
    <tableColumn id="10" xr3:uid="{4EBF09A4-9126-4A6F-818C-2927BA97B527}" name="Mode de_x000a_paiement" dataDxfId="14"/>
    <tableColumn id="12" xr3:uid="{7D2A3448-37B1-4231-93FE-9B3F989AFF74}" name="N°_x000a_chèque" dataDxfId="13">
      <calculatedColumnFormula>IF(C11="","",VLOOKUP(C11,Listes!$J$3:$K$10,2,0))</calculatedColumnFormula>
    </tableColumn>
    <tableColumn id="2" xr3:uid="{98937775-05A2-4836-A7C0-3F50142D01F8}" name="Tiers" dataDxfId="12"/>
    <tableColumn id="3" xr3:uid="{043313C5-8804-4942-A70C-F2C81E27F5B5}" name="Rubrique " dataDxfId="11"/>
    <tableColumn id="9" xr3:uid="{79BE028B-B969-43A3-BF49-C66C5CC262E6}" name="Classe" dataDxfId="10"/>
    <tableColumn id="11" xr3:uid="{03953A56-783B-4F7D-8706-7A3319769B5D}" name="Commentaire" dataDxfId="9"/>
    <tableColumn id="14" xr3:uid="{41128A87-32B7-4BFA-81DA-52CEBC02B166}" name="Débit" dataDxfId="8"/>
    <tableColumn id="13" xr3:uid="{7665BD69-D38A-450A-AC7E-EFCC22116AFF}" name="Crédit" dataDxfId="7"/>
    <tableColumn id="4" xr3:uid="{301EF26C-D8FC-4F30-AC5E-BDC1188581FC}" name="Compte débité" dataDxfId="6"/>
    <tableColumn id="5" xr3:uid="{187817A6-8B72-492C-B1C7-BE0693823DB7}" name="Compte crédité" dataDxfId="5"/>
    <tableColumn id="6" xr3:uid="{D44E84E8-5D64-42AA-BCC6-63D969953333}" name="Périodicité" dataDxfId="4"/>
  </tableColumns>
  <tableStyleInfo name="TableStyleLight1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495DB8F-BD80-4482-BDCD-011BAB968553}" name="Tableau10" displayName="Tableau10" ref="M2:N9" totalsRowShown="0" headerRowDxfId="3" dataDxfId="2">
  <autoFilter ref="M2:N9" xr:uid="{4495DB8F-BD80-4482-BDCD-011BAB968553}"/>
  <tableColumns count="2">
    <tableColumn id="1" xr3:uid="{7AA09B7B-BDDB-4686-8638-7A78881EF477}" name="Comptes " dataDxfId="1"/>
    <tableColumn id="2" xr3:uid="{66B0F999-F0BF-4D67-ABF9-C613332632EF}" name="Feuill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87FC8-29AB-4379-BF0C-6A5137F0AB71}">
  <sheetPr codeName="Feuil01">
    <tabColor theme="4" tint="-0.499984740745262"/>
  </sheetPr>
  <dimension ref="B2:J35"/>
  <sheetViews>
    <sheetView showGridLines="0" topLeftCell="A10" workbookViewId="0">
      <selection activeCell="P18" sqref="P18"/>
    </sheetView>
  </sheetViews>
  <sheetFormatPr baseColWidth="10" defaultRowHeight="15" x14ac:dyDescent="0.25"/>
  <cols>
    <col min="1" max="1" width="9.140625" customWidth="1"/>
    <col min="2" max="2" width="10.85546875" customWidth="1"/>
    <col min="3" max="3" width="35.85546875" customWidth="1"/>
    <col min="4" max="7" width="18.7109375" customWidth="1"/>
  </cols>
  <sheetData>
    <row r="2" spans="2:10" ht="26.25" x14ac:dyDescent="0.25">
      <c r="C2" s="67" t="s">
        <v>15</v>
      </c>
      <c r="D2" s="68"/>
      <c r="E2" s="68"/>
      <c r="F2" s="68"/>
      <c r="G2" s="68"/>
      <c r="H2" s="68"/>
    </row>
    <row r="3" spans="2:10" ht="21" x14ac:dyDescent="0.35">
      <c r="J3" s="106" t="s">
        <v>188</v>
      </c>
    </row>
    <row r="9" spans="2:10" ht="19.5" customHeight="1" x14ac:dyDescent="0.25">
      <c r="C9" s="80" t="s">
        <v>148</v>
      </c>
    </row>
    <row r="10" spans="2:10" ht="44.25" customHeight="1" x14ac:dyDescent="0.25">
      <c r="C10" s="65" t="s">
        <v>12</v>
      </c>
      <c r="D10" s="66" t="s">
        <v>16</v>
      </c>
      <c r="E10" s="66" t="s">
        <v>17</v>
      </c>
      <c r="F10" s="66" t="s">
        <v>13</v>
      </c>
      <c r="G10" s="66" t="s">
        <v>131</v>
      </c>
      <c r="H10" s="66" t="s">
        <v>131</v>
      </c>
    </row>
    <row r="11" spans="2:10" s="3" customFormat="1" ht="39.75" customHeight="1" x14ac:dyDescent="0.25">
      <c r="B11" s="175"/>
      <c r="C11" s="4" t="s">
        <v>130</v>
      </c>
      <c r="D11" s="78">
        <f>'Compte Courant'!H6</f>
        <v>-50</v>
      </c>
      <c r="E11" s="78"/>
      <c r="F11" s="78"/>
      <c r="G11" s="78"/>
      <c r="H11" s="103">
        <f>COUNTA('Compte Courant'!J22:K969)</f>
        <v>0</v>
      </c>
    </row>
    <row r="12" spans="2:10" s="3" customFormat="1" ht="39.75" customHeight="1" x14ac:dyDescent="0.25">
      <c r="C12" s="5" t="s">
        <v>21</v>
      </c>
      <c r="D12" s="79">
        <f>'AsVie Carme'!H6</f>
        <v>0</v>
      </c>
      <c r="E12" s="79">
        <f>'AsVie Carme'!H7</f>
        <v>552.30999999999995</v>
      </c>
      <c r="F12" s="79">
        <f>'AsVie Carme'!L7</f>
        <v>10552.31</v>
      </c>
      <c r="G12" s="79">
        <f>'AsVie Carme'!L8</f>
        <v>10552.31</v>
      </c>
      <c r="H12" s="104">
        <f>COUNTA('AsVie Carme'!J12:K1000)</f>
        <v>0</v>
      </c>
    </row>
    <row r="13" spans="2:10" s="3" customFormat="1" ht="39.75" customHeight="1" x14ac:dyDescent="0.25">
      <c r="C13" s="4" t="s">
        <v>22</v>
      </c>
      <c r="D13" s="78">
        <f>'AsVie Pierre'!H6</f>
        <v>0</v>
      </c>
      <c r="E13" s="78">
        <f>'AsVie Pierre'!H7</f>
        <v>702.31</v>
      </c>
      <c r="F13" s="78">
        <f>'AsVie Pierre'!L7</f>
        <v>10702.31</v>
      </c>
      <c r="G13" s="78">
        <f>'AsVie Pierre'!L8</f>
        <v>10552.31</v>
      </c>
      <c r="H13" s="103">
        <f>COUNTA('AsVie Pierre'!J12:K1000)</f>
        <v>1</v>
      </c>
    </row>
    <row r="14" spans="2:10" s="3" customFormat="1" ht="39.75" customHeight="1" x14ac:dyDescent="0.25">
      <c r="C14" s="5" t="s">
        <v>144</v>
      </c>
      <c r="D14" s="79">
        <f>'LiA Carme'!H6</f>
        <v>0</v>
      </c>
      <c r="E14" s="79">
        <f>'LiA Carme'!H7</f>
        <v>200</v>
      </c>
      <c r="F14" s="79">
        <f>'LiA Carme'!L7</f>
        <v>3200</v>
      </c>
      <c r="G14" s="79">
        <f>'LiA Carme'!L8</f>
        <v>3100</v>
      </c>
      <c r="H14" s="104">
        <f>COUNTA('LiA Carme'!J12:K999)</f>
        <v>1</v>
      </c>
    </row>
    <row r="15" spans="2:10" s="3" customFormat="1" ht="39.75" customHeight="1" x14ac:dyDescent="0.25">
      <c r="C15" s="4" t="s">
        <v>19</v>
      </c>
      <c r="D15" s="78">
        <f>'LiA Pierre'!H6</f>
        <v>0</v>
      </c>
      <c r="E15" s="78">
        <f>'LiA Pierre'!H7</f>
        <v>200</v>
      </c>
      <c r="F15" s="78">
        <f>'LiA Pierre'!L7</f>
        <v>3200</v>
      </c>
      <c r="G15" s="78">
        <f>'LiA Pierre'!L8</f>
        <v>3200</v>
      </c>
      <c r="H15" s="103">
        <f>COUNTA('LiA Pierre'!J12:K999)</f>
        <v>0</v>
      </c>
    </row>
    <row r="16" spans="2:10" s="3" customFormat="1" ht="39.75" customHeight="1" x14ac:dyDescent="0.25">
      <c r="C16" s="5" t="s">
        <v>147</v>
      </c>
      <c r="D16" s="79">
        <f>'LEP Carme'!H6</f>
        <v>0</v>
      </c>
      <c r="E16" s="79">
        <f>'LEP Carme'!H7</f>
        <v>225.23</v>
      </c>
      <c r="F16" s="79">
        <f>'LEP Carme'!L7</f>
        <v>4225.2299999999996</v>
      </c>
      <c r="G16" s="79">
        <f>'LEP Carme'!L8</f>
        <v>4225.2299999999996</v>
      </c>
      <c r="H16" s="104">
        <f>COUNTA('LEP Carme'!J12:K997)</f>
        <v>0</v>
      </c>
    </row>
    <row r="17" spans="3:8" s="3" customFormat="1" ht="39.75" customHeight="1" x14ac:dyDescent="0.25">
      <c r="C17" s="4" t="s">
        <v>20</v>
      </c>
      <c r="D17" s="78">
        <f>'LEP Pierre '!H6</f>
        <v>0</v>
      </c>
      <c r="E17" s="78">
        <f>'LEP Pierre '!H7</f>
        <v>225.23</v>
      </c>
      <c r="F17" s="78">
        <f>'LEP Pierre '!L7</f>
        <v>4225.2299999999996</v>
      </c>
      <c r="G17" s="78">
        <f>'LEP Pierre '!L8</f>
        <v>4225.2299999999996</v>
      </c>
      <c r="H17" s="103">
        <f>COUNTA('LEP Pierre '!J12:K1000)</f>
        <v>0</v>
      </c>
    </row>
    <row r="18" spans="3:8" ht="39.75" customHeight="1" x14ac:dyDescent="0.25">
      <c r="C18" s="65"/>
      <c r="D18" s="102">
        <f>SUM(D11:D17)</f>
        <v>-50</v>
      </c>
      <c r="E18" s="102">
        <f>SUM(E11:E17)</f>
        <v>2105.08</v>
      </c>
      <c r="F18" s="102">
        <f>SUM(F11:F17)</f>
        <v>36105.08</v>
      </c>
      <c r="G18" s="102">
        <f>SUM(G11:G17)</f>
        <v>35855.08</v>
      </c>
      <c r="H18" s="105">
        <f>SUM(H11:H17)</f>
        <v>2</v>
      </c>
    </row>
    <row r="19" spans="3:8" x14ac:dyDescent="0.25">
      <c r="D19" s="2"/>
      <c r="E19" s="2"/>
      <c r="F19" s="2"/>
      <c r="G19" s="2"/>
    </row>
    <row r="21" spans="3:8" x14ac:dyDescent="0.25">
      <c r="D21" s="2"/>
      <c r="E21" s="2"/>
      <c r="F21" s="2"/>
      <c r="G21" s="2"/>
    </row>
    <row r="22" spans="3:8" x14ac:dyDescent="0.25">
      <c r="D22" s="2"/>
      <c r="E22" s="2"/>
      <c r="F22" s="2"/>
      <c r="G22" s="2"/>
    </row>
    <row r="23" spans="3:8" x14ac:dyDescent="0.25">
      <c r="D23" s="2"/>
      <c r="E23" s="2"/>
      <c r="F23" s="2"/>
      <c r="G23" s="2"/>
    </row>
    <row r="24" spans="3:8" x14ac:dyDescent="0.25">
      <c r="D24" s="2"/>
      <c r="E24" s="2"/>
      <c r="F24" s="2"/>
      <c r="G24" s="2"/>
    </row>
    <row r="25" spans="3:8" x14ac:dyDescent="0.25">
      <c r="D25" s="2"/>
      <c r="E25" s="2"/>
      <c r="F25" s="2"/>
      <c r="G25" s="2"/>
    </row>
    <row r="26" spans="3:8" x14ac:dyDescent="0.25">
      <c r="D26" s="2"/>
      <c r="E26" s="2"/>
      <c r="F26" s="2"/>
      <c r="G26" s="2"/>
    </row>
    <row r="27" spans="3:8" x14ac:dyDescent="0.25">
      <c r="D27" s="2"/>
      <c r="E27" s="2"/>
      <c r="F27" s="2"/>
      <c r="G27" s="2"/>
    </row>
    <row r="28" spans="3:8" x14ac:dyDescent="0.25">
      <c r="D28" s="2"/>
      <c r="E28" s="2"/>
      <c r="F28" s="2"/>
      <c r="G28" s="2"/>
    </row>
    <row r="29" spans="3:8" x14ac:dyDescent="0.25">
      <c r="D29" s="2"/>
      <c r="E29" s="2"/>
      <c r="F29" s="2"/>
      <c r="G29" s="2"/>
    </row>
    <row r="30" spans="3:8" x14ac:dyDescent="0.25">
      <c r="D30" s="2"/>
      <c r="E30" s="2"/>
      <c r="F30" s="2"/>
      <c r="G30" s="2"/>
    </row>
    <row r="31" spans="3:8" x14ac:dyDescent="0.25">
      <c r="D31" s="2"/>
      <c r="E31" s="2"/>
      <c r="F31" s="2"/>
      <c r="G31" s="2"/>
    </row>
    <row r="32" spans="3:8" x14ac:dyDescent="0.25">
      <c r="D32" s="2"/>
      <c r="E32" s="2"/>
      <c r="F32" s="2"/>
      <c r="G32" s="2"/>
    </row>
    <row r="33" spans="4:7" x14ac:dyDescent="0.25">
      <c r="D33" s="2"/>
      <c r="E33" s="2"/>
      <c r="F33" s="2"/>
      <c r="G33" s="2"/>
    </row>
    <row r="34" spans="4:7" x14ac:dyDescent="0.25">
      <c r="D34" s="2"/>
      <c r="E34" s="2"/>
      <c r="F34" s="2"/>
      <c r="G34" s="2"/>
    </row>
    <row r="35" spans="4:7" x14ac:dyDescent="0.25">
      <c r="D35" s="2"/>
      <c r="E35" s="2"/>
      <c r="F35" s="2"/>
      <c r="G35" s="2"/>
    </row>
  </sheetData>
  <sortState xmlns:xlrd2="http://schemas.microsoft.com/office/spreadsheetml/2017/richdata2" ref="C13:C17">
    <sortCondition ref="C12:C17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38754-59C3-4651-B0F2-833B737A26CC}">
  <sheetPr codeName="Feuil02">
    <tabColor rgb="FF7030A0"/>
  </sheetPr>
  <dimension ref="B2:L17"/>
  <sheetViews>
    <sheetView showGridLines="0" workbookViewId="0">
      <selection activeCell="F12" sqref="F12"/>
    </sheetView>
  </sheetViews>
  <sheetFormatPr baseColWidth="10" defaultRowHeight="15" x14ac:dyDescent="0.25"/>
  <cols>
    <col min="1" max="1" width="2.5703125" style="135" customWidth="1"/>
    <col min="2" max="2" width="8.85546875" style="135" customWidth="1"/>
    <col min="3" max="3" width="43" style="135" customWidth="1"/>
    <col min="4" max="4" width="37" style="135" customWidth="1"/>
    <col min="5" max="5" width="19.7109375" style="135" customWidth="1"/>
    <col min="6" max="6" width="32.7109375" style="135" customWidth="1"/>
    <col min="7" max="7" width="16.140625" style="135" customWidth="1"/>
    <col min="8" max="8" width="10.85546875" style="135" customWidth="1"/>
    <col min="9" max="9" width="15.7109375" style="135" customWidth="1"/>
    <col min="10" max="11" width="15.7109375" customWidth="1"/>
    <col min="12" max="12" width="13.7109375" customWidth="1"/>
    <col min="13" max="16384" width="11.42578125" style="135"/>
  </cols>
  <sheetData>
    <row r="2" spans="2:12" ht="23.25" x14ac:dyDescent="0.25">
      <c r="C2" s="136"/>
    </row>
    <row r="4" spans="2:12" ht="30" customHeight="1" x14ac:dyDescent="0.25">
      <c r="C4" s="137" t="s">
        <v>32</v>
      </c>
      <c r="D4" s="137"/>
      <c r="E4" s="137"/>
      <c r="F4" s="137"/>
      <c r="G4" s="137"/>
      <c r="H4" s="138"/>
      <c r="I4" s="138"/>
      <c r="J4" s="186">
        <f ca="1">TODAY()</f>
        <v>45084</v>
      </c>
      <c r="K4" s="186"/>
      <c r="L4" s="157"/>
    </row>
    <row r="5" spans="2:12" ht="18" customHeight="1" x14ac:dyDescent="0.25">
      <c r="C5" s="139"/>
      <c r="D5" s="139"/>
      <c r="E5" s="139"/>
      <c r="F5" s="139"/>
      <c r="G5" s="139"/>
      <c r="H5" s="139"/>
      <c r="I5" s="139"/>
      <c r="L5" s="158"/>
    </row>
    <row r="6" spans="2:12" ht="18" customHeight="1" x14ac:dyDescent="0.25">
      <c r="C6" s="139"/>
      <c r="D6" s="139"/>
      <c r="E6" s="139"/>
      <c r="F6" s="139"/>
      <c r="G6" s="180"/>
      <c r="H6" s="181"/>
      <c r="I6" s="140"/>
      <c r="J6" s="159" t="s">
        <v>185</v>
      </c>
      <c r="K6" s="160" t="s">
        <v>186</v>
      </c>
      <c r="L6" s="158"/>
    </row>
    <row r="7" spans="2:12" ht="18" customHeight="1" x14ac:dyDescent="0.25">
      <c r="C7" s="139"/>
      <c r="D7" s="139"/>
      <c r="E7" s="139"/>
      <c r="F7" s="139"/>
      <c r="G7" s="182" t="s">
        <v>187</v>
      </c>
      <c r="H7" s="183"/>
      <c r="I7" s="141"/>
      <c r="J7" s="161">
        <f>SUM(J12:J17)</f>
        <v>36105.08</v>
      </c>
      <c r="K7" s="162">
        <f>SUM(K12:K17)</f>
        <v>35855.08</v>
      </c>
      <c r="L7" s="158"/>
    </row>
    <row r="8" spans="2:12" ht="18" customHeight="1" x14ac:dyDescent="0.25">
      <c r="C8" s="139"/>
      <c r="D8" s="139"/>
      <c r="E8" s="139"/>
      <c r="F8" s="139"/>
      <c r="G8" s="184" t="s">
        <v>184</v>
      </c>
      <c r="H8" s="185"/>
      <c r="I8" s="142"/>
      <c r="J8" s="163">
        <f>SUM(J11:J17)</f>
        <v>41055.08</v>
      </c>
      <c r="K8" s="164">
        <f>SUM(K11:K17)</f>
        <v>40805.08</v>
      </c>
      <c r="L8" s="158"/>
    </row>
    <row r="9" spans="2:12" ht="18" customHeight="1" x14ac:dyDescent="0.25">
      <c r="C9" s="139"/>
      <c r="D9" s="139"/>
      <c r="E9" s="139"/>
      <c r="F9" s="139"/>
      <c r="G9" s="139"/>
      <c r="H9" s="139"/>
      <c r="I9" s="139"/>
      <c r="J9" s="158"/>
      <c r="K9" s="158"/>
      <c r="L9" s="158"/>
    </row>
    <row r="10" spans="2:12" ht="20.100000000000001" customHeight="1" x14ac:dyDescent="0.25">
      <c r="C10" s="143" t="s">
        <v>28</v>
      </c>
      <c r="D10" s="143" t="s">
        <v>12</v>
      </c>
      <c r="E10" s="143" t="s">
        <v>24</v>
      </c>
      <c r="F10" s="143" t="s">
        <v>25</v>
      </c>
      <c r="G10" s="143" t="s">
        <v>31</v>
      </c>
      <c r="H10" s="143" t="s">
        <v>26</v>
      </c>
      <c r="I10" s="143" t="s">
        <v>194</v>
      </c>
      <c r="J10" s="165" t="s">
        <v>13</v>
      </c>
      <c r="K10" s="165" t="s">
        <v>14</v>
      </c>
      <c r="L10" s="165" t="s">
        <v>23</v>
      </c>
    </row>
    <row r="11" spans="2:12" ht="39.950000000000003" customHeight="1" x14ac:dyDescent="0.25">
      <c r="B11" s="144"/>
      <c r="C11" s="145" t="s">
        <v>27</v>
      </c>
      <c r="D11" s="145" t="s">
        <v>18</v>
      </c>
      <c r="E11" s="146"/>
      <c r="F11" s="146"/>
      <c r="G11" s="146"/>
      <c r="H11" s="147" t="s">
        <v>33</v>
      </c>
      <c r="I11" s="148">
        <v>5000</v>
      </c>
      <c r="J11" s="166">
        <f>'Compte Courant'!L7</f>
        <v>4950</v>
      </c>
      <c r="K11" s="166">
        <f>'Compte Courant'!L8</f>
        <v>4950</v>
      </c>
      <c r="L11" s="167">
        <f>COUNTA('Compte Courant'!J11:K1004)</f>
        <v>1</v>
      </c>
    </row>
    <row r="12" spans="2:12" ht="39.950000000000003" customHeight="1" x14ac:dyDescent="0.25">
      <c r="C12" s="149" t="s">
        <v>30</v>
      </c>
      <c r="D12" s="149" t="s">
        <v>154</v>
      </c>
      <c r="E12" s="150"/>
      <c r="F12" s="150"/>
      <c r="G12" s="150"/>
      <c r="H12" s="151" t="s">
        <v>33</v>
      </c>
      <c r="I12" s="152">
        <v>10000</v>
      </c>
      <c r="J12" s="168">
        <f>'AsVie Carme'!L7</f>
        <v>10552.31</v>
      </c>
      <c r="K12" s="168">
        <f>'AsVie Carme'!L8</f>
        <v>10552.31</v>
      </c>
      <c r="L12" s="169">
        <f>COUNTA('AsVie Carme'!J11:K1000)</f>
        <v>1</v>
      </c>
    </row>
    <row r="13" spans="2:12" ht="39.950000000000003" customHeight="1" x14ac:dyDescent="0.25">
      <c r="C13" s="145" t="s">
        <v>30</v>
      </c>
      <c r="D13" s="145" t="s">
        <v>22</v>
      </c>
      <c r="E13" s="146"/>
      <c r="F13" s="146"/>
      <c r="G13" s="146"/>
      <c r="H13" s="147" t="s">
        <v>33</v>
      </c>
      <c r="I13" s="148">
        <v>10000</v>
      </c>
      <c r="J13" s="166">
        <f>'AsVie Pierre'!L7</f>
        <v>10702.31</v>
      </c>
      <c r="K13" s="166">
        <f>'AsVie Pierre'!L8</f>
        <v>10552.31</v>
      </c>
      <c r="L13" s="167">
        <f>COUNTA('AsVie Pierre'!J11:K1000)</f>
        <v>2</v>
      </c>
    </row>
    <row r="14" spans="2:12" ht="39.950000000000003" customHeight="1" x14ac:dyDescent="0.25">
      <c r="C14" s="149" t="s">
        <v>27</v>
      </c>
      <c r="D14" s="149" t="s">
        <v>144</v>
      </c>
      <c r="E14" s="150"/>
      <c r="F14" s="150"/>
      <c r="G14" s="150"/>
      <c r="H14" s="151" t="s">
        <v>33</v>
      </c>
      <c r="I14" s="152">
        <v>3000</v>
      </c>
      <c r="J14" s="168">
        <f>'LiA Carme'!L7</f>
        <v>3200</v>
      </c>
      <c r="K14" s="168">
        <f>'LiA Carme'!L8</f>
        <v>3100</v>
      </c>
      <c r="L14" s="169">
        <f>COUNTA('LiA Carme'!J11:K999)</f>
        <v>2</v>
      </c>
    </row>
    <row r="15" spans="2:12" ht="39.950000000000003" customHeight="1" x14ac:dyDescent="0.25">
      <c r="C15" s="145" t="s">
        <v>27</v>
      </c>
      <c r="D15" s="145" t="s">
        <v>19</v>
      </c>
      <c r="E15" s="146"/>
      <c r="F15" s="146"/>
      <c r="G15" s="146"/>
      <c r="H15" s="147" t="s">
        <v>33</v>
      </c>
      <c r="I15" s="148">
        <v>3000</v>
      </c>
      <c r="J15" s="166">
        <f>'LiA Pierre'!L7</f>
        <v>3200</v>
      </c>
      <c r="K15" s="166">
        <f>'LiA Pierre'!L8</f>
        <v>3200</v>
      </c>
      <c r="L15" s="167">
        <f>COUNTA('LiA Pierre'!J11:K999)</f>
        <v>1</v>
      </c>
    </row>
    <row r="16" spans="2:12" ht="39.950000000000003" customHeight="1" x14ac:dyDescent="0.25">
      <c r="C16" s="149" t="s">
        <v>29</v>
      </c>
      <c r="D16" s="149" t="s">
        <v>147</v>
      </c>
      <c r="E16" s="150"/>
      <c r="F16" s="150"/>
      <c r="G16" s="150"/>
      <c r="H16" s="151" t="s">
        <v>33</v>
      </c>
      <c r="I16" s="152">
        <v>4000</v>
      </c>
      <c r="J16" s="168">
        <f>'LEP Carme'!L7</f>
        <v>4225.2299999999996</v>
      </c>
      <c r="K16" s="168">
        <f>'LEP Carme'!L8</f>
        <v>4225.2299999999996</v>
      </c>
      <c r="L16" s="169">
        <f>COUNTA('LEP Carme'!J11:K997)</f>
        <v>1</v>
      </c>
    </row>
    <row r="17" spans="3:12" ht="39.950000000000003" customHeight="1" x14ac:dyDescent="0.25">
      <c r="C17" s="153" t="s">
        <v>29</v>
      </c>
      <c r="D17" s="153" t="s">
        <v>20</v>
      </c>
      <c r="E17" s="154"/>
      <c r="F17" s="154"/>
      <c r="G17" s="154"/>
      <c r="H17" s="155" t="s">
        <v>33</v>
      </c>
      <c r="I17" s="156">
        <v>4000</v>
      </c>
      <c r="J17" s="170">
        <f>'LEP Pierre '!L7</f>
        <v>4225.2299999999996</v>
      </c>
      <c r="K17" s="170">
        <f>'LEP Pierre '!L8</f>
        <v>4225.2299999999996</v>
      </c>
      <c r="L17" s="171">
        <f>COUNTA('LEP Pierre '!J11:K1000)</f>
        <v>1</v>
      </c>
    </row>
  </sheetData>
  <sortState xmlns:xlrd2="http://schemas.microsoft.com/office/spreadsheetml/2017/richdata2" ref="B11:L13">
    <sortCondition descending="1" ref="D11:D13"/>
  </sortState>
  <mergeCells count="4">
    <mergeCell ref="G6:H6"/>
    <mergeCell ref="G7:H7"/>
    <mergeCell ref="G8:H8"/>
    <mergeCell ref="J4:K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8371F-FDD4-4002-A45E-15A80F94DA18}">
  <sheetPr codeName="Feuil03">
    <tabColor rgb="FF0070C0"/>
  </sheetPr>
  <dimension ref="A3:N43"/>
  <sheetViews>
    <sheetView showGridLines="0" workbookViewId="0">
      <pane ySplit="10" topLeftCell="A11" activePane="bottomLeft" state="frozen"/>
      <selection pane="bottomLeft" activeCell="C24" sqref="C24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style="23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1:14" x14ac:dyDescent="0.25">
      <c r="J3" s="2"/>
      <c r="K3" s="16"/>
      <c r="L3" s="17"/>
      <c r="M3" s="18"/>
      <c r="N3" s="17"/>
    </row>
    <row r="4" spans="1:14" ht="30" customHeight="1" x14ac:dyDescent="0.25">
      <c r="B4" s="35" t="s">
        <v>18</v>
      </c>
      <c r="C4" s="7"/>
      <c r="D4" s="7"/>
      <c r="E4" s="128"/>
      <c r="F4" s="7"/>
      <c r="G4" s="7"/>
      <c r="H4" s="7"/>
      <c r="I4" s="7"/>
      <c r="J4" s="187">
        <f ca="1">TODAY()</f>
        <v>45084</v>
      </c>
      <c r="K4" s="187"/>
      <c r="L4" s="19"/>
      <c r="M4" s="20"/>
      <c r="N4" s="19"/>
    </row>
    <row r="5" spans="1:14" ht="18" customHeight="1" x14ac:dyDescent="0.25">
      <c r="J5" s="2"/>
      <c r="K5" s="16"/>
      <c r="L5" s="17"/>
      <c r="M5" s="18"/>
      <c r="N5" s="17"/>
    </row>
    <row r="6" spans="1:14" s="11" customFormat="1" ht="18" customHeight="1" x14ac:dyDescent="0.25">
      <c r="B6" s="27"/>
      <c r="E6" s="23"/>
      <c r="F6" s="188" t="s">
        <v>132</v>
      </c>
      <c r="G6" s="189"/>
      <c r="H6" s="75">
        <f>SUM($J$11:$J465)*-1</f>
        <v>-50</v>
      </c>
      <c r="I6" s="23"/>
      <c r="J6" s="194" t="s">
        <v>137</v>
      </c>
      <c r="K6" s="195"/>
      <c r="L6" s="69">
        <f>Comptes!I11</f>
        <v>5000</v>
      </c>
      <c r="M6" s="70"/>
      <c r="N6" s="28"/>
    </row>
    <row r="7" spans="1:14" s="11" customFormat="1" ht="18" customHeight="1" x14ac:dyDescent="0.25">
      <c r="B7" s="27"/>
      <c r="E7" s="23"/>
      <c r="F7" s="190" t="s">
        <v>136</v>
      </c>
      <c r="G7" s="191"/>
      <c r="H7" s="76">
        <f>SUM($K$11:$K491)</f>
        <v>0</v>
      </c>
      <c r="I7" s="23"/>
      <c r="J7" s="196" t="s">
        <v>134</v>
      </c>
      <c r="K7" s="197"/>
      <c r="L7" s="71">
        <f>IF(L11="","",LOOKUP(9^9,L11:L2020))</f>
        <v>4950</v>
      </c>
      <c r="M7" s="72"/>
      <c r="N7" s="28"/>
    </row>
    <row r="8" spans="1:14" s="11" customFormat="1" ht="18" customHeight="1" x14ac:dyDescent="0.25">
      <c r="B8" s="27"/>
      <c r="E8" s="23"/>
      <c r="F8" s="192" t="s">
        <v>133</v>
      </c>
      <c r="G8" s="193"/>
      <c r="H8" s="77">
        <f>H6+H7</f>
        <v>-50</v>
      </c>
      <c r="I8" s="23"/>
      <c r="J8" s="198" t="s">
        <v>135</v>
      </c>
      <c r="K8" s="199"/>
      <c r="L8" s="73">
        <f>IF(N11="","",LOOKUP(9^9,N11:N2020))</f>
        <v>4950</v>
      </c>
      <c r="M8" s="74"/>
      <c r="N8" s="28"/>
    </row>
    <row r="9" spans="1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1:14" s="11" customFormat="1" ht="30" customHeight="1" x14ac:dyDescent="0.25">
      <c r="B10" s="29" t="s">
        <v>3</v>
      </c>
      <c r="C10" s="30" t="s">
        <v>140</v>
      </c>
      <c r="D10" s="30" t="s">
        <v>197</v>
      </c>
      <c r="E10" s="129" t="s">
        <v>141</v>
      </c>
      <c r="F10" s="30" t="s">
        <v>1</v>
      </c>
      <c r="G10" s="30" t="s">
        <v>8</v>
      </c>
      <c r="H10" s="30" t="s">
        <v>9</v>
      </c>
      <c r="I10" s="30" t="s">
        <v>5</v>
      </c>
      <c r="J10" s="31" t="s">
        <v>6</v>
      </c>
      <c r="K10" s="31" t="s">
        <v>7</v>
      </c>
      <c r="L10" s="32" t="s">
        <v>142</v>
      </c>
      <c r="M10" s="30" t="s">
        <v>138</v>
      </c>
      <c r="N10" s="30" t="s">
        <v>131</v>
      </c>
    </row>
    <row r="11" spans="1:14" x14ac:dyDescent="0.25">
      <c r="A11" s="17"/>
      <c r="B11" s="25">
        <v>45084</v>
      </c>
      <c r="C11" s="3" t="s">
        <v>125</v>
      </c>
      <c r="D11" s="174" t="str">
        <f>IF(C11="","",VLOOKUP(C11,Listes!$J$3:$K$10,2,0))</f>
        <v>Æ</v>
      </c>
      <c r="F11" s="3"/>
      <c r="G11" s="3" t="s">
        <v>34</v>
      </c>
      <c r="H11" s="26"/>
      <c r="I11" s="3"/>
      <c r="J11" s="9">
        <v>50</v>
      </c>
      <c r="L11" s="12">
        <f>IF(AND(J11="",K11=""),"",L6+K11-J11)</f>
        <v>4950</v>
      </c>
      <c r="M11" s="33" t="s">
        <v>139</v>
      </c>
      <c r="N11" s="24">
        <f>IF(M11="","",L6-J11+K11)</f>
        <v>4950</v>
      </c>
    </row>
    <row r="12" spans="1:14" x14ac:dyDescent="0.25">
      <c r="A12" s="17"/>
      <c r="B12" s="25"/>
      <c r="C12" s="3"/>
      <c r="D12" s="174" t="str">
        <f>IF(C12="","",VLOOKUP(C12,Listes!$J$3:$K$10,2,0))</f>
        <v/>
      </c>
      <c r="F12" s="3"/>
      <c r="G12" s="3"/>
      <c r="H12" s="26"/>
      <c r="I12" s="3"/>
      <c r="L12" s="12" t="str">
        <f>IF(AND(J12="",K12=""),"",L11+K12-J12)</f>
        <v/>
      </c>
      <c r="M12" s="33"/>
      <c r="N12" s="24" t="str">
        <f>IF(M12="","",LOOKUP(9^9,$N$11:N11)+K12-J12)</f>
        <v/>
      </c>
    </row>
    <row r="13" spans="1:14" x14ac:dyDescent="0.25">
      <c r="A13" s="17"/>
      <c r="B13" s="25"/>
      <c r="C13" s="3"/>
      <c r="D13" s="174" t="str">
        <f>IF(C13="","",VLOOKUP(C13,Listes!$J$3:$K$10,2,0))</f>
        <v/>
      </c>
      <c r="F13" s="3"/>
      <c r="G13" s="3"/>
      <c r="H13" s="26"/>
      <c r="I13" s="3"/>
      <c r="L13" s="12" t="str">
        <f t="shared" ref="L13:L41" si="0">IF(AND(J13="",K13=""),"",L12+K13-J13)</f>
        <v/>
      </c>
      <c r="M13" s="33"/>
      <c r="N13" s="24" t="str">
        <f>IF(M13="","",LOOKUP(9^9,$N$11:N12)+K13-J13)</f>
        <v/>
      </c>
    </row>
    <row r="14" spans="1:14" x14ac:dyDescent="0.25">
      <c r="A14" s="17"/>
      <c r="B14" s="25"/>
      <c r="C14" s="3"/>
      <c r="D14" s="174" t="str">
        <f>IF(C14="","",VLOOKUP(C14,Listes!$J$3:$K$10,2,0))</f>
        <v/>
      </c>
      <c r="F14" s="3"/>
      <c r="G14" s="3"/>
      <c r="H14" s="26"/>
      <c r="I14" s="3"/>
      <c r="L14" s="12"/>
      <c r="M14" s="33"/>
      <c r="N14" s="24" t="str">
        <f>IF(M14="","",LOOKUP(9^9,$N$11:N13)+K14-J14)</f>
        <v/>
      </c>
    </row>
    <row r="15" spans="1:14" x14ac:dyDescent="0.25">
      <c r="A15" s="17"/>
      <c r="B15" s="25"/>
      <c r="C15" s="3"/>
      <c r="D15" s="174" t="str">
        <f>IF(C15="","",VLOOKUP(C15,Listes!$J$3:$K$10,2,0))</f>
        <v/>
      </c>
      <c r="F15" s="3"/>
      <c r="G15" s="3"/>
      <c r="H15" s="26"/>
      <c r="I15" s="3"/>
      <c r="L15" s="12"/>
      <c r="M15" s="33"/>
      <c r="N15" s="24" t="str">
        <f>IF(M15="","",LOOKUP(9^9,$N$11:N14)+K15-J15)</f>
        <v/>
      </c>
    </row>
    <row r="16" spans="1:14" x14ac:dyDescent="0.25">
      <c r="A16" s="17"/>
      <c r="B16" s="25"/>
      <c r="C16" s="3"/>
      <c r="D16" s="174" t="str">
        <f>IF(C16="","",VLOOKUP(C16,Listes!$J$3:$K$10,2,0))</f>
        <v/>
      </c>
      <c r="F16" s="3"/>
      <c r="G16" s="3"/>
      <c r="H16" s="26"/>
      <c r="I16" s="3"/>
      <c r="L16" s="12"/>
      <c r="M16" s="33"/>
      <c r="N16" s="24" t="str">
        <f>IF(M16="","",LOOKUP(9^9,$N$11:N15)+K16-J16)</f>
        <v/>
      </c>
    </row>
    <row r="17" spans="1:14" x14ac:dyDescent="0.25">
      <c r="A17" s="17"/>
      <c r="B17" s="25"/>
      <c r="C17" s="3"/>
      <c r="D17" s="174" t="str">
        <f>IF(C17="","",VLOOKUP(C17,Listes!$J$3:$K$10,2,0))</f>
        <v/>
      </c>
      <c r="F17" s="3"/>
      <c r="G17" s="3"/>
      <c r="H17" s="26"/>
      <c r="I17" s="3"/>
      <c r="L17" s="12"/>
      <c r="M17" s="33"/>
      <c r="N17" s="24" t="str">
        <f>IF(M17="","",LOOKUP(9^9,$N$11:N16)+K17-J17)</f>
        <v/>
      </c>
    </row>
    <row r="18" spans="1:14" x14ac:dyDescent="0.25">
      <c r="A18" s="17"/>
      <c r="B18" s="25"/>
      <c r="C18" s="3"/>
      <c r="D18" s="174" t="str">
        <f>IF(C18="","",VLOOKUP(C18,Listes!$J$3:$K$10,2,0))</f>
        <v/>
      </c>
      <c r="F18" s="3"/>
      <c r="G18" s="3"/>
      <c r="H18" s="26"/>
      <c r="I18" s="3"/>
      <c r="L18" s="12"/>
      <c r="M18" s="33"/>
      <c r="N18" s="24" t="str">
        <f>IF(M18="","",LOOKUP(9^9,$N$11:N17)+K18-J18)</f>
        <v/>
      </c>
    </row>
    <row r="19" spans="1:14" x14ac:dyDescent="0.25">
      <c r="A19" s="17"/>
      <c r="B19" s="25"/>
      <c r="C19" s="3"/>
      <c r="D19" s="174" t="str">
        <f>IF(C19="","",VLOOKUP(C19,Listes!$J$3:$K$10,2,0))</f>
        <v/>
      </c>
      <c r="F19" s="3"/>
      <c r="G19" s="3"/>
      <c r="H19" s="26"/>
      <c r="I19" s="3"/>
      <c r="L19" s="12"/>
      <c r="M19" s="33"/>
      <c r="N19" s="24" t="str">
        <f>IF(M19="","",LOOKUP(9^9,$N$11:N18)+K19-J19)</f>
        <v/>
      </c>
    </row>
    <row r="20" spans="1:14" x14ac:dyDescent="0.25">
      <c r="B20" s="25"/>
      <c r="C20" s="3"/>
      <c r="D20" s="174" t="str">
        <f>IF(C20="","",VLOOKUP(C20,Listes!$J$3:$K$10,2,0))</f>
        <v/>
      </c>
      <c r="E20" s="3"/>
      <c r="F20" s="3"/>
      <c r="G20" s="3"/>
      <c r="H20" s="3"/>
      <c r="I20" s="3"/>
      <c r="L20" s="12"/>
      <c r="M20" s="33"/>
      <c r="N20" s="24" t="str">
        <f>IF(M20="","",LOOKUP(9^9,$N$11:N19)+K20-J20)</f>
        <v/>
      </c>
    </row>
    <row r="21" spans="1:14" x14ac:dyDescent="0.25">
      <c r="B21" s="25"/>
      <c r="C21" s="3"/>
      <c r="D21" s="174" t="str">
        <f>IF(C21="","",VLOOKUP(C21,Listes!$J$3:$K$10,2,0))</f>
        <v/>
      </c>
      <c r="E21" s="3"/>
      <c r="F21" s="3"/>
      <c r="G21" s="3"/>
      <c r="H21" s="3"/>
      <c r="I21" s="3"/>
      <c r="L21" s="12"/>
      <c r="M21" s="33"/>
      <c r="N21" s="24" t="str">
        <f>IF(M21="","",LOOKUP(9^9,$N$11:N20)+K21-J21)</f>
        <v/>
      </c>
    </row>
    <row r="22" spans="1:14" x14ac:dyDescent="0.25">
      <c r="B22" s="25"/>
      <c r="C22" s="3"/>
      <c r="D22" s="174" t="str">
        <f>IF(C22="","",VLOOKUP(C22,Listes!$J$3:$K$10,2,0))</f>
        <v/>
      </c>
      <c r="F22" s="3"/>
      <c r="G22" s="3"/>
      <c r="H22" s="3"/>
      <c r="I22" s="3"/>
      <c r="L22" s="12"/>
      <c r="M22" s="22"/>
      <c r="N22" s="24" t="str">
        <f>IF(M22="","",LOOKUP(9^9,$N$11:N21)+K22-J22)</f>
        <v/>
      </c>
    </row>
    <row r="23" spans="1:14" x14ac:dyDescent="0.25">
      <c r="B23" s="25"/>
      <c r="C23" s="3"/>
      <c r="D23" s="174" t="str">
        <f>IF(C23="","",VLOOKUP(C23,Listes!$J$3:$K$10,2,0))</f>
        <v/>
      </c>
      <c r="F23" s="3"/>
      <c r="G23" s="3"/>
      <c r="H23" s="3"/>
      <c r="I23" s="3"/>
      <c r="L23" s="12"/>
      <c r="M23" s="22"/>
      <c r="N23" s="24" t="str">
        <f>IF(M23="","",LOOKUP(9^9,$N$11:N22)+K23-J23)</f>
        <v/>
      </c>
    </row>
    <row r="24" spans="1:14" x14ac:dyDescent="0.25">
      <c r="B24" s="25"/>
      <c r="C24" s="3"/>
      <c r="D24" s="174" t="str">
        <f>IF(C24="","",VLOOKUP(C24,Listes!$J$3:$K$10,2,0))</f>
        <v/>
      </c>
      <c r="F24" s="3"/>
      <c r="G24" s="3"/>
      <c r="H24" s="3"/>
      <c r="I24" s="3"/>
      <c r="L24" s="12"/>
      <c r="M24" s="22"/>
      <c r="N24" s="24" t="str">
        <f>IF(M24="","",LOOKUP(9^9,$N$11:N23)+K24-J24)</f>
        <v/>
      </c>
    </row>
    <row r="25" spans="1:14" x14ac:dyDescent="0.25">
      <c r="B25" s="25"/>
      <c r="C25" s="3"/>
      <c r="D25" s="174" t="str">
        <f>IF(C25="","",VLOOKUP(C25,Listes!$J$3:$K$10,2,0))</f>
        <v/>
      </c>
      <c r="F25" s="3"/>
      <c r="G25" s="3"/>
      <c r="H25" s="3"/>
      <c r="I25" s="3"/>
      <c r="L25" s="12"/>
      <c r="M25" s="22"/>
      <c r="N25" s="24" t="str">
        <f>IF(M25="","",LOOKUP(9^9,$N$11:N24)+K25-J25)</f>
        <v/>
      </c>
    </row>
    <row r="26" spans="1:14" x14ac:dyDescent="0.25">
      <c r="B26" s="25"/>
      <c r="C26" s="3"/>
      <c r="D26" s="174" t="str">
        <f>IF(C26="","",VLOOKUP(C26,Listes!$J$3:$K$10,2,0))</f>
        <v/>
      </c>
      <c r="F26" s="3"/>
      <c r="G26" s="3"/>
      <c r="H26" s="3"/>
      <c r="I26" s="3"/>
      <c r="L26" s="12"/>
      <c r="M26" s="22"/>
      <c r="N26" s="24" t="str">
        <f>IF(M26="","",LOOKUP(9^9,$N$11:N25)+K26-J26)</f>
        <v/>
      </c>
    </row>
    <row r="27" spans="1:14" x14ac:dyDescent="0.25">
      <c r="B27" s="25"/>
      <c r="C27" s="3"/>
      <c r="D27" s="174" t="str">
        <f>IF(C27="","",VLOOKUP(C27,Listes!$J$3:$K$10,2,0))</f>
        <v/>
      </c>
      <c r="F27" s="3"/>
      <c r="G27" s="3"/>
      <c r="H27" s="3"/>
      <c r="I27" s="3"/>
      <c r="L27" s="12"/>
      <c r="M27" s="22"/>
      <c r="N27" s="24" t="str">
        <f>IF(M27="","",LOOKUP(9^9,$N$11:N26)+K27-J27)</f>
        <v/>
      </c>
    </row>
    <row r="28" spans="1:14" x14ac:dyDescent="0.25">
      <c r="B28" s="25"/>
      <c r="C28" s="3"/>
      <c r="D28" s="174" t="str">
        <f>IF(C28="","",VLOOKUP(C28,Listes!$J$3:$K$10,2,0))</f>
        <v/>
      </c>
      <c r="F28" s="3"/>
      <c r="G28" s="3"/>
      <c r="H28" s="3"/>
      <c r="I28" s="3"/>
      <c r="L28" s="12" t="str">
        <f t="shared" si="0"/>
        <v/>
      </c>
      <c r="M28" s="22"/>
      <c r="N28" s="24" t="str">
        <f>IF(M28="","",LOOKUP(9^9,$N$11:N27)+K28-J28)</f>
        <v/>
      </c>
    </row>
    <row r="29" spans="1:14" x14ac:dyDescent="0.25">
      <c r="B29" s="25"/>
      <c r="C29" s="3"/>
      <c r="D29" s="174" t="str">
        <f>IF(C29="","",VLOOKUP(C29,Listes!$J$3:$K$10,2,0))</f>
        <v/>
      </c>
      <c r="F29" s="3"/>
      <c r="G29" s="3"/>
      <c r="H29" s="3"/>
      <c r="I29" s="3"/>
      <c r="L29" s="12" t="str">
        <f t="shared" si="0"/>
        <v/>
      </c>
      <c r="M29" s="22"/>
      <c r="N29" s="24" t="str">
        <f>IF(M29="","",LOOKUP(9^9,$N$11:N28)+K29-J29)</f>
        <v/>
      </c>
    </row>
    <row r="30" spans="1:14" x14ac:dyDescent="0.25">
      <c r="B30" s="25"/>
      <c r="C30" s="3"/>
      <c r="D30" s="174" t="str">
        <f>IF(C30="","",VLOOKUP(C30,Listes!$J$3:$K$10,2,0))</f>
        <v/>
      </c>
      <c r="F30" s="3"/>
      <c r="G30" s="3"/>
      <c r="H30" s="3"/>
      <c r="I30" s="3"/>
      <c r="L30" s="12" t="str">
        <f t="shared" si="0"/>
        <v/>
      </c>
      <c r="M30" s="22"/>
      <c r="N30" s="24" t="str">
        <f>IF(M30="","",LOOKUP(9^9,$N$11:N29)+K30-J30)</f>
        <v/>
      </c>
    </row>
    <row r="31" spans="1:14" x14ac:dyDescent="0.25">
      <c r="B31" s="25"/>
      <c r="C31" s="3"/>
      <c r="D31" s="174" t="str">
        <f>IF(C31="","",VLOOKUP(C31,Listes!$J$3:$K$10,2,0))</f>
        <v/>
      </c>
      <c r="F31" s="3"/>
      <c r="G31" s="3"/>
      <c r="H31" s="3"/>
      <c r="I31" s="3"/>
      <c r="L31" s="12" t="str">
        <f t="shared" si="0"/>
        <v/>
      </c>
      <c r="M31" s="22"/>
      <c r="N31" s="24" t="str">
        <f>IF(M31="","",LOOKUP(9^9,$N$11:N30)+K31-J31)</f>
        <v/>
      </c>
    </row>
    <row r="32" spans="1:14" x14ac:dyDescent="0.25">
      <c r="B32" s="25"/>
      <c r="C32" s="3"/>
      <c r="D32" s="174" t="str">
        <f>IF(C32="","",VLOOKUP(C32,Listes!$J$3:$K$10,2,0))</f>
        <v/>
      </c>
      <c r="F32" s="3"/>
      <c r="G32" s="3"/>
      <c r="H32" s="3"/>
      <c r="I32" s="3"/>
      <c r="L32" s="12" t="str">
        <f t="shared" si="0"/>
        <v/>
      </c>
      <c r="M32" s="22"/>
      <c r="N32" s="24" t="str">
        <f>IF(M32="","",LOOKUP(9^9,$N$11:N31)+K32-J32)</f>
        <v/>
      </c>
    </row>
    <row r="33" spans="2:14" x14ac:dyDescent="0.25">
      <c r="B33" s="25"/>
      <c r="C33" s="3"/>
      <c r="D33" s="174" t="str">
        <f>IF(C33="","",VLOOKUP(C33,Listes!$J$3:$K$10,2,0))</f>
        <v/>
      </c>
      <c r="F33" s="3"/>
      <c r="G33" s="3"/>
      <c r="H33" s="3"/>
      <c r="I33" s="3"/>
      <c r="L33" s="12" t="str">
        <f t="shared" si="0"/>
        <v/>
      </c>
      <c r="M33" s="22"/>
      <c r="N33" s="24" t="str">
        <f>IF(M33="","",LOOKUP(9^9,$N$11:N32)+K33-J33)</f>
        <v/>
      </c>
    </row>
    <row r="34" spans="2:14" x14ac:dyDescent="0.25">
      <c r="B34" s="25"/>
      <c r="C34" s="3"/>
      <c r="D34" s="174" t="str">
        <f>IF(C34="","",VLOOKUP(C34,Listes!$J$3:$K$10,2,0))</f>
        <v/>
      </c>
      <c r="F34" s="3"/>
      <c r="G34" s="3"/>
      <c r="H34" s="3"/>
      <c r="I34" s="3"/>
      <c r="L34" s="12" t="str">
        <f t="shared" si="0"/>
        <v/>
      </c>
      <c r="M34" s="22"/>
      <c r="N34" s="24" t="str">
        <f>IF(M34="","",LOOKUP(9^9,$N$11:N33)+K34-J34)</f>
        <v/>
      </c>
    </row>
    <row r="35" spans="2:14" x14ac:dyDescent="0.25">
      <c r="B35" s="25"/>
      <c r="C35" s="3"/>
      <c r="D35" s="174" t="str">
        <f>IF(C35="","",VLOOKUP(C35,Listes!$J$3:$K$10,2,0))</f>
        <v/>
      </c>
      <c r="F35" s="3"/>
      <c r="G35" s="3"/>
      <c r="H35" s="3"/>
      <c r="I35" s="3"/>
      <c r="L35" s="12" t="str">
        <f t="shared" si="0"/>
        <v/>
      </c>
      <c r="M35" s="22"/>
      <c r="N35" s="24" t="str">
        <f>IF(M35="","",LOOKUP(9^9,$N$11:N34)+K35-J35)</f>
        <v/>
      </c>
    </row>
    <row r="36" spans="2:14" x14ac:dyDescent="0.25">
      <c r="B36" s="25"/>
      <c r="C36" s="3"/>
      <c r="D36" s="174" t="str">
        <f>IF(C36="","",VLOOKUP(C36,Listes!$J$3:$K$10,2,0))</f>
        <v/>
      </c>
      <c r="F36" s="3"/>
      <c r="G36" s="3"/>
      <c r="H36" s="3"/>
      <c r="I36" s="3"/>
      <c r="L36" s="12" t="str">
        <f t="shared" si="0"/>
        <v/>
      </c>
      <c r="M36" s="22"/>
      <c r="N36" s="24" t="str">
        <f>IF(M36="","",LOOKUP(9^9,$N$11:N35)+K36-J36)</f>
        <v/>
      </c>
    </row>
    <row r="37" spans="2:14" x14ac:dyDescent="0.25">
      <c r="B37" s="25"/>
      <c r="C37" s="3"/>
      <c r="D37" s="174" t="str">
        <f>IF(C37="","",VLOOKUP(C37,Listes!$J$3:$K$10,2,0))</f>
        <v/>
      </c>
      <c r="F37" s="3"/>
      <c r="G37" s="3"/>
      <c r="H37" s="3"/>
      <c r="I37" s="3"/>
      <c r="L37" s="12" t="str">
        <f t="shared" si="0"/>
        <v/>
      </c>
      <c r="M37" s="22"/>
      <c r="N37" s="24" t="str">
        <f>IF(M37="","",LOOKUP(9^9,$N$11:N36)+K37-J37)</f>
        <v/>
      </c>
    </row>
    <row r="38" spans="2:14" x14ac:dyDescent="0.25">
      <c r="B38" s="25"/>
      <c r="C38" s="3"/>
      <c r="D38" s="174" t="str">
        <f>IF(C38="","",VLOOKUP(C38,Listes!$J$3:$K$10,2,0))</f>
        <v/>
      </c>
      <c r="F38" s="3"/>
      <c r="G38" s="3"/>
      <c r="H38" s="3"/>
      <c r="I38" s="3"/>
      <c r="L38" s="12" t="str">
        <f t="shared" si="0"/>
        <v/>
      </c>
      <c r="M38" s="22"/>
      <c r="N38" s="24" t="str">
        <f>IF(M38="","",LOOKUP(9^9,$N$11:N37)+K38-J38)</f>
        <v/>
      </c>
    </row>
    <row r="39" spans="2:14" x14ac:dyDescent="0.25">
      <c r="B39" s="25"/>
      <c r="C39" s="3"/>
      <c r="D39" s="174" t="str">
        <f>IF(C39="","",VLOOKUP(C39,Listes!$J$3:$K$10,2,0))</f>
        <v/>
      </c>
      <c r="F39" s="3"/>
      <c r="G39" s="3"/>
      <c r="H39" s="3"/>
      <c r="I39" s="3"/>
      <c r="L39" s="12" t="str">
        <f t="shared" si="0"/>
        <v/>
      </c>
      <c r="M39" s="22"/>
      <c r="N39" s="24" t="str">
        <f>IF(M39="","",LOOKUP(9^9,$N$11:N38)+K39-J39)</f>
        <v/>
      </c>
    </row>
    <row r="40" spans="2:14" x14ac:dyDescent="0.25">
      <c r="B40" s="25"/>
      <c r="C40" s="3"/>
      <c r="D40" s="174" t="str">
        <f>IF(C40="","",VLOOKUP(C40,Listes!$J$3:$K$10,2,0))</f>
        <v/>
      </c>
      <c r="F40" s="3"/>
      <c r="G40" s="3"/>
      <c r="H40" s="3"/>
      <c r="I40" s="3"/>
      <c r="L40" s="12" t="str">
        <f t="shared" si="0"/>
        <v/>
      </c>
      <c r="M40" s="22"/>
      <c r="N40" s="24" t="str">
        <f>IF(M40="","",LOOKUP(9^9,$N$11:N39)+K40-J40)</f>
        <v/>
      </c>
    </row>
    <row r="41" spans="2:14" x14ac:dyDescent="0.25">
      <c r="B41" s="25"/>
      <c r="C41" s="3"/>
      <c r="D41" s="174" t="str">
        <f>IF(C41="","",VLOOKUP(C41,Listes!$J$3:$K$10,2,0))</f>
        <v/>
      </c>
      <c r="F41" s="3"/>
      <c r="G41" s="3"/>
      <c r="H41" s="3"/>
      <c r="I41" s="3"/>
      <c r="L41" s="12" t="str">
        <f t="shared" si="0"/>
        <v/>
      </c>
      <c r="M41" s="22"/>
      <c r="N41" s="24" t="str">
        <f>IF(M41="","",LOOKUP(9^9,$N$11:N40)+K41-J41)</f>
        <v/>
      </c>
    </row>
    <row r="42" spans="2:14" x14ac:dyDescent="0.25">
      <c r="B42" s="25"/>
      <c r="C42" s="3"/>
      <c r="D42" s="174" t="str">
        <f>IF(C42="","",VLOOKUP(C42,Listes!$J$3:$K$10,2,0))</f>
        <v/>
      </c>
      <c r="F42" s="3"/>
      <c r="G42" s="3"/>
      <c r="H42" s="3"/>
      <c r="I42" s="3"/>
      <c r="L42" s="12" t="str">
        <f>L37</f>
        <v/>
      </c>
      <c r="M42" s="22"/>
      <c r="N42" s="24" t="str">
        <f>IF(M42="","",LOOKUP(9^9,$N$11:N41)+K42-J42)</f>
        <v/>
      </c>
    </row>
    <row r="43" spans="2:14" x14ac:dyDescent="0.25">
      <c r="B43" s="25"/>
      <c r="C43" s="3"/>
      <c r="D43" s="174" t="str">
        <f>IF(C43="","",VLOOKUP(C43,Listes!$J$3:$K$10,2,0))</f>
        <v/>
      </c>
      <c r="F43" s="3"/>
      <c r="G43" s="3"/>
      <c r="H43" s="3"/>
      <c r="I43" s="3"/>
      <c r="L43" s="12" t="str">
        <f>L38</f>
        <v/>
      </c>
      <c r="M43" s="22"/>
      <c r="N43" s="24" t="str">
        <f>IF(M43="","",LOOKUP(9^9,$N$11:N42)+K43-J43)</f>
        <v/>
      </c>
    </row>
  </sheetData>
  <sheetProtection sort="0" autoFilter="0" pivotTables="0"/>
  <mergeCells count="7">
    <mergeCell ref="J4:K4"/>
    <mergeCell ref="F6:G6"/>
    <mergeCell ref="F7:G7"/>
    <mergeCell ref="F8:G8"/>
    <mergeCell ref="J6:K6"/>
    <mergeCell ref="J7:K7"/>
    <mergeCell ref="J8:K8"/>
  </mergeCells>
  <conditionalFormatting sqref="D11:D43">
    <cfRule type="containsText" dxfId="202" priority="1" operator="containsText" text="ó">
      <formula>NOT(ISERROR(SEARCH("ó",D11)))</formula>
    </cfRule>
    <cfRule type="containsText" dxfId="201" priority="2" operator="containsText" text="Ê">
      <formula>NOT(ISERROR(SEARCH("Ê",D11)))</formula>
    </cfRule>
    <cfRule type="containsText" dxfId="200" priority="3" operator="containsText" text="Æ">
      <formula>NOT(ISERROR(SEARCH("Æ",D11)))</formula>
    </cfRule>
    <cfRule type="containsText" dxfId="199" priority="4" operator="containsText" text="Æ">
      <formula>NOT(ISERROR(SEARCH("Æ",D11)))</formula>
    </cfRule>
    <cfRule type="containsText" dxfId="198" priority="5" operator="containsText" text="ó">
      <formula>NOT(ISERROR(SEARCH("ó",D11)))</formula>
    </cfRule>
    <cfRule type="containsText" dxfId="197" priority="6" operator="containsText" text="Æ">
      <formula>NOT(ISERROR(SEARCH("Æ",D11)))</formula>
    </cfRule>
    <cfRule type="containsText" dxfId="196" priority="7" operator="containsText" text="Ê">
      <formula>NOT(ISERROR(SEARCH("Ê",D11)))</formula>
    </cfRule>
    <cfRule type="containsText" dxfId="195" priority="8" operator="containsText" text="Æ">
      <formula>NOT(ISERROR(SEARCH("Æ",D11)))</formula>
    </cfRule>
    <cfRule type="containsText" dxfId="194" priority="9" operator="containsText" text="Æ">
      <formula>NOT(ISERROR(SEARCH("Æ",D11)))</formula>
    </cfRule>
  </conditionalFormatting>
  <dataValidations count="2">
    <dataValidation type="list" allowBlank="1" showInputMessage="1" showErrorMessage="1" sqref="C11:C19" xr:uid="{3DAB5E0D-5BBB-43B7-9AC0-A993D5306D6C}">
      <formula1>ET_ModPaie</formula1>
    </dataValidation>
    <dataValidation type="list" allowBlank="1" showInputMessage="1" showErrorMessage="1" sqref="F11:F19" xr:uid="{9950C0F5-E7DF-40EB-AFAC-18CB147DD8BB}">
      <formula1>ET_Tiers</formula1>
    </dataValidation>
  </dataValidations>
  <pageMargins left="0.7" right="0.7" top="0.75" bottom="0.75" header="0.3" footer="0.3"/>
  <pageSetup paperSize="9" orientation="portrait" r:id="rId1"/>
  <ignoredErrors>
    <ignoredError sqref="M23:M40 N11:N12 L11:L12 L13 L28:L41 N13:N39 N40:N44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156AF07-3C40-4F96-A1DF-FC6D3D6CB687}">
          <x14:formula1>
            <xm:f>Listes!$H$3:$H$31</xm:f>
          </x14:formula1>
          <xm:sqref>F20:F21</xm:sqref>
        </x14:dataValidation>
        <x14:dataValidation type="list" allowBlank="1" showInputMessage="1" showErrorMessage="1" xr:uid="{4C74354F-E75F-405D-A237-285B6584DB61}">
          <x14:formula1>
            <xm:f>Listes!$D$3:$D$58</xm:f>
          </x14:formula1>
          <xm:sqref>G11:G43</xm:sqref>
        </x14:dataValidation>
        <x14:dataValidation type="list" allowBlank="1" showInputMessage="1" showErrorMessage="1" xr:uid="{EA1C05D2-0530-4CE0-8A05-A2864D1B8E3B}">
          <x14:formula1>
            <xm:f>Listes!$B$3:$B$32</xm:f>
          </x14:formula1>
          <xm:sqref>E11:E43</xm:sqref>
        </x14:dataValidation>
        <x14:dataValidation type="list" allowBlank="1" showInputMessage="1" showErrorMessage="1" xr:uid="{1D762525-F369-44A8-900D-9AB0F2D56A31}">
          <x14:formula1>
            <xm:f>Listes!$J$3:$J$10</xm:f>
          </x14:formula1>
          <xm:sqref>C20:C41</xm:sqref>
        </x14:dataValidation>
        <x14:dataValidation type="list" allowBlank="1" showInputMessage="1" showErrorMessage="1" xr:uid="{1DD56A62-66B3-4284-8912-24C741497E23}">
          <x14:formula1>
            <xm:f>Listes!$F$3:$F$17</xm:f>
          </x14:formula1>
          <xm:sqref>H11:H43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D2BB48-9743-4084-9370-CE8C2704E681}">
  <sheetPr codeName="Feuil04">
    <tabColor theme="5" tint="-0.499984740745262"/>
  </sheetPr>
  <dimension ref="B3:N42"/>
  <sheetViews>
    <sheetView showGridLines="0" tabSelected="1" workbookViewId="0">
      <pane ySplit="10" topLeftCell="A11" activePane="bottomLeft" state="frozen"/>
      <selection pane="bottomLeft" activeCell="N42" sqref="N42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36" t="s">
        <v>143</v>
      </c>
      <c r="C4" s="37"/>
      <c r="D4" s="37"/>
      <c r="E4" s="37"/>
      <c r="F4" s="37"/>
      <c r="G4" s="37"/>
      <c r="H4" s="37"/>
      <c r="I4" s="37"/>
      <c r="J4" s="200">
        <f ca="1">TODAY()</f>
        <v>45084</v>
      </c>
      <c r="K4" s="200"/>
      <c r="L4" s="38"/>
      <c r="M4" s="39"/>
      <c r="N4" s="38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88" t="s">
        <v>132</v>
      </c>
      <c r="G6" s="189"/>
      <c r="H6" s="75">
        <f>SUM($J$11:$J470)*-1</f>
        <v>0</v>
      </c>
      <c r="I6" s="23"/>
      <c r="J6" s="194" t="s">
        <v>137</v>
      </c>
      <c r="K6" s="195"/>
      <c r="L6" s="69">
        <f>Comptes!I12</f>
        <v>10000</v>
      </c>
      <c r="M6" s="70"/>
      <c r="N6" s="28"/>
    </row>
    <row r="7" spans="2:14" s="11" customFormat="1" ht="18" customHeight="1" x14ac:dyDescent="0.25">
      <c r="B7" s="27"/>
      <c r="F7" s="190" t="s">
        <v>136</v>
      </c>
      <c r="G7" s="191"/>
      <c r="H7" s="76">
        <f>SUM($K$11:$K496)</f>
        <v>552.30999999999995</v>
      </c>
      <c r="I7" s="23"/>
      <c r="J7" s="196" t="s">
        <v>134</v>
      </c>
      <c r="K7" s="197"/>
      <c r="L7" s="71">
        <f>IF(L6="","",LOOKUP(9^9,L11:L2000))</f>
        <v>10552.31</v>
      </c>
      <c r="M7" s="72"/>
      <c r="N7" s="28"/>
    </row>
    <row r="8" spans="2:14" s="11" customFormat="1" ht="18" customHeight="1" x14ac:dyDescent="0.25">
      <c r="B8" s="27"/>
      <c r="F8" s="192" t="s">
        <v>133</v>
      </c>
      <c r="G8" s="193"/>
      <c r="H8" s="77">
        <f>H6+H7</f>
        <v>552.30999999999995</v>
      </c>
      <c r="I8" s="23"/>
      <c r="J8" s="198" t="s">
        <v>135</v>
      </c>
      <c r="K8" s="199"/>
      <c r="L8" s="73">
        <f>IF(L7="","",LOOKUP(9^9,N11:N2000))</f>
        <v>10552.31</v>
      </c>
      <c r="M8" s="74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40" t="s">
        <v>3</v>
      </c>
      <c r="C10" s="41" t="s">
        <v>140</v>
      </c>
      <c r="D10" s="41" t="s">
        <v>197</v>
      </c>
      <c r="E10" s="41" t="s">
        <v>141</v>
      </c>
      <c r="F10" s="41" t="s">
        <v>1</v>
      </c>
      <c r="G10" s="41" t="s">
        <v>8</v>
      </c>
      <c r="H10" s="41" t="s">
        <v>9</v>
      </c>
      <c r="I10" s="41" t="s">
        <v>5</v>
      </c>
      <c r="J10" s="42" t="s">
        <v>6</v>
      </c>
      <c r="K10" s="42" t="s">
        <v>7</v>
      </c>
      <c r="L10" s="43" t="s">
        <v>142</v>
      </c>
      <c r="M10" s="41" t="s">
        <v>138</v>
      </c>
      <c r="N10" s="41" t="s">
        <v>131</v>
      </c>
    </row>
    <row r="11" spans="2:14" ht="15" customHeight="1" x14ac:dyDescent="0.25">
      <c r="B11" s="25">
        <v>44927</v>
      </c>
      <c r="C11" s="3" t="s">
        <v>129</v>
      </c>
      <c r="D11" s="174" t="str">
        <f>IF(C11="","",VLOOKUP(C11,Listes!$J$3:$K$10,2,0))</f>
        <v>Ê</v>
      </c>
      <c r="E11" s="3"/>
      <c r="F11" s="3"/>
      <c r="G11" s="3"/>
      <c r="H11" s="26" t="s">
        <v>71</v>
      </c>
      <c r="I11" s="3"/>
      <c r="K11" s="14">
        <v>552.30999999999995</v>
      </c>
      <c r="L11" s="12">
        <f>IF(AND(J11="",K11=""),"",L6+K11-J11)</f>
        <v>10552.31</v>
      </c>
      <c r="M11" s="33" t="s">
        <v>139</v>
      </c>
      <c r="N11" s="24">
        <f>IF(M11="","",L6-J11+K11)</f>
        <v>10552.31</v>
      </c>
    </row>
    <row r="12" spans="2:14" ht="15" customHeight="1" x14ac:dyDescent="0.25">
      <c r="B12" s="25"/>
      <c r="C12" s="3"/>
      <c r="D12" s="174" t="str">
        <f>IF(C12="","",VLOOKUP(C12,Listes!$J$3:$K$10,2,0))</f>
        <v/>
      </c>
      <c r="E12" s="3"/>
      <c r="F12" s="3"/>
      <c r="G12" s="3"/>
      <c r="H12" s="3"/>
      <c r="I12" s="3"/>
      <c r="L12" s="12" t="str">
        <f>IF(AND(J12="",K12=""),"",L11+K12-J12)</f>
        <v/>
      </c>
      <c r="M12" s="33"/>
      <c r="N12" s="24" t="str">
        <f>IF(M12="","",LOOKUP(9^9,$N$11:N11)+K12-J12)</f>
        <v/>
      </c>
    </row>
    <row r="13" spans="2:14" ht="15" customHeight="1" x14ac:dyDescent="0.25">
      <c r="B13" s="25"/>
      <c r="C13" s="3"/>
      <c r="D13" s="174" t="str">
        <f>IF(C13="","",VLOOKUP(C13,Listes!$J$3:$K$10,2,0))</f>
        <v/>
      </c>
      <c r="E13" s="3"/>
      <c r="F13" s="3"/>
      <c r="G13" s="3"/>
      <c r="H13" s="3"/>
      <c r="I13" s="3"/>
      <c r="L13" s="12" t="str">
        <f t="shared" ref="L13:L26" si="0">IF(AND(J13="",K13=""),"",L12+K13-J13)</f>
        <v/>
      </c>
      <c r="M13" s="33"/>
      <c r="N13" s="24" t="str">
        <f>IF(M13="","",LOOKUP(9^9,$N$11:N12)+K13-J13)</f>
        <v/>
      </c>
    </row>
    <row r="14" spans="2:14" ht="15" customHeight="1" x14ac:dyDescent="0.25">
      <c r="B14" s="25"/>
      <c r="C14" s="3"/>
      <c r="D14" s="174" t="str">
        <f>IF(C14="","",VLOOKUP(C14,Listes!$J$3:$K$10,2,0))</f>
        <v/>
      </c>
      <c r="E14" s="3"/>
      <c r="F14" s="3"/>
      <c r="G14" s="3"/>
      <c r="H14" s="3"/>
      <c r="I14" s="3"/>
      <c r="L14" s="12" t="str">
        <f t="shared" si="0"/>
        <v/>
      </c>
      <c r="M14" s="33"/>
      <c r="N14" s="24" t="str">
        <f>IF(M14="","",LOOKUP(9^9,$N$11:N13)+K14-J14)</f>
        <v/>
      </c>
    </row>
    <row r="15" spans="2:14" x14ac:dyDescent="0.25">
      <c r="B15" s="25"/>
      <c r="C15" s="3"/>
      <c r="D15" s="174" t="str">
        <f>IF(C15="","",VLOOKUP(C15,Listes!$J$3:$K$10,2,0))</f>
        <v/>
      </c>
      <c r="E15" s="3"/>
      <c r="F15" s="3"/>
      <c r="G15" s="3"/>
      <c r="H15" s="3"/>
      <c r="I15" s="3"/>
      <c r="L15" s="12" t="str">
        <f t="shared" si="0"/>
        <v/>
      </c>
      <c r="M15" s="33"/>
      <c r="N15" s="24" t="str">
        <f>IF(M15="","",LOOKUP(9^9,$N$11:N14)+K15-J15)</f>
        <v/>
      </c>
    </row>
    <row r="16" spans="2:14" x14ac:dyDescent="0.25">
      <c r="B16" s="25"/>
      <c r="C16" s="3"/>
      <c r="D16" s="174" t="str">
        <f>IF(C16="","",VLOOKUP(C16,Listes!$J$3:$K$10,2,0))</f>
        <v/>
      </c>
      <c r="E16" s="3"/>
      <c r="F16" s="3"/>
      <c r="G16" s="3"/>
      <c r="H16" s="3"/>
      <c r="I16" s="3"/>
      <c r="L16" s="12" t="str">
        <f t="shared" si="0"/>
        <v/>
      </c>
      <c r="M16" s="33"/>
      <c r="N16" s="24" t="str">
        <f>IF(M16="","",LOOKUP(9^9,$N$11:N15)+K16-J16)</f>
        <v/>
      </c>
    </row>
    <row r="17" spans="2:14" x14ac:dyDescent="0.25">
      <c r="B17" s="25"/>
      <c r="C17" s="3"/>
      <c r="D17" s="174" t="str">
        <f>IF(C17="","",VLOOKUP(C17,Listes!$J$3:$K$10,2,0))</f>
        <v/>
      </c>
      <c r="E17" s="3"/>
      <c r="F17" s="3"/>
      <c r="G17" s="3"/>
      <c r="H17" s="3"/>
      <c r="I17" s="3"/>
      <c r="L17" s="12" t="str">
        <f t="shared" si="0"/>
        <v/>
      </c>
      <c r="M17" s="33"/>
      <c r="N17" s="24" t="str">
        <f>IF(M17="","",LOOKUP(9^9,$N$11:N16)+K17-J17)</f>
        <v/>
      </c>
    </row>
    <row r="18" spans="2:14" x14ac:dyDescent="0.25">
      <c r="B18" s="25"/>
      <c r="C18" s="3"/>
      <c r="D18" s="174" t="str">
        <f>IF(C18="","",VLOOKUP(C18,Listes!$J$3:$K$10,2,0))</f>
        <v/>
      </c>
      <c r="E18" s="3"/>
      <c r="F18" s="3"/>
      <c r="G18" s="3"/>
      <c r="H18" s="3"/>
      <c r="I18" s="3"/>
      <c r="L18" s="12" t="str">
        <f t="shared" si="0"/>
        <v/>
      </c>
      <c r="M18" s="33"/>
      <c r="N18" s="24" t="str">
        <f>IF(M18="","",LOOKUP(9^9,$N$11:N17)+K18-J18)</f>
        <v/>
      </c>
    </row>
    <row r="19" spans="2:14" x14ac:dyDescent="0.25">
      <c r="B19" s="25"/>
      <c r="C19" s="3"/>
      <c r="D19" s="174" t="str">
        <f>IF(C19="","",VLOOKUP(C19,Listes!$J$3:$K$10,2,0))</f>
        <v/>
      </c>
      <c r="E19" s="3"/>
      <c r="F19" s="3"/>
      <c r="G19" s="3"/>
      <c r="H19" s="3"/>
      <c r="I19" s="3"/>
      <c r="L19" s="12" t="str">
        <f t="shared" si="0"/>
        <v/>
      </c>
      <c r="M19" s="33"/>
      <c r="N19" s="24" t="str">
        <f>IF(M19="","",LOOKUP(9^9,$N$11:N18)+K19-J19)</f>
        <v/>
      </c>
    </row>
    <row r="20" spans="2:14" x14ac:dyDescent="0.25">
      <c r="B20" s="25"/>
      <c r="C20" s="3"/>
      <c r="D20" s="174" t="str">
        <f>IF(C20="","",VLOOKUP(C20,Listes!$J$3:$K$10,2,0))</f>
        <v/>
      </c>
      <c r="E20" s="3"/>
      <c r="F20" s="3"/>
      <c r="G20" s="3"/>
      <c r="H20" s="3"/>
      <c r="I20" s="3"/>
      <c r="L20" s="12" t="str">
        <f t="shared" si="0"/>
        <v/>
      </c>
      <c r="M20" s="34"/>
      <c r="N20" s="24" t="str">
        <f>IF(M20="","",LOOKUP(9^9,$N$11:N19)+K20-J20)</f>
        <v/>
      </c>
    </row>
    <row r="21" spans="2:14" x14ac:dyDescent="0.25">
      <c r="B21" s="25"/>
      <c r="C21" s="3"/>
      <c r="D21" s="174" t="str">
        <f>IF(C21="","",VLOOKUP(C21,Listes!$J$3:$K$10,2,0))</f>
        <v/>
      </c>
      <c r="E21" s="3"/>
      <c r="F21" s="3"/>
      <c r="G21" s="3"/>
      <c r="H21" s="3"/>
      <c r="I21" s="3"/>
      <c r="L21" s="12" t="str">
        <f t="shared" si="0"/>
        <v/>
      </c>
      <c r="M21" s="34"/>
      <c r="N21" s="24" t="str">
        <f>IF(M21="","",LOOKUP(9^9,$N$11:N20)+K21-J21)</f>
        <v/>
      </c>
    </row>
    <row r="22" spans="2:14" x14ac:dyDescent="0.25">
      <c r="B22" s="25"/>
      <c r="C22" s="3"/>
      <c r="D22" s="174" t="str">
        <f>IF(C22="","",VLOOKUP(C22,Listes!$J$3:$K$10,2,0))</f>
        <v/>
      </c>
      <c r="E22" s="3"/>
      <c r="F22" s="3"/>
      <c r="G22" s="3"/>
      <c r="H22" s="3"/>
      <c r="I22" s="3"/>
      <c r="L22" s="12" t="str">
        <f t="shared" si="0"/>
        <v/>
      </c>
      <c r="M22" s="34"/>
      <c r="N22" s="24" t="str">
        <f>IF(M22="","",LOOKUP(9^9,$N$11:N21)+K22-J22)</f>
        <v/>
      </c>
    </row>
    <row r="23" spans="2:14" x14ac:dyDescent="0.25">
      <c r="B23" s="25"/>
      <c r="C23" s="3"/>
      <c r="D23" s="174" t="str">
        <f>IF(C23="","",VLOOKUP(C23,Listes!$J$3:$K$10,2,0))</f>
        <v/>
      </c>
      <c r="E23" s="3"/>
      <c r="F23" s="3"/>
      <c r="G23" s="3"/>
      <c r="H23" s="3"/>
      <c r="I23" s="3"/>
      <c r="L23" s="12" t="str">
        <f t="shared" si="0"/>
        <v/>
      </c>
      <c r="M23" s="34"/>
      <c r="N23" s="24" t="str">
        <f>IF(M23="","",LOOKUP(9^9,$N$11:N22)+K23-J23)</f>
        <v/>
      </c>
    </row>
    <row r="24" spans="2:14" ht="15" customHeight="1" x14ac:dyDescent="0.25">
      <c r="B24" s="25"/>
      <c r="C24" s="3"/>
      <c r="D24" s="174" t="str">
        <f>IF(C24="","",VLOOKUP(C24,Listes!$J$3:$K$10,2,0))</f>
        <v/>
      </c>
      <c r="E24" s="3"/>
      <c r="F24" s="3"/>
      <c r="G24" s="3"/>
      <c r="H24" s="3"/>
      <c r="I24" s="3"/>
      <c r="L24" s="12" t="str">
        <f t="shared" si="0"/>
        <v/>
      </c>
      <c r="M24" s="22"/>
      <c r="N24" s="24" t="str">
        <f>IF(M24="","",LOOKUP(9^9,$N$11:N23)+K24-J24)</f>
        <v/>
      </c>
    </row>
    <row r="25" spans="2:14" x14ac:dyDescent="0.25">
      <c r="B25" s="25"/>
      <c r="C25" s="3"/>
      <c r="D25" s="174" t="str">
        <f>IF(C25="","",VLOOKUP(C25,Listes!$J$3:$K$10,2,0))</f>
        <v/>
      </c>
      <c r="E25" s="3"/>
      <c r="F25" s="3"/>
      <c r="G25" s="3"/>
      <c r="H25" s="3"/>
      <c r="I25" s="3"/>
      <c r="L25" s="12" t="str">
        <f t="shared" si="0"/>
        <v/>
      </c>
      <c r="M25" s="22"/>
      <c r="N25" s="24" t="str">
        <f>IF(M25="","",LOOKUP(9^9,$N$11:N24)+K25-J25)</f>
        <v/>
      </c>
    </row>
    <row r="26" spans="2:14" x14ac:dyDescent="0.25">
      <c r="B26" s="25"/>
      <c r="C26" s="3"/>
      <c r="D26" s="174" t="str">
        <f>IF(C26="","",VLOOKUP(C26,Listes!$J$3:$K$10,2,0))</f>
        <v/>
      </c>
      <c r="E26" s="3"/>
      <c r="F26" s="3"/>
      <c r="G26" s="3"/>
      <c r="H26" s="3"/>
      <c r="I26" s="3"/>
      <c r="L26" s="12" t="str">
        <f t="shared" si="0"/>
        <v/>
      </c>
      <c r="M26" s="22"/>
      <c r="N26" s="24" t="str">
        <f>IF(M26="","",LOOKUP(9^9,$N$11:N25)+K26-J26)</f>
        <v/>
      </c>
    </row>
    <row r="27" spans="2:14" x14ac:dyDescent="0.25">
      <c r="B27" s="133"/>
      <c r="C27" s="3"/>
      <c r="D27" s="174" t="str">
        <f>IF(C27="","",VLOOKUP(C27,Listes!$J$3:$K$10,2,0))</f>
        <v/>
      </c>
      <c r="E27" s="3"/>
      <c r="F27" s="3"/>
      <c r="G27" s="3"/>
      <c r="H27" s="3"/>
      <c r="I27" s="3"/>
      <c r="L27" s="12" t="str">
        <f t="shared" ref="L27:L42" si="1">IF(AND(J27="",K27=""),"",L26-J27+K27)</f>
        <v/>
      </c>
      <c r="M27" s="22"/>
      <c r="N27" s="24" t="str">
        <f>IF(M27="","",LOOKUP(9^9,$N$11:N26)+K27-J27)</f>
        <v/>
      </c>
    </row>
    <row r="28" spans="2:14" x14ac:dyDescent="0.25">
      <c r="B28" s="133"/>
      <c r="C28" s="3"/>
      <c r="D28" s="174" t="str">
        <f>IF(C28="","",VLOOKUP(C28,Listes!$J$3:$K$10,2,0))</f>
        <v/>
      </c>
      <c r="E28" s="3"/>
      <c r="F28" s="3"/>
      <c r="G28" s="3"/>
      <c r="H28" s="3"/>
      <c r="I28" s="3"/>
      <c r="L28" s="12" t="str">
        <f t="shared" si="1"/>
        <v/>
      </c>
      <c r="M28" s="22"/>
      <c r="N28" s="24" t="str">
        <f>IF(M28="","",LOOKUP(9^9,$N$11:N27)+K28-J28)</f>
        <v/>
      </c>
    </row>
    <row r="29" spans="2:14" x14ac:dyDescent="0.25">
      <c r="B29" s="133"/>
      <c r="C29" s="3"/>
      <c r="D29" s="174" t="str">
        <f>IF(C29="","",VLOOKUP(C29,Listes!$J$3:$K$10,2,0))</f>
        <v/>
      </c>
      <c r="E29" s="3"/>
      <c r="F29" s="3"/>
      <c r="G29" s="3"/>
      <c r="H29" s="3"/>
      <c r="I29" s="3"/>
      <c r="L29" s="12" t="str">
        <f t="shared" si="1"/>
        <v/>
      </c>
      <c r="M29" s="22"/>
      <c r="N29" s="24" t="str">
        <f>IF(M29="","",LOOKUP(9^9,$N$11:N28)+K29-J29)</f>
        <v/>
      </c>
    </row>
    <row r="30" spans="2:14" x14ac:dyDescent="0.25">
      <c r="B30" s="133"/>
      <c r="C30" s="3"/>
      <c r="D30" s="174" t="str">
        <f>IF(C30="","",VLOOKUP(C30,Listes!$J$3:$K$10,2,0))</f>
        <v/>
      </c>
      <c r="E30" s="3"/>
      <c r="F30" s="3"/>
      <c r="G30" s="3"/>
      <c r="H30" s="3"/>
      <c r="I30" s="3"/>
      <c r="L30" s="12" t="str">
        <f t="shared" si="1"/>
        <v/>
      </c>
      <c r="M30" s="22"/>
      <c r="N30" s="24" t="str">
        <f>IF(M30="","",LOOKUP(9^9,$N$11:N29)+K30-J30)</f>
        <v/>
      </c>
    </row>
    <row r="31" spans="2:14" x14ac:dyDescent="0.25">
      <c r="B31" s="133"/>
      <c r="C31" s="175"/>
      <c r="D31" s="174" t="str">
        <f>IF(C31="","",VLOOKUP(C31,Listes!$J$3:$K$10,2,0))</f>
        <v/>
      </c>
      <c r="E31" s="3"/>
      <c r="F31" s="3"/>
      <c r="G31" s="3"/>
      <c r="H31" s="3"/>
      <c r="I31" s="3"/>
      <c r="L31" s="12" t="str">
        <f t="shared" si="1"/>
        <v/>
      </c>
      <c r="M31" s="22"/>
      <c r="N31" s="24" t="str">
        <f>IF(M31="","",LOOKUP(9^9,$N$11:N30)+K31-J31)</f>
        <v/>
      </c>
    </row>
    <row r="32" spans="2:14" x14ac:dyDescent="0.25">
      <c r="B32" s="133"/>
      <c r="C32" s="3"/>
      <c r="D32" s="174" t="str">
        <f>IF(C32="","",VLOOKUP(C32,Listes!$J$3:$K$10,2,0))</f>
        <v/>
      </c>
      <c r="E32" s="3"/>
      <c r="F32" s="3"/>
      <c r="G32" s="3"/>
      <c r="H32" s="3"/>
      <c r="I32" s="3"/>
      <c r="L32" s="12" t="str">
        <f t="shared" si="1"/>
        <v/>
      </c>
      <c r="M32" s="22"/>
      <c r="N32" s="24" t="str">
        <f>IF(M32="","",LOOKUP(9^9,$N$11:N31)+K32-J32)</f>
        <v/>
      </c>
    </row>
    <row r="33" spans="2:14" x14ac:dyDescent="0.25">
      <c r="B33" s="133"/>
      <c r="C33" s="3"/>
      <c r="D33" s="174" t="str">
        <f>IF(C33="","",VLOOKUP(C33,Listes!$J$3:$K$10,2,0))</f>
        <v/>
      </c>
      <c r="E33" s="3"/>
      <c r="F33" s="3"/>
      <c r="G33" s="3"/>
      <c r="H33" s="3"/>
      <c r="I33" s="3"/>
      <c r="L33" s="12" t="str">
        <f t="shared" si="1"/>
        <v/>
      </c>
      <c r="M33" s="22"/>
      <c r="N33" s="24" t="str">
        <f>IF(M33="","",LOOKUP(9^9,$N$11:N32)+K33-J33)</f>
        <v/>
      </c>
    </row>
    <row r="34" spans="2:14" x14ac:dyDescent="0.25">
      <c r="B34" s="133"/>
      <c r="C34" s="3"/>
      <c r="D34" s="174" t="str">
        <f>IF(C34="","",VLOOKUP(C34,Listes!$J$3:$K$10,2,0))</f>
        <v/>
      </c>
      <c r="E34" s="3"/>
      <c r="F34" s="3"/>
      <c r="G34" s="3"/>
      <c r="H34" s="3"/>
      <c r="I34" s="3"/>
      <c r="L34" s="12" t="str">
        <f t="shared" si="1"/>
        <v/>
      </c>
      <c r="M34" s="22"/>
      <c r="N34" s="24" t="str">
        <f>IF(M34="","",LOOKUP(9^9,$N$11:N33)+K34-J34)</f>
        <v/>
      </c>
    </row>
    <row r="35" spans="2:14" x14ac:dyDescent="0.25">
      <c r="B35" s="133"/>
      <c r="C35" s="3"/>
      <c r="D35" s="174" t="str">
        <f>IF(C35="","",VLOOKUP(C35,Listes!$J$3:$K$10,2,0))</f>
        <v/>
      </c>
      <c r="E35" s="3"/>
      <c r="F35" s="3"/>
      <c r="G35" s="3"/>
      <c r="H35" s="3"/>
      <c r="I35" s="3"/>
      <c r="L35" s="12" t="str">
        <f t="shared" si="1"/>
        <v/>
      </c>
      <c r="M35" s="22"/>
      <c r="N35" s="24" t="str">
        <f>IF(M35="","",LOOKUP(9^9,$N$11:N34)+K35-J35)</f>
        <v/>
      </c>
    </row>
    <row r="36" spans="2:14" x14ac:dyDescent="0.25">
      <c r="B36" s="133"/>
      <c r="C36" s="3"/>
      <c r="D36" s="174" t="str">
        <f>IF(C36="","",VLOOKUP(C36,Listes!$J$3:$K$10,2,0))</f>
        <v/>
      </c>
      <c r="E36" s="3"/>
      <c r="F36" s="3"/>
      <c r="G36" s="3"/>
      <c r="H36" s="3"/>
      <c r="I36" s="3"/>
      <c r="L36" s="12" t="str">
        <f t="shared" si="1"/>
        <v/>
      </c>
      <c r="M36" s="22"/>
      <c r="N36" s="24" t="str">
        <f>IF(M36="","",LOOKUP(9^9,$N$11:N35)+K36-J36)</f>
        <v/>
      </c>
    </row>
    <row r="37" spans="2:14" x14ac:dyDescent="0.25">
      <c r="B37" s="133"/>
      <c r="C37" s="3"/>
      <c r="D37" s="174" t="str">
        <f>IF(C37="","",VLOOKUP(C37,Listes!$J$3:$K$10,2,0))</f>
        <v/>
      </c>
      <c r="E37" s="3"/>
      <c r="F37" s="3"/>
      <c r="G37" s="3"/>
      <c r="H37" s="3"/>
      <c r="I37" s="3"/>
      <c r="L37" s="12" t="str">
        <f t="shared" si="1"/>
        <v/>
      </c>
      <c r="M37" s="22"/>
      <c r="N37" s="24" t="str">
        <f>IF(M37="","",LOOKUP(9^9,$N$11:N36)+K37-J37)</f>
        <v/>
      </c>
    </row>
    <row r="38" spans="2:14" x14ac:dyDescent="0.25">
      <c r="B38" s="133"/>
      <c r="C38" s="3"/>
      <c r="D38" s="174" t="str">
        <f>IF(C38="","",VLOOKUP(C38,Listes!$J$3:$K$10,2,0))</f>
        <v/>
      </c>
      <c r="E38" s="3"/>
      <c r="F38" s="3"/>
      <c r="G38" s="3"/>
      <c r="H38" s="3"/>
      <c r="I38" s="3"/>
      <c r="L38" s="12" t="str">
        <f t="shared" si="1"/>
        <v/>
      </c>
      <c r="M38" s="22"/>
      <c r="N38" s="24" t="str">
        <f>IF(M38="","",LOOKUP(9^9,$N$11:N37)+K38-J38)</f>
        <v/>
      </c>
    </row>
    <row r="39" spans="2:14" x14ac:dyDescent="0.25">
      <c r="B39" s="133"/>
      <c r="C39" s="3"/>
      <c r="D39" s="174" t="str">
        <f>IF(C39="","",VLOOKUP(C39,Listes!$J$3:$K$10,2,0))</f>
        <v/>
      </c>
      <c r="E39" s="3"/>
      <c r="F39" s="3"/>
      <c r="G39" s="3"/>
      <c r="H39" s="3"/>
      <c r="I39" s="3"/>
      <c r="L39" s="12" t="str">
        <f t="shared" si="1"/>
        <v/>
      </c>
      <c r="M39" s="22"/>
      <c r="N39" s="24" t="str">
        <f>IF(M39="","",LOOKUP(9^9,$N$11:N38)+K39-J39)</f>
        <v/>
      </c>
    </row>
    <row r="40" spans="2:14" x14ac:dyDescent="0.25">
      <c r="B40" s="133"/>
      <c r="C40" s="3"/>
      <c r="D40" s="174" t="str">
        <f>IF(C40="","",VLOOKUP(C40,Listes!$J$3:$K$10,2,0))</f>
        <v/>
      </c>
      <c r="E40" s="3"/>
      <c r="F40" s="3"/>
      <c r="G40" s="3"/>
      <c r="H40" s="3"/>
      <c r="I40" s="3"/>
      <c r="L40" s="12" t="str">
        <f t="shared" si="1"/>
        <v/>
      </c>
      <c r="M40" s="22"/>
      <c r="N40" s="24" t="str">
        <f>IF(M40="","",LOOKUP(9^9,$N$11:N39)+K40-J40)</f>
        <v/>
      </c>
    </row>
    <row r="41" spans="2:14" x14ac:dyDescent="0.25">
      <c r="B41" s="133"/>
      <c r="C41" s="3"/>
      <c r="D41" s="174" t="str">
        <f>IF(C41="","",VLOOKUP(C41,Listes!$J$3:$K$10,2,0))</f>
        <v/>
      </c>
      <c r="E41" s="3"/>
      <c r="F41" s="3"/>
      <c r="G41" s="3"/>
      <c r="H41" s="3"/>
      <c r="I41" s="3"/>
      <c r="L41" s="12" t="str">
        <f t="shared" si="1"/>
        <v/>
      </c>
      <c r="M41" s="22"/>
      <c r="N41" s="24" t="str">
        <f>IF(M41="","",LOOKUP(9^9,$N$11:N40)+K41-J41)</f>
        <v/>
      </c>
    </row>
    <row r="42" spans="2:14" x14ac:dyDescent="0.25">
      <c r="B42" s="133"/>
      <c r="C42" s="3"/>
      <c r="D42" s="174" t="str">
        <f>IF(C42="","",VLOOKUP(C42,Listes!$J$3:$K$10,2,0))</f>
        <v/>
      </c>
      <c r="E42" s="3"/>
      <c r="F42" s="3"/>
      <c r="G42" s="3"/>
      <c r="H42" s="3"/>
      <c r="I42" s="3"/>
      <c r="L42" s="12" t="str">
        <f t="shared" si="1"/>
        <v/>
      </c>
      <c r="M42" s="22"/>
      <c r="N42" s="24" t="str">
        <f>IF(M42="","",LOOKUP(9^9,$N$11:N41)+K42-J42)</f>
        <v/>
      </c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:D42">
    <cfRule type="containsText" dxfId="177" priority="1" operator="containsText" text="ó">
      <formula>NOT(ISERROR(SEARCH("ó",D11)))</formula>
    </cfRule>
    <cfRule type="containsText" dxfId="176" priority="2" operator="containsText" text="Ê">
      <formula>NOT(ISERROR(SEARCH("Ê",D11)))</formula>
    </cfRule>
    <cfRule type="containsText" dxfId="175" priority="3" operator="containsText" text="Æ">
      <formula>NOT(ISERROR(SEARCH("Æ",D11)))</formula>
    </cfRule>
    <cfRule type="containsText" dxfId="174" priority="4" operator="containsText" text="Æ">
      <formula>NOT(ISERROR(SEARCH("Æ",D11)))</formula>
    </cfRule>
    <cfRule type="containsText" dxfId="173" priority="5" operator="containsText" text="ó">
      <formula>NOT(ISERROR(SEARCH("ó",D11)))</formula>
    </cfRule>
    <cfRule type="containsText" dxfId="172" priority="6" operator="containsText" text="Æ">
      <formula>NOT(ISERROR(SEARCH("Æ",D11)))</formula>
    </cfRule>
    <cfRule type="containsText" dxfId="171" priority="7" operator="containsText" text="Ê">
      <formula>NOT(ISERROR(SEARCH("Ê",D11)))</formula>
    </cfRule>
    <cfRule type="containsText" dxfId="170" priority="8" operator="containsText" text="Æ">
      <formula>NOT(ISERROR(SEARCH("Æ",D11)))</formula>
    </cfRule>
    <cfRule type="containsText" dxfId="169" priority="9" operator="containsText" text="Æ">
      <formula>NOT(ISERROR(SEARCH("Æ",D11)))</formula>
    </cfRule>
  </conditionalFormatting>
  <pageMargins left="0.7" right="0.7" top="0.75" bottom="0.75" header="0.3" footer="0.3"/>
  <pageSetup paperSize="9" orientation="portrait" r:id="rId1"/>
  <ignoredErrors>
    <ignoredError sqref="L11:L26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88EEAAF-D132-4E78-BE66-8B733B6461C1}">
          <x14:formula1>
            <xm:f>Listes!$B$3:$B$32</xm:f>
          </x14:formula1>
          <xm:sqref>E11:E42</xm:sqref>
        </x14:dataValidation>
        <x14:dataValidation type="list" allowBlank="1" showInputMessage="1" showErrorMessage="1" xr:uid="{055AAFA0-8262-4650-8FE0-286A9FFC33DD}">
          <x14:formula1>
            <xm:f>Listes!$H$3:$H$31</xm:f>
          </x14:formula1>
          <xm:sqref>F11:F42</xm:sqref>
        </x14:dataValidation>
        <x14:dataValidation type="list" allowBlank="1" showInputMessage="1" showErrorMessage="1" xr:uid="{D9295D44-C31F-49CB-AAC7-27F6567D820F}">
          <x14:formula1>
            <xm:f>Listes!$J$3:$J$10</xm:f>
          </x14:formula1>
          <xm:sqref>C11:C42</xm:sqref>
        </x14:dataValidation>
        <x14:dataValidation type="list" allowBlank="1" showInputMessage="1" showErrorMessage="1" xr:uid="{5380BF1D-24D6-473B-ABF8-A0B4518517E0}">
          <x14:formula1>
            <xm:f>Listes!$F$3:$F$17</xm:f>
          </x14:formula1>
          <xm:sqref>H11:H42</xm:sqref>
        </x14:dataValidation>
        <x14:dataValidation type="list" allowBlank="1" showInputMessage="1" showErrorMessage="1" xr:uid="{FD972BB8-ED90-4913-A995-251F01218685}">
          <x14:formula1>
            <xm:f>Listes!$D$3:$D$58</xm:f>
          </x14:formula1>
          <xm:sqref>G11:G42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6A50F-60CD-4F9D-94A6-782C3449F0FA}">
  <sheetPr codeName="Feuil05">
    <tabColor theme="5" tint="-0.249977111117893"/>
  </sheetPr>
  <dimension ref="B3:N27"/>
  <sheetViews>
    <sheetView showGridLines="0" workbookViewId="0">
      <pane ySplit="10" topLeftCell="A11" activePane="bottomLeft" state="frozen"/>
      <selection pane="bottomLeft" activeCell="N25" sqref="N25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44" t="s">
        <v>22</v>
      </c>
      <c r="C4" s="45"/>
      <c r="D4" s="45"/>
      <c r="E4" s="45"/>
      <c r="F4" s="45"/>
      <c r="G4" s="45"/>
      <c r="H4" s="45"/>
      <c r="I4" s="45"/>
      <c r="J4" s="201">
        <f ca="1">TODAY()</f>
        <v>45084</v>
      </c>
      <c r="K4" s="201"/>
      <c r="L4" s="46"/>
      <c r="M4" s="47"/>
      <c r="N4" s="46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88" t="s">
        <v>132</v>
      </c>
      <c r="G6" s="189"/>
      <c r="H6" s="75">
        <f>SUM($J$11:$J470)*-1</f>
        <v>0</v>
      </c>
      <c r="I6" s="23"/>
      <c r="J6" s="194" t="s">
        <v>137</v>
      </c>
      <c r="K6" s="195"/>
      <c r="L6" s="69">
        <f>Comptes!I13</f>
        <v>10000</v>
      </c>
      <c r="M6" s="70"/>
      <c r="N6" s="28"/>
    </row>
    <row r="7" spans="2:14" s="11" customFormat="1" ht="18" customHeight="1" x14ac:dyDescent="0.25">
      <c r="B7" s="27"/>
      <c r="F7" s="190" t="s">
        <v>136</v>
      </c>
      <c r="G7" s="191"/>
      <c r="H7" s="76">
        <f>SUM($K$11:$K496)</f>
        <v>702.31</v>
      </c>
      <c r="I7" s="23"/>
      <c r="J7" s="196" t="s">
        <v>134</v>
      </c>
      <c r="K7" s="197"/>
      <c r="L7" s="71">
        <f>IF(L6="","",LOOKUP(9^9,L11:L2000))</f>
        <v>10702.31</v>
      </c>
      <c r="M7" s="72"/>
      <c r="N7" s="28"/>
    </row>
    <row r="8" spans="2:14" s="11" customFormat="1" ht="18" customHeight="1" x14ac:dyDescent="0.25">
      <c r="B8" s="27"/>
      <c r="F8" s="192" t="s">
        <v>133</v>
      </c>
      <c r="G8" s="193"/>
      <c r="H8" s="77">
        <f>H6+H7</f>
        <v>702.31</v>
      </c>
      <c r="I8" s="23"/>
      <c r="J8" s="198" t="s">
        <v>135</v>
      </c>
      <c r="K8" s="199"/>
      <c r="L8" s="73">
        <f>IF(L7="","",LOOKUP(9^9,N11:N2000))</f>
        <v>10552.31</v>
      </c>
      <c r="M8" s="74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48" t="s">
        <v>3</v>
      </c>
      <c r="C10" s="49" t="s">
        <v>140</v>
      </c>
      <c r="D10" s="49" t="s">
        <v>197</v>
      </c>
      <c r="E10" s="49" t="s">
        <v>141</v>
      </c>
      <c r="F10" s="49" t="s">
        <v>1</v>
      </c>
      <c r="G10" s="49" t="s">
        <v>8</v>
      </c>
      <c r="H10" s="49" t="s">
        <v>9</v>
      </c>
      <c r="I10" s="49" t="s">
        <v>5</v>
      </c>
      <c r="J10" s="50" t="s">
        <v>6</v>
      </c>
      <c r="K10" s="50" t="s">
        <v>7</v>
      </c>
      <c r="L10" s="51" t="s">
        <v>142</v>
      </c>
      <c r="M10" s="49" t="s">
        <v>138</v>
      </c>
      <c r="N10" s="49" t="s">
        <v>131</v>
      </c>
    </row>
    <row r="11" spans="2:14" x14ac:dyDescent="0.25">
      <c r="B11" s="25">
        <v>44927</v>
      </c>
      <c r="C11" s="3" t="s">
        <v>129</v>
      </c>
      <c r="D11" s="174" t="str">
        <f>IF(C11="","",VLOOKUP(C11,Listes!$J$3:$K$10,2,0))</f>
        <v>Ê</v>
      </c>
      <c r="E11" s="3"/>
      <c r="F11" s="3"/>
      <c r="G11" s="3"/>
      <c r="H11" s="26" t="s">
        <v>71</v>
      </c>
      <c r="I11" s="3"/>
      <c r="K11" s="14">
        <v>552.30999999999995</v>
      </c>
      <c r="L11" s="12">
        <f>IF(AND(J11="",K11=""),"",L6+K11-J11)</f>
        <v>10552.31</v>
      </c>
      <c r="M11" s="33" t="s">
        <v>139</v>
      </c>
      <c r="N11" s="24">
        <f>IF(M11="","",L6-J11+K11)</f>
        <v>10552.31</v>
      </c>
    </row>
    <row r="12" spans="2:14" ht="15" customHeight="1" x14ac:dyDescent="0.25">
      <c r="B12" s="25">
        <v>45083</v>
      </c>
      <c r="C12" s="3" t="s">
        <v>129</v>
      </c>
      <c r="D12" s="174" t="str">
        <f>IF(C12="","",VLOOKUP(C12,Listes!$J$3:$K$10,2,0))</f>
        <v>Ê</v>
      </c>
      <c r="E12" s="3"/>
      <c r="F12" s="3"/>
      <c r="G12" s="3"/>
      <c r="H12" s="3"/>
      <c r="I12" s="3"/>
      <c r="K12" s="14">
        <v>150</v>
      </c>
      <c r="L12" s="12">
        <f>IF(AND(J12="",K12=""),"",L11+K12-J12)</f>
        <v>10702.31</v>
      </c>
      <c r="M12" s="33"/>
      <c r="N12" s="24" t="str">
        <f>IF(M12="","",LOOKUP(9^9,$N$11:N11)+K12-J12)</f>
        <v/>
      </c>
    </row>
    <row r="13" spans="2:14" ht="15" customHeight="1" x14ac:dyDescent="0.25">
      <c r="B13" s="25"/>
      <c r="C13" s="3"/>
      <c r="D13" s="174" t="str">
        <f>IF(C13="","",VLOOKUP(C13,Listes!$J$3:$K$10,2,0))</f>
        <v/>
      </c>
      <c r="E13" s="3"/>
      <c r="F13" s="3"/>
      <c r="G13" s="3"/>
      <c r="H13" s="3"/>
      <c r="I13" s="3"/>
      <c r="L13" s="12" t="str">
        <f t="shared" ref="L13:L26" si="0">IF(AND(J13="",K13=""),"",L12+K13-J13)</f>
        <v/>
      </c>
      <c r="M13" s="33"/>
      <c r="N13" s="24" t="str">
        <f>IF(M13="","",LOOKUP(9^9,$N$11:N12)+K13-J13)</f>
        <v/>
      </c>
    </row>
    <row r="14" spans="2:14" ht="15" customHeight="1" x14ac:dyDescent="0.25">
      <c r="B14" s="25"/>
      <c r="C14" s="3"/>
      <c r="D14" s="174" t="str">
        <f>IF(C14="","",VLOOKUP(C14,Listes!$J$3:$K$10,2,0))</f>
        <v/>
      </c>
      <c r="E14" s="3"/>
      <c r="F14" s="3"/>
      <c r="G14" s="3"/>
      <c r="H14" s="3"/>
      <c r="I14" s="3"/>
      <c r="L14" s="12" t="str">
        <f t="shared" si="0"/>
        <v/>
      </c>
      <c r="M14" s="33"/>
      <c r="N14" s="24" t="str">
        <f>IF(M14="","",LOOKUP(9^9,$N$11:N13)+K14-J14)</f>
        <v/>
      </c>
    </row>
    <row r="15" spans="2:14" x14ac:dyDescent="0.25">
      <c r="B15" s="25"/>
      <c r="C15" s="3"/>
      <c r="D15" s="174" t="str">
        <f>IF(C15="","",VLOOKUP(C15,Listes!$J$3:$K$10,2,0))</f>
        <v/>
      </c>
      <c r="E15" s="3"/>
      <c r="F15" s="3"/>
      <c r="G15" s="3"/>
      <c r="H15" s="3"/>
      <c r="I15" s="3"/>
      <c r="L15" s="12" t="str">
        <f t="shared" si="0"/>
        <v/>
      </c>
      <c r="M15" s="33"/>
      <c r="N15" s="24" t="str">
        <f>IF(M15="","",LOOKUP(9^9,$N$11:N14)+K15-J15)</f>
        <v/>
      </c>
    </row>
    <row r="16" spans="2:14" x14ac:dyDescent="0.25">
      <c r="B16" s="25"/>
      <c r="C16" s="3"/>
      <c r="D16" s="174" t="str">
        <f>IF(C16="","",VLOOKUP(C16,Listes!$J$3:$K$10,2,0))</f>
        <v/>
      </c>
      <c r="E16" s="3"/>
      <c r="F16" s="3"/>
      <c r="G16" s="3"/>
      <c r="H16" s="3"/>
      <c r="I16" s="3"/>
      <c r="L16" s="12" t="str">
        <f t="shared" si="0"/>
        <v/>
      </c>
      <c r="M16" s="33"/>
      <c r="N16" s="24" t="str">
        <f>IF(M16="","",LOOKUP(9^9,$N$11:N15)+K16-J16)</f>
        <v/>
      </c>
    </row>
    <row r="17" spans="2:14" x14ac:dyDescent="0.25">
      <c r="B17" s="25"/>
      <c r="C17" s="3"/>
      <c r="D17" s="174" t="str">
        <f>IF(C17="","",VLOOKUP(C17,Listes!$J$3:$K$10,2,0))</f>
        <v/>
      </c>
      <c r="E17" s="3"/>
      <c r="F17" s="3"/>
      <c r="G17" s="3"/>
      <c r="H17" s="3"/>
      <c r="I17" s="3"/>
      <c r="L17" s="12" t="str">
        <f t="shared" si="0"/>
        <v/>
      </c>
      <c r="M17" s="33"/>
      <c r="N17" s="24" t="str">
        <f>IF(M17="","",LOOKUP(9^9,$N$11:N16)+K17-J17)</f>
        <v/>
      </c>
    </row>
    <row r="18" spans="2:14" x14ac:dyDescent="0.25">
      <c r="B18" s="25"/>
      <c r="C18" s="3"/>
      <c r="D18" s="174" t="str">
        <f>IF(C18="","",VLOOKUP(C18,Listes!$J$3:$K$10,2,0))</f>
        <v/>
      </c>
      <c r="E18" s="3"/>
      <c r="F18" s="3"/>
      <c r="G18" s="3"/>
      <c r="H18" s="3"/>
      <c r="I18" s="3"/>
      <c r="L18" s="12" t="str">
        <f t="shared" si="0"/>
        <v/>
      </c>
      <c r="M18" s="33"/>
      <c r="N18" s="24" t="str">
        <f>IF(M18="","",LOOKUP(9^9,$N$11:N17)+K18-J18)</f>
        <v/>
      </c>
    </row>
    <row r="19" spans="2:14" x14ac:dyDescent="0.25">
      <c r="B19" s="25"/>
      <c r="C19" s="3"/>
      <c r="D19" s="174" t="str">
        <f>IF(C19="","",VLOOKUP(C19,Listes!$J$3:$K$10,2,0))</f>
        <v/>
      </c>
      <c r="E19" s="3"/>
      <c r="F19" s="3"/>
      <c r="G19" s="3"/>
      <c r="H19" s="3"/>
      <c r="I19" s="3"/>
      <c r="L19" s="12" t="str">
        <f t="shared" si="0"/>
        <v/>
      </c>
      <c r="M19" s="33"/>
      <c r="N19" s="24" t="str">
        <f>IF(M19="","",LOOKUP(9^9,$N$11:N18)+K19-J19)</f>
        <v/>
      </c>
    </row>
    <row r="20" spans="2:14" x14ac:dyDescent="0.25">
      <c r="B20" s="25"/>
      <c r="C20" s="3"/>
      <c r="D20" s="174" t="str">
        <f>IF(C20="","",VLOOKUP(C20,Listes!$J$3:$K$10,2,0))</f>
        <v/>
      </c>
      <c r="E20" s="3"/>
      <c r="F20" s="3"/>
      <c r="G20" s="3"/>
      <c r="H20" s="3"/>
      <c r="I20" s="3"/>
      <c r="L20" s="12" t="str">
        <f t="shared" si="0"/>
        <v/>
      </c>
      <c r="M20" s="34"/>
      <c r="N20" s="24" t="str">
        <f>IF(M20="","",LOOKUP(9^9,$N$11:N19)+K20-J20)</f>
        <v/>
      </c>
    </row>
    <row r="21" spans="2:14" x14ac:dyDescent="0.25">
      <c r="B21" s="25"/>
      <c r="C21" s="3"/>
      <c r="D21" s="174" t="str">
        <f>IF(C21="","",VLOOKUP(C21,Listes!$J$3:$K$10,2,0))</f>
        <v/>
      </c>
      <c r="E21" s="3"/>
      <c r="F21" s="3"/>
      <c r="G21" s="3"/>
      <c r="H21" s="3"/>
      <c r="I21" s="3"/>
      <c r="L21" s="12" t="str">
        <f t="shared" si="0"/>
        <v/>
      </c>
      <c r="M21" s="34"/>
      <c r="N21" s="24" t="str">
        <f>IF(M21="","",LOOKUP(9^9,$N$11:N20)+K21-J21)</f>
        <v/>
      </c>
    </row>
    <row r="22" spans="2:14" x14ac:dyDescent="0.25">
      <c r="B22" s="25"/>
      <c r="C22" s="3"/>
      <c r="D22" s="174" t="str">
        <f>IF(C22="","",VLOOKUP(C22,Listes!$J$3:$K$10,2,0))</f>
        <v/>
      </c>
      <c r="E22" s="3"/>
      <c r="F22" s="3"/>
      <c r="G22" s="3"/>
      <c r="H22" s="3"/>
      <c r="I22" s="3"/>
      <c r="L22" s="12" t="str">
        <f t="shared" si="0"/>
        <v/>
      </c>
      <c r="M22" s="34"/>
      <c r="N22" s="24" t="str">
        <f>IF(M22="","",LOOKUP(9^9,$N$11:N21)+K22-J22)</f>
        <v/>
      </c>
    </row>
    <row r="23" spans="2:14" x14ac:dyDescent="0.25">
      <c r="B23" s="25"/>
      <c r="C23" s="3"/>
      <c r="D23" s="174" t="str">
        <f>IF(C23="","",VLOOKUP(C23,Listes!$J$3:$K$10,2,0))</f>
        <v/>
      </c>
      <c r="E23" s="3"/>
      <c r="F23" s="3"/>
      <c r="G23" s="3"/>
      <c r="H23" s="3"/>
      <c r="I23" s="3"/>
      <c r="L23" s="12" t="str">
        <f t="shared" si="0"/>
        <v/>
      </c>
      <c r="M23" s="34"/>
      <c r="N23" s="24" t="str">
        <f>IF(M23="","",LOOKUP(9^9,$N$11:N22)+K23-J23)</f>
        <v/>
      </c>
    </row>
    <row r="24" spans="2:14" ht="15" customHeight="1" x14ac:dyDescent="0.25">
      <c r="B24" s="25"/>
      <c r="C24" s="3"/>
      <c r="D24" s="174" t="str">
        <f>IF(C24="","",VLOOKUP(C24,Listes!$J$3:$K$10,2,0))</f>
        <v/>
      </c>
      <c r="E24" s="3"/>
      <c r="F24" s="3"/>
      <c r="G24" s="3"/>
      <c r="H24" s="3"/>
      <c r="I24" s="3"/>
      <c r="L24" s="12" t="str">
        <f t="shared" si="0"/>
        <v/>
      </c>
      <c r="M24" s="22"/>
      <c r="N24" s="24" t="str">
        <f>IF(M24="","",LOOKUP(9^9,$N$11:N23)+K24-J24)</f>
        <v/>
      </c>
    </row>
    <row r="25" spans="2:14" x14ac:dyDescent="0.25">
      <c r="B25" s="25"/>
      <c r="C25" s="3"/>
      <c r="D25" s="174" t="str">
        <f>IF(C25="","",VLOOKUP(C25,Listes!$J$3:$K$10,2,0))</f>
        <v/>
      </c>
      <c r="E25" s="3"/>
      <c r="F25" s="3"/>
      <c r="G25" s="3"/>
      <c r="H25" s="3"/>
      <c r="I25" s="3"/>
      <c r="L25" s="12" t="str">
        <f t="shared" si="0"/>
        <v/>
      </c>
      <c r="M25" s="22"/>
      <c r="N25" s="24" t="str">
        <f>IF(M25="","",LOOKUP(9^9,$N$11:N24)+K25-J25)</f>
        <v/>
      </c>
    </row>
    <row r="26" spans="2:14" x14ac:dyDescent="0.25">
      <c r="B26" s="25"/>
      <c r="C26" s="3"/>
      <c r="D26" s="174" t="str">
        <f>IF(C26="","",VLOOKUP(C26,Listes!$J$3:$K$10,2,0))</f>
        <v/>
      </c>
      <c r="E26" s="3"/>
      <c r="F26" s="3"/>
      <c r="G26" s="3"/>
      <c r="H26" s="3"/>
      <c r="I26" s="3"/>
      <c r="L26" s="12" t="str">
        <f t="shared" si="0"/>
        <v/>
      </c>
      <c r="M26" s="22"/>
      <c r="N26" s="24" t="str">
        <f>IF(M26="","",LOOKUP(9^9,$N$11:N25)+K26-J26)</f>
        <v/>
      </c>
    </row>
    <row r="27" spans="2:14" x14ac:dyDescent="0.25">
      <c r="B27" s="133"/>
      <c r="C27" s="3"/>
      <c r="D27" s="3"/>
      <c r="E27" s="3"/>
      <c r="F27" s="3"/>
      <c r="G27" s="3"/>
      <c r="H27" s="3"/>
      <c r="I27" s="3"/>
      <c r="L27" s="12" t="str">
        <f>IF(AND(J27="",K27=""),"",L26-J27+K27)</f>
        <v/>
      </c>
      <c r="M27" s="22"/>
      <c r="N27" s="24"/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:D27">
    <cfRule type="containsText" dxfId="152" priority="1" operator="containsText" text="ó">
      <formula>NOT(ISERROR(SEARCH("ó",D11)))</formula>
    </cfRule>
    <cfRule type="containsText" dxfId="151" priority="2" operator="containsText" text="Ê">
      <formula>NOT(ISERROR(SEARCH("Ê",D11)))</formula>
    </cfRule>
    <cfRule type="containsText" dxfId="150" priority="3" operator="containsText" text="Æ">
      <formula>NOT(ISERROR(SEARCH("Æ",D11)))</formula>
    </cfRule>
    <cfRule type="containsText" dxfId="149" priority="4" operator="containsText" text="Æ">
      <formula>NOT(ISERROR(SEARCH("Æ",D11)))</formula>
    </cfRule>
    <cfRule type="containsText" dxfId="148" priority="5" operator="containsText" text="ó">
      <formula>NOT(ISERROR(SEARCH("ó",D11)))</formula>
    </cfRule>
    <cfRule type="containsText" dxfId="147" priority="6" operator="containsText" text="Æ">
      <formula>NOT(ISERROR(SEARCH("Æ",D11)))</formula>
    </cfRule>
    <cfRule type="containsText" dxfId="146" priority="7" operator="containsText" text="Ê">
      <formula>NOT(ISERROR(SEARCH("Ê",D11)))</formula>
    </cfRule>
    <cfRule type="containsText" dxfId="145" priority="8" operator="containsText" text="Æ">
      <formula>NOT(ISERROR(SEARCH("Æ",D11)))</formula>
    </cfRule>
    <cfRule type="containsText" dxfId="144" priority="9" operator="containsText" text="Æ">
      <formula>NOT(ISERROR(SEARCH("Æ",D11)))</formula>
    </cfRule>
  </conditionalFormatting>
  <pageMargins left="0.7" right="0.7" top="0.75" bottom="0.75" header="0.3" footer="0.3"/>
  <pageSetup paperSize="9" orientation="portrait" r:id="rId1"/>
  <ignoredErrors>
    <ignoredError sqref="L11:L26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6089086-7CF5-4FBF-8A4E-A3730F7A46B3}">
          <x14:formula1>
            <xm:f>Listes!$B$3:$B$32</xm:f>
          </x14:formula1>
          <xm:sqref>E11:E27</xm:sqref>
        </x14:dataValidation>
        <x14:dataValidation type="list" allowBlank="1" showInputMessage="1" showErrorMessage="1" xr:uid="{A55C9F77-B161-46FE-99E8-3BAF8752BAFA}">
          <x14:formula1>
            <xm:f>Listes!$H$3:$H$31</xm:f>
          </x14:formula1>
          <xm:sqref>F11:F27</xm:sqref>
        </x14:dataValidation>
        <x14:dataValidation type="list" allowBlank="1" showInputMessage="1" showErrorMessage="1" xr:uid="{14A782F0-B8A9-4AA9-8A68-B66EB5AF4983}">
          <x14:formula1>
            <xm:f>Listes!$J$3:$J$10</xm:f>
          </x14:formula1>
          <xm:sqref>C11:C27</xm:sqref>
        </x14:dataValidation>
        <x14:dataValidation type="list" allowBlank="1" showInputMessage="1" showErrorMessage="1" xr:uid="{15D974ED-D38F-4077-ADA5-4FDF96DA7416}">
          <x14:formula1>
            <xm:f>Listes!$F$3:$F$17</xm:f>
          </x14:formula1>
          <xm:sqref>H11:H27</xm:sqref>
        </x14:dataValidation>
        <x14:dataValidation type="list" allowBlank="1" showInputMessage="1" showErrorMessage="1" xr:uid="{C9F13568-E16B-4D5D-B517-570A98D68084}">
          <x14:formula1>
            <xm:f>Listes!$D$3:$D$58</xm:f>
          </x14:formula1>
          <xm:sqref>G11:G27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5465D-99E1-4624-966F-BC1AB5CDC885}">
  <sheetPr codeName="Feuil06">
    <tabColor rgb="FF0070C0"/>
  </sheetPr>
  <dimension ref="B3:N26"/>
  <sheetViews>
    <sheetView showGridLines="0" workbookViewId="0">
      <pane ySplit="10" topLeftCell="A11" activePane="bottomLeft" state="frozen"/>
      <selection pane="bottomLeft" activeCell="N25" sqref="N25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120" t="s">
        <v>144</v>
      </c>
      <c r="C4" s="121"/>
      <c r="D4" s="121"/>
      <c r="E4" s="121"/>
      <c r="F4" s="121"/>
      <c r="G4" s="121"/>
      <c r="H4" s="121"/>
      <c r="I4" s="121"/>
      <c r="J4" s="202">
        <f ca="1">TODAY()</f>
        <v>45084</v>
      </c>
      <c r="K4" s="202"/>
      <c r="L4" s="122"/>
      <c r="M4" s="123"/>
      <c r="N4" s="122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88" t="s">
        <v>132</v>
      </c>
      <c r="G6" s="189"/>
      <c r="H6" s="75">
        <f>SUM($J$11:$J469)*-1</f>
        <v>0</v>
      </c>
      <c r="I6" s="23"/>
      <c r="J6" s="194" t="s">
        <v>137</v>
      </c>
      <c r="K6" s="195"/>
      <c r="L6" s="69">
        <f>Comptes!I14</f>
        <v>3000</v>
      </c>
      <c r="M6" s="70"/>
      <c r="N6" s="28"/>
    </row>
    <row r="7" spans="2:14" s="11" customFormat="1" ht="18" customHeight="1" x14ac:dyDescent="0.25">
      <c r="B7" s="27"/>
      <c r="F7" s="190" t="s">
        <v>136</v>
      </c>
      <c r="G7" s="191"/>
      <c r="H7" s="76">
        <f>SUM($K$11:$K495)</f>
        <v>200</v>
      </c>
      <c r="I7" s="23"/>
      <c r="J7" s="196" t="s">
        <v>134</v>
      </c>
      <c r="K7" s="197"/>
      <c r="L7" s="71">
        <f>IF(L6="","",LOOKUP(9^9,L11:L1999))</f>
        <v>3200</v>
      </c>
      <c r="M7" s="72"/>
      <c r="N7" s="28"/>
    </row>
    <row r="8" spans="2:14" s="11" customFormat="1" ht="18" customHeight="1" x14ac:dyDescent="0.25">
      <c r="B8" s="27"/>
      <c r="F8" s="192" t="s">
        <v>133</v>
      </c>
      <c r="G8" s="193"/>
      <c r="H8" s="77">
        <f>H6+H7</f>
        <v>200</v>
      </c>
      <c r="I8" s="23"/>
      <c r="J8" s="198" t="s">
        <v>135</v>
      </c>
      <c r="K8" s="199"/>
      <c r="L8" s="73">
        <f>IF(L7="","",LOOKUP(9^9,N11:N1999))</f>
        <v>3100</v>
      </c>
      <c r="M8" s="74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124" t="s">
        <v>3</v>
      </c>
      <c r="C10" s="125" t="s">
        <v>140</v>
      </c>
      <c r="D10" s="125" t="s">
        <v>197</v>
      </c>
      <c r="E10" s="125" t="s">
        <v>141</v>
      </c>
      <c r="F10" s="125" t="s">
        <v>1</v>
      </c>
      <c r="G10" s="125" t="s">
        <v>8</v>
      </c>
      <c r="H10" s="125" t="s">
        <v>9</v>
      </c>
      <c r="I10" s="125" t="s">
        <v>5</v>
      </c>
      <c r="J10" s="126" t="s">
        <v>6</v>
      </c>
      <c r="K10" s="126" t="s">
        <v>7</v>
      </c>
      <c r="L10" s="127" t="s">
        <v>142</v>
      </c>
      <c r="M10" s="125" t="s">
        <v>138</v>
      </c>
      <c r="N10" s="125" t="s">
        <v>131</v>
      </c>
    </row>
    <row r="11" spans="2:14" x14ac:dyDescent="0.25">
      <c r="B11" s="25">
        <v>45058</v>
      </c>
      <c r="C11" s="3" t="s">
        <v>207</v>
      </c>
      <c r="D11" s="174" t="str">
        <f>IF(C11="","",VLOOKUP(C11,Listes!$J$3:$K$10,2,0))</f>
        <v>ó</v>
      </c>
      <c r="E11" s="3"/>
      <c r="F11" s="3"/>
      <c r="G11" s="3"/>
      <c r="H11" s="26"/>
      <c r="I11" s="3"/>
      <c r="K11" s="14">
        <v>100</v>
      </c>
      <c r="L11" s="12">
        <f>IF(AND(J12="",K12=""),"",L6+K12-J12)</f>
        <v>3100</v>
      </c>
      <c r="M11" s="33" t="s">
        <v>139</v>
      </c>
      <c r="N11" s="24">
        <f>IF(M11="","",L6-J11+K11)</f>
        <v>3100</v>
      </c>
    </row>
    <row r="12" spans="2:14" ht="15" customHeight="1" x14ac:dyDescent="0.25">
      <c r="B12" s="25">
        <v>45083</v>
      </c>
      <c r="C12" s="3" t="s">
        <v>129</v>
      </c>
      <c r="D12" s="174" t="str">
        <f>IF(C12="","",VLOOKUP(C12,Listes!$J$3:$K$10,2,0))</f>
        <v>Ê</v>
      </c>
      <c r="E12" s="3"/>
      <c r="F12" s="3"/>
      <c r="G12" s="3"/>
      <c r="H12" s="3"/>
      <c r="I12" s="3"/>
      <c r="K12" s="14">
        <v>100</v>
      </c>
      <c r="L12" s="12">
        <f>IF(AND(J12="",K12=""),"",L11+K12-J12)</f>
        <v>3200</v>
      </c>
      <c r="M12" s="33"/>
      <c r="N12" s="24" t="str">
        <f>IF(M12="","",LOOKUP(9^9,$N$11:N11)+K12-J12)</f>
        <v/>
      </c>
    </row>
    <row r="13" spans="2:14" ht="15" customHeight="1" x14ac:dyDescent="0.25">
      <c r="B13" s="25"/>
      <c r="C13" s="3"/>
      <c r="D13" s="174"/>
      <c r="E13" s="3"/>
      <c r="F13" s="3"/>
      <c r="G13" s="3"/>
      <c r="H13" s="3"/>
      <c r="I13" s="3"/>
      <c r="L13" s="12"/>
      <c r="M13" s="33"/>
      <c r="N13" s="24" t="str">
        <f>IF(M13="","",LOOKUP(9^9,$N$11:N12)+K13-J13)</f>
        <v/>
      </c>
    </row>
    <row r="14" spans="2:14" ht="15" customHeight="1" x14ac:dyDescent="0.25">
      <c r="B14" s="25"/>
      <c r="C14" s="3"/>
      <c r="D14" s="174" t="str">
        <f>IF(C14="","",VLOOKUP(C14,Listes!$J$3:$K$10,2,0))</f>
        <v/>
      </c>
      <c r="E14" s="3"/>
      <c r="F14" s="3"/>
      <c r="G14" s="3"/>
      <c r="H14" s="3"/>
      <c r="I14" s="3"/>
      <c r="L14" s="12"/>
      <c r="M14" s="33"/>
      <c r="N14" s="24" t="str">
        <f>IF(M14="","",LOOKUP(9^9,$N$11:N13)+K14-J14)</f>
        <v/>
      </c>
    </row>
    <row r="15" spans="2:14" x14ac:dyDescent="0.25">
      <c r="B15" s="25"/>
      <c r="C15" s="3"/>
      <c r="D15" s="174" t="str">
        <f>IF(C15="","",VLOOKUP(C15,Listes!$J$3:$K$10,2,0))</f>
        <v/>
      </c>
      <c r="E15" s="3"/>
      <c r="F15" s="3"/>
      <c r="G15" s="3"/>
      <c r="H15" s="3"/>
      <c r="I15" s="3"/>
      <c r="L15" s="12"/>
      <c r="M15" s="33"/>
      <c r="N15" s="24" t="str">
        <f>IF(M15="","",LOOKUP(9^9,$N$11:N14)+K15-J15)</f>
        <v/>
      </c>
    </row>
    <row r="16" spans="2:14" x14ac:dyDescent="0.25">
      <c r="B16" s="25"/>
      <c r="C16" s="3"/>
      <c r="D16" s="174" t="str">
        <f>IF(C16="","",VLOOKUP(C16,Listes!$J$3:$K$10,2,0))</f>
        <v/>
      </c>
      <c r="E16" s="3"/>
      <c r="F16" s="3"/>
      <c r="G16" s="3"/>
      <c r="H16" s="3"/>
      <c r="I16" s="3"/>
      <c r="L16" s="12"/>
      <c r="M16" s="33"/>
      <c r="N16" s="24" t="str">
        <f>IF(M16="","",LOOKUP(9^9,$N$11:N15)+K16-J16)</f>
        <v/>
      </c>
    </row>
    <row r="17" spans="2:14" x14ac:dyDescent="0.25">
      <c r="B17" s="25"/>
      <c r="C17" s="3"/>
      <c r="D17" s="174" t="str">
        <f>IF(C17="","",VLOOKUP(C17,Listes!$J$3:$K$10,2,0))</f>
        <v/>
      </c>
      <c r="E17" s="3"/>
      <c r="F17" s="3"/>
      <c r="G17" s="3"/>
      <c r="H17" s="3"/>
      <c r="I17" s="3"/>
      <c r="L17" s="12" t="str">
        <f t="shared" ref="L17:L26" si="0">IF(AND(J17="",K17=""),"",L16+K17-J17)</f>
        <v/>
      </c>
      <c r="M17" s="33"/>
      <c r="N17" s="24" t="str">
        <f>IF(M17="","",LOOKUP(9^9,$N$11:N16)+K17-J17)</f>
        <v/>
      </c>
    </row>
    <row r="18" spans="2:14" x14ac:dyDescent="0.25">
      <c r="B18" s="25"/>
      <c r="C18" s="3"/>
      <c r="D18" s="174" t="str">
        <f>IF(C18="","",VLOOKUP(C18,Listes!$J$3:$K$10,2,0))</f>
        <v/>
      </c>
      <c r="E18" s="3"/>
      <c r="F18" s="3"/>
      <c r="G18" s="3"/>
      <c r="H18" s="3"/>
      <c r="I18" s="3"/>
      <c r="L18" s="12" t="str">
        <f t="shared" si="0"/>
        <v/>
      </c>
      <c r="M18" s="33"/>
      <c r="N18" s="24" t="str">
        <f>IF(M18="","",LOOKUP(9^9,$N$11:N17)+K18-J18)</f>
        <v/>
      </c>
    </row>
    <row r="19" spans="2:14" x14ac:dyDescent="0.25">
      <c r="B19" s="25"/>
      <c r="C19" s="3"/>
      <c r="D19" s="174" t="str">
        <f>IF(C19="","",VLOOKUP(C19,Listes!$J$3:$K$10,2,0))</f>
        <v/>
      </c>
      <c r="E19" s="3"/>
      <c r="F19" s="3"/>
      <c r="G19" s="3"/>
      <c r="H19" s="3"/>
      <c r="I19" s="3"/>
      <c r="L19" s="12" t="str">
        <f t="shared" si="0"/>
        <v/>
      </c>
      <c r="M19" s="33"/>
      <c r="N19" s="24" t="str">
        <f>IF(M19="","",LOOKUP(9^9,$N$11:N18)+K19-J19)</f>
        <v/>
      </c>
    </row>
    <row r="20" spans="2:14" x14ac:dyDescent="0.25">
      <c r="B20" s="25"/>
      <c r="C20" s="3"/>
      <c r="D20" s="174" t="str">
        <f>IF(C20="","",VLOOKUP(C20,Listes!$J$3:$K$10,2,0))</f>
        <v/>
      </c>
      <c r="E20" s="3"/>
      <c r="F20" s="3"/>
      <c r="G20" s="3"/>
      <c r="H20" s="3"/>
      <c r="I20" s="3"/>
      <c r="L20" s="12" t="str">
        <f t="shared" si="0"/>
        <v/>
      </c>
      <c r="M20" s="34"/>
      <c r="N20" s="24" t="str">
        <f>IF(M20="","",LOOKUP(9^9,$N$11:N19)+K20-J20)</f>
        <v/>
      </c>
    </row>
    <row r="21" spans="2:14" x14ac:dyDescent="0.25">
      <c r="B21" s="25"/>
      <c r="C21" s="3"/>
      <c r="D21" s="174" t="str">
        <f>IF(C21="","",VLOOKUP(C21,Listes!$J$3:$K$10,2,0))</f>
        <v/>
      </c>
      <c r="E21" s="3"/>
      <c r="F21" s="3"/>
      <c r="G21" s="3"/>
      <c r="H21" s="3"/>
      <c r="I21" s="3"/>
      <c r="L21" s="12" t="str">
        <f t="shared" si="0"/>
        <v/>
      </c>
      <c r="M21" s="34"/>
      <c r="N21" s="24" t="str">
        <f>IF(M21="","",LOOKUP(9^9,$N$11:N20)+K21-J21)</f>
        <v/>
      </c>
    </row>
    <row r="22" spans="2:14" x14ac:dyDescent="0.25">
      <c r="B22" s="25"/>
      <c r="C22" s="3"/>
      <c r="D22" s="174" t="str">
        <f>IF(C22="","",VLOOKUP(C22,Listes!$J$3:$K$10,2,0))</f>
        <v/>
      </c>
      <c r="E22" s="3"/>
      <c r="F22" s="3"/>
      <c r="G22" s="3"/>
      <c r="H22" s="3"/>
      <c r="I22" s="3"/>
      <c r="L22" s="12" t="str">
        <f t="shared" si="0"/>
        <v/>
      </c>
      <c r="M22" s="34"/>
      <c r="N22" s="24" t="str">
        <f>IF(M22="","",LOOKUP(9^9,$N$11:N21)+K22-J22)</f>
        <v/>
      </c>
    </row>
    <row r="23" spans="2:14" x14ac:dyDescent="0.25">
      <c r="B23" s="25"/>
      <c r="C23" s="3"/>
      <c r="D23" s="174" t="str">
        <f>IF(C23="","",VLOOKUP(C23,Listes!$J$3:$K$10,2,0))</f>
        <v/>
      </c>
      <c r="E23" s="3"/>
      <c r="F23" s="3"/>
      <c r="G23" s="3"/>
      <c r="H23" s="3"/>
      <c r="I23" s="3"/>
      <c r="L23" s="12" t="str">
        <f t="shared" si="0"/>
        <v/>
      </c>
      <c r="M23" s="34"/>
      <c r="N23" s="24" t="str">
        <f>IF(M23="","",LOOKUP(9^9,$N$11:N22)+K23-J23)</f>
        <v/>
      </c>
    </row>
    <row r="24" spans="2:14" ht="15" customHeight="1" x14ac:dyDescent="0.25">
      <c r="B24" s="25"/>
      <c r="C24" s="3"/>
      <c r="D24" s="174" t="str">
        <f>IF(C24="","",VLOOKUP(C24,Listes!$J$3:$K$10,2,0))</f>
        <v/>
      </c>
      <c r="E24" s="3"/>
      <c r="F24" s="3"/>
      <c r="G24" s="3"/>
      <c r="H24" s="3"/>
      <c r="I24" s="3"/>
      <c r="L24" s="12" t="str">
        <f t="shared" si="0"/>
        <v/>
      </c>
      <c r="M24" s="22"/>
      <c r="N24" s="24" t="str">
        <f>IF(M24="","",LOOKUP(9^9,$N$11:N23)+K24-J24)</f>
        <v/>
      </c>
    </row>
    <row r="25" spans="2:14" x14ac:dyDescent="0.25">
      <c r="B25" s="25"/>
      <c r="C25" s="3"/>
      <c r="D25" s="174" t="str">
        <f>IF(C25="","",VLOOKUP(C25,Listes!$J$3:$K$10,2,0))</f>
        <v/>
      </c>
      <c r="E25" s="3"/>
      <c r="F25" s="3"/>
      <c r="G25" s="3"/>
      <c r="H25" s="3"/>
      <c r="I25" s="3"/>
      <c r="L25" s="12" t="str">
        <f t="shared" si="0"/>
        <v/>
      </c>
      <c r="M25" s="22"/>
      <c r="N25" s="24" t="str">
        <f>IF(M25="","",LOOKUP(9^9,$N$11:N24)+K25-J25)</f>
        <v/>
      </c>
    </row>
    <row r="26" spans="2:14" x14ac:dyDescent="0.25">
      <c r="B26" s="25"/>
      <c r="C26" s="3"/>
      <c r="D26" s="174" t="str">
        <f>IF(C26="","",VLOOKUP(C26,Listes!$J$3:$K$10,2,0))</f>
        <v/>
      </c>
      <c r="E26" s="3"/>
      <c r="F26" s="3"/>
      <c r="G26" s="3"/>
      <c r="H26" s="3"/>
      <c r="I26" s="3"/>
      <c r="L26" s="12" t="str">
        <f t="shared" si="0"/>
        <v/>
      </c>
      <c r="M26" s="22"/>
      <c r="N26" s="24" t="str">
        <f>IF(M26="","",LOOKUP(9^9,$N$11:N25)+K26-J26)</f>
        <v/>
      </c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:D26">
    <cfRule type="containsText" dxfId="127" priority="1" operator="containsText" text="ó">
      <formula>NOT(ISERROR(SEARCH("ó",D11)))</formula>
    </cfRule>
    <cfRule type="containsText" dxfId="126" priority="2" operator="containsText" text="Ê">
      <formula>NOT(ISERROR(SEARCH("Ê",D11)))</formula>
    </cfRule>
    <cfRule type="containsText" dxfId="125" priority="3" operator="containsText" text="Æ">
      <formula>NOT(ISERROR(SEARCH("Æ",D11)))</formula>
    </cfRule>
    <cfRule type="containsText" dxfId="124" priority="4" operator="containsText" text="Æ">
      <formula>NOT(ISERROR(SEARCH("Æ",D11)))</formula>
    </cfRule>
    <cfRule type="containsText" dxfId="123" priority="5" operator="containsText" text="ó">
      <formula>NOT(ISERROR(SEARCH("ó",D11)))</formula>
    </cfRule>
    <cfRule type="containsText" dxfId="122" priority="6" operator="containsText" text="Æ">
      <formula>NOT(ISERROR(SEARCH("Æ",D11)))</formula>
    </cfRule>
    <cfRule type="containsText" dxfId="121" priority="7" operator="containsText" text="Ê">
      <formula>NOT(ISERROR(SEARCH("Ê",D11)))</formula>
    </cfRule>
    <cfRule type="containsText" dxfId="120" priority="8" operator="containsText" text="Æ">
      <formula>NOT(ISERROR(SEARCH("Æ",D11)))</formula>
    </cfRule>
    <cfRule type="containsText" dxfId="119" priority="9" operator="containsText" text="Æ">
      <formula>NOT(ISERROR(SEARCH("Æ",D11)))</formula>
    </cfRule>
  </conditionalFormatting>
  <pageMargins left="0.7" right="0.7" top="0.75" bottom="0.75" header="0.3" footer="0.3"/>
  <pageSetup paperSize="9" orientation="portrait" r:id="rId1"/>
  <ignoredErrors>
    <ignoredError sqref="L11:L12 L17:L26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C8C1D3E-20C3-4C68-9377-C7623BF7B35B}">
          <x14:formula1>
            <xm:f>Listes!$B$3:$B$32</xm:f>
          </x14:formula1>
          <xm:sqref>E11:E26</xm:sqref>
        </x14:dataValidation>
        <x14:dataValidation type="list" allowBlank="1" showInputMessage="1" showErrorMessage="1" xr:uid="{1BF3816F-60D7-4D17-B71C-6B07C317E178}">
          <x14:formula1>
            <xm:f>Listes!$H$3:$H$31</xm:f>
          </x14:formula1>
          <xm:sqref>F11:F26</xm:sqref>
        </x14:dataValidation>
        <x14:dataValidation type="list" allowBlank="1" showInputMessage="1" showErrorMessage="1" xr:uid="{DF8A1254-1AB4-4AA0-A334-1185D60C512F}">
          <x14:formula1>
            <xm:f>Listes!$J$3:$J$10</xm:f>
          </x14:formula1>
          <xm:sqref>C11:C26</xm:sqref>
        </x14:dataValidation>
        <x14:dataValidation type="list" allowBlank="1" showInputMessage="1" showErrorMessage="1" xr:uid="{071D91AA-A51B-4D2A-B077-CBB8D4B1E530}">
          <x14:formula1>
            <xm:f>Listes!$F$3:$F$17</xm:f>
          </x14:formula1>
          <xm:sqref>H11:H26</xm:sqref>
        </x14:dataValidation>
        <x14:dataValidation type="list" allowBlank="1" showInputMessage="1" showErrorMessage="1" xr:uid="{3FB89428-6801-4888-ABC4-8516C5FAB455}">
          <x14:formula1>
            <xm:f>Listes!$D$3:$D$58</xm:f>
          </x14:formula1>
          <xm:sqref>G11:G26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C674E-3729-4FB9-947D-9FBC18F48D64}">
  <sheetPr codeName="Feuil07">
    <tabColor theme="9" tint="-0.249977111117893"/>
  </sheetPr>
  <dimension ref="B3:N26"/>
  <sheetViews>
    <sheetView showGridLines="0" workbookViewId="0">
      <pane ySplit="10" topLeftCell="A11" activePane="bottomLeft" state="frozen"/>
      <selection pane="bottomLeft" activeCell="B27" sqref="B27:N27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52" t="s">
        <v>19</v>
      </c>
      <c r="C4" s="53"/>
      <c r="D4" s="53"/>
      <c r="E4" s="53"/>
      <c r="F4" s="53"/>
      <c r="G4" s="53"/>
      <c r="H4" s="53"/>
      <c r="I4" s="53"/>
      <c r="J4" s="203">
        <f ca="1">TODAY()</f>
        <v>45084</v>
      </c>
      <c r="K4" s="203"/>
      <c r="L4" s="54"/>
      <c r="M4" s="55"/>
      <c r="N4" s="54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88" t="s">
        <v>132</v>
      </c>
      <c r="G6" s="189"/>
      <c r="H6" s="75">
        <f>SUM($J$11:$J469)*-1</f>
        <v>0</v>
      </c>
      <c r="I6" s="23"/>
      <c r="J6" s="194" t="s">
        <v>137</v>
      </c>
      <c r="K6" s="195"/>
      <c r="L6" s="69">
        <f>Comptes!I15</f>
        <v>3000</v>
      </c>
      <c r="M6" s="70"/>
      <c r="N6" s="28"/>
    </row>
    <row r="7" spans="2:14" s="11" customFormat="1" ht="18" customHeight="1" x14ac:dyDescent="0.25">
      <c r="B7" s="27"/>
      <c r="F7" s="190" t="s">
        <v>136</v>
      </c>
      <c r="G7" s="191"/>
      <c r="H7" s="76">
        <f>SUM($K$11:$K495)</f>
        <v>200</v>
      </c>
      <c r="I7" s="23"/>
      <c r="J7" s="196" t="s">
        <v>134</v>
      </c>
      <c r="K7" s="197"/>
      <c r="L7" s="71">
        <f>IF(L6="","",LOOKUP(9^9,L11:L1999))</f>
        <v>3200</v>
      </c>
      <c r="M7" s="72"/>
      <c r="N7" s="28"/>
    </row>
    <row r="8" spans="2:14" s="11" customFormat="1" ht="18" customHeight="1" x14ac:dyDescent="0.25">
      <c r="B8" s="27"/>
      <c r="F8" s="192" t="s">
        <v>133</v>
      </c>
      <c r="G8" s="193"/>
      <c r="H8" s="77">
        <f>H6+H7</f>
        <v>200</v>
      </c>
      <c r="I8" s="23"/>
      <c r="J8" s="198" t="s">
        <v>135</v>
      </c>
      <c r="K8" s="199"/>
      <c r="L8" s="73">
        <f>IF(L7="","",LOOKUP(9^9,N11:N1999))</f>
        <v>3200</v>
      </c>
      <c r="M8" s="74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56" t="s">
        <v>3</v>
      </c>
      <c r="C10" s="57" t="s">
        <v>140</v>
      </c>
      <c r="D10" s="57" t="s">
        <v>197</v>
      </c>
      <c r="E10" s="57" t="s">
        <v>141</v>
      </c>
      <c r="F10" s="57" t="s">
        <v>1</v>
      </c>
      <c r="G10" s="57" t="s">
        <v>8</v>
      </c>
      <c r="H10" s="57" t="s">
        <v>9</v>
      </c>
      <c r="I10" s="57" t="s">
        <v>5</v>
      </c>
      <c r="J10" s="58" t="s">
        <v>6</v>
      </c>
      <c r="K10" s="58" t="s">
        <v>7</v>
      </c>
      <c r="L10" s="59" t="s">
        <v>142</v>
      </c>
      <c r="M10" s="57" t="s">
        <v>138</v>
      </c>
      <c r="N10" s="57" t="s">
        <v>131</v>
      </c>
    </row>
    <row r="11" spans="2:14" x14ac:dyDescent="0.25">
      <c r="B11" s="25">
        <v>44931</v>
      </c>
      <c r="C11" s="3" t="s">
        <v>207</v>
      </c>
      <c r="D11" s="174" t="str">
        <f>IF(C11="","",VLOOKUP(C11,Listes!$J$3:$K$10,2,0))</f>
        <v>ó</v>
      </c>
      <c r="E11" s="3"/>
      <c r="F11" s="3"/>
      <c r="G11" s="3"/>
      <c r="H11" s="26"/>
      <c r="I11" s="3" t="s">
        <v>198</v>
      </c>
      <c r="K11" s="14">
        <v>200</v>
      </c>
      <c r="L11" s="12">
        <f>IF(AND(J11="",K11=""),"",L6+K11-J11)</f>
        <v>3200</v>
      </c>
      <c r="M11" s="33" t="s">
        <v>139</v>
      </c>
      <c r="N11" s="24">
        <f>IF(M11="","",L6-J11+K11)</f>
        <v>3200</v>
      </c>
    </row>
    <row r="12" spans="2:14" ht="15" customHeight="1" x14ac:dyDescent="0.25">
      <c r="B12" s="25"/>
      <c r="C12" s="3"/>
      <c r="D12" s="174"/>
      <c r="E12" s="3"/>
      <c r="F12" s="3"/>
      <c r="G12" s="3"/>
      <c r="H12" s="3"/>
      <c r="I12" s="3"/>
      <c r="L12" s="12" t="str">
        <f>IF(AND(J12="",K12=""),"",L11+K12-J12)</f>
        <v/>
      </c>
      <c r="M12" s="33"/>
      <c r="N12" s="24" t="str">
        <f>IF(M12="","",LOOKUP(9^9,$N$11:N11)+K12-J12)</f>
        <v/>
      </c>
    </row>
    <row r="13" spans="2:14" ht="15" customHeight="1" x14ac:dyDescent="0.25">
      <c r="B13" s="25"/>
      <c r="C13" s="3"/>
      <c r="D13" s="174"/>
      <c r="E13" s="3"/>
      <c r="F13" s="3"/>
      <c r="G13" s="3"/>
      <c r="H13" s="3"/>
      <c r="I13" s="3"/>
      <c r="L13" s="12" t="str">
        <f t="shared" ref="L13:L26" si="0">IF(AND(J13="",K13=""),"",L12+K13-J13)</f>
        <v/>
      </c>
      <c r="M13" s="33"/>
      <c r="N13" s="24" t="str">
        <f>IF(M13="","",LOOKUP(9^9,$N$11:N12)+K13-J13)</f>
        <v/>
      </c>
    </row>
    <row r="14" spans="2:14" ht="15" customHeight="1" x14ac:dyDescent="0.25">
      <c r="B14" s="25"/>
      <c r="C14" s="3"/>
      <c r="D14" s="174"/>
      <c r="E14" s="3"/>
      <c r="F14" s="3"/>
      <c r="G14" s="3"/>
      <c r="H14" s="3"/>
      <c r="I14" s="3"/>
      <c r="L14" s="12" t="str">
        <f t="shared" si="0"/>
        <v/>
      </c>
      <c r="M14" s="33"/>
      <c r="N14" s="24" t="str">
        <f>IF(M14="","",LOOKUP(9^9,$N$11:N13)+K14-J14)</f>
        <v/>
      </c>
    </row>
    <row r="15" spans="2:14" x14ac:dyDescent="0.25">
      <c r="B15" s="25"/>
      <c r="C15" s="3"/>
      <c r="D15" s="174"/>
      <c r="E15" s="3"/>
      <c r="F15" s="3"/>
      <c r="G15" s="3"/>
      <c r="H15" s="3"/>
      <c r="I15" s="3"/>
      <c r="L15" s="12" t="str">
        <f t="shared" si="0"/>
        <v/>
      </c>
      <c r="M15" s="33"/>
      <c r="N15" s="24" t="str">
        <f>IF(M15="","",LOOKUP(9^9,$N$11:N14)+K15-J15)</f>
        <v/>
      </c>
    </row>
    <row r="16" spans="2:14" x14ac:dyDescent="0.25">
      <c r="B16" s="25"/>
      <c r="C16" s="3"/>
      <c r="D16" s="174"/>
      <c r="E16" s="3"/>
      <c r="F16" s="3"/>
      <c r="G16" s="3"/>
      <c r="H16" s="3"/>
      <c r="I16" s="3"/>
      <c r="L16" s="12" t="str">
        <f t="shared" si="0"/>
        <v/>
      </c>
      <c r="M16" s="33"/>
      <c r="N16" s="24" t="str">
        <f>IF(M16="","",LOOKUP(9^9,$N$11:N15)+K16-J16)</f>
        <v/>
      </c>
    </row>
    <row r="17" spans="2:14" x14ac:dyDescent="0.25">
      <c r="B17" s="25"/>
      <c r="C17" s="3"/>
      <c r="D17" s="174"/>
      <c r="E17" s="3"/>
      <c r="F17" s="3"/>
      <c r="G17" s="3"/>
      <c r="H17" s="3"/>
      <c r="I17" s="3"/>
      <c r="L17" s="12" t="str">
        <f t="shared" si="0"/>
        <v/>
      </c>
      <c r="M17" s="33"/>
      <c r="N17" s="24" t="str">
        <f>IF(M17="","",LOOKUP(9^9,$N$11:N16)+K17-J17)</f>
        <v/>
      </c>
    </row>
    <row r="18" spans="2:14" x14ac:dyDescent="0.25">
      <c r="B18" s="25"/>
      <c r="C18" s="3"/>
      <c r="D18" s="174"/>
      <c r="E18" s="3"/>
      <c r="F18" s="3"/>
      <c r="G18" s="3"/>
      <c r="H18" s="3"/>
      <c r="I18" s="3"/>
      <c r="K18" s="179"/>
      <c r="L18" s="12" t="str">
        <f t="shared" si="0"/>
        <v/>
      </c>
      <c r="M18" s="33"/>
      <c r="N18" s="24" t="str">
        <f>IF(M18="","",LOOKUP(9^9,$N$11:N17)+K18-J18)</f>
        <v/>
      </c>
    </row>
    <row r="19" spans="2:14" x14ac:dyDescent="0.25">
      <c r="B19" s="25"/>
      <c r="C19" s="3"/>
      <c r="D19" s="174"/>
      <c r="E19" s="3"/>
      <c r="F19" s="3"/>
      <c r="G19" s="3"/>
      <c r="H19" s="3"/>
      <c r="I19" s="3"/>
      <c r="L19" s="12" t="str">
        <f t="shared" si="0"/>
        <v/>
      </c>
      <c r="M19" s="33"/>
      <c r="N19" s="24" t="str">
        <f>IF(M19="","",LOOKUP(9^9,$N$11:N18)+K19-J19)</f>
        <v/>
      </c>
    </row>
    <row r="20" spans="2:14" x14ac:dyDescent="0.25">
      <c r="B20" s="25"/>
      <c r="C20" s="3"/>
      <c r="D20" s="174" t="str">
        <f>IF(C20="","",VLOOKUP(C20,Listes!$J$3:$K$10,2,0))</f>
        <v/>
      </c>
      <c r="E20" s="3"/>
      <c r="F20" s="3"/>
      <c r="G20" s="3"/>
      <c r="H20" s="3"/>
      <c r="I20" s="3"/>
      <c r="L20" s="12" t="str">
        <f t="shared" si="0"/>
        <v/>
      </c>
      <c r="M20" s="34"/>
      <c r="N20" s="24" t="str">
        <f>IF(M20="","",LOOKUP(9^9,$N$11:N19)+K20-J20)</f>
        <v/>
      </c>
    </row>
    <row r="21" spans="2:14" x14ac:dyDescent="0.25">
      <c r="B21" s="25"/>
      <c r="C21" s="3"/>
      <c r="D21" s="174" t="str">
        <f>IF(C21="","",VLOOKUP(C21,Listes!$J$3:$K$10,2,0))</f>
        <v/>
      </c>
      <c r="E21" s="3"/>
      <c r="F21" s="3"/>
      <c r="G21" s="3"/>
      <c r="H21" s="3"/>
      <c r="I21" s="3"/>
      <c r="L21" s="12" t="str">
        <f t="shared" si="0"/>
        <v/>
      </c>
      <c r="M21" s="34"/>
      <c r="N21" s="24" t="str">
        <f>IF(M21="","",LOOKUP(9^9,$N$11:N20)+K21-J21)</f>
        <v/>
      </c>
    </row>
    <row r="22" spans="2:14" x14ac:dyDescent="0.25">
      <c r="B22" s="25"/>
      <c r="C22" s="3"/>
      <c r="D22" s="174" t="str">
        <f>IF(C22="","",VLOOKUP(C22,Listes!$J$3:$K$10,2,0))</f>
        <v/>
      </c>
      <c r="E22" s="3"/>
      <c r="F22" s="3"/>
      <c r="G22" s="3"/>
      <c r="H22" s="3"/>
      <c r="I22" s="3"/>
      <c r="L22" s="12" t="str">
        <f t="shared" si="0"/>
        <v/>
      </c>
      <c r="M22" s="34"/>
      <c r="N22" s="24" t="str">
        <f>IF(M22="","",LOOKUP(9^9,$N$11:N21)+K22-J22)</f>
        <v/>
      </c>
    </row>
    <row r="23" spans="2:14" x14ac:dyDescent="0.25">
      <c r="B23" s="25"/>
      <c r="C23" s="3"/>
      <c r="D23" s="174" t="str">
        <f>IF(C23="","",VLOOKUP(C23,Listes!$J$3:$K$10,2,0))</f>
        <v/>
      </c>
      <c r="E23" s="3"/>
      <c r="F23" s="3"/>
      <c r="G23" s="3"/>
      <c r="H23" s="3"/>
      <c r="I23" s="3"/>
      <c r="L23" s="12" t="str">
        <f t="shared" si="0"/>
        <v/>
      </c>
      <c r="M23" s="34"/>
      <c r="N23" s="24" t="str">
        <f>IF(M23="","",LOOKUP(9^9,$N$11:N22)+K23-J23)</f>
        <v/>
      </c>
    </row>
    <row r="24" spans="2:14" ht="15" customHeight="1" x14ac:dyDescent="0.25">
      <c r="B24" s="25"/>
      <c r="C24" s="3"/>
      <c r="D24" s="174" t="str">
        <f>IF(C24="","",VLOOKUP(C24,Listes!$J$3:$K$10,2,0))</f>
        <v/>
      </c>
      <c r="E24" s="3"/>
      <c r="F24" s="3"/>
      <c r="G24" s="3"/>
      <c r="H24" s="3"/>
      <c r="I24" s="3"/>
      <c r="L24" s="12" t="str">
        <f t="shared" si="0"/>
        <v/>
      </c>
      <c r="M24" s="22"/>
      <c r="N24" s="24" t="str">
        <f>IF(M24="","",LOOKUP(9^9,$N$11:N23)+K24-J24)</f>
        <v/>
      </c>
    </row>
    <row r="25" spans="2:14" x14ac:dyDescent="0.25">
      <c r="B25" s="25"/>
      <c r="C25" s="3"/>
      <c r="D25" s="174" t="str">
        <f>IF(C25="","",VLOOKUP(C25,Listes!$J$3:$K$10,2,0))</f>
        <v/>
      </c>
      <c r="E25" s="3"/>
      <c r="F25" s="3"/>
      <c r="G25" s="3"/>
      <c r="H25" s="3"/>
      <c r="I25" s="3"/>
      <c r="L25" s="12" t="str">
        <f t="shared" si="0"/>
        <v/>
      </c>
      <c r="M25" s="22"/>
      <c r="N25" s="24" t="str">
        <f>IF(M25="","",LOOKUP(9^9,$N$11:N24)+K25-J25)</f>
        <v/>
      </c>
    </row>
    <row r="26" spans="2:14" x14ac:dyDescent="0.25">
      <c r="B26" s="25"/>
      <c r="C26" s="3"/>
      <c r="D26" s="174" t="str">
        <f>IF(C26="","",VLOOKUP(C26,Listes!$J$3:$K$10,2,0))</f>
        <v/>
      </c>
      <c r="E26" s="3"/>
      <c r="F26" s="3"/>
      <c r="G26" s="3"/>
      <c r="H26" s="3"/>
      <c r="I26" s="3"/>
      <c r="L26" s="12" t="str">
        <f t="shared" si="0"/>
        <v/>
      </c>
      <c r="M26" s="22"/>
      <c r="N26" s="24" t="str">
        <f>IF(M26="","",LOOKUP(9^9,$N$11:N25)+K26-J26)</f>
        <v/>
      </c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:D26">
    <cfRule type="containsText" dxfId="102" priority="1" operator="containsText" text="ó">
      <formula>NOT(ISERROR(SEARCH("ó",D11)))</formula>
    </cfRule>
    <cfRule type="containsText" dxfId="101" priority="2" operator="containsText" text="Ê">
      <formula>NOT(ISERROR(SEARCH("Ê",D11)))</formula>
    </cfRule>
    <cfRule type="containsText" dxfId="100" priority="3" operator="containsText" text="Æ">
      <formula>NOT(ISERROR(SEARCH("Æ",D11)))</formula>
    </cfRule>
    <cfRule type="containsText" dxfId="99" priority="4" operator="containsText" text="Æ">
      <formula>NOT(ISERROR(SEARCH("Æ",D11)))</formula>
    </cfRule>
    <cfRule type="containsText" dxfId="98" priority="5" operator="containsText" text="ó">
      <formula>NOT(ISERROR(SEARCH("ó",D11)))</formula>
    </cfRule>
    <cfRule type="containsText" dxfId="97" priority="6" operator="containsText" text="Æ">
      <formula>NOT(ISERROR(SEARCH("Æ",D11)))</formula>
    </cfRule>
    <cfRule type="containsText" dxfId="96" priority="7" operator="containsText" text="Ê">
      <formula>NOT(ISERROR(SEARCH("Ê",D11)))</formula>
    </cfRule>
    <cfRule type="containsText" dxfId="95" priority="8" operator="containsText" text="Æ">
      <formula>NOT(ISERROR(SEARCH("Æ",D11)))</formula>
    </cfRule>
    <cfRule type="containsText" dxfId="94" priority="9" operator="containsText" text="Æ">
      <formula>NOT(ISERROR(SEARCH("Æ",D11)))</formula>
    </cfRule>
  </conditionalFormatting>
  <pageMargins left="0.7" right="0.7" top="0.75" bottom="0.75" header="0.3" footer="0.3"/>
  <pageSetup paperSize="9" orientation="portrait" r:id="rId1"/>
  <ignoredErrors>
    <ignoredError sqref="L11:L26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48A0212-5976-4BAB-8A5D-06FBFDA834E0}">
          <x14:formula1>
            <xm:f>Listes!$B$3:$B$32</xm:f>
          </x14:formula1>
          <xm:sqref>E11:E26</xm:sqref>
        </x14:dataValidation>
        <x14:dataValidation type="list" allowBlank="1" showInputMessage="1" showErrorMessage="1" xr:uid="{C0B60A46-4C5D-4EBE-879B-4DB909605923}">
          <x14:formula1>
            <xm:f>Listes!$H$3:$H$31</xm:f>
          </x14:formula1>
          <xm:sqref>F11:F26</xm:sqref>
        </x14:dataValidation>
        <x14:dataValidation type="list" allowBlank="1" showInputMessage="1" showErrorMessage="1" xr:uid="{963B43B7-3A0A-48FA-827B-7196727E0374}">
          <x14:formula1>
            <xm:f>Listes!$J$3:$J$10</xm:f>
          </x14:formula1>
          <xm:sqref>C11:C26</xm:sqref>
        </x14:dataValidation>
        <x14:dataValidation type="list" allowBlank="1" showInputMessage="1" showErrorMessage="1" xr:uid="{4D40C7BE-9393-4F0E-B3B9-6D691DDC289C}">
          <x14:formula1>
            <xm:f>Listes!$F$3:$F$17</xm:f>
          </x14:formula1>
          <xm:sqref>H11:H26</xm:sqref>
        </x14:dataValidation>
        <x14:dataValidation type="list" allowBlank="1" showInputMessage="1" showErrorMessage="1" xr:uid="{FDDB6166-01B4-4F16-A8C4-ADC50F75ED9A}">
          <x14:formula1>
            <xm:f>Listes!$D$3:$D$58</xm:f>
          </x14:formula1>
          <xm:sqref>G11:G26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F9BB-3C12-4118-9FA2-742D85818193}">
  <sheetPr codeName="Feuil08">
    <tabColor theme="7" tint="-0.499984740745262"/>
  </sheetPr>
  <dimension ref="B3:N26"/>
  <sheetViews>
    <sheetView showGridLines="0" workbookViewId="0">
      <pane ySplit="10" topLeftCell="A11" activePane="bottomLeft" state="frozen"/>
      <selection pane="bottomLeft" activeCell="N26" sqref="N26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81" t="s">
        <v>145</v>
      </c>
      <c r="C4" s="82"/>
      <c r="D4" s="82"/>
      <c r="E4" s="82"/>
      <c r="F4" s="82"/>
      <c r="G4" s="82"/>
      <c r="H4" s="82"/>
      <c r="I4" s="82"/>
      <c r="J4" s="204">
        <f ca="1">TODAY()</f>
        <v>45084</v>
      </c>
      <c r="K4" s="204"/>
      <c r="L4" s="83"/>
      <c r="M4" s="84"/>
      <c r="N4" s="83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88" t="s">
        <v>132</v>
      </c>
      <c r="G6" s="189"/>
      <c r="H6" s="75">
        <f>SUM($J$11:$J467)*-1</f>
        <v>0</v>
      </c>
      <c r="I6" s="23"/>
      <c r="J6" s="194" t="s">
        <v>137</v>
      </c>
      <c r="K6" s="195"/>
      <c r="L6" s="69">
        <f>Comptes!I16</f>
        <v>4000</v>
      </c>
      <c r="M6" s="70"/>
      <c r="N6" s="28"/>
    </row>
    <row r="7" spans="2:14" s="11" customFormat="1" ht="18" customHeight="1" x14ac:dyDescent="0.25">
      <c r="B7" s="27"/>
      <c r="F7" s="190" t="s">
        <v>136</v>
      </c>
      <c r="G7" s="191"/>
      <c r="H7" s="76">
        <f>SUM($K$11:$K493)</f>
        <v>225.23</v>
      </c>
      <c r="I7" s="23"/>
      <c r="J7" s="196" t="s">
        <v>134</v>
      </c>
      <c r="K7" s="197"/>
      <c r="L7" s="71">
        <f>IF(L6="","",LOOKUP(9^9,L11:L1997))</f>
        <v>4225.2299999999996</v>
      </c>
      <c r="M7" s="72"/>
      <c r="N7" s="28"/>
    </row>
    <row r="8" spans="2:14" s="11" customFormat="1" ht="18" customHeight="1" x14ac:dyDescent="0.25">
      <c r="B8" s="27"/>
      <c r="F8" s="192" t="s">
        <v>133</v>
      </c>
      <c r="G8" s="193"/>
      <c r="H8" s="77">
        <f>H6+H7</f>
        <v>225.23</v>
      </c>
      <c r="I8" s="23"/>
      <c r="J8" s="198" t="s">
        <v>135</v>
      </c>
      <c r="K8" s="199"/>
      <c r="L8" s="73">
        <f>IF(L7="","",LOOKUP(9^9,N11:N1997))</f>
        <v>4225.2299999999996</v>
      </c>
      <c r="M8" s="74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85" t="s">
        <v>3</v>
      </c>
      <c r="C10" s="86" t="s">
        <v>140</v>
      </c>
      <c r="D10" s="86" t="s">
        <v>197</v>
      </c>
      <c r="E10" s="86" t="s">
        <v>141</v>
      </c>
      <c r="F10" s="86" t="s">
        <v>1</v>
      </c>
      <c r="G10" s="86" t="s">
        <v>8</v>
      </c>
      <c r="H10" s="86" t="s">
        <v>9</v>
      </c>
      <c r="I10" s="86" t="s">
        <v>5</v>
      </c>
      <c r="J10" s="87" t="s">
        <v>6</v>
      </c>
      <c r="K10" s="87" t="s">
        <v>7</v>
      </c>
      <c r="L10" s="88" t="s">
        <v>142</v>
      </c>
      <c r="M10" s="86" t="s">
        <v>138</v>
      </c>
      <c r="N10" s="86" t="s">
        <v>131</v>
      </c>
    </row>
    <row r="11" spans="2:14" x14ac:dyDescent="0.25">
      <c r="B11" s="25">
        <v>44927</v>
      </c>
      <c r="C11" s="3" t="s">
        <v>129</v>
      </c>
      <c r="D11" s="174" t="str">
        <f>IF(C11="","",VLOOKUP(C11,Listes!$J$3:$K$10,2,0))</f>
        <v>Ê</v>
      </c>
      <c r="E11" s="3"/>
      <c r="F11" s="3"/>
      <c r="G11" s="3"/>
      <c r="H11" s="26" t="s">
        <v>71</v>
      </c>
      <c r="I11" s="3"/>
      <c r="K11" s="14">
        <v>225.23</v>
      </c>
      <c r="L11" s="12">
        <f>IF(AND(J11="",K11=""),"",L6+K11-J11)</f>
        <v>4225.2299999999996</v>
      </c>
      <c r="M11" s="33" t="s">
        <v>139</v>
      </c>
      <c r="N11" s="24">
        <f>IF(M11="","",L6-J11+K11)</f>
        <v>4225.2299999999996</v>
      </c>
    </row>
    <row r="12" spans="2:14" ht="15" customHeight="1" x14ac:dyDescent="0.25">
      <c r="B12" s="25"/>
      <c r="C12" s="3"/>
      <c r="D12" s="174"/>
      <c r="E12" s="3"/>
      <c r="F12" s="3"/>
      <c r="G12" s="3"/>
      <c r="H12" s="3"/>
      <c r="I12" s="3"/>
      <c r="L12" s="12" t="str">
        <f t="shared" ref="L12:L26" si="0">IF(AND(J12="",K12=""),"",L11-J12+K12)</f>
        <v/>
      </c>
      <c r="M12" s="33"/>
      <c r="N12" s="24" t="str">
        <f>IF(M12="","",LOOKUP(9^9,$N$11:N11)+K12-J12)</f>
        <v/>
      </c>
    </row>
    <row r="13" spans="2:14" ht="15" customHeight="1" x14ac:dyDescent="0.25">
      <c r="B13" s="25"/>
      <c r="C13" s="3"/>
      <c r="D13" s="174" t="str">
        <f>IF(C13="","",VLOOKUP(C13,Listes!$J$3:$K$10,2,0))</f>
        <v/>
      </c>
      <c r="E13" s="3"/>
      <c r="F13" s="3"/>
      <c r="G13" s="3"/>
      <c r="H13" s="3"/>
      <c r="I13" s="3"/>
      <c r="L13" s="12" t="str">
        <f t="shared" si="0"/>
        <v/>
      </c>
      <c r="M13" s="33"/>
      <c r="N13" s="24" t="str">
        <f>IF(M13="","",LOOKUP(9^9,$N$11:N12)+K13-J13)</f>
        <v/>
      </c>
    </row>
    <row r="14" spans="2:14" ht="15" customHeight="1" x14ac:dyDescent="0.25">
      <c r="B14" s="25"/>
      <c r="C14" s="3"/>
      <c r="D14" s="174" t="str">
        <f>IF(C14="","",VLOOKUP(C14,Listes!$J$3:$K$10,2,0))</f>
        <v/>
      </c>
      <c r="E14" s="3"/>
      <c r="F14" s="3"/>
      <c r="G14" s="3"/>
      <c r="H14" s="3"/>
      <c r="I14" s="3"/>
      <c r="L14" s="12" t="str">
        <f t="shared" si="0"/>
        <v/>
      </c>
      <c r="M14" s="33"/>
      <c r="N14" s="24" t="str">
        <f>IF(M14="","",LOOKUP(9^9,$N$11:N13)+K14-J14)</f>
        <v/>
      </c>
    </row>
    <row r="15" spans="2:14" x14ac:dyDescent="0.25">
      <c r="B15" s="25"/>
      <c r="C15" s="3"/>
      <c r="D15" s="174" t="str">
        <f>IF(C15="","",VLOOKUP(C15,Listes!$J$3:$K$10,2,0))</f>
        <v/>
      </c>
      <c r="E15" s="3"/>
      <c r="F15" s="3"/>
      <c r="G15" s="3"/>
      <c r="H15" s="3"/>
      <c r="I15" s="3"/>
      <c r="L15" s="12" t="str">
        <f t="shared" si="0"/>
        <v/>
      </c>
      <c r="M15" s="33"/>
      <c r="N15" s="24" t="str">
        <f>IF(M15="","",LOOKUP(9^9,$N$11:N14)+K15-J15)</f>
        <v/>
      </c>
    </row>
    <row r="16" spans="2:14" x14ac:dyDescent="0.25">
      <c r="B16" s="25"/>
      <c r="C16" s="3"/>
      <c r="D16" s="174" t="str">
        <f>IF(C16="","",VLOOKUP(C16,Listes!$J$3:$K$10,2,0))</f>
        <v/>
      </c>
      <c r="E16" s="3"/>
      <c r="F16" s="3"/>
      <c r="G16" s="3"/>
      <c r="H16" s="3"/>
      <c r="I16" s="3"/>
      <c r="L16" s="12" t="str">
        <f t="shared" si="0"/>
        <v/>
      </c>
      <c r="M16" s="33"/>
      <c r="N16" s="24" t="str">
        <f>IF(M16="","",LOOKUP(9^9,$N$11:N15)+K16-J16)</f>
        <v/>
      </c>
    </row>
    <row r="17" spans="2:14" x14ac:dyDescent="0.25">
      <c r="B17" s="25"/>
      <c r="C17" s="3"/>
      <c r="D17" s="174" t="str">
        <f>IF(C17="","",VLOOKUP(C17,Listes!$J$3:$K$10,2,0))</f>
        <v/>
      </c>
      <c r="E17" s="3"/>
      <c r="F17" s="3"/>
      <c r="G17" s="3"/>
      <c r="H17" s="3"/>
      <c r="I17" s="3"/>
      <c r="L17" s="12" t="str">
        <f t="shared" si="0"/>
        <v/>
      </c>
      <c r="M17" s="33"/>
      <c r="N17" s="24" t="str">
        <f>IF(M17="","",LOOKUP(9^9,$N$11:N16)+K17-J17)</f>
        <v/>
      </c>
    </row>
    <row r="18" spans="2:14" x14ac:dyDescent="0.25">
      <c r="B18" s="25"/>
      <c r="C18" s="3"/>
      <c r="D18" s="174" t="str">
        <f>IF(C18="","",VLOOKUP(C18,Listes!$J$3:$K$10,2,0))</f>
        <v/>
      </c>
      <c r="E18" s="3"/>
      <c r="F18" s="3"/>
      <c r="G18" s="3"/>
      <c r="H18" s="3"/>
      <c r="I18" s="3"/>
      <c r="L18" s="12" t="str">
        <f t="shared" si="0"/>
        <v/>
      </c>
      <c r="M18" s="33"/>
      <c r="N18" s="24" t="str">
        <f>IF(M18="","",LOOKUP(9^9,$N$11:N17)+K18-J18)</f>
        <v/>
      </c>
    </row>
    <row r="19" spans="2:14" x14ac:dyDescent="0.25">
      <c r="B19" s="25"/>
      <c r="C19" s="3"/>
      <c r="D19" s="174" t="str">
        <f>IF(C19="","",VLOOKUP(C19,Listes!$J$3:$K$10,2,0))</f>
        <v/>
      </c>
      <c r="E19" s="3"/>
      <c r="F19" s="3"/>
      <c r="G19" s="3"/>
      <c r="H19" s="3"/>
      <c r="I19" s="3"/>
      <c r="L19" s="12" t="str">
        <f t="shared" si="0"/>
        <v/>
      </c>
      <c r="M19" s="33"/>
      <c r="N19" s="24" t="str">
        <f>IF(M19="","",LOOKUP(9^9,$N$11:N18)+K19-J19)</f>
        <v/>
      </c>
    </row>
    <row r="20" spans="2:14" x14ac:dyDescent="0.25">
      <c r="B20" s="25"/>
      <c r="C20" s="3"/>
      <c r="D20" s="174" t="str">
        <f>IF(C20="","",VLOOKUP(C20,Listes!$J$3:$K$10,2,0))</f>
        <v/>
      </c>
      <c r="E20" s="3"/>
      <c r="F20" s="3"/>
      <c r="G20" s="3"/>
      <c r="H20" s="3"/>
      <c r="I20" s="3"/>
      <c r="L20" s="12" t="str">
        <f t="shared" si="0"/>
        <v/>
      </c>
      <c r="M20" s="34"/>
      <c r="N20" s="24" t="str">
        <f>IF(M20="","",LOOKUP(9^9,$N$11:N19)+K20-J20)</f>
        <v/>
      </c>
    </row>
    <row r="21" spans="2:14" x14ac:dyDescent="0.25">
      <c r="B21" s="25"/>
      <c r="C21" s="3"/>
      <c r="D21" s="174" t="str">
        <f>IF(C21="","",VLOOKUP(C21,Listes!$J$3:$K$10,2,0))</f>
        <v/>
      </c>
      <c r="E21" s="3"/>
      <c r="F21" s="3"/>
      <c r="G21" s="3"/>
      <c r="H21" s="3"/>
      <c r="I21" s="3"/>
      <c r="L21" s="12" t="str">
        <f t="shared" si="0"/>
        <v/>
      </c>
      <c r="M21" s="34"/>
      <c r="N21" s="24" t="str">
        <f>IF(M21="","",LOOKUP(9^9,$N$11:N20)+K21-J21)</f>
        <v/>
      </c>
    </row>
    <row r="22" spans="2:14" x14ac:dyDescent="0.25">
      <c r="B22" s="25"/>
      <c r="C22" s="3"/>
      <c r="D22" s="174" t="str">
        <f>IF(C22="","",VLOOKUP(C22,Listes!$J$3:$K$10,2,0))</f>
        <v/>
      </c>
      <c r="E22" s="3"/>
      <c r="F22" s="3"/>
      <c r="G22" s="3"/>
      <c r="H22" s="3"/>
      <c r="I22" s="3"/>
      <c r="L22" s="12" t="str">
        <f t="shared" si="0"/>
        <v/>
      </c>
      <c r="M22" s="34"/>
      <c r="N22" s="24" t="str">
        <f>IF(M22="","",LOOKUP(9^9,$N$11:N21)+K22-J22)</f>
        <v/>
      </c>
    </row>
    <row r="23" spans="2:14" x14ac:dyDescent="0.25">
      <c r="B23" s="25"/>
      <c r="C23" s="3"/>
      <c r="D23" s="174" t="str">
        <f>IF(C23="","",VLOOKUP(C23,Listes!$J$3:$K$10,2,0))</f>
        <v/>
      </c>
      <c r="E23" s="3"/>
      <c r="F23" s="3"/>
      <c r="G23" s="3"/>
      <c r="H23" s="3"/>
      <c r="I23" s="3"/>
      <c r="L23" s="12" t="str">
        <f t="shared" si="0"/>
        <v/>
      </c>
      <c r="M23" s="34"/>
      <c r="N23" s="24" t="str">
        <f>IF(M23="","",LOOKUP(9^9,$N$11:N22)+K23-J23)</f>
        <v/>
      </c>
    </row>
    <row r="24" spans="2:14" ht="15" customHeight="1" x14ac:dyDescent="0.25">
      <c r="B24" s="25"/>
      <c r="C24" s="3"/>
      <c r="D24" s="174" t="str">
        <f>IF(C24="","",VLOOKUP(C24,Listes!$J$3:$K$10,2,0))</f>
        <v/>
      </c>
      <c r="E24" s="3"/>
      <c r="F24" s="3"/>
      <c r="G24" s="3"/>
      <c r="H24" s="3"/>
      <c r="I24" s="3"/>
      <c r="L24" s="12" t="str">
        <f t="shared" si="0"/>
        <v/>
      </c>
      <c r="M24" s="22"/>
      <c r="N24" s="24" t="str">
        <f>IF(M24="","",LOOKUP(9^9,$N$11:N23)+K24-J24)</f>
        <v/>
      </c>
    </row>
    <row r="25" spans="2:14" x14ac:dyDescent="0.25">
      <c r="B25" s="25"/>
      <c r="C25" s="3"/>
      <c r="D25" s="174" t="str">
        <f>IF(C25="","",VLOOKUP(C25,Listes!$J$3:$K$10,2,0))</f>
        <v/>
      </c>
      <c r="E25" s="3"/>
      <c r="F25" s="3"/>
      <c r="G25" s="3"/>
      <c r="H25" s="3"/>
      <c r="I25" s="3"/>
      <c r="L25" s="12" t="str">
        <f t="shared" si="0"/>
        <v/>
      </c>
      <c r="M25" s="22"/>
      <c r="N25" s="24" t="str">
        <f>IF(M25="","",LOOKUP(9^9,$N$11:N24)+K25-J25)</f>
        <v/>
      </c>
    </row>
    <row r="26" spans="2:14" x14ac:dyDescent="0.25">
      <c r="B26" s="25"/>
      <c r="C26" s="3"/>
      <c r="D26" s="174" t="str">
        <f>IF(C26="","",VLOOKUP(C26,Listes!$J$3:$K$10,2,0))</f>
        <v/>
      </c>
      <c r="E26" s="3"/>
      <c r="F26" s="3"/>
      <c r="G26" s="3"/>
      <c r="H26" s="3"/>
      <c r="I26" s="3"/>
      <c r="L26" s="12" t="str">
        <f t="shared" si="0"/>
        <v/>
      </c>
      <c r="M26" s="22"/>
      <c r="N26" s="24" t="str">
        <f>IF(M26="","",LOOKUP(9^9,$N$11:N25)+K26-J26)</f>
        <v/>
      </c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:D26">
    <cfRule type="containsText" dxfId="77" priority="1" operator="containsText" text="ó">
      <formula>NOT(ISERROR(SEARCH("ó",D11)))</formula>
    </cfRule>
    <cfRule type="containsText" dxfId="76" priority="2" operator="containsText" text="Ê">
      <formula>NOT(ISERROR(SEARCH("Ê",D11)))</formula>
    </cfRule>
    <cfRule type="containsText" dxfId="75" priority="3" operator="containsText" text="Æ">
      <formula>NOT(ISERROR(SEARCH("Æ",D11)))</formula>
    </cfRule>
    <cfRule type="containsText" dxfId="74" priority="4" operator="containsText" text="Æ">
      <formula>NOT(ISERROR(SEARCH("Æ",D11)))</formula>
    </cfRule>
    <cfRule type="containsText" dxfId="73" priority="5" operator="containsText" text="ó">
      <formula>NOT(ISERROR(SEARCH("ó",D11)))</formula>
    </cfRule>
    <cfRule type="containsText" dxfId="72" priority="6" operator="containsText" text="Æ">
      <formula>NOT(ISERROR(SEARCH("Æ",D11)))</formula>
    </cfRule>
    <cfRule type="containsText" dxfId="71" priority="7" operator="containsText" text="Ê">
      <formula>NOT(ISERROR(SEARCH("Ê",D11)))</formula>
    </cfRule>
    <cfRule type="containsText" dxfId="70" priority="8" operator="containsText" text="Æ">
      <formula>NOT(ISERROR(SEARCH("Æ",D11)))</formula>
    </cfRule>
    <cfRule type="containsText" dxfId="69" priority="9" operator="containsText" text="Æ">
      <formula>NOT(ISERROR(SEARCH("Æ",D11)))</formula>
    </cfRule>
  </conditionalFormatting>
  <pageMargins left="0.7" right="0.7" top="0.75" bottom="0.75" header="0.3" footer="0.3"/>
  <pageSetup paperSize="9" orientation="portrait" r:id="rId1"/>
  <ignoredErrors>
    <ignoredError sqref="L11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FE1FC4C1-E7F8-425C-A33F-D79CE7B10016}">
          <x14:formula1>
            <xm:f>Listes!$B$3:$B$32</xm:f>
          </x14:formula1>
          <xm:sqref>E11:E26</xm:sqref>
        </x14:dataValidation>
        <x14:dataValidation type="list" allowBlank="1" showInputMessage="1" showErrorMessage="1" xr:uid="{043B96CC-CBE4-44D3-87DD-6E93BFFE2DE1}">
          <x14:formula1>
            <xm:f>Listes!$H$3:$H$31</xm:f>
          </x14:formula1>
          <xm:sqref>F11:F26</xm:sqref>
        </x14:dataValidation>
        <x14:dataValidation type="list" allowBlank="1" showInputMessage="1" showErrorMessage="1" xr:uid="{140BEF9E-CB82-4744-ABC2-CA2D3C297D69}">
          <x14:formula1>
            <xm:f>Listes!$J$3:$J$10</xm:f>
          </x14:formula1>
          <xm:sqref>C11:C26</xm:sqref>
        </x14:dataValidation>
        <x14:dataValidation type="list" allowBlank="1" showInputMessage="1" showErrorMessage="1" xr:uid="{3209FCC5-8316-4A18-ACC0-886A9616D0C8}">
          <x14:formula1>
            <xm:f>Listes!$F$3:$F$17</xm:f>
          </x14:formula1>
          <xm:sqref>H11:H26</xm:sqref>
        </x14:dataValidation>
        <x14:dataValidation type="list" allowBlank="1" showInputMessage="1" showErrorMessage="1" xr:uid="{A44F9956-C10C-4D58-8C0D-804C0461E302}">
          <x14:formula1>
            <xm:f>Listes!$D$3:$D$58</xm:f>
          </x14:formula1>
          <xm:sqref>G11:G26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1CBAA-9F65-4A85-AD4E-879747D17885}">
  <sheetPr codeName="Feuil09">
    <tabColor theme="7" tint="-0.249977111117893"/>
  </sheetPr>
  <dimension ref="B3:N26"/>
  <sheetViews>
    <sheetView showGridLines="0" workbookViewId="0">
      <pane ySplit="10" topLeftCell="A11" activePane="bottomLeft" state="frozen"/>
      <selection pane="bottomLeft" activeCell="N26" sqref="N26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89" t="s">
        <v>146</v>
      </c>
      <c r="C4" s="90"/>
      <c r="D4" s="90"/>
      <c r="E4" s="90"/>
      <c r="F4" s="90"/>
      <c r="G4" s="90"/>
      <c r="H4" s="90"/>
      <c r="I4" s="90"/>
      <c r="J4" s="205">
        <f ca="1">TODAY()</f>
        <v>45084</v>
      </c>
      <c r="K4" s="205"/>
      <c r="L4" s="91"/>
      <c r="M4" s="92"/>
      <c r="N4" s="91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88" t="s">
        <v>132</v>
      </c>
      <c r="G6" s="189"/>
      <c r="H6" s="75">
        <f>SUM($J$11:$J470)*-1</f>
        <v>0</v>
      </c>
      <c r="I6" s="23"/>
      <c r="J6" s="194" t="s">
        <v>137</v>
      </c>
      <c r="K6" s="195"/>
      <c r="L6" s="69">
        <f>Comptes!I17</f>
        <v>4000</v>
      </c>
      <c r="M6" s="70"/>
      <c r="N6" s="28"/>
    </row>
    <row r="7" spans="2:14" s="11" customFormat="1" ht="18" customHeight="1" x14ac:dyDescent="0.25">
      <c r="B7" s="27"/>
      <c r="F7" s="190" t="s">
        <v>136</v>
      </c>
      <c r="G7" s="191"/>
      <c r="H7" s="76">
        <f>SUM($K$11:$K496)</f>
        <v>225.23</v>
      </c>
      <c r="I7" s="23"/>
      <c r="J7" s="196" t="s">
        <v>134</v>
      </c>
      <c r="K7" s="197"/>
      <c r="L7" s="71">
        <f>IF(L6="","",LOOKUP(9^9,L11:L2000))</f>
        <v>4225.2299999999996</v>
      </c>
      <c r="M7" s="72"/>
      <c r="N7" s="28"/>
    </row>
    <row r="8" spans="2:14" s="11" customFormat="1" ht="18" customHeight="1" x14ac:dyDescent="0.25">
      <c r="B8" s="27"/>
      <c r="F8" s="192" t="s">
        <v>133</v>
      </c>
      <c r="G8" s="193"/>
      <c r="H8" s="77">
        <f>H6+H7</f>
        <v>225.23</v>
      </c>
      <c r="I8" s="23"/>
      <c r="J8" s="198" t="s">
        <v>135</v>
      </c>
      <c r="K8" s="199"/>
      <c r="L8" s="73">
        <f>IF(L7="","",LOOKUP(9^9,N11:N2000))</f>
        <v>4225.2299999999996</v>
      </c>
      <c r="M8" s="74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93" t="s">
        <v>3</v>
      </c>
      <c r="C10" s="94" t="s">
        <v>140</v>
      </c>
      <c r="D10" s="94" t="s">
        <v>197</v>
      </c>
      <c r="E10" s="94" t="s">
        <v>141</v>
      </c>
      <c r="F10" s="94" t="s">
        <v>1</v>
      </c>
      <c r="G10" s="94" t="s">
        <v>8</v>
      </c>
      <c r="H10" s="94" t="s">
        <v>9</v>
      </c>
      <c r="I10" s="94" t="s">
        <v>5</v>
      </c>
      <c r="J10" s="95" t="s">
        <v>6</v>
      </c>
      <c r="K10" s="95" t="s">
        <v>7</v>
      </c>
      <c r="L10" s="96" t="s">
        <v>142</v>
      </c>
      <c r="M10" s="94" t="s">
        <v>138</v>
      </c>
      <c r="N10" s="94" t="s">
        <v>131</v>
      </c>
    </row>
    <row r="11" spans="2:14" x14ac:dyDescent="0.25">
      <c r="B11" s="25">
        <v>44927</v>
      </c>
      <c r="C11" s="3" t="s">
        <v>129</v>
      </c>
      <c r="D11" s="174" t="str">
        <f>IF(C11="","",VLOOKUP(C11,Listes!$J$3:$K$10,2,0))</f>
        <v>Ê</v>
      </c>
      <c r="E11" s="3"/>
      <c r="F11" s="3"/>
      <c r="G11" s="3"/>
      <c r="H11" s="26" t="s">
        <v>71</v>
      </c>
      <c r="I11" s="3"/>
      <c r="K11" s="14">
        <v>225.23</v>
      </c>
      <c r="L11" s="134">
        <f>IF(AND(J11="",K11=""),"",L6+K11-J11)</f>
        <v>4225.2299999999996</v>
      </c>
      <c r="M11" s="33" t="s">
        <v>139</v>
      </c>
      <c r="N11" s="24">
        <f>IF(M11="","",L6-J11+K11)</f>
        <v>4225.2299999999996</v>
      </c>
    </row>
    <row r="12" spans="2:14" ht="15" customHeight="1" x14ac:dyDescent="0.25">
      <c r="B12" s="25"/>
      <c r="C12" s="3"/>
      <c r="D12" s="174" t="str">
        <f>IF(C12="","",VLOOKUP(C12,Listes!$J$3:$K$10,2,0))</f>
        <v/>
      </c>
      <c r="E12" s="3"/>
      <c r="F12" s="3"/>
      <c r="G12" s="3"/>
      <c r="H12" s="3"/>
      <c r="I12" s="3"/>
      <c r="L12" s="12" t="str">
        <f t="shared" ref="L12:L25" si="0">IF(AND(J12="",K12=""),"",L11-J12+K12)</f>
        <v/>
      </c>
      <c r="M12" s="33"/>
      <c r="N12" s="24" t="str">
        <f>IF(M12="","",LOOKUP(9^9,$N$11:N11)+K12-J12)</f>
        <v/>
      </c>
    </row>
    <row r="13" spans="2:14" ht="15" customHeight="1" x14ac:dyDescent="0.25">
      <c r="B13" s="25"/>
      <c r="C13" s="3"/>
      <c r="D13" s="174" t="str">
        <f>IF(C13="","",VLOOKUP(C13,Listes!$J$3:$K$10,2,0))</f>
        <v/>
      </c>
      <c r="E13" s="3"/>
      <c r="F13" s="3"/>
      <c r="G13" s="3"/>
      <c r="H13" s="3"/>
      <c r="I13" s="3"/>
      <c r="L13" s="12" t="str">
        <f t="shared" si="0"/>
        <v/>
      </c>
      <c r="M13" s="33"/>
      <c r="N13" s="24" t="str">
        <f>IF(M13="","",LOOKUP(9^9,$N$11:N12)+K13-J13)</f>
        <v/>
      </c>
    </row>
    <row r="14" spans="2:14" ht="15" customHeight="1" x14ac:dyDescent="0.25">
      <c r="B14" s="25"/>
      <c r="C14" s="3"/>
      <c r="D14" s="174" t="str">
        <f>IF(C14="","",VLOOKUP(C14,Listes!$J$3:$K$10,2,0))</f>
        <v/>
      </c>
      <c r="E14" s="3"/>
      <c r="F14" s="3"/>
      <c r="G14" s="3"/>
      <c r="H14" s="3"/>
      <c r="I14" s="3"/>
      <c r="L14" s="12" t="str">
        <f t="shared" si="0"/>
        <v/>
      </c>
      <c r="M14" s="33"/>
      <c r="N14" s="24" t="str">
        <f>IF(M14="","",LOOKUP(9^9,$N$11:N13)+K14-J14)</f>
        <v/>
      </c>
    </row>
    <row r="15" spans="2:14" x14ac:dyDescent="0.25">
      <c r="B15" s="25"/>
      <c r="C15" s="3"/>
      <c r="D15" s="174" t="str">
        <f>IF(C15="","",VLOOKUP(C15,Listes!$J$3:$K$10,2,0))</f>
        <v/>
      </c>
      <c r="E15" s="3"/>
      <c r="F15" s="3"/>
      <c r="G15" s="3"/>
      <c r="H15" s="3"/>
      <c r="I15" s="3"/>
      <c r="L15" s="12" t="str">
        <f t="shared" si="0"/>
        <v/>
      </c>
      <c r="M15" s="33"/>
      <c r="N15" s="24" t="str">
        <f>IF(M15="","",LOOKUP(9^9,$N$11:N14)+K15-J15)</f>
        <v/>
      </c>
    </row>
    <row r="16" spans="2:14" x14ac:dyDescent="0.25">
      <c r="B16" s="25"/>
      <c r="C16" s="3"/>
      <c r="D16" s="174" t="str">
        <f>IF(C16="","",VLOOKUP(C16,Listes!$J$3:$K$10,2,0))</f>
        <v/>
      </c>
      <c r="E16" s="3"/>
      <c r="F16" s="3"/>
      <c r="G16" s="3"/>
      <c r="H16" s="3"/>
      <c r="I16" s="3"/>
      <c r="L16" s="12" t="str">
        <f t="shared" si="0"/>
        <v/>
      </c>
      <c r="M16" s="33"/>
      <c r="N16" s="24" t="str">
        <f>IF(M16="","",LOOKUP(9^9,$N$11:N15)+K16-J16)</f>
        <v/>
      </c>
    </row>
    <row r="17" spans="2:14" x14ac:dyDescent="0.25">
      <c r="B17" s="25"/>
      <c r="C17" s="3"/>
      <c r="D17" s="174" t="str">
        <f>IF(C17="","",VLOOKUP(C17,Listes!$J$3:$K$10,2,0))</f>
        <v/>
      </c>
      <c r="E17" s="3"/>
      <c r="F17" s="3"/>
      <c r="G17" s="3"/>
      <c r="H17" s="3"/>
      <c r="I17" s="3"/>
      <c r="L17" s="12" t="str">
        <f t="shared" si="0"/>
        <v/>
      </c>
      <c r="M17" s="33"/>
      <c r="N17" s="24" t="str">
        <f>IF(M17="","",LOOKUP(9^9,$N$11:N16)+K17-J17)</f>
        <v/>
      </c>
    </row>
    <row r="18" spans="2:14" x14ac:dyDescent="0.25">
      <c r="B18" s="25"/>
      <c r="C18" s="3"/>
      <c r="D18" s="174" t="str">
        <f>IF(C18="","",VLOOKUP(C18,Listes!$J$3:$K$10,2,0))</f>
        <v/>
      </c>
      <c r="E18" s="3"/>
      <c r="F18" s="3"/>
      <c r="G18" s="3"/>
      <c r="H18" s="3"/>
      <c r="I18" s="3"/>
      <c r="L18" s="12" t="str">
        <f t="shared" si="0"/>
        <v/>
      </c>
      <c r="M18" s="33"/>
      <c r="N18" s="24" t="str">
        <f>IF(M18="","",LOOKUP(9^9,$N$11:N17)+K18-J18)</f>
        <v/>
      </c>
    </row>
    <row r="19" spans="2:14" x14ac:dyDescent="0.25">
      <c r="B19" s="25"/>
      <c r="C19" s="3"/>
      <c r="D19" s="174" t="str">
        <f>IF(C19="","",VLOOKUP(C19,Listes!$J$3:$K$10,2,0))</f>
        <v/>
      </c>
      <c r="E19" s="3"/>
      <c r="F19" s="3"/>
      <c r="G19" s="3"/>
      <c r="H19" s="3"/>
      <c r="I19" s="3"/>
      <c r="L19" s="12" t="str">
        <f t="shared" si="0"/>
        <v/>
      </c>
      <c r="M19" s="33"/>
      <c r="N19" s="24" t="str">
        <f>IF(M19="","",LOOKUP(9^9,$N$11:N18)+K19-J19)</f>
        <v/>
      </c>
    </row>
    <row r="20" spans="2:14" x14ac:dyDescent="0.25">
      <c r="B20" s="25"/>
      <c r="C20" s="3"/>
      <c r="D20" s="174" t="str">
        <f>IF(C20="","",VLOOKUP(C20,Listes!$J$3:$K$10,2,0))</f>
        <v/>
      </c>
      <c r="E20" s="3"/>
      <c r="F20" s="3"/>
      <c r="G20" s="3"/>
      <c r="H20" s="3"/>
      <c r="I20" s="3"/>
      <c r="L20" s="12" t="str">
        <f t="shared" si="0"/>
        <v/>
      </c>
      <c r="M20" s="34"/>
      <c r="N20" s="24" t="str">
        <f>IF(M20="","",LOOKUP(9^9,$N$11:N19)+K20-J20)</f>
        <v/>
      </c>
    </row>
    <row r="21" spans="2:14" x14ac:dyDescent="0.25">
      <c r="B21" s="25"/>
      <c r="C21" s="3"/>
      <c r="D21" s="174" t="str">
        <f>IF(C21="","",VLOOKUP(C21,Listes!$J$3:$K$10,2,0))</f>
        <v/>
      </c>
      <c r="E21" s="3"/>
      <c r="F21" s="3"/>
      <c r="G21" s="3"/>
      <c r="H21" s="3"/>
      <c r="I21" s="3"/>
      <c r="L21" s="12" t="str">
        <f t="shared" si="0"/>
        <v/>
      </c>
      <c r="M21" s="34"/>
      <c r="N21" s="24" t="str">
        <f>IF(M21="","",LOOKUP(9^9,$N$11:N20)+K21-J21)</f>
        <v/>
      </c>
    </row>
    <row r="22" spans="2:14" x14ac:dyDescent="0.25">
      <c r="B22" s="25"/>
      <c r="C22" s="3"/>
      <c r="D22" s="174" t="str">
        <f>IF(C22="","",VLOOKUP(C22,Listes!$J$3:$K$10,2,0))</f>
        <v/>
      </c>
      <c r="E22" s="3"/>
      <c r="F22" s="3"/>
      <c r="G22" s="3"/>
      <c r="H22" s="3"/>
      <c r="I22" s="3"/>
      <c r="L22" s="12" t="str">
        <f t="shared" si="0"/>
        <v/>
      </c>
      <c r="M22" s="34"/>
      <c r="N22" s="24" t="str">
        <f>IF(M22="","",LOOKUP(9^9,$N$11:N21)+K22-J22)</f>
        <v/>
      </c>
    </row>
    <row r="23" spans="2:14" x14ac:dyDescent="0.25">
      <c r="B23" s="25"/>
      <c r="C23" s="3"/>
      <c r="D23" s="174" t="str">
        <f>IF(C23="","",VLOOKUP(C23,Listes!$J$3:$K$10,2,0))</f>
        <v/>
      </c>
      <c r="E23" s="3"/>
      <c r="F23" s="3"/>
      <c r="G23" s="3"/>
      <c r="H23" s="3"/>
      <c r="I23" s="3"/>
      <c r="L23" s="12" t="str">
        <f t="shared" si="0"/>
        <v/>
      </c>
      <c r="M23" s="34"/>
      <c r="N23" s="24" t="str">
        <f>IF(M23="","",LOOKUP(9^9,$N$11:N22)+K23-J23)</f>
        <v/>
      </c>
    </row>
    <row r="24" spans="2:14" ht="15" customHeight="1" x14ac:dyDescent="0.25">
      <c r="B24" s="25"/>
      <c r="C24" s="3"/>
      <c r="D24" s="174" t="str">
        <f>IF(C24="","",VLOOKUP(C24,Listes!$J$3:$K$10,2,0))</f>
        <v/>
      </c>
      <c r="E24" s="3"/>
      <c r="F24" s="3"/>
      <c r="G24" s="3"/>
      <c r="H24" s="3"/>
      <c r="I24" s="3"/>
      <c r="L24" s="12" t="str">
        <f t="shared" si="0"/>
        <v/>
      </c>
      <c r="M24" s="22"/>
      <c r="N24" s="24" t="str">
        <f>IF(M24="","",LOOKUP(9^9,$N$11:N23)+K24-J24)</f>
        <v/>
      </c>
    </row>
    <row r="25" spans="2:14" x14ac:dyDescent="0.25">
      <c r="B25" s="25"/>
      <c r="C25" s="3"/>
      <c r="D25" s="174" t="str">
        <f>IF(C25="","",VLOOKUP(C25,Listes!$J$3:$K$10,2,0))</f>
        <v/>
      </c>
      <c r="E25" s="3"/>
      <c r="F25" s="3"/>
      <c r="G25" s="3"/>
      <c r="H25" s="3"/>
      <c r="I25" s="3"/>
      <c r="L25" s="12" t="str">
        <f t="shared" si="0"/>
        <v/>
      </c>
      <c r="M25" s="22"/>
      <c r="N25" s="24" t="str">
        <f>IF(M25="","",LOOKUP(9^9,$N$11:N24)+K25-J25)</f>
        <v/>
      </c>
    </row>
    <row r="26" spans="2:14" x14ac:dyDescent="0.25">
      <c r="B26" s="25"/>
      <c r="C26" s="3"/>
      <c r="D26" s="174" t="str">
        <f>IF(C26="","",VLOOKUP(C26,Listes!$J$3:$K$10,2,0))</f>
        <v/>
      </c>
      <c r="E26" s="3"/>
      <c r="F26" s="3"/>
      <c r="G26" s="3"/>
      <c r="H26" s="3"/>
      <c r="I26" s="3"/>
      <c r="L26" s="12"/>
      <c r="M26" s="22"/>
      <c r="N26" s="24" t="str">
        <f>IF(M26="","",LOOKUP(9^9,$N$11:N25)+K26-J26)</f>
        <v/>
      </c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:D26">
    <cfRule type="containsText" dxfId="52" priority="1" operator="containsText" text="ó">
      <formula>NOT(ISERROR(SEARCH("ó",D11)))</formula>
    </cfRule>
    <cfRule type="containsText" dxfId="51" priority="2" operator="containsText" text="Ê">
      <formula>NOT(ISERROR(SEARCH("Ê",D11)))</formula>
    </cfRule>
    <cfRule type="containsText" dxfId="50" priority="3" operator="containsText" text="Æ">
      <formula>NOT(ISERROR(SEARCH("Æ",D11)))</formula>
    </cfRule>
    <cfRule type="containsText" dxfId="49" priority="4" operator="containsText" text="Æ">
      <formula>NOT(ISERROR(SEARCH("Æ",D11)))</formula>
    </cfRule>
    <cfRule type="containsText" dxfId="48" priority="5" operator="containsText" text="ó">
      <formula>NOT(ISERROR(SEARCH("ó",D11)))</formula>
    </cfRule>
    <cfRule type="containsText" dxfId="47" priority="6" operator="containsText" text="Æ">
      <formula>NOT(ISERROR(SEARCH("Æ",D11)))</formula>
    </cfRule>
    <cfRule type="containsText" dxfId="46" priority="7" operator="containsText" text="Ê">
      <formula>NOT(ISERROR(SEARCH("Ê",D11)))</formula>
    </cfRule>
    <cfRule type="containsText" dxfId="45" priority="8" operator="containsText" text="Æ">
      <formula>NOT(ISERROR(SEARCH("Æ",D11)))</formula>
    </cfRule>
    <cfRule type="containsText" dxfId="44" priority="9" operator="containsText" text="Æ">
      <formula>NOT(ISERROR(SEARCH("Æ",D11)))</formula>
    </cfRule>
  </conditionalFormatting>
  <pageMargins left="0.7" right="0.7" top="0.75" bottom="0.75" header="0.3" footer="0.3"/>
  <pageSetup paperSize="9" orientation="portrait" r:id="rId1"/>
  <ignoredErrors>
    <ignoredError sqref="L11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4F98C9B-50B2-4BAE-978E-7F042740A711}">
          <x14:formula1>
            <xm:f>Listes!$B$3:$B$32</xm:f>
          </x14:formula1>
          <xm:sqref>E11:E26</xm:sqref>
        </x14:dataValidation>
        <x14:dataValidation type="list" allowBlank="1" showInputMessage="1" showErrorMessage="1" xr:uid="{A7738EBB-74B7-405E-9A77-C7908BFAA4CA}">
          <x14:formula1>
            <xm:f>Listes!$H$3:$H$31</xm:f>
          </x14:formula1>
          <xm:sqref>F11:F26</xm:sqref>
        </x14:dataValidation>
        <x14:dataValidation type="list" allowBlank="1" showInputMessage="1" showErrorMessage="1" xr:uid="{DB34BCCF-CD15-46FA-8F85-04A693014859}">
          <x14:formula1>
            <xm:f>Listes!$J$3:$J$10</xm:f>
          </x14:formula1>
          <xm:sqref>C11:C26</xm:sqref>
        </x14:dataValidation>
        <x14:dataValidation type="list" allowBlank="1" showInputMessage="1" showErrorMessage="1" xr:uid="{953AF7C7-BB86-41F4-9958-DF9E691B24CA}">
          <x14:formula1>
            <xm:f>Listes!$F$3:$F$17</xm:f>
          </x14:formula1>
          <xm:sqref>H11:H26</xm:sqref>
        </x14:dataValidation>
        <x14:dataValidation type="list" allowBlank="1" showInputMessage="1" showErrorMessage="1" xr:uid="{5EFD269E-0395-476E-B72C-1CA85824A1FB}">
          <x14:formula1>
            <xm:f>Listes!$D$3:$D$58</xm:f>
          </x14:formula1>
          <xm:sqref>G11:G26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41A07-61DE-4FE4-9372-A2A48DBD5508}">
  <sheetPr codeName="Feuil10">
    <tabColor rgb="FFD13111"/>
  </sheetPr>
  <dimension ref="A4:O29"/>
  <sheetViews>
    <sheetView showGridLines="0" workbookViewId="0">
      <selection activeCell="I30" sqref="I30"/>
    </sheetView>
  </sheetViews>
  <sheetFormatPr baseColWidth="10" defaultRowHeight="15" x14ac:dyDescent="0.25"/>
  <cols>
    <col min="1" max="1" width="12.28515625" customWidth="1"/>
    <col min="2" max="2" width="12.7109375" style="1" customWidth="1"/>
    <col min="3" max="3" width="22.7109375" style="1" customWidth="1"/>
    <col min="4" max="4" width="3.85546875" style="1" customWidth="1"/>
    <col min="5" max="7" width="17.7109375" customWidth="1"/>
    <col min="8" max="8" width="44.7109375" customWidth="1"/>
    <col min="9" max="10" width="10.7109375" customWidth="1"/>
    <col min="11" max="12" width="17.7109375" customWidth="1"/>
    <col min="13" max="13" width="13" customWidth="1"/>
  </cols>
  <sheetData>
    <row r="4" spans="1:15" ht="30" customHeight="1" x14ac:dyDescent="0.25">
      <c r="B4" s="60" t="s">
        <v>149</v>
      </c>
      <c r="C4" s="60"/>
      <c r="D4" s="60"/>
      <c r="E4" s="61"/>
      <c r="F4" s="61"/>
      <c r="G4" s="61"/>
      <c r="H4" s="61"/>
      <c r="I4" s="61"/>
      <c r="J4" s="61"/>
      <c r="K4" s="118">
        <f ca="1">TODAY()</f>
        <v>45084</v>
      </c>
      <c r="L4" s="119"/>
      <c r="M4" s="61"/>
    </row>
    <row r="5" spans="1:15" ht="18" customHeight="1" x14ac:dyDescent="0.25"/>
    <row r="6" spans="1:15" s="11" customFormat="1" ht="18" customHeight="1" x14ac:dyDescent="0.25">
      <c r="B6" s="27"/>
      <c r="C6" s="27"/>
      <c r="D6" s="27"/>
      <c r="H6" s="109" t="s">
        <v>189</v>
      </c>
      <c r="I6" s="114">
        <f>COUNTIF(M11:M28,"1 mois")</f>
        <v>12</v>
      </c>
      <c r="K6" s="191"/>
      <c r="L6" s="191"/>
      <c r="M6" s="97"/>
    </row>
    <row r="7" spans="1:15" s="11" customFormat="1" ht="18" customHeight="1" x14ac:dyDescent="0.25">
      <c r="A7" s="27"/>
      <c r="B7" s="27"/>
      <c r="C7" s="27"/>
      <c r="D7" s="27"/>
      <c r="H7" s="110" t="s">
        <v>190</v>
      </c>
      <c r="I7" s="115">
        <f>COUNTIF(M12:M28,"3 mois")</f>
        <v>1</v>
      </c>
      <c r="K7" s="191"/>
      <c r="L7" s="191"/>
      <c r="M7" s="97"/>
    </row>
    <row r="8" spans="1:15" s="11" customFormat="1" ht="18" customHeight="1" x14ac:dyDescent="0.25">
      <c r="B8" s="27"/>
      <c r="C8" s="27"/>
      <c r="D8" s="27"/>
      <c r="H8" s="111" t="s">
        <v>191</v>
      </c>
      <c r="I8" s="116">
        <f>COUNTIF(M13:M28,"1 an")</f>
        <v>5</v>
      </c>
      <c r="K8" s="191"/>
      <c r="L8" s="191"/>
      <c r="M8" s="97"/>
    </row>
    <row r="9" spans="1:15" ht="18" customHeight="1" x14ac:dyDescent="0.25">
      <c r="K9" s="8"/>
      <c r="M9" s="10"/>
    </row>
    <row r="10" spans="1:15" s="11" customFormat="1" ht="30" customHeight="1" x14ac:dyDescent="0.25">
      <c r="A10" s="11" t="s">
        <v>167</v>
      </c>
      <c r="B10" s="63" t="s">
        <v>3</v>
      </c>
      <c r="C10" s="62" t="s">
        <v>140</v>
      </c>
      <c r="D10" s="62" t="s">
        <v>141</v>
      </c>
      <c r="E10" s="62" t="s">
        <v>1</v>
      </c>
      <c r="F10" s="62" t="s">
        <v>8</v>
      </c>
      <c r="G10" s="62" t="s">
        <v>9</v>
      </c>
      <c r="H10" s="62" t="s">
        <v>5</v>
      </c>
      <c r="I10" s="64" t="s">
        <v>6</v>
      </c>
      <c r="J10" s="64" t="s">
        <v>7</v>
      </c>
      <c r="K10" s="62" t="s">
        <v>11</v>
      </c>
      <c r="L10" s="62" t="s">
        <v>150</v>
      </c>
      <c r="M10" s="62" t="s">
        <v>10</v>
      </c>
    </row>
    <row r="11" spans="1:15" ht="15" customHeight="1" x14ac:dyDescent="0.25">
      <c r="A11" s="1">
        <f t="shared" ref="A11:A22" si="0">EDATE(O11,1)</f>
        <v>45076</v>
      </c>
      <c r="B11" s="25">
        <f t="shared" ref="B11:B28" si="1">A11</f>
        <v>45076</v>
      </c>
      <c r="C11" s="3" t="s">
        <v>127</v>
      </c>
      <c r="D11" s="174" t="str">
        <f>IF(C11="","",VLOOKUP(C11,Listes!$J$3:$K$10,2,0))</f>
        <v>Æ</v>
      </c>
      <c r="E11" s="3" t="s">
        <v>109</v>
      </c>
      <c r="F11" s="3" t="s">
        <v>59</v>
      </c>
      <c r="G11" s="3" t="s">
        <v>53</v>
      </c>
      <c r="H11" s="3" t="s">
        <v>59</v>
      </c>
      <c r="I11" s="117"/>
      <c r="J11" s="107"/>
      <c r="K11" s="3" t="s">
        <v>151</v>
      </c>
      <c r="L11" s="3"/>
      <c r="M11" s="3" t="s">
        <v>163</v>
      </c>
      <c r="O11" s="98">
        <v>45046</v>
      </c>
    </row>
    <row r="12" spans="1:15" x14ac:dyDescent="0.25">
      <c r="A12" s="1">
        <f t="shared" si="0"/>
        <v>45078</v>
      </c>
      <c r="B12" s="25">
        <f t="shared" si="1"/>
        <v>45078</v>
      </c>
      <c r="C12" s="3" t="s">
        <v>129</v>
      </c>
      <c r="D12" s="174" t="str">
        <f>IF(C12="","",VLOOKUP(C12,Listes!$J$3:$K$10,2,0))</f>
        <v>Ê</v>
      </c>
      <c r="E12" s="3" t="s">
        <v>102</v>
      </c>
      <c r="F12" s="3" t="s">
        <v>83</v>
      </c>
      <c r="G12" s="3" t="s">
        <v>72</v>
      </c>
      <c r="H12" s="3" t="s">
        <v>169</v>
      </c>
      <c r="I12" s="117"/>
      <c r="J12" s="107"/>
      <c r="K12" s="3"/>
      <c r="L12" s="3" t="s">
        <v>151</v>
      </c>
      <c r="M12" s="3" t="s">
        <v>163</v>
      </c>
      <c r="O12" s="98">
        <v>45047</v>
      </c>
    </row>
    <row r="13" spans="1:15" x14ac:dyDescent="0.25">
      <c r="A13" s="1">
        <f t="shared" si="0"/>
        <v>45078</v>
      </c>
      <c r="B13" s="25">
        <f t="shared" si="1"/>
        <v>45078</v>
      </c>
      <c r="C13" s="3" t="s">
        <v>129</v>
      </c>
      <c r="D13" s="174" t="str">
        <f>IF(C13="","",VLOOKUP(C13,Listes!$J$3:$K$10,2,0))</f>
        <v>Ê</v>
      </c>
      <c r="E13" s="3" t="s">
        <v>99</v>
      </c>
      <c r="F13" s="3" t="s">
        <v>83</v>
      </c>
      <c r="G13" s="3" t="s">
        <v>72</v>
      </c>
      <c r="H13" s="3" t="s">
        <v>170</v>
      </c>
      <c r="I13" s="117"/>
      <c r="J13" s="107"/>
      <c r="K13" s="3"/>
      <c r="L13" s="3" t="s">
        <v>151</v>
      </c>
      <c r="M13" s="3" t="s">
        <v>163</v>
      </c>
      <c r="O13" s="98">
        <v>45047</v>
      </c>
    </row>
    <row r="14" spans="1:15" x14ac:dyDescent="0.25">
      <c r="A14" s="1">
        <f t="shared" si="0"/>
        <v>45078</v>
      </c>
      <c r="B14" s="25">
        <f t="shared" si="1"/>
        <v>45078</v>
      </c>
      <c r="C14" s="3" t="s">
        <v>127</v>
      </c>
      <c r="D14" s="174" t="str">
        <f>IF(C14="","",VLOOKUP(C14,Listes!$J$3:$K$10,2,0))</f>
        <v>Æ</v>
      </c>
      <c r="E14" s="3" t="s">
        <v>118</v>
      </c>
      <c r="F14" s="3" t="s">
        <v>84</v>
      </c>
      <c r="G14" s="3" t="s">
        <v>72</v>
      </c>
      <c r="H14" s="3" t="s">
        <v>171</v>
      </c>
      <c r="I14" s="117"/>
      <c r="J14" s="107"/>
      <c r="K14" s="3"/>
      <c r="L14" s="3" t="s">
        <v>151</v>
      </c>
      <c r="M14" s="3" t="s">
        <v>163</v>
      </c>
      <c r="O14" s="98">
        <v>45047</v>
      </c>
    </row>
    <row r="15" spans="1:15" x14ac:dyDescent="0.25">
      <c r="A15" s="1">
        <f t="shared" si="0"/>
        <v>45079</v>
      </c>
      <c r="B15" s="25">
        <f t="shared" si="1"/>
        <v>45079</v>
      </c>
      <c r="C15" s="3" t="s">
        <v>200</v>
      </c>
      <c r="D15" s="174" t="e">
        <f>IF(C15="","",VLOOKUP(C15,Listes!$J$3:$K$10,2,0))</f>
        <v>#N/A</v>
      </c>
      <c r="E15" s="3" t="s">
        <v>99</v>
      </c>
      <c r="F15" s="3" t="s">
        <v>84</v>
      </c>
      <c r="G15" s="3" t="s">
        <v>72</v>
      </c>
      <c r="H15" s="3" t="s">
        <v>173</v>
      </c>
      <c r="I15" s="117"/>
      <c r="J15" s="107"/>
      <c r="K15" s="3"/>
      <c r="L15" s="3" t="s">
        <v>151</v>
      </c>
      <c r="M15" s="3" t="s">
        <v>163</v>
      </c>
      <c r="O15" s="98">
        <v>45048</v>
      </c>
    </row>
    <row r="16" spans="1:15" x14ac:dyDescent="0.25">
      <c r="A16" s="1">
        <f t="shared" si="0"/>
        <v>45082</v>
      </c>
      <c r="B16" s="25">
        <f t="shared" si="1"/>
        <v>45082</v>
      </c>
      <c r="C16" s="3" t="s">
        <v>200</v>
      </c>
      <c r="D16" s="174" t="e">
        <f>IF(C16="","",VLOOKUP(C16,Listes!$J$3:$K$10,2,0))</f>
        <v>#N/A</v>
      </c>
      <c r="E16" s="3"/>
      <c r="F16" s="3"/>
      <c r="G16" s="3"/>
      <c r="H16" s="3" t="s">
        <v>174</v>
      </c>
      <c r="I16" s="117"/>
      <c r="J16" s="108"/>
      <c r="K16" s="3" t="s">
        <v>151</v>
      </c>
      <c r="L16" s="3"/>
      <c r="M16" s="3" t="s">
        <v>163</v>
      </c>
      <c r="O16" s="98">
        <v>45051</v>
      </c>
    </row>
    <row r="17" spans="1:15" x14ac:dyDescent="0.25">
      <c r="A17" s="1">
        <f t="shared" si="0"/>
        <v>45082</v>
      </c>
      <c r="B17" s="25">
        <f t="shared" si="1"/>
        <v>45082</v>
      </c>
      <c r="C17" s="3" t="s">
        <v>200</v>
      </c>
      <c r="D17" s="174" t="e">
        <f>IF(C17="","",VLOOKUP(C17,Listes!$J$3:$K$10,2,0))</f>
        <v>#N/A</v>
      </c>
      <c r="E17" s="3"/>
      <c r="F17" s="3"/>
      <c r="G17" s="3"/>
      <c r="H17" s="3" t="s">
        <v>174</v>
      </c>
      <c r="I17" s="117"/>
      <c r="J17" s="108"/>
      <c r="K17" s="3"/>
      <c r="L17" s="3" t="s">
        <v>153</v>
      </c>
      <c r="M17" s="3" t="s">
        <v>163</v>
      </c>
      <c r="O17" s="98">
        <v>45051</v>
      </c>
    </row>
    <row r="18" spans="1:15" x14ac:dyDescent="0.25">
      <c r="A18" s="1">
        <f t="shared" si="0"/>
        <v>45082</v>
      </c>
      <c r="B18" s="25">
        <f t="shared" si="1"/>
        <v>45082</v>
      </c>
      <c r="C18" s="3" t="s">
        <v>200</v>
      </c>
      <c r="D18" s="174" t="e">
        <f>IF(C18="","",VLOOKUP(C18,Listes!$J$3:$K$10,2,0))</f>
        <v>#N/A</v>
      </c>
      <c r="E18" s="3"/>
      <c r="F18" s="3"/>
      <c r="G18" s="3"/>
      <c r="H18" s="3" t="s">
        <v>172</v>
      </c>
      <c r="I18" s="117"/>
      <c r="J18" s="108"/>
      <c r="K18" s="3" t="s">
        <v>151</v>
      </c>
      <c r="L18" s="3"/>
      <c r="M18" s="3" t="s">
        <v>163</v>
      </c>
      <c r="O18" s="98">
        <v>45051</v>
      </c>
    </row>
    <row r="19" spans="1:15" x14ac:dyDescent="0.25">
      <c r="A19" s="1">
        <f t="shared" si="0"/>
        <v>45082</v>
      </c>
      <c r="B19" s="25">
        <f t="shared" si="1"/>
        <v>45082</v>
      </c>
      <c r="C19" s="3" t="s">
        <v>200</v>
      </c>
      <c r="D19" s="174" t="e">
        <f>IF(C19="","",VLOOKUP(C19,Listes!$J$3:$K$10,2,0))</f>
        <v>#N/A</v>
      </c>
      <c r="E19" s="3"/>
      <c r="F19" s="3"/>
      <c r="G19" s="3"/>
      <c r="H19" s="3" t="s">
        <v>172</v>
      </c>
      <c r="I19" s="117"/>
      <c r="J19" s="108"/>
      <c r="K19" s="3"/>
      <c r="L19" s="3" t="s">
        <v>152</v>
      </c>
      <c r="M19" s="3" t="s">
        <v>163</v>
      </c>
      <c r="O19" s="98">
        <v>45051</v>
      </c>
    </row>
    <row r="20" spans="1:15" x14ac:dyDescent="0.25">
      <c r="A20" s="1">
        <f t="shared" si="0"/>
        <v>45085</v>
      </c>
      <c r="B20" s="25">
        <f t="shared" si="1"/>
        <v>45085</v>
      </c>
      <c r="C20" s="3" t="s">
        <v>129</v>
      </c>
      <c r="D20" s="174" t="str">
        <f>IF(C20="","",VLOOKUP(C20,Listes!$J$3:$K$10,2,0))</f>
        <v>Ê</v>
      </c>
      <c r="E20" s="3" t="s">
        <v>182</v>
      </c>
      <c r="F20" s="3" t="s">
        <v>83</v>
      </c>
      <c r="G20" s="3" t="s">
        <v>72</v>
      </c>
      <c r="H20" s="3" t="s">
        <v>168</v>
      </c>
      <c r="I20" s="117"/>
      <c r="J20" s="107"/>
      <c r="K20" s="3"/>
      <c r="L20" s="3" t="s">
        <v>151</v>
      </c>
      <c r="M20" s="3" t="s">
        <v>163</v>
      </c>
      <c r="O20" s="98">
        <v>45054</v>
      </c>
    </row>
    <row r="21" spans="1:15" x14ac:dyDescent="0.25">
      <c r="A21" s="1">
        <f t="shared" si="0"/>
        <v>45085</v>
      </c>
      <c r="B21" s="25">
        <f t="shared" si="1"/>
        <v>45085</v>
      </c>
      <c r="C21" s="3" t="s">
        <v>127</v>
      </c>
      <c r="D21" s="174" t="str">
        <f>IF(C21="","",VLOOKUP(C21,Listes!$J$3:$K$10,2,0))</f>
        <v>Æ</v>
      </c>
      <c r="E21" s="3" t="s">
        <v>124</v>
      </c>
      <c r="F21" s="3" t="s">
        <v>85</v>
      </c>
      <c r="G21" s="3"/>
      <c r="H21" s="3" t="s">
        <v>175</v>
      </c>
      <c r="I21" s="117"/>
      <c r="J21" s="107"/>
      <c r="K21" s="3" t="s">
        <v>151</v>
      </c>
      <c r="L21" s="99"/>
      <c r="M21" s="3" t="s">
        <v>163</v>
      </c>
      <c r="O21" s="98">
        <v>45054</v>
      </c>
    </row>
    <row r="22" spans="1:15" x14ac:dyDescent="0.25">
      <c r="A22" s="1">
        <f t="shared" si="0"/>
        <v>45085</v>
      </c>
      <c r="B22" s="25">
        <f t="shared" si="1"/>
        <v>45085</v>
      </c>
      <c r="C22" s="3" t="s">
        <v>127</v>
      </c>
      <c r="D22" s="174" t="str">
        <f>IF(C22="","",VLOOKUP(C22,Listes!$J$3:$K$10,2,0))</f>
        <v>Æ</v>
      </c>
      <c r="E22" s="3" t="s">
        <v>124</v>
      </c>
      <c r="F22" s="3" t="s">
        <v>85</v>
      </c>
      <c r="G22" s="3"/>
      <c r="H22" s="3" t="s">
        <v>176</v>
      </c>
      <c r="I22" s="117"/>
      <c r="J22" s="107"/>
      <c r="K22" s="3" t="s">
        <v>151</v>
      </c>
      <c r="L22" s="3"/>
      <c r="M22" s="3" t="s">
        <v>163</v>
      </c>
      <c r="O22" s="98">
        <v>45054</v>
      </c>
    </row>
    <row r="23" spans="1:15" ht="15" customHeight="1" x14ac:dyDescent="0.25">
      <c r="A23" s="1">
        <f>EDATE(O23,3)</f>
        <v>45139</v>
      </c>
      <c r="B23" s="25">
        <f t="shared" si="1"/>
        <v>45139</v>
      </c>
      <c r="C23" s="3" t="s">
        <v>127</v>
      </c>
      <c r="D23" s="174" t="str">
        <f>IF(C23="","",VLOOKUP(C23,Listes!$J$3:$K$10,2,0))</f>
        <v>Æ</v>
      </c>
      <c r="E23" s="3" t="s">
        <v>118</v>
      </c>
      <c r="F23" s="3" t="s">
        <v>84</v>
      </c>
      <c r="G23" s="3" t="s">
        <v>72</v>
      </c>
      <c r="H23" s="3" t="s">
        <v>177</v>
      </c>
      <c r="I23" s="117"/>
      <c r="J23" s="107"/>
      <c r="K23" s="3"/>
      <c r="L23" s="3" t="s">
        <v>151</v>
      </c>
      <c r="M23" s="3" t="s">
        <v>165</v>
      </c>
      <c r="O23" s="98">
        <v>45047</v>
      </c>
    </row>
    <row r="24" spans="1:15" ht="15" customHeight="1" x14ac:dyDescent="0.25">
      <c r="A24" s="1">
        <f>EDATE(O24,12)</f>
        <v>45194</v>
      </c>
      <c r="B24" s="25">
        <f t="shared" si="1"/>
        <v>45194</v>
      </c>
      <c r="C24" s="3" t="s">
        <v>127</v>
      </c>
      <c r="D24" s="174" t="str">
        <f>IF(C24="","",VLOOKUP(C24,Listes!$J$3:$K$10,2,0))</f>
        <v>Æ</v>
      </c>
      <c r="E24" s="3" t="s">
        <v>123</v>
      </c>
      <c r="F24" s="3" t="s">
        <v>66</v>
      </c>
      <c r="G24" s="3" t="s">
        <v>64</v>
      </c>
      <c r="H24" s="3" t="s">
        <v>178</v>
      </c>
      <c r="I24" s="117"/>
      <c r="J24" s="107"/>
      <c r="K24" s="3" t="s">
        <v>151</v>
      </c>
      <c r="L24" s="3"/>
      <c r="M24" s="3" t="s">
        <v>162</v>
      </c>
      <c r="O24" s="98">
        <v>44829</v>
      </c>
    </row>
    <row r="25" spans="1:15" ht="15" customHeight="1" x14ac:dyDescent="0.25">
      <c r="A25" s="1">
        <f>EDATE(O25,12)</f>
        <v>45198</v>
      </c>
      <c r="B25" s="25">
        <f t="shared" si="1"/>
        <v>45198</v>
      </c>
      <c r="C25" s="3" t="s">
        <v>127</v>
      </c>
      <c r="D25" s="174" t="str">
        <f>IF(C25="","",VLOOKUP(C25,Listes!$J$3:$K$10,2,0))</f>
        <v>Æ</v>
      </c>
      <c r="E25" s="3" t="s">
        <v>123</v>
      </c>
      <c r="F25" s="3"/>
      <c r="G25" s="3" t="s">
        <v>53</v>
      </c>
      <c r="H25" s="3" t="s">
        <v>179</v>
      </c>
      <c r="I25" s="117"/>
      <c r="J25" s="107"/>
      <c r="K25" s="3" t="s">
        <v>151</v>
      </c>
      <c r="L25" s="3"/>
      <c r="M25" s="3" t="s">
        <v>162</v>
      </c>
      <c r="O25" s="98">
        <v>44833</v>
      </c>
    </row>
    <row r="26" spans="1:15" x14ac:dyDescent="0.25">
      <c r="A26" s="1">
        <f>EDATE(O26,12)</f>
        <v>45214</v>
      </c>
      <c r="B26" s="25">
        <f t="shared" si="1"/>
        <v>45214</v>
      </c>
      <c r="C26" s="3" t="s">
        <v>127</v>
      </c>
      <c r="D26" s="174" t="str">
        <f>IF(C26="","",VLOOKUP(C26,Listes!$J$3:$K$10,2,0))</f>
        <v>Æ</v>
      </c>
      <c r="E26" s="3" t="s">
        <v>123</v>
      </c>
      <c r="F26" s="3" t="s">
        <v>67</v>
      </c>
      <c r="G26" s="3" t="s">
        <v>64</v>
      </c>
      <c r="H26" s="3" t="s">
        <v>67</v>
      </c>
      <c r="I26" s="117"/>
      <c r="J26" s="107"/>
      <c r="K26" s="3" t="s">
        <v>151</v>
      </c>
      <c r="L26" s="3"/>
      <c r="M26" s="3" t="s">
        <v>162</v>
      </c>
      <c r="O26" s="98">
        <v>44849</v>
      </c>
    </row>
    <row r="27" spans="1:15" x14ac:dyDescent="0.25">
      <c r="A27" s="1">
        <f>EDATE(O27,12)</f>
        <v>45280</v>
      </c>
      <c r="B27" s="25">
        <f t="shared" si="1"/>
        <v>45280</v>
      </c>
      <c r="C27" s="3" t="s">
        <v>129</v>
      </c>
      <c r="D27" s="174" t="str">
        <f>IF(C27="","",VLOOKUP(C27,Listes!$J$3:$K$10,2,0))</f>
        <v>Ê</v>
      </c>
      <c r="E27" s="3" t="s">
        <v>113</v>
      </c>
      <c r="F27" s="3" t="s">
        <v>83</v>
      </c>
      <c r="G27" s="3" t="s">
        <v>72</v>
      </c>
      <c r="H27" s="3" t="s">
        <v>180</v>
      </c>
      <c r="I27" s="117"/>
      <c r="J27" s="107"/>
      <c r="K27" s="3"/>
      <c r="L27" s="3" t="s">
        <v>151</v>
      </c>
      <c r="M27" s="3" t="s">
        <v>162</v>
      </c>
      <c r="O27" s="98">
        <v>44915</v>
      </c>
    </row>
    <row r="28" spans="1:15" x14ac:dyDescent="0.25">
      <c r="A28" s="1">
        <f>EDATE(O28,12)</f>
        <v>45298</v>
      </c>
      <c r="B28" s="25">
        <f t="shared" si="1"/>
        <v>45298</v>
      </c>
      <c r="C28" s="3" t="s">
        <v>127</v>
      </c>
      <c r="D28" s="174" t="str">
        <f>IF(C28="","",VLOOKUP(C28,Listes!$J$3:$K$10,2,0))</f>
        <v>Æ</v>
      </c>
      <c r="E28" s="3" t="s">
        <v>115</v>
      </c>
      <c r="F28" s="3" t="s">
        <v>37</v>
      </c>
      <c r="G28" s="3" t="s">
        <v>48</v>
      </c>
      <c r="H28" s="3"/>
      <c r="I28" s="117"/>
      <c r="J28" s="107"/>
      <c r="K28" s="3" t="s">
        <v>151</v>
      </c>
      <c r="L28" s="3"/>
      <c r="M28" s="3" t="s">
        <v>162</v>
      </c>
      <c r="O28" s="98">
        <v>44933</v>
      </c>
    </row>
    <row r="29" spans="1:15" x14ac:dyDescent="0.25">
      <c r="B29"/>
      <c r="C29"/>
      <c r="D29"/>
    </row>
  </sheetData>
  <mergeCells count="3">
    <mergeCell ref="K6:L6"/>
    <mergeCell ref="K7:L7"/>
    <mergeCell ref="K8:L8"/>
  </mergeCells>
  <conditionalFormatting sqref="D11:D28">
    <cfRule type="containsText" dxfId="27" priority="1" operator="containsText" text="ó">
      <formula>NOT(ISERROR(SEARCH("ó",D11)))</formula>
    </cfRule>
    <cfRule type="containsText" dxfId="26" priority="2" operator="containsText" text="Ê">
      <formula>NOT(ISERROR(SEARCH("Ê",D11)))</formula>
    </cfRule>
    <cfRule type="containsText" dxfId="25" priority="3" operator="containsText" text="Æ">
      <formula>NOT(ISERROR(SEARCH("Æ",D11)))</formula>
    </cfRule>
    <cfRule type="containsText" dxfId="24" priority="4" operator="containsText" text="Æ">
      <formula>NOT(ISERROR(SEARCH("Æ",D11)))</formula>
    </cfRule>
    <cfRule type="containsText" dxfId="23" priority="5" operator="containsText" text="ó">
      <formula>NOT(ISERROR(SEARCH("ó",D11)))</formula>
    </cfRule>
    <cfRule type="containsText" dxfId="22" priority="6" operator="containsText" text="Æ">
      <formula>NOT(ISERROR(SEARCH("Æ",D11)))</formula>
    </cfRule>
    <cfRule type="containsText" dxfId="21" priority="7" operator="containsText" text="Ê">
      <formula>NOT(ISERROR(SEARCH("Ê",D11)))</formula>
    </cfRule>
    <cfRule type="containsText" dxfId="20" priority="8" operator="containsText" text="Æ">
      <formula>NOT(ISERROR(SEARCH("Æ",D11)))</formula>
    </cfRule>
    <cfRule type="containsText" dxfId="19" priority="9" operator="containsText" text="Æ">
      <formula>NOT(ISERROR(SEARCH("Æ",D11)))</formula>
    </cfRule>
  </conditionalFormatting>
  <dataValidations count="1">
    <dataValidation type="list" allowBlank="1" showInputMessage="1" showErrorMessage="1" sqref="C11:C28" xr:uid="{B4617ED4-B479-451E-8894-ADF820EF5FEF}">
      <formula1>ET_ModPaie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9B9015-A518-41B0-8D21-69E01611639E}">
  <sheetPr codeName="Feuil11">
    <tabColor rgb="FFFFC000"/>
  </sheetPr>
  <dimension ref="B2:Q58"/>
  <sheetViews>
    <sheetView workbookViewId="0">
      <selection activeCell="F25" sqref="F25"/>
    </sheetView>
  </sheetViews>
  <sheetFormatPr baseColWidth="10" defaultRowHeight="15" x14ac:dyDescent="0.25"/>
  <cols>
    <col min="1" max="1" width="3.7109375" customWidth="1"/>
    <col min="2" max="2" width="12.85546875" style="113" customWidth="1"/>
    <col min="3" max="3" width="3.7109375" customWidth="1"/>
    <col min="4" max="4" width="23.85546875" style="3" customWidth="1"/>
    <col min="5" max="5" width="3.7109375" style="3" customWidth="1"/>
    <col min="6" max="6" width="37.7109375" style="3" customWidth="1"/>
    <col min="7" max="7" width="3.7109375" customWidth="1"/>
    <col min="8" max="8" width="18.28515625" customWidth="1"/>
    <col min="9" max="9" width="3.7109375" customWidth="1"/>
    <col min="10" max="10" width="21.7109375" style="3" customWidth="1"/>
    <col min="11" max="12" width="3.7109375" customWidth="1"/>
    <col min="13" max="14" width="30.42578125" style="3" customWidth="1"/>
    <col min="15" max="15" width="3.7109375" customWidth="1"/>
    <col min="16" max="16" width="12.5703125" style="3" customWidth="1"/>
    <col min="17" max="17" width="11.42578125" style="3"/>
  </cols>
  <sheetData>
    <row r="2" spans="2:17" x14ac:dyDescent="0.25">
      <c r="B2" s="130" t="s">
        <v>4</v>
      </c>
      <c r="C2" s="112"/>
      <c r="D2" s="130" t="s">
        <v>196</v>
      </c>
      <c r="E2" s="132"/>
      <c r="F2" s="130" t="s">
        <v>0</v>
      </c>
      <c r="G2" s="112"/>
      <c r="H2" s="131" t="s">
        <v>1</v>
      </c>
      <c r="I2" s="112"/>
      <c r="J2" s="130" t="s">
        <v>2</v>
      </c>
      <c r="K2" s="112"/>
      <c r="L2" s="112"/>
      <c r="M2" s="130" t="s">
        <v>192</v>
      </c>
      <c r="N2" s="130" t="s">
        <v>208</v>
      </c>
      <c r="O2" s="112"/>
      <c r="P2" s="130" t="s">
        <v>10</v>
      </c>
    </row>
    <row r="3" spans="2:17" ht="18" x14ac:dyDescent="0.4">
      <c r="B3" s="113">
        <v>3315241</v>
      </c>
      <c r="C3" s="176" t="s">
        <v>201</v>
      </c>
      <c r="D3" s="3" t="s">
        <v>78</v>
      </c>
      <c r="F3" s="3" t="s">
        <v>45</v>
      </c>
      <c r="H3" s="6" t="s">
        <v>98</v>
      </c>
      <c r="J3" s="3" t="s">
        <v>125</v>
      </c>
      <c r="K3" s="172" t="s">
        <v>156</v>
      </c>
      <c r="M3" s="3" t="s">
        <v>199</v>
      </c>
      <c r="N3" s="3" t="s">
        <v>199</v>
      </c>
      <c r="P3" s="3" t="s">
        <v>163</v>
      </c>
      <c r="Q3" s="3" t="s">
        <v>157</v>
      </c>
    </row>
    <row r="4" spans="2:17" ht="18" x14ac:dyDescent="0.4">
      <c r="B4" s="113">
        <v>3315242</v>
      </c>
      <c r="C4" s="177" t="s">
        <v>202</v>
      </c>
      <c r="D4" s="3" t="s">
        <v>34</v>
      </c>
      <c r="F4" s="3" t="s">
        <v>53</v>
      </c>
      <c r="H4" s="6" t="s">
        <v>99</v>
      </c>
      <c r="J4" s="3" t="s">
        <v>126</v>
      </c>
      <c r="K4" s="172" t="s">
        <v>156</v>
      </c>
      <c r="M4" s="3" t="s">
        <v>143</v>
      </c>
      <c r="N4" s="3" t="s">
        <v>209</v>
      </c>
      <c r="P4" s="3" t="s">
        <v>164</v>
      </c>
      <c r="Q4" s="3" t="s">
        <v>158</v>
      </c>
    </row>
    <row r="5" spans="2:17" ht="18" x14ac:dyDescent="0.4">
      <c r="B5" s="113">
        <v>3315243</v>
      </c>
      <c r="C5" s="177" t="s">
        <v>202</v>
      </c>
      <c r="D5" s="3" t="s">
        <v>97</v>
      </c>
      <c r="F5" s="3" t="s">
        <v>64</v>
      </c>
      <c r="H5" s="6" t="s">
        <v>100</v>
      </c>
      <c r="J5" s="3" t="s">
        <v>128</v>
      </c>
      <c r="K5" s="172" t="s">
        <v>156</v>
      </c>
      <c r="M5" s="3" t="s">
        <v>22</v>
      </c>
      <c r="N5" s="3" t="s">
        <v>210</v>
      </c>
      <c r="P5" s="3" t="s">
        <v>165</v>
      </c>
      <c r="Q5" s="3" t="s">
        <v>159</v>
      </c>
    </row>
    <row r="6" spans="2:17" ht="18" x14ac:dyDescent="0.4">
      <c r="B6" s="113">
        <v>3315244</v>
      </c>
      <c r="C6" s="177" t="s">
        <v>202</v>
      </c>
      <c r="D6" s="3" t="s">
        <v>35</v>
      </c>
      <c r="F6" s="3" t="s">
        <v>70</v>
      </c>
      <c r="H6" s="6" t="s">
        <v>101</v>
      </c>
      <c r="J6" s="3" t="s">
        <v>127</v>
      </c>
      <c r="K6" s="172" t="s">
        <v>156</v>
      </c>
      <c r="M6" s="3" t="s">
        <v>144</v>
      </c>
      <c r="N6" s="3" t="s">
        <v>211</v>
      </c>
      <c r="P6" s="3" t="s">
        <v>166</v>
      </c>
      <c r="Q6" s="3" t="s">
        <v>160</v>
      </c>
    </row>
    <row r="7" spans="2:17" ht="18" x14ac:dyDescent="0.4">
      <c r="B7" s="113">
        <v>3315245</v>
      </c>
      <c r="C7" s="177" t="s">
        <v>202</v>
      </c>
      <c r="D7" s="3" t="s">
        <v>36</v>
      </c>
      <c r="F7" s="3" t="s">
        <v>71</v>
      </c>
      <c r="H7" s="6" t="s">
        <v>119</v>
      </c>
      <c r="J7" s="3" t="s">
        <v>193</v>
      </c>
      <c r="K7" s="173" t="s">
        <v>181</v>
      </c>
      <c r="M7" s="3" t="s">
        <v>19</v>
      </c>
      <c r="N7" s="3" t="s">
        <v>212</v>
      </c>
      <c r="P7" s="3" t="s">
        <v>195</v>
      </c>
      <c r="Q7" s="3" t="s">
        <v>161</v>
      </c>
    </row>
    <row r="8" spans="2:17" ht="18" x14ac:dyDescent="0.4">
      <c r="B8" s="113">
        <v>3315246</v>
      </c>
      <c r="C8" s="177" t="s">
        <v>202</v>
      </c>
      <c r="D8" s="3" t="s">
        <v>54</v>
      </c>
      <c r="F8" s="3" t="s">
        <v>72</v>
      </c>
      <c r="H8" s="6" t="s">
        <v>102</v>
      </c>
      <c r="J8" s="3" t="s">
        <v>129</v>
      </c>
      <c r="K8" s="173" t="s">
        <v>181</v>
      </c>
      <c r="M8" s="3" t="s">
        <v>204</v>
      </c>
      <c r="N8" s="3" t="s">
        <v>204</v>
      </c>
    </row>
    <row r="9" spans="2:17" ht="18" x14ac:dyDescent="0.4">
      <c r="B9" s="113">
        <v>3315247</v>
      </c>
      <c r="C9" s="177" t="s">
        <v>202</v>
      </c>
      <c r="D9" s="3" t="s">
        <v>69</v>
      </c>
      <c r="F9" s="3" t="s">
        <v>79</v>
      </c>
      <c r="H9" s="6" t="s">
        <v>103</v>
      </c>
      <c r="J9" s="3" t="s">
        <v>206</v>
      </c>
      <c r="K9" s="172" t="s">
        <v>156</v>
      </c>
      <c r="M9" s="3" t="s">
        <v>205</v>
      </c>
      <c r="N9" s="3" t="s">
        <v>205</v>
      </c>
    </row>
    <row r="10" spans="2:17" ht="18" x14ac:dyDescent="0.4">
      <c r="B10" s="113">
        <v>3315248</v>
      </c>
      <c r="C10" s="177" t="s">
        <v>202</v>
      </c>
      <c r="D10" s="3" t="s">
        <v>37</v>
      </c>
      <c r="F10" s="3" t="s">
        <v>80</v>
      </c>
      <c r="H10" s="6" t="s">
        <v>183</v>
      </c>
      <c r="J10" s="3" t="s">
        <v>207</v>
      </c>
      <c r="K10" s="101" t="s">
        <v>155</v>
      </c>
    </row>
    <row r="11" spans="2:17" ht="18" x14ac:dyDescent="0.4">
      <c r="B11" s="113">
        <v>3315249</v>
      </c>
      <c r="C11" s="177" t="s">
        <v>202</v>
      </c>
      <c r="D11" s="3" t="s">
        <v>40</v>
      </c>
      <c r="F11" s="3" t="s">
        <v>48</v>
      </c>
      <c r="H11" s="6" t="s">
        <v>104</v>
      </c>
    </row>
    <row r="12" spans="2:17" ht="18" x14ac:dyDescent="0.4">
      <c r="B12" s="113">
        <v>3315250</v>
      </c>
      <c r="C12" s="177" t="s">
        <v>202</v>
      </c>
      <c r="D12" s="3" t="s">
        <v>41</v>
      </c>
      <c r="F12" s="3" t="s">
        <v>49</v>
      </c>
      <c r="H12" s="6" t="s">
        <v>105</v>
      </c>
    </row>
    <row r="13" spans="2:17" ht="18" x14ac:dyDescent="0.4">
      <c r="B13" s="113">
        <v>3315251</v>
      </c>
      <c r="C13" s="177" t="s">
        <v>202</v>
      </c>
      <c r="D13" s="3" t="s">
        <v>43</v>
      </c>
      <c r="H13" s="6" t="s">
        <v>106</v>
      </c>
    </row>
    <row r="14" spans="2:17" ht="18" x14ac:dyDescent="0.4">
      <c r="B14" s="113">
        <v>3315252</v>
      </c>
      <c r="C14" s="177" t="s">
        <v>202</v>
      </c>
      <c r="D14" s="3" t="s">
        <v>42</v>
      </c>
      <c r="H14" s="6" t="s">
        <v>182</v>
      </c>
    </row>
    <row r="15" spans="2:17" ht="18" x14ac:dyDescent="0.4">
      <c r="B15" s="113">
        <v>3315253</v>
      </c>
      <c r="C15" s="177" t="s">
        <v>202</v>
      </c>
      <c r="D15" s="3" t="s">
        <v>55</v>
      </c>
      <c r="H15" s="6" t="s">
        <v>107</v>
      </c>
    </row>
    <row r="16" spans="2:17" ht="18" x14ac:dyDescent="0.4">
      <c r="B16" s="113">
        <v>3315254</v>
      </c>
      <c r="C16" s="177" t="s">
        <v>202</v>
      </c>
      <c r="D16" s="3" t="s">
        <v>56</v>
      </c>
      <c r="H16" s="6" t="s">
        <v>108</v>
      </c>
    </row>
    <row r="17" spans="2:12" ht="18" x14ac:dyDescent="0.4">
      <c r="B17" s="113">
        <v>3315255</v>
      </c>
      <c r="C17" s="177" t="s">
        <v>202</v>
      </c>
      <c r="D17" s="3" t="s">
        <v>44</v>
      </c>
      <c r="H17" s="6" t="s">
        <v>109</v>
      </c>
    </row>
    <row r="18" spans="2:12" ht="18" x14ac:dyDescent="0.4">
      <c r="B18" s="113">
        <v>3315256</v>
      </c>
      <c r="C18" s="177" t="s">
        <v>202</v>
      </c>
      <c r="D18" s="3" t="s">
        <v>38</v>
      </c>
      <c r="H18" s="6" t="s">
        <v>110</v>
      </c>
    </row>
    <row r="19" spans="2:12" ht="18" x14ac:dyDescent="0.4">
      <c r="B19" s="113">
        <v>3315257</v>
      </c>
      <c r="C19" s="177" t="s">
        <v>202</v>
      </c>
      <c r="D19" s="3" t="s">
        <v>39</v>
      </c>
      <c r="H19" s="6" t="s">
        <v>111</v>
      </c>
      <c r="L19" s="100"/>
    </row>
    <row r="20" spans="2:12" ht="18" x14ac:dyDescent="0.4">
      <c r="B20" s="113">
        <v>3315258</v>
      </c>
      <c r="C20" s="177" t="s">
        <v>202</v>
      </c>
      <c r="D20" s="3" t="s">
        <v>87</v>
      </c>
      <c r="H20" s="6" t="s">
        <v>112</v>
      </c>
      <c r="L20" s="100"/>
    </row>
    <row r="21" spans="2:12" ht="18" x14ac:dyDescent="0.4">
      <c r="B21" s="113">
        <v>3315259</v>
      </c>
      <c r="C21" s="177" t="s">
        <v>202</v>
      </c>
      <c r="D21" s="3" t="s">
        <v>52</v>
      </c>
      <c r="H21" s="6" t="s">
        <v>113</v>
      </c>
      <c r="L21" s="100"/>
    </row>
    <row r="22" spans="2:12" ht="18" x14ac:dyDescent="0.4">
      <c r="B22" s="113">
        <v>3315260</v>
      </c>
      <c r="C22" s="177" t="s">
        <v>202</v>
      </c>
      <c r="D22" s="3" t="s">
        <v>65</v>
      </c>
      <c r="H22" s="6" t="s">
        <v>114</v>
      </c>
    </row>
    <row r="23" spans="2:12" ht="18" x14ac:dyDescent="0.4">
      <c r="B23" s="113">
        <v>3315261</v>
      </c>
      <c r="C23" s="177" t="s">
        <v>202</v>
      </c>
      <c r="D23" s="3" t="s">
        <v>57</v>
      </c>
      <c r="H23" s="6" t="s">
        <v>115</v>
      </c>
    </row>
    <row r="24" spans="2:12" ht="18" x14ac:dyDescent="0.4">
      <c r="B24" s="113">
        <v>3315262</v>
      </c>
      <c r="C24" s="177" t="s">
        <v>202</v>
      </c>
      <c r="D24" s="3" t="s">
        <v>45</v>
      </c>
      <c r="H24" s="6" t="s">
        <v>116</v>
      </c>
    </row>
    <row r="25" spans="2:12" ht="18" x14ac:dyDescent="0.4">
      <c r="B25" s="113">
        <v>3315263</v>
      </c>
      <c r="C25" s="177" t="s">
        <v>202</v>
      </c>
      <c r="D25" s="3" t="s">
        <v>46</v>
      </c>
      <c r="H25" s="6" t="s">
        <v>117</v>
      </c>
    </row>
    <row r="26" spans="2:12" ht="18" x14ac:dyDescent="0.4">
      <c r="B26" s="113">
        <v>3315264</v>
      </c>
      <c r="C26" s="177" t="s">
        <v>202</v>
      </c>
      <c r="D26" s="3" t="s">
        <v>58</v>
      </c>
      <c r="H26" s="6" t="s">
        <v>118</v>
      </c>
    </row>
    <row r="27" spans="2:12" ht="18" x14ac:dyDescent="0.4">
      <c r="B27" s="113">
        <v>3315265</v>
      </c>
      <c r="C27" s="177" t="s">
        <v>202</v>
      </c>
      <c r="D27" s="3" t="s">
        <v>59</v>
      </c>
      <c r="H27" s="6" t="s">
        <v>120</v>
      </c>
    </row>
    <row r="28" spans="2:12" ht="18" x14ac:dyDescent="0.4">
      <c r="B28" s="113">
        <v>3315266</v>
      </c>
      <c r="C28" s="177" t="s">
        <v>202</v>
      </c>
      <c r="D28" s="3" t="s">
        <v>47</v>
      </c>
      <c r="H28" s="6" t="s">
        <v>121</v>
      </c>
    </row>
    <row r="29" spans="2:12" ht="18" x14ac:dyDescent="0.4">
      <c r="B29" s="113">
        <v>3315267</v>
      </c>
      <c r="C29" s="177" t="s">
        <v>202</v>
      </c>
      <c r="D29" s="3" t="s">
        <v>203</v>
      </c>
      <c r="H29" s="6" t="s">
        <v>122</v>
      </c>
    </row>
    <row r="30" spans="2:12" ht="18" x14ac:dyDescent="0.4">
      <c r="B30" s="113">
        <v>3315268</v>
      </c>
      <c r="C30" s="177" t="s">
        <v>202</v>
      </c>
      <c r="D30" s="3" t="s">
        <v>50</v>
      </c>
      <c r="H30" s="6" t="s">
        <v>123</v>
      </c>
    </row>
    <row r="31" spans="2:12" ht="18" x14ac:dyDescent="0.4">
      <c r="B31" s="113">
        <v>3315269</v>
      </c>
      <c r="C31" s="177" t="s">
        <v>202</v>
      </c>
      <c r="D31" s="3" t="s">
        <v>60</v>
      </c>
      <c r="H31" s="6" t="s">
        <v>124</v>
      </c>
    </row>
    <row r="32" spans="2:12" ht="18" x14ac:dyDescent="0.4">
      <c r="B32" s="113">
        <v>3315270</v>
      </c>
      <c r="C32" s="177" t="s">
        <v>202</v>
      </c>
      <c r="D32" s="3" t="s">
        <v>51</v>
      </c>
      <c r="H32" s="6"/>
    </row>
    <row r="33" spans="2:8" ht="18" x14ac:dyDescent="0.4">
      <c r="B33" s="178"/>
      <c r="C33" s="177" t="s">
        <v>202</v>
      </c>
      <c r="D33" s="3" t="s">
        <v>94</v>
      </c>
      <c r="H33" s="6"/>
    </row>
    <row r="34" spans="2:8" ht="18" x14ac:dyDescent="0.4">
      <c r="B34" s="178"/>
      <c r="C34" s="177" t="s">
        <v>202</v>
      </c>
      <c r="D34" s="3" t="s">
        <v>89</v>
      </c>
      <c r="H34" s="6"/>
    </row>
    <row r="35" spans="2:8" ht="18" x14ac:dyDescent="0.4">
      <c r="B35" s="178"/>
      <c r="C35" s="177" t="s">
        <v>202</v>
      </c>
      <c r="D35" s="3" t="s">
        <v>81</v>
      </c>
      <c r="H35" s="6"/>
    </row>
    <row r="36" spans="2:8" ht="18" x14ac:dyDescent="0.4">
      <c r="C36" s="177" t="s">
        <v>202</v>
      </c>
      <c r="D36" s="3" t="s">
        <v>86</v>
      </c>
      <c r="H36" s="6"/>
    </row>
    <row r="37" spans="2:8" ht="18" x14ac:dyDescent="0.4">
      <c r="C37" s="177" t="s">
        <v>202</v>
      </c>
      <c r="D37" s="3" t="s">
        <v>61</v>
      </c>
      <c r="H37" s="6"/>
    </row>
    <row r="38" spans="2:8" ht="18" x14ac:dyDescent="0.4">
      <c r="C38" s="177" t="s">
        <v>202</v>
      </c>
      <c r="D38" s="3" t="s">
        <v>90</v>
      </c>
      <c r="H38" s="6"/>
    </row>
    <row r="39" spans="2:8" ht="18" x14ac:dyDescent="0.4">
      <c r="C39" s="177" t="s">
        <v>202</v>
      </c>
      <c r="D39" s="3" t="s">
        <v>62</v>
      </c>
      <c r="H39" s="6"/>
    </row>
    <row r="40" spans="2:8" ht="18" x14ac:dyDescent="0.4">
      <c r="C40" s="177" t="s">
        <v>202</v>
      </c>
      <c r="D40" s="3" t="s">
        <v>95</v>
      </c>
    </row>
    <row r="41" spans="2:8" ht="18" x14ac:dyDescent="0.4">
      <c r="C41" s="177" t="s">
        <v>202</v>
      </c>
      <c r="D41" s="3" t="s">
        <v>88</v>
      </c>
    </row>
    <row r="42" spans="2:8" ht="18" x14ac:dyDescent="0.4">
      <c r="C42" s="177" t="s">
        <v>202</v>
      </c>
      <c r="D42" s="3" t="s">
        <v>96</v>
      </c>
    </row>
    <row r="43" spans="2:8" ht="18" x14ac:dyDescent="0.4">
      <c r="C43" s="177" t="s">
        <v>202</v>
      </c>
      <c r="D43" s="3" t="s">
        <v>85</v>
      </c>
    </row>
    <row r="44" spans="2:8" ht="18" x14ac:dyDescent="0.4">
      <c r="C44" s="176" t="s">
        <v>201</v>
      </c>
      <c r="D44" s="3" t="s">
        <v>82</v>
      </c>
    </row>
    <row r="45" spans="2:8" ht="18" x14ac:dyDescent="0.4">
      <c r="C45" s="177" t="s">
        <v>202</v>
      </c>
      <c r="D45" s="3" t="s">
        <v>63</v>
      </c>
    </row>
    <row r="46" spans="2:8" ht="18" x14ac:dyDescent="0.4">
      <c r="C46" s="176" t="s">
        <v>201</v>
      </c>
      <c r="D46" s="3" t="s">
        <v>74</v>
      </c>
    </row>
    <row r="47" spans="2:8" ht="18" x14ac:dyDescent="0.4">
      <c r="C47" s="176" t="s">
        <v>201</v>
      </c>
      <c r="D47" s="3" t="s">
        <v>73</v>
      </c>
    </row>
    <row r="48" spans="2:8" ht="18" x14ac:dyDescent="0.4">
      <c r="C48" s="176" t="s">
        <v>201</v>
      </c>
      <c r="D48" s="3" t="s">
        <v>75</v>
      </c>
    </row>
    <row r="49" spans="3:4" ht="18" x14ac:dyDescent="0.4">
      <c r="C49" s="176" t="s">
        <v>201</v>
      </c>
      <c r="D49" s="3" t="s">
        <v>77</v>
      </c>
    </row>
    <row r="50" spans="3:4" ht="18" x14ac:dyDescent="0.4">
      <c r="C50" s="176" t="s">
        <v>201</v>
      </c>
      <c r="D50" s="3" t="s">
        <v>76</v>
      </c>
    </row>
    <row r="51" spans="3:4" ht="18" x14ac:dyDescent="0.4">
      <c r="C51" s="177" t="s">
        <v>202</v>
      </c>
      <c r="D51" s="3" t="s">
        <v>91</v>
      </c>
    </row>
    <row r="52" spans="3:4" ht="18" x14ac:dyDescent="0.4">
      <c r="C52" s="176" t="s">
        <v>201</v>
      </c>
      <c r="D52" s="3" t="s">
        <v>83</v>
      </c>
    </row>
    <row r="53" spans="3:4" ht="18" x14ac:dyDescent="0.4">
      <c r="C53" s="176" t="s">
        <v>201</v>
      </c>
      <c r="D53" s="3" t="s">
        <v>84</v>
      </c>
    </row>
    <row r="54" spans="3:4" ht="18" x14ac:dyDescent="0.4">
      <c r="C54" s="177" t="s">
        <v>202</v>
      </c>
      <c r="D54" s="3" t="s">
        <v>92</v>
      </c>
    </row>
    <row r="55" spans="3:4" ht="18" x14ac:dyDescent="0.4">
      <c r="C55" s="177" t="s">
        <v>202</v>
      </c>
      <c r="D55" s="3" t="s">
        <v>66</v>
      </c>
    </row>
    <row r="56" spans="3:4" ht="18" x14ac:dyDescent="0.4">
      <c r="C56" s="177" t="s">
        <v>202</v>
      </c>
      <c r="D56" s="3" t="s">
        <v>67</v>
      </c>
    </row>
    <row r="57" spans="3:4" ht="18" x14ac:dyDescent="0.4">
      <c r="C57" s="177" t="s">
        <v>202</v>
      </c>
      <c r="D57" s="3" t="s">
        <v>68</v>
      </c>
    </row>
    <row r="58" spans="3:4" ht="18" x14ac:dyDescent="0.4">
      <c r="C58" s="177" t="s">
        <v>202</v>
      </c>
      <c r="D58" s="3" t="s">
        <v>93</v>
      </c>
    </row>
  </sheetData>
  <sortState xmlns:xlrd2="http://schemas.microsoft.com/office/spreadsheetml/2017/richdata2" ref="F3:F19">
    <sortCondition ref="F19"/>
  </sortState>
  <phoneticPr fontId="1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92961B-5E26-4B93-9D1C-7BB47596AD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</vt:i4>
      </vt:variant>
    </vt:vector>
  </HeadingPairs>
  <TitlesOfParts>
    <vt:vector size="18" baseType="lpstr">
      <vt:lpstr>Accueil</vt:lpstr>
      <vt:lpstr>Comptes</vt:lpstr>
      <vt:lpstr>Compte Courant</vt:lpstr>
      <vt:lpstr>AsVie Carme</vt:lpstr>
      <vt:lpstr>AsVie Pierre</vt:lpstr>
      <vt:lpstr>LiA Carme</vt:lpstr>
      <vt:lpstr>LiA Pierre</vt:lpstr>
      <vt:lpstr>LEP Carme</vt:lpstr>
      <vt:lpstr>LEP Pierre </vt:lpstr>
      <vt:lpstr>Echéances</vt:lpstr>
      <vt:lpstr>Listes</vt:lpstr>
      <vt:lpstr>ET_Cheque</vt:lpstr>
      <vt:lpstr>ET_Classe</vt:lpstr>
      <vt:lpstr>ET_Compte</vt:lpstr>
      <vt:lpstr>ET_ModPaie</vt:lpstr>
      <vt:lpstr>ET_Periodicite</vt:lpstr>
      <vt:lpstr>ET_Rubrique</vt:lpstr>
      <vt:lpstr>ET_Tiers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</dc:creator>
  <cp:lastModifiedBy>Peter</cp:lastModifiedBy>
  <dcterms:created xsi:type="dcterms:W3CDTF">2023-04-05T17:54:58Z</dcterms:created>
  <dcterms:modified xsi:type="dcterms:W3CDTF">2023-06-07T15:52:49Z</dcterms:modified>
</cp:coreProperties>
</file>