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1.xml" ContentType="application/vnd.ms-excel.person+xml"/>
  <Override PartName="/xl/persons/person.xml" ContentType="application/vnd.ms-excel.person+xml"/>
  <Override PartName="/xl/persons/person2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im\Downloads\"/>
    </mc:Choice>
  </mc:AlternateContent>
  <xr:revisionPtr revIDLastSave="0" documentId="13_ncr:1_{9D5C31E0-1D8B-44F0-B0B4-DCD527522F4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leau de bord" sheetId="4" r:id="rId1"/>
    <sheet name="Décompte général" sheetId="7" r:id="rId2"/>
    <sheet name="&gt;&gt;&gt;" sheetId="11" r:id="rId3"/>
    <sheet name="&gt;&gt;&gt;&gt;" sheetId="12" r:id="rId4"/>
    <sheet name="Informations film" sheetId="5" r:id="rId5"/>
    <sheet name="Base de données ayants-droits" sheetId="3" r:id="rId6"/>
    <sheet name="Matrice décompte auteur" sheetId="2" r:id="rId7"/>
  </sheets>
  <functionGroups builtInGroupCount="19"/>
  <definedNames>
    <definedName name="ADSP" localSheetId="6">'Matrice décompte auteur'!$J$46</definedName>
    <definedName name="ANTÉRIEUR" localSheetId="1">'Décompte général'!$H$10</definedName>
    <definedName name="ANTÉRIEUR" localSheetId="6">'Matrice décompte auteur'!$H$76</definedName>
    <definedName name="CUMUL" localSheetId="1">'Décompte général'!$J$10</definedName>
    <definedName name="CUMUL" localSheetId="6">'Matrice décompte auteur'!$J$76</definedName>
    <definedName name="TAV" localSheetId="6">'Matrice décompte auteur'!$J$44</definedName>
    <definedName name="Tutoriel" localSheetId="0">'Tableau de bord'!$B$19</definedName>
    <definedName name="_xlnm.Print_Area" localSheetId="1">'Décompte général'!$A$6:$K$115</definedName>
    <definedName name="_xlnm.Print_Area" localSheetId="6">'Matrice décompte auteur'!$A$1:$K$170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7" l="1"/>
  <c r="J74" i="2"/>
  <c r="B74" i="2"/>
  <c r="B7" i="2" l="1"/>
  <c r="I19" i="2"/>
  <c r="H84" i="2"/>
  <c r="C84" i="2"/>
  <c r="I83" i="2"/>
  <c r="H83" i="2"/>
  <c r="C83" i="2"/>
  <c r="H82" i="2"/>
  <c r="G82" i="2"/>
  <c r="C82" i="2"/>
  <c r="I81" i="2"/>
  <c r="H81" i="2"/>
  <c r="C81" i="2"/>
  <c r="G78" i="2"/>
  <c r="I44" i="7"/>
  <c r="I45" i="7" s="1"/>
  <c r="I99" i="2"/>
  <c r="I38" i="7"/>
  <c r="G91" i="2"/>
  <c r="G92" i="2"/>
  <c r="G93" i="2"/>
  <c r="G94" i="2"/>
  <c r="G107" i="2"/>
  <c r="G108" i="2"/>
  <c r="G109" i="2"/>
  <c r="H135" i="2"/>
  <c r="I135" i="2"/>
  <c r="C135" i="2"/>
  <c r="H132" i="2"/>
  <c r="I132" i="2"/>
  <c r="C132" i="2"/>
  <c r="H118" i="2"/>
  <c r="I118" i="2"/>
  <c r="H111" i="2"/>
  <c r="H109" i="2"/>
  <c r="I109" i="2"/>
  <c r="C118" i="2"/>
  <c r="G111" i="2"/>
  <c r="C109" i="2"/>
  <c r="C110" i="2"/>
  <c r="C111" i="2"/>
  <c r="C112" i="2"/>
  <c r="I76" i="7"/>
  <c r="J75" i="7"/>
  <c r="J61" i="7"/>
  <c r="I62" i="7"/>
  <c r="I79" i="7"/>
  <c r="J78" i="7"/>
  <c r="I93" i="2"/>
  <c r="I98" i="2"/>
  <c r="H93" i="2"/>
  <c r="H94" i="2"/>
  <c r="H95" i="2"/>
  <c r="H96" i="2"/>
  <c r="H97" i="2"/>
  <c r="H98" i="2"/>
  <c r="H99" i="2"/>
  <c r="G97" i="2"/>
  <c r="G96" i="2"/>
  <c r="C94" i="2"/>
  <c r="C95" i="2"/>
  <c r="C96" i="2"/>
  <c r="C97" i="2"/>
  <c r="C98" i="2"/>
  <c r="C99" i="2"/>
  <c r="C100" i="2"/>
  <c r="C92" i="2"/>
  <c r="I54" i="7"/>
  <c r="J54" i="7" s="1"/>
  <c r="I53" i="7"/>
  <c r="J53" i="7" s="1"/>
  <c r="J52" i="7"/>
  <c r="I40" i="7"/>
  <c r="J40" i="7" s="1"/>
  <c r="I39" i="7"/>
  <c r="J39" i="7" s="1"/>
  <c r="J38" i="7"/>
  <c r="J36" i="7"/>
  <c r="J37" i="7"/>
  <c r="J41" i="7"/>
  <c r="J35" i="7"/>
  <c r="I32" i="7"/>
  <c r="I82" i="2" l="1"/>
  <c r="I84" i="2" s="1"/>
  <c r="J83" i="2"/>
  <c r="J81" i="2"/>
  <c r="J82" i="2"/>
  <c r="I111" i="2"/>
  <c r="J111" i="2" s="1"/>
  <c r="I96" i="2"/>
  <c r="J96" i="2" s="1"/>
  <c r="J135" i="2"/>
  <c r="J132" i="2"/>
  <c r="J118" i="2"/>
  <c r="J109" i="2"/>
  <c r="J99" i="2"/>
  <c r="J93" i="2"/>
  <c r="I94" i="2"/>
  <c r="J98" i="2"/>
  <c r="C169" i="2"/>
  <c r="G168" i="2"/>
  <c r="C168" i="2"/>
  <c r="G167" i="2"/>
  <c r="C167" i="2"/>
  <c r="H152" i="2"/>
  <c r="C152" i="2"/>
  <c r="H138" i="2"/>
  <c r="C138" i="2"/>
  <c r="H126" i="2"/>
  <c r="G126" i="2"/>
  <c r="C126" i="2"/>
  <c r="H115" i="2"/>
  <c r="C115" i="2"/>
  <c r="H102" i="2"/>
  <c r="C102" i="2"/>
  <c r="I87" i="2"/>
  <c r="H87" i="2"/>
  <c r="C87" i="2"/>
  <c r="J76" i="2"/>
  <c r="I76" i="2"/>
  <c r="H76" i="2"/>
  <c r="B77" i="2"/>
  <c r="C78" i="2"/>
  <c r="C79" i="2"/>
  <c r="H79" i="2"/>
  <c r="I79" i="2"/>
  <c r="B86" i="2"/>
  <c r="C88" i="2"/>
  <c r="G88" i="2"/>
  <c r="C89" i="2"/>
  <c r="H89" i="2"/>
  <c r="C93" i="2"/>
  <c r="H92" i="2"/>
  <c r="I92" i="2"/>
  <c r="G95" i="2"/>
  <c r="H100" i="2"/>
  <c r="I100" i="2"/>
  <c r="C101" i="2"/>
  <c r="G101" i="2"/>
  <c r="H101" i="2"/>
  <c r="B104" i="2"/>
  <c r="C105" i="2"/>
  <c r="H105" i="2"/>
  <c r="I105" i="2"/>
  <c r="C108" i="2"/>
  <c r="H108" i="2"/>
  <c r="I108" i="2"/>
  <c r="G110" i="2"/>
  <c r="H110" i="2"/>
  <c r="H112" i="2"/>
  <c r="I112" i="2"/>
  <c r="C113" i="2"/>
  <c r="H113" i="2"/>
  <c r="C114" i="2"/>
  <c r="G114" i="2"/>
  <c r="H114" i="2"/>
  <c r="B117" i="2"/>
  <c r="C119" i="2"/>
  <c r="H119" i="2"/>
  <c r="I119" i="2"/>
  <c r="C121" i="2"/>
  <c r="G121" i="2"/>
  <c r="H121" i="2"/>
  <c r="I121" i="2"/>
  <c r="C122" i="2"/>
  <c r="H122" i="2"/>
  <c r="C123" i="2"/>
  <c r="G123" i="2"/>
  <c r="H123" i="2"/>
  <c r="I123" i="2"/>
  <c r="C124" i="2"/>
  <c r="H124" i="2"/>
  <c r="C125" i="2"/>
  <c r="G125" i="2"/>
  <c r="H125" i="2"/>
  <c r="C127" i="2"/>
  <c r="H127" i="2"/>
  <c r="C128" i="2"/>
  <c r="H128" i="2"/>
  <c r="C129" i="2"/>
  <c r="H129" i="2"/>
  <c r="B131" i="2"/>
  <c r="C133" i="2"/>
  <c r="H133" i="2"/>
  <c r="I133" i="2"/>
  <c r="C136" i="2"/>
  <c r="H136" i="2"/>
  <c r="I136" i="2"/>
  <c r="C137" i="2"/>
  <c r="G137" i="2"/>
  <c r="H137" i="2"/>
  <c r="C139" i="2"/>
  <c r="H139" i="2"/>
  <c r="C140" i="2"/>
  <c r="H140" i="2"/>
  <c r="B146" i="2"/>
  <c r="C147" i="2"/>
  <c r="H147" i="2"/>
  <c r="I147" i="2"/>
  <c r="C148" i="2"/>
  <c r="G148" i="2"/>
  <c r="H148" i="2"/>
  <c r="C149" i="2"/>
  <c r="H149" i="2"/>
  <c r="C150" i="2"/>
  <c r="H150" i="2"/>
  <c r="C151" i="2"/>
  <c r="G151" i="2"/>
  <c r="H151" i="2"/>
  <c r="B154" i="2"/>
  <c r="C155" i="2"/>
  <c r="H155" i="2"/>
  <c r="I155" i="2"/>
  <c r="C156" i="2"/>
  <c r="G156" i="2"/>
  <c r="H156" i="2"/>
  <c r="C157" i="2"/>
  <c r="H157" i="2"/>
  <c r="I157" i="2"/>
  <c r="C158" i="2"/>
  <c r="H158" i="2"/>
  <c r="B161" i="2"/>
  <c r="B163" i="2"/>
  <c r="G163" i="2"/>
  <c r="C164" i="2"/>
  <c r="C165" i="2"/>
  <c r="C166" i="2"/>
  <c r="G166" i="2"/>
  <c r="I67" i="7"/>
  <c r="I69" i="7" s="1"/>
  <c r="I65" i="7"/>
  <c r="I68" i="7" s="1"/>
  <c r="J64" i="7"/>
  <c r="J84" i="2" l="1"/>
  <c r="H20" i="2" s="1"/>
  <c r="I156" i="2"/>
  <c r="I158" i="2" s="1"/>
  <c r="I137" i="2"/>
  <c r="I95" i="2"/>
  <c r="J95" i="2" s="1"/>
  <c r="J94" i="2"/>
  <c r="I97" i="2"/>
  <c r="J97" i="2" s="1"/>
  <c r="I110" i="2"/>
  <c r="I89" i="2"/>
  <c r="I148" i="2"/>
  <c r="J87" i="2"/>
  <c r="J119" i="2"/>
  <c r="J155" i="2"/>
  <c r="J147" i="2"/>
  <c r="J112" i="2"/>
  <c r="I124" i="2"/>
  <c r="J121" i="2"/>
  <c r="J123" i="2"/>
  <c r="J105" i="2"/>
  <c r="J157" i="2"/>
  <c r="J136" i="2"/>
  <c r="J100" i="2"/>
  <c r="I122" i="2"/>
  <c r="J133" i="2"/>
  <c r="J79" i="2"/>
  <c r="H19" i="2" s="1"/>
  <c r="J108" i="2"/>
  <c r="J92" i="2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2" i="3"/>
  <c r="H7" i="2"/>
  <c r="J69" i="7"/>
  <c r="J68" i="7"/>
  <c r="J67" i="7"/>
  <c r="C10" i="5"/>
  <c r="G28" i="2"/>
  <c r="I29" i="2" s="1"/>
  <c r="F50" i="2"/>
  <c r="J40" i="2"/>
  <c r="I38" i="2"/>
  <c r="I35" i="2"/>
  <c r="I32" i="2"/>
  <c r="I26" i="2"/>
  <c r="I23" i="2"/>
  <c r="I20" i="2"/>
  <c r="B14" i="2"/>
  <c r="B13" i="2"/>
  <c r="B12" i="2"/>
  <c r="B10" i="2"/>
  <c r="B9" i="2"/>
  <c r="B8" i="2"/>
  <c r="I5" i="2"/>
  <c r="B5" i="2"/>
  <c r="I4" i="2"/>
  <c r="B4" i="2"/>
  <c r="I3" i="2"/>
  <c r="B3" i="2"/>
  <c r="I101" i="7"/>
  <c r="J100" i="7"/>
  <c r="G109" i="7" s="1"/>
  <c r="J96" i="7"/>
  <c r="I95" i="7"/>
  <c r="J94" i="7"/>
  <c r="I89" i="7"/>
  <c r="I88" i="7"/>
  <c r="I87" i="7"/>
  <c r="J86" i="7"/>
  <c r="I82" i="7"/>
  <c r="I81" i="7"/>
  <c r="I80" i="7"/>
  <c r="J79" i="7"/>
  <c r="J76" i="7"/>
  <c r="I71" i="7"/>
  <c r="I70" i="7"/>
  <c r="J65" i="7"/>
  <c r="J62" i="7"/>
  <c r="I56" i="7"/>
  <c r="J55" i="7"/>
  <c r="J51" i="7"/>
  <c r="J48" i="7"/>
  <c r="J43" i="7"/>
  <c r="J42" i="7"/>
  <c r="J30" i="7"/>
  <c r="I22" i="7"/>
  <c r="J21" i="7"/>
  <c r="I18" i="7"/>
  <c r="I17" i="7"/>
  <c r="I16" i="7"/>
  <c r="J15" i="7"/>
  <c r="J13" i="7"/>
  <c r="I90" i="7" l="1"/>
  <c r="I127" i="2"/>
  <c r="J127" i="2" s="1"/>
  <c r="I72" i="7"/>
  <c r="I57" i="7"/>
  <c r="I58" i="7" s="1"/>
  <c r="I138" i="2"/>
  <c r="J138" i="2" s="1"/>
  <c r="I83" i="7"/>
  <c r="G165" i="2"/>
  <c r="I101" i="2"/>
  <c r="I102" i="2" s="1"/>
  <c r="J122" i="2"/>
  <c r="I125" i="2"/>
  <c r="J125" i="2" s="1"/>
  <c r="J124" i="2"/>
  <c r="I126" i="2"/>
  <c r="J126" i="2" s="1"/>
  <c r="J87" i="7"/>
  <c r="J148" i="2"/>
  <c r="J88" i="7"/>
  <c r="I149" i="2"/>
  <c r="J89" i="7"/>
  <c r="I150" i="2"/>
  <c r="J150" i="2" s="1"/>
  <c r="J32" i="7"/>
  <c r="J89" i="2"/>
  <c r="H23" i="2" s="1"/>
  <c r="J17" i="7"/>
  <c r="I23" i="7"/>
  <c r="J101" i="7"/>
  <c r="J80" i="7"/>
  <c r="J137" i="2"/>
  <c r="I97" i="7"/>
  <c r="J156" i="2"/>
  <c r="J82" i="7"/>
  <c r="I139" i="2"/>
  <c r="J139" i="2" s="1"/>
  <c r="J71" i="7"/>
  <c r="I128" i="2"/>
  <c r="J128" i="2" s="1"/>
  <c r="J110" i="2"/>
  <c r="J56" i="7"/>
  <c r="I113" i="2"/>
  <c r="J113" i="2" s="1"/>
  <c r="J19" i="2"/>
  <c r="I19" i="7"/>
  <c r="I26" i="7" s="1"/>
  <c r="J18" i="7"/>
  <c r="I102" i="7"/>
  <c r="J95" i="7"/>
  <c r="J22" i="7"/>
  <c r="H8" i="2"/>
  <c r="J81" i="7"/>
  <c r="J70" i="7"/>
  <c r="J23" i="2" l="1"/>
  <c r="I129" i="2"/>
  <c r="J129" i="2" s="1"/>
  <c r="H29" i="2" s="1"/>
  <c r="J149" i="2"/>
  <c r="I151" i="2"/>
  <c r="J151" i="2" s="1"/>
  <c r="I140" i="2"/>
  <c r="J140" i="2" s="1"/>
  <c r="H32" i="2" s="1"/>
  <c r="I114" i="2"/>
  <c r="J114" i="2" s="1"/>
  <c r="J101" i="2"/>
  <c r="J57" i="7"/>
  <c r="J83" i="7"/>
  <c r="J72" i="7"/>
  <c r="I24" i="7"/>
  <c r="J97" i="7"/>
  <c r="J158" i="2"/>
  <c r="H38" i="2" s="1"/>
  <c r="J23" i="7"/>
  <c r="J102" i="7"/>
  <c r="J19" i="7"/>
  <c r="J44" i="7"/>
  <c r="I91" i="7"/>
  <c r="J90" i="7"/>
  <c r="J32" i="2" l="1"/>
  <c r="I152" i="2"/>
  <c r="J152" i="2" s="1"/>
  <c r="H35" i="2" s="1"/>
  <c r="J35" i="2" s="1"/>
  <c r="J91" i="7"/>
  <c r="J58" i="7"/>
  <c r="I115" i="2"/>
  <c r="J115" i="2" s="1"/>
  <c r="H26" i="2" s="1"/>
  <c r="J24" i="7"/>
  <c r="J38" i="2"/>
  <c r="J45" i="7"/>
  <c r="J102" i="2"/>
  <c r="J29" i="2"/>
  <c r="J26" i="7"/>
  <c r="I27" i="7"/>
  <c r="J26" i="2" l="1"/>
  <c r="J27" i="7"/>
  <c r="J20" i="2"/>
  <c r="J42" i="2" s="1"/>
  <c r="J44" i="2" l="1"/>
  <c r="J48" i="2" s="1"/>
  <c r="G108" i="7"/>
  <c r="G50" i="2" l="1"/>
  <c r="G51" i="2"/>
  <c r="G113" i="7"/>
  <c r="G164" i="2"/>
  <c r="G169" i="2" s="1"/>
  <c r="F113" i="7"/>
  <c r="F169" i="2" l="1"/>
</calcChain>
</file>

<file path=xl/sharedStrings.xml><?xml version="1.0" encoding="utf-8"?>
<sst xmlns="http://schemas.openxmlformats.org/spreadsheetml/2006/main" count="162" uniqueCount="136">
  <si>
    <t>NOM</t>
  </si>
  <si>
    <t>Prénom</t>
  </si>
  <si>
    <t>Adresse</t>
  </si>
  <si>
    <t>Destinataire</t>
  </si>
  <si>
    <t>Agence artistique</t>
  </si>
  <si>
    <t>Qualité</t>
  </si>
  <si>
    <t>Mail de contact 1</t>
  </si>
  <si>
    <t>Mail de contact 2</t>
  </si>
  <si>
    <t>Mail de contact 3</t>
  </si>
  <si>
    <t>Mail de contact 4</t>
  </si>
  <si>
    <t xml:space="preserve">Contrat signé le </t>
  </si>
  <si>
    <t>Code postal et ville</t>
  </si>
  <si>
    <t>Titre du film</t>
  </si>
  <si>
    <t>Réalisation</t>
  </si>
  <si>
    <t>Sortie</t>
  </si>
  <si>
    <t>N°RCA</t>
  </si>
  <si>
    <t>Production</t>
  </si>
  <si>
    <t>jj/mm/aaaa</t>
  </si>
  <si>
    <t xml:space="preserve">
</t>
  </si>
  <si>
    <t>2/ Vidéo France</t>
  </si>
  <si>
    <t>3/ VOD France</t>
  </si>
  <si>
    <t>4/ TV France</t>
  </si>
  <si>
    <t>SACD</t>
  </si>
  <si>
    <t>5/ SVOD France</t>
  </si>
  <si>
    <t xml:space="preserve">Expéditeur </t>
  </si>
  <si>
    <t>BASE</t>
  </si>
  <si>
    <t>%</t>
  </si>
  <si>
    <t>QP</t>
  </si>
  <si>
    <t>6/ EXPLOITATION INTERNATIONALE</t>
  </si>
  <si>
    <t>TOTAL</t>
  </si>
  <si>
    <t>AGENCE ARTISTIQUE H.T.</t>
  </si>
  <si>
    <t>Avenant(s)</t>
  </si>
  <si>
    <t>CP et ville</t>
  </si>
  <si>
    <t>CUMUL</t>
  </si>
  <si>
    <t>Frais de commercialisation</t>
  </si>
  <si>
    <t>Cotisations et taxes</t>
  </si>
  <si>
    <t xml:space="preserve">Comission de distribution </t>
  </si>
  <si>
    <t>Minimum garanti</t>
  </si>
  <si>
    <t>AUTEUR.E</t>
  </si>
  <si>
    <t>Coproducteur</t>
  </si>
  <si>
    <t>Prix payé par le public (net de TVA et de TSA)</t>
  </si>
  <si>
    <t>Base de répartition</t>
  </si>
  <si>
    <t>Chiffre d'affaires brut éditeur HT</t>
  </si>
  <si>
    <t>Provision pour retour</t>
  </si>
  <si>
    <t>Prix HT payé par le public</t>
  </si>
  <si>
    <t xml:space="preserve">Recette brute </t>
  </si>
  <si>
    <t>Recette brute distributeur secteur commercial</t>
  </si>
  <si>
    <t>Commission de distribution secteur commercial</t>
  </si>
  <si>
    <t>Recette brute distributeur secteur non commercial</t>
  </si>
  <si>
    <t>6/ International</t>
  </si>
  <si>
    <t>AR QP commune</t>
  </si>
  <si>
    <t>AR QP FDS</t>
  </si>
  <si>
    <t>Recette nette part producteur cinéma France secteur commercial</t>
  </si>
  <si>
    <t>Recette nette part producteur cinéma France secteur non commercial</t>
  </si>
  <si>
    <t xml:space="preserve">Recette nette part producteur cinéma France </t>
  </si>
  <si>
    <t>Recette nette part producteur vidéo France</t>
  </si>
  <si>
    <t>Recette nette part producteur VOD France</t>
  </si>
  <si>
    <t>Recette nette part producteur TV France</t>
  </si>
  <si>
    <t>Recette nette part producteur SVOD France</t>
  </si>
  <si>
    <t>Recette nette part producteur internationale</t>
  </si>
  <si>
    <t>Recette nette part producteur autres exploitations</t>
  </si>
  <si>
    <t>Recette brute prévente(s) TV France</t>
  </si>
  <si>
    <t>Recette brute prévente(s) SVOD France</t>
  </si>
  <si>
    <t>7/ Autres</t>
  </si>
  <si>
    <t>TOTAL À VERSER</t>
  </si>
  <si>
    <t>RÉMUNÉRATION PROPORTIONNELLE</t>
  </si>
  <si>
    <t>À DÉDUIRE SITUATION PRÉCEDENTE</t>
  </si>
  <si>
    <t>Montant généré</t>
  </si>
  <si>
    <t>7/ AUTRES EXPLOITATIONS</t>
  </si>
  <si>
    <t>8/ FONDS DE SOUTIEN PRODUCTEUR</t>
  </si>
  <si>
    <t>AMORTISSEMENT DU COÛT DU FILM</t>
  </si>
  <si>
    <t>Coût du film certifié</t>
  </si>
  <si>
    <t>Crédit d'impôt cinéma</t>
  </si>
  <si>
    <t>Aides non remboursables</t>
  </si>
  <si>
    <t>Autres (placement de produits, partenariats…)</t>
  </si>
  <si>
    <t>Reste à amortir</t>
  </si>
  <si>
    <t>Fonds de soutien producteur, (75% après 50.000€)</t>
  </si>
  <si>
    <t>Recettes nettes parts producteur (y.c. MG et préventes)</t>
  </si>
  <si>
    <t>À RECEVOIR SUR LA PÉRIODE</t>
  </si>
  <si>
    <t>Période</t>
  </si>
  <si>
    <t>[à compléter]</t>
  </si>
  <si>
    <t>000 000</t>
  </si>
  <si>
    <t xml:space="preserve">FILM </t>
  </si>
  <si>
    <t>N° Répartition</t>
  </si>
  <si>
    <t>Franchise réservée au(x) producteur(s) délégué(s)</t>
  </si>
  <si>
    <t>Recette brute ventes &gt; 50k€</t>
  </si>
  <si>
    <t>Ne pas modifier cette cellule</t>
  </si>
  <si>
    <t xml:space="preserve">Ayant droit </t>
  </si>
  <si>
    <t>PÉRIODE</t>
  </si>
  <si>
    <t>1/ EXPLOITATION CINÉMA FRANCE</t>
  </si>
  <si>
    <t>2/ EXPLOITATION VIDÉO FRANCE</t>
  </si>
  <si>
    <t>3/ EXPLOITATION VOD FRANCE</t>
  </si>
  <si>
    <t>4/ EXPLOITATION TV FRANCE</t>
  </si>
  <si>
    <t>5/ EXPLOITATION SVOD FRANCE</t>
  </si>
  <si>
    <t>Scénariste</t>
  </si>
  <si>
    <t>Identifiant</t>
  </si>
  <si>
    <t>AD4</t>
  </si>
  <si>
    <t>AD1</t>
  </si>
  <si>
    <t>#</t>
  </si>
  <si>
    <t>EXEMPLE 1</t>
  </si>
  <si>
    <t>EXEMPLE 2</t>
  </si>
  <si>
    <t>AD6</t>
  </si>
  <si>
    <t>8/ FDS</t>
  </si>
  <si>
    <t xml:space="preserve">Coefficient correcteur (multiplicateur) </t>
  </si>
  <si>
    <t>[Chaîne]</t>
  </si>
  <si>
    <t>Recette brute ventes &lt; 50k€</t>
  </si>
  <si>
    <t>Chiffre d'affaires net éditeur HT - Location</t>
  </si>
  <si>
    <t>Chiffre d'affaires net éditeur HT - Vente directe</t>
  </si>
  <si>
    <t>Royalties - Location</t>
  </si>
  <si>
    <t>Chiffre d'affaires net éditeur HT - Autres circuits</t>
  </si>
  <si>
    <t>Royalties - Vente directe</t>
  </si>
  <si>
    <t>Recette brute - VOD locative</t>
  </si>
  <si>
    <t>Recette brute - Téléchargement définitif (EST)</t>
  </si>
  <si>
    <t>Comission de distribution - VOD locative</t>
  </si>
  <si>
    <t>Comission de distribution - EST</t>
  </si>
  <si>
    <t>Base de répartition auteur</t>
  </si>
  <si>
    <t>[Plateforme]</t>
  </si>
  <si>
    <t>Nombre acte</t>
  </si>
  <si>
    <t>Nombre vente</t>
  </si>
  <si>
    <t>Commission de distribution ventes &gt; 50k€</t>
  </si>
  <si>
    <t>Commission de distribution ventes &lt; 50k€</t>
  </si>
  <si>
    <t>Nombre d'entrées encaissées</t>
  </si>
  <si>
    <t>Commission de distribution secteur non commercial</t>
  </si>
  <si>
    <t>Royalties - Autres circuits</t>
  </si>
  <si>
    <t>1/ Cinéma FR C</t>
  </si>
  <si>
    <t>1/ Cinéma FR NC</t>
  </si>
  <si>
    <t>MG/investissement</t>
  </si>
  <si>
    <t>exemple1@gmail.com</t>
  </si>
  <si>
    <t>exemple2@gmail.com</t>
  </si>
  <si>
    <t>31/12/2022</t>
  </si>
  <si>
    <t>ANTÉRIEUR</t>
  </si>
  <si>
    <t>JEANJEAN</t>
  </si>
  <si>
    <t>Réalisateur.ice</t>
  </si>
  <si>
    <t>AD7</t>
  </si>
  <si>
    <t>9</t>
  </si>
  <si>
    <t>BOUTON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</si>
</sst>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_-* #,##0.00\ [$€-40C]_-;\-* #,##0.00\ [$€-40C]_-;_-* &quot;-&quot;??\ [$€-40C]_-;_-@_-"/>
    <numFmt numFmtId="166" formatCode="dd\.mm\.yyyy"/>
    <numFmt numFmtId="167" formatCode="_-* #,##0_-;\-* #,##0_-;_-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Segoe Fluent Icons"/>
      <family val="1"/>
    </font>
    <font>
      <b/>
      <sz val="10"/>
      <color theme="0"/>
      <name val="Segoe  "/>
    </font>
    <font>
      <sz val="10"/>
      <color theme="0"/>
      <name val="Segoe UI 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6A6A6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5244C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244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0" xfId="0" applyFont="1"/>
    <xf numFmtId="0" fontId="0" fillId="0" borderId="12" xfId="0" applyBorder="1"/>
    <xf numFmtId="0" fontId="0" fillId="0" borderId="0" xfId="0" applyAlignment="1">
      <alignment horizontal="left"/>
    </xf>
    <xf numFmtId="0" fontId="0" fillId="2" borderId="0" xfId="0" applyFill="1"/>
    <xf numFmtId="0" fontId="10" fillId="0" borderId="0" xfId="0" applyFont="1"/>
    <xf numFmtId="0" fontId="0" fillId="0" borderId="0" xfId="0" applyBorder="1"/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11" fillId="0" borderId="7" xfId="0" applyFont="1" applyBorder="1"/>
    <xf numFmtId="44" fontId="0" fillId="0" borderId="0" xfId="2" applyFont="1" applyBorder="1"/>
    <xf numFmtId="0" fontId="0" fillId="0" borderId="0" xfId="0" applyBorder="1" applyAlignment="1">
      <alignment horizontal="right"/>
    </xf>
    <xf numFmtId="0" fontId="12" fillId="0" borderId="2" xfId="0" applyFont="1" applyBorder="1"/>
    <xf numFmtId="9" fontId="0" fillId="0" borderId="0" xfId="0" applyNumberFormat="1" applyBorder="1"/>
    <xf numFmtId="9" fontId="0" fillId="0" borderId="10" xfId="0" applyNumberFormat="1" applyBorder="1"/>
    <xf numFmtId="164" fontId="0" fillId="0" borderId="0" xfId="1" applyNumberFormat="1" applyFont="1" applyBorder="1" applyAlignment="1">
      <alignment horizontal="center"/>
    </xf>
    <xf numFmtId="44" fontId="0" fillId="0" borderId="8" xfId="2" applyFont="1" applyBorder="1"/>
    <xf numFmtId="0" fontId="0" fillId="0" borderId="13" xfId="0" applyBorder="1"/>
    <xf numFmtId="44" fontId="0" fillId="0" borderId="11" xfId="2" applyFont="1" applyBorder="1"/>
    <xf numFmtId="44" fontId="2" fillId="0" borderId="3" xfId="0" applyNumberFormat="1" applyFont="1" applyBorder="1"/>
    <xf numFmtId="0" fontId="2" fillId="0" borderId="7" xfId="0" applyFont="1" applyBorder="1"/>
    <xf numFmtId="0" fontId="0" fillId="0" borderId="0" xfId="0" applyAlignment="1">
      <alignment horizontal="center"/>
    </xf>
    <xf numFmtId="44" fontId="0" fillId="0" borderId="8" xfId="2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/>
    <xf numFmtId="0" fontId="0" fillId="0" borderId="5" xfId="0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3" xfId="0" applyBorder="1"/>
    <xf numFmtId="0" fontId="12" fillId="0" borderId="7" xfId="0" applyFont="1" applyBorder="1"/>
    <xf numFmtId="44" fontId="0" fillId="0" borderId="8" xfId="0" applyNumberFormat="1" applyBorder="1"/>
    <xf numFmtId="44" fontId="0" fillId="0" borderId="0" xfId="0" applyNumberFormat="1" applyBorder="1"/>
    <xf numFmtId="0" fontId="0" fillId="0" borderId="0" xfId="0" applyFill="1" applyBorder="1"/>
    <xf numFmtId="0" fontId="2" fillId="0" borderId="0" xfId="0" applyFont="1" applyBorder="1"/>
    <xf numFmtId="0" fontId="0" fillId="0" borderId="12" xfId="0" applyFont="1" applyBorder="1" applyAlignment="1">
      <alignment horizontal="center" wrapText="1"/>
    </xf>
    <xf numFmtId="0" fontId="0" fillId="0" borderId="15" xfId="0" applyBorder="1"/>
    <xf numFmtId="44" fontId="0" fillId="0" borderId="15" xfId="0" applyNumberFormat="1" applyBorder="1"/>
    <xf numFmtId="44" fontId="2" fillId="0" borderId="15" xfId="0" applyNumberFormat="1" applyFont="1" applyBorder="1"/>
    <xf numFmtId="44" fontId="0" fillId="0" borderId="15" xfId="0" applyNumberFormat="1" applyFill="1" applyBorder="1"/>
    <xf numFmtId="44" fontId="0" fillId="0" borderId="0" xfId="1" applyNumberFormat="1" applyFont="1" applyBorder="1"/>
    <xf numFmtId="44" fontId="0" fillId="0" borderId="0" xfId="0" applyNumberFormat="1" applyBorder="1" applyAlignment="1">
      <alignment horizontal="right"/>
    </xf>
    <xf numFmtId="44" fontId="2" fillId="0" borderId="0" xfId="2" applyFont="1" applyBorder="1"/>
    <xf numFmtId="44" fontId="2" fillId="0" borderId="10" xfId="2" applyFont="1" applyBorder="1"/>
    <xf numFmtId="0" fontId="0" fillId="0" borderId="0" xfId="0" applyFill="1" applyBorder="1" applyAlignment="1">
      <alignment horizontal="left"/>
    </xf>
    <xf numFmtId="0" fontId="0" fillId="0" borderId="0" xfId="0" applyFont="1" applyBorder="1"/>
    <xf numFmtId="0" fontId="13" fillId="0" borderId="0" xfId="0" applyFont="1" applyFill="1" applyBorder="1"/>
    <xf numFmtId="0" fontId="15" fillId="0" borderId="0" xfId="0" applyFont="1" applyBorder="1"/>
    <xf numFmtId="0" fontId="0" fillId="0" borderId="8" xfId="0" applyFill="1" applyBorder="1"/>
    <xf numFmtId="0" fontId="0" fillId="0" borderId="15" xfId="0" applyFill="1" applyBorder="1"/>
    <xf numFmtId="44" fontId="0" fillId="0" borderId="15" xfId="2" applyFont="1" applyFill="1" applyBorder="1"/>
    <xf numFmtId="44" fontId="2" fillId="0" borderId="0" xfId="0" applyNumberFormat="1" applyFont="1" applyBorder="1"/>
    <xf numFmtId="44" fontId="2" fillId="0" borderId="7" xfId="0" applyNumberFormat="1" applyFont="1" applyBorder="1"/>
    <xf numFmtId="0" fontId="0" fillId="0" borderId="10" xfId="0" applyFill="1" applyBorder="1"/>
    <xf numFmtId="44" fontId="0" fillId="0" borderId="16" xfId="0" applyNumberFormat="1" applyFill="1" applyBorder="1"/>
    <xf numFmtId="44" fontId="2" fillId="0" borderId="14" xfId="0" applyNumberFormat="1" applyFont="1" applyBorder="1"/>
    <xf numFmtId="44" fontId="0" fillId="0" borderId="11" xfId="0" applyNumberFormat="1" applyFill="1" applyBorder="1"/>
    <xf numFmtId="0" fontId="2" fillId="0" borderId="8" xfId="0" applyFont="1" applyBorder="1"/>
    <xf numFmtId="0" fontId="0" fillId="0" borderId="11" xfId="0" applyFill="1" applyBorder="1"/>
    <xf numFmtId="44" fontId="2" fillId="0" borderId="8" xfId="0" applyNumberFormat="1" applyFont="1" applyBorder="1"/>
    <xf numFmtId="0" fontId="0" fillId="0" borderId="16" xfId="0" applyBorder="1"/>
    <xf numFmtId="9" fontId="0" fillId="0" borderId="11" xfId="0" applyNumberFormat="1" applyFill="1" applyBorder="1" applyAlignment="1">
      <alignment horizontal="center"/>
    </xf>
    <xf numFmtId="0" fontId="0" fillId="3" borderId="0" xfId="0" applyFont="1" applyFill="1" applyBorder="1"/>
    <xf numFmtId="0" fontId="0" fillId="3" borderId="0" xfId="0" applyFill="1" applyBorder="1"/>
    <xf numFmtId="0" fontId="0" fillId="3" borderId="15" xfId="0" applyFill="1" applyBorder="1"/>
    <xf numFmtId="44" fontId="0" fillId="3" borderId="15" xfId="0" applyNumberFormat="1" applyFill="1" applyBorder="1"/>
    <xf numFmtId="0" fontId="2" fillId="0" borderId="0" xfId="0" applyFont="1" applyBorder="1" applyAlignment="1">
      <alignment horizontal="right"/>
    </xf>
    <xf numFmtId="0" fontId="13" fillId="0" borderId="0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2" fillId="0" borderId="6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44" fontId="0" fillId="0" borderId="8" xfId="0" applyNumberFormat="1" applyFill="1" applyBorder="1"/>
    <xf numFmtId="0" fontId="0" fillId="0" borderId="0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2" fillId="0" borderId="2" xfId="0" applyFont="1" applyBorder="1"/>
    <xf numFmtId="0" fontId="2" fillId="0" borderId="12" xfId="0" applyFont="1" applyBorder="1"/>
    <xf numFmtId="0" fontId="11" fillId="0" borderId="0" xfId="0" applyFont="1" applyBorder="1"/>
    <xf numFmtId="0" fontId="12" fillId="0" borderId="12" xfId="0" applyFont="1" applyBorder="1"/>
    <xf numFmtId="0" fontId="2" fillId="3" borderId="18" xfId="0" applyFont="1" applyFill="1" applyBorder="1"/>
    <xf numFmtId="0" fontId="13" fillId="3" borderId="17" xfId="0" applyFont="1" applyFill="1" applyBorder="1" applyAlignment="1">
      <alignment horizontal="center"/>
    </xf>
    <xf numFmtId="44" fontId="0" fillId="3" borderId="19" xfId="0" applyNumberFormat="1" applyFill="1" applyBorder="1"/>
    <xf numFmtId="0" fontId="0" fillId="3" borderId="18" xfId="0" applyFont="1" applyFill="1" applyBorder="1"/>
    <xf numFmtId="0" fontId="0" fillId="3" borderId="18" xfId="0" applyFill="1" applyBorder="1"/>
    <xf numFmtId="165" fontId="0" fillId="0" borderId="6" xfId="0" applyNumberFormat="1" applyBorder="1"/>
    <xf numFmtId="0" fontId="6" fillId="3" borderId="0" xfId="0" applyFont="1" applyFill="1"/>
    <xf numFmtId="0" fontId="7" fillId="3" borderId="0" xfId="0" applyFont="1" applyFill="1"/>
    <xf numFmtId="0" fontId="0" fillId="3" borderId="0" xfId="0" applyFill="1"/>
    <xf numFmtId="0" fontId="0" fillId="3" borderId="0" xfId="0" applyFill="1" applyAlignment="1">
      <alignment wrapText="1"/>
    </xf>
    <xf numFmtId="0" fontId="9" fillId="3" borderId="0" xfId="0" applyFont="1" applyFill="1"/>
    <xf numFmtId="2" fontId="0" fillId="3" borderId="0" xfId="0" applyNumberFormat="1" applyFill="1"/>
    <xf numFmtId="0" fontId="0" fillId="4" borderId="0" xfId="0" applyFill="1"/>
    <xf numFmtId="0" fontId="13" fillId="4" borderId="0" xfId="0" applyFont="1" applyFill="1"/>
    <xf numFmtId="0" fontId="6" fillId="4" borderId="0" xfId="0" applyFont="1" applyFill="1" applyBorder="1"/>
    <xf numFmtId="0" fontId="17" fillId="4" borderId="7" xfId="0" applyFont="1" applyFill="1" applyBorder="1"/>
    <xf numFmtId="0" fontId="6" fillId="4" borderId="15" xfId="0" applyFont="1" applyFill="1" applyBorder="1"/>
    <xf numFmtId="0" fontId="18" fillId="3" borderId="0" xfId="0" applyFont="1" applyFill="1"/>
    <xf numFmtId="0" fontId="0" fillId="0" borderId="10" xfId="0" applyBorder="1" applyAlignment="1">
      <alignment horizontal="center"/>
    </xf>
    <xf numFmtId="0" fontId="0" fillId="4" borderId="0" xfId="0" applyFill="1" applyBorder="1"/>
    <xf numFmtId="166" fontId="0" fillId="4" borderId="0" xfId="0" applyNumberFormat="1" applyFill="1" applyBorder="1"/>
    <xf numFmtId="0" fontId="14" fillId="3" borderId="0" xfId="0" applyFont="1" applyFill="1" applyBorder="1"/>
    <xf numFmtId="3" fontId="14" fillId="3" borderId="0" xfId="0" applyNumberFormat="1" applyFont="1" applyFill="1" applyBorder="1" applyAlignment="1">
      <alignment horizontal="left"/>
    </xf>
    <xf numFmtId="166" fontId="14" fillId="3" borderId="0" xfId="0" applyNumberFormat="1" applyFont="1" applyFill="1" applyBorder="1" applyAlignment="1">
      <alignment horizontal="left"/>
    </xf>
    <xf numFmtId="2" fontId="14" fillId="3" borderId="0" xfId="0" applyNumberFormat="1" applyFont="1" applyFill="1" applyBorder="1" applyAlignment="1">
      <alignment horizontal="left"/>
    </xf>
    <xf numFmtId="14" fontId="14" fillId="3" borderId="0" xfId="0" applyNumberFormat="1" applyFont="1" applyFill="1" applyBorder="1" applyAlignment="1">
      <alignment horizontal="left"/>
    </xf>
    <xf numFmtId="0" fontId="16" fillId="0" borderId="0" xfId="0" applyFont="1" applyBorder="1" applyAlignment="1">
      <alignment horizontal="right"/>
    </xf>
    <xf numFmtId="44" fontId="2" fillId="0" borderId="6" xfId="2" applyFont="1" applyBorder="1"/>
    <xf numFmtId="0" fontId="16" fillId="0" borderId="0" xfId="0" applyFont="1"/>
    <xf numFmtId="0" fontId="0" fillId="0" borderId="0" xfId="0" applyFill="1"/>
    <xf numFmtId="0" fontId="16" fillId="0" borderId="0" xfId="0" applyFont="1" applyFill="1" applyBorder="1" applyAlignment="1">
      <alignment horizontal="left"/>
    </xf>
    <xf numFmtId="0" fontId="12" fillId="3" borderId="20" xfId="0" applyFont="1" applyFill="1" applyBorder="1"/>
    <xf numFmtId="0" fontId="20" fillId="0" borderId="0" xfId="0" applyFont="1" applyFill="1"/>
    <xf numFmtId="0" fontId="0" fillId="0" borderId="21" xfId="0" applyBorder="1"/>
    <xf numFmtId="0" fontId="8" fillId="4" borderId="0" xfId="0" applyFont="1" applyFill="1" applyBorder="1" applyAlignment="1">
      <alignment horizontal="left"/>
    </xf>
    <xf numFmtId="0" fontId="5" fillId="4" borderId="0" xfId="0" applyFont="1" applyFill="1" applyBorder="1"/>
    <xf numFmtId="0" fontId="0" fillId="0" borderId="0" xfId="0" applyFont="1" applyFill="1"/>
    <xf numFmtId="0" fontId="4" fillId="0" borderId="0" xfId="0" applyFont="1" applyAlignment="1">
      <alignment vertical="center"/>
    </xf>
    <xf numFmtId="0" fontId="21" fillId="0" borderId="0" xfId="0" applyFont="1" applyFill="1"/>
    <xf numFmtId="0" fontId="22" fillId="0" borderId="0" xfId="0" applyFont="1" applyFill="1"/>
    <xf numFmtId="0" fontId="5" fillId="4" borderId="7" xfId="0" applyFont="1" applyFill="1" applyBorder="1"/>
    <xf numFmtId="0" fontId="5" fillId="4" borderId="7" xfId="0" quotePrefix="1" applyFont="1" applyFill="1" applyBorder="1"/>
    <xf numFmtId="0" fontId="0" fillId="0" borderId="0" xfId="0" applyAlignment="1">
      <alignment horizontal="center"/>
    </xf>
    <xf numFmtId="167" fontId="0" fillId="0" borderId="0" xfId="3" applyNumberFormat="1" applyFont="1" applyFill="1" applyBorder="1"/>
    <xf numFmtId="0" fontId="8" fillId="4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4" borderId="22" xfId="0" applyFont="1" applyFill="1" applyBorder="1" applyAlignment="1">
      <alignment horizontal="center"/>
    </xf>
    <xf numFmtId="165" fontId="0" fillId="0" borderId="8" xfId="0" applyNumberFormat="1" applyBorder="1"/>
    <xf numFmtId="0" fontId="12" fillId="0" borderId="0" xfId="0" applyFont="1" applyBorder="1"/>
    <xf numFmtId="43" fontId="14" fillId="3" borderId="0" xfId="3" applyFont="1" applyFill="1" applyBorder="1" applyAlignment="1">
      <alignment horizontal="center"/>
    </xf>
    <xf numFmtId="165" fontId="14" fillId="0" borderId="0" xfId="3" applyNumberFormat="1" applyFont="1" applyFill="1" applyBorder="1" applyAlignment="1">
      <alignment horizontal="center"/>
    </xf>
    <xf numFmtId="165" fontId="0" fillId="0" borderId="8" xfId="2" applyNumberFormat="1" applyFont="1" applyBorder="1"/>
    <xf numFmtId="9" fontId="14" fillId="0" borderId="0" xfId="1" applyFont="1" applyFill="1" applyBorder="1" applyAlignment="1">
      <alignment horizontal="center"/>
    </xf>
    <xf numFmtId="165" fontId="14" fillId="0" borderId="16" xfId="3" applyNumberFormat="1" applyFont="1" applyFill="1" applyBorder="1" applyAlignment="1">
      <alignment horizontal="center"/>
    </xf>
    <xf numFmtId="165" fontId="14" fillId="3" borderId="0" xfId="3" applyNumberFormat="1" applyFont="1" applyFill="1" applyBorder="1" applyAlignment="1">
      <alignment horizontal="center"/>
    </xf>
    <xf numFmtId="44" fontId="0" fillId="3" borderId="8" xfId="0" applyNumberFormat="1" applyFill="1" applyBorder="1"/>
    <xf numFmtId="165" fontId="14" fillId="3" borderId="19" xfId="3" applyNumberFormat="1" applyFont="1" applyFill="1" applyBorder="1" applyAlignment="1">
      <alignment horizontal="center"/>
    </xf>
    <xf numFmtId="165" fontId="14" fillId="0" borderId="15" xfId="3" applyNumberFormat="1" applyFont="1" applyFill="1" applyBorder="1" applyAlignment="1">
      <alignment horizontal="center"/>
    </xf>
    <xf numFmtId="165" fontId="14" fillId="0" borderId="11" xfId="3" applyNumberFormat="1" applyFont="1" applyFill="1" applyBorder="1" applyAlignment="1">
      <alignment horizontal="center"/>
    </xf>
    <xf numFmtId="0" fontId="0" fillId="0" borderId="0" xfId="0" applyFont="1" applyFill="1" applyBorder="1"/>
    <xf numFmtId="0" fontId="2" fillId="3" borderId="4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165" fontId="14" fillId="3" borderId="11" xfId="3" applyNumberFormat="1" applyFont="1" applyFill="1" applyBorder="1" applyAlignment="1">
      <alignment horizontal="center"/>
    </xf>
    <xf numFmtId="165" fontId="14" fillId="3" borderId="8" xfId="3" applyNumberFormat="1" applyFont="1" applyFill="1" applyBorder="1" applyAlignment="1">
      <alignment horizontal="center"/>
    </xf>
    <xf numFmtId="0" fontId="0" fillId="3" borderId="10" xfId="0" applyFill="1" applyBorder="1"/>
    <xf numFmtId="0" fontId="2" fillId="3" borderId="0" xfId="0" applyFont="1" applyFill="1" applyBorder="1"/>
    <xf numFmtId="0" fontId="11" fillId="3" borderId="0" xfId="0" applyFont="1" applyFill="1" applyBorder="1" applyAlignment="1">
      <alignment horizontal="right"/>
    </xf>
    <xf numFmtId="165" fontId="2" fillId="3" borderId="8" xfId="0" applyNumberFormat="1" applyFont="1" applyFill="1" applyBorder="1"/>
    <xf numFmtId="0" fontId="0" fillId="3" borderId="9" xfId="0" applyFill="1" applyBorder="1"/>
    <xf numFmtId="0" fontId="0" fillId="3" borderId="11" xfId="0" applyFill="1" applyBorder="1"/>
    <xf numFmtId="0" fontId="0" fillId="0" borderId="8" xfId="0" applyBorder="1" applyAlignment="1">
      <alignment horizontal="center"/>
    </xf>
    <xf numFmtId="9" fontId="14" fillId="5" borderId="0" xfId="1" applyFont="1" applyFill="1" applyBorder="1" applyAlignment="1">
      <alignment horizontal="center"/>
    </xf>
    <xf numFmtId="165" fontId="14" fillId="5" borderId="11" xfId="3" applyNumberFormat="1" applyFont="1" applyFill="1" applyBorder="1" applyAlignment="1">
      <alignment horizontal="center"/>
    </xf>
    <xf numFmtId="44" fontId="0" fillId="0" borderId="0" xfId="0" applyNumberFormat="1" applyFill="1" applyBorder="1"/>
    <xf numFmtId="0" fontId="0" fillId="3" borderId="8" xfId="0" applyNumberFormat="1" applyFill="1" applyBorder="1" applyAlignment="1">
      <alignment horizontal="center"/>
    </xf>
    <xf numFmtId="0" fontId="0" fillId="0" borderId="24" xfId="0" applyBorder="1"/>
    <xf numFmtId="44" fontId="0" fillId="0" borderId="25" xfId="0" applyNumberFormat="1" applyFill="1" applyBorder="1"/>
    <xf numFmtId="165" fontId="14" fillId="0" borderId="24" xfId="3" applyNumberFormat="1" applyFont="1" applyFill="1" applyBorder="1" applyAlignment="1">
      <alignment horizontal="center"/>
    </xf>
    <xf numFmtId="0" fontId="0" fillId="0" borderId="24" xfId="0" applyFill="1" applyBorder="1"/>
    <xf numFmtId="9" fontId="14" fillId="0" borderId="24" xfId="1" applyFont="1" applyFill="1" applyBorder="1" applyAlignment="1">
      <alignment horizontal="center"/>
    </xf>
    <xf numFmtId="44" fontId="0" fillId="0" borderId="24" xfId="0" applyNumberFormat="1" applyFill="1" applyBorder="1"/>
    <xf numFmtId="44" fontId="0" fillId="0" borderId="25" xfId="0" applyNumberFormat="1" applyBorder="1"/>
    <xf numFmtId="0" fontId="0" fillId="5" borderId="0" xfId="0" applyFill="1" applyBorder="1"/>
    <xf numFmtId="0" fontId="12" fillId="3" borderId="7" xfId="0" applyFont="1" applyFill="1" applyBorder="1"/>
    <xf numFmtId="165" fontId="14" fillId="3" borderId="15" xfId="3" applyNumberFormat="1" applyFont="1" applyFill="1" applyBorder="1" applyAlignment="1">
      <alignment horizontal="center"/>
    </xf>
    <xf numFmtId="0" fontId="5" fillId="0" borderId="7" xfId="0" applyFont="1" applyFill="1" applyBorder="1"/>
    <xf numFmtId="0" fontId="16" fillId="0" borderId="0" xfId="0" applyFont="1" applyBorder="1" applyAlignment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4" fillId="0" borderId="23" xfId="1" applyNumberFormat="1" applyFont="1" applyFill="1" applyBorder="1" applyAlignment="1">
      <alignment horizontal="center"/>
    </xf>
    <xf numFmtId="9" fontId="20" fillId="0" borderId="0" xfId="1" applyFont="1" applyFill="1" applyBorder="1" applyAlignment="1">
      <alignment horizontal="center"/>
    </xf>
    <xf numFmtId="1" fontId="14" fillId="0" borderId="0" xfId="1" applyNumberFormat="1" applyFont="1" applyFill="1" applyBorder="1" applyAlignment="1">
      <alignment horizontal="center"/>
    </xf>
    <xf numFmtId="1" fontId="14" fillId="0" borderId="23" xfId="1" applyNumberFormat="1" applyFont="1" applyFill="1" applyBorder="1" applyAlignment="1">
      <alignment horizontal="center"/>
    </xf>
    <xf numFmtId="43" fontId="14" fillId="0" borderId="0" xfId="3" applyFont="1" applyFill="1" applyBorder="1" applyAlignment="1">
      <alignment horizontal="center"/>
    </xf>
    <xf numFmtId="0" fontId="0" fillId="0" borderId="7" xfId="0" applyFill="1" applyBorder="1"/>
    <xf numFmtId="0" fontId="12" fillId="0" borderId="20" xfId="0" applyFont="1" applyFill="1" applyBorder="1"/>
    <xf numFmtId="0" fontId="2" fillId="0" borderId="18" xfId="0" applyFont="1" applyFill="1" applyBorder="1"/>
    <xf numFmtId="0" fontId="13" fillId="0" borderId="17" xfId="0" applyFont="1" applyFill="1" applyBorder="1" applyAlignment="1">
      <alignment horizontal="center"/>
    </xf>
    <xf numFmtId="44" fontId="0" fillId="0" borderId="19" xfId="0" applyNumberFormat="1" applyFill="1" applyBorder="1"/>
    <xf numFmtId="165" fontId="14" fillId="0" borderId="19" xfId="3" applyNumberFormat="1" applyFont="1" applyFill="1" applyBorder="1" applyAlignment="1">
      <alignment horizontal="center"/>
    </xf>
    <xf numFmtId="9" fontId="14" fillId="5" borderId="24" xfId="1" applyFont="1" applyFill="1" applyBorder="1" applyAlignment="1">
      <alignment horizontal="center"/>
    </xf>
    <xf numFmtId="165" fontId="14" fillId="0" borderId="8" xfId="3" applyNumberFormat="1" applyFont="1" applyFill="1" applyBorder="1" applyAlignment="1">
      <alignment horizontal="center"/>
    </xf>
    <xf numFmtId="0" fontId="2" fillId="0" borderId="10" xfId="0" applyFont="1" applyBorder="1"/>
    <xf numFmtId="44" fontId="2" fillId="0" borderId="16" xfId="0" applyNumberFormat="1" applyFont="1" applyBorder="1"/>
    <xf numFmtId="44" fontId="2" fillId="0" borderId="11" xfId="0" applyNumberFormat="1" applyFont="1" applyBorder="1"/>
    <xf numFmtId="0" fontId="2" fillId="0" borderId="4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9" xfId="0" applyFill="1" applyBorder="1"/>
    <xf numFmtId="0" fontId="2" fillId="0" borderId="10" xfId="0" applyFont="1" applyFill="1" applyBorder="1"/>
    <xf numFmtId="0" fontId="11" fillId="0" borderId="12" xfId="0" applyFont="1" applyFill="1" applyBorder="1" applyAlignment="1">
      <alignment horizontal="right"/>
    </xf>
    <xf numFmtId="165" fontId="2" fillId="0" borderId="11" xfId="0" applyNumberFormat="1" applyFont="1" applyFill="1" applyBorder="1"/>
    <xf numFmtId="2" fontId="0" fillId="0" borderId="8" xfId="0" applyNumberFormat="1" applyFill="1" applyBorder="1" applyAlignment="1">
      <alignment horizontal="center"/>
    </xf>
    <xf numFmtId="0" fontId="0" fillId="0" borderId="18" xfId="0" applyFont="1" applyFill="1" applyBorder="1"/>
    <xf numFmtId="0" fontId="0" fillId="0" borderId="18" xfId="0" applyFill="1" applyBorder="1"/>
    <xf numFmtId="0" fontId="12" fillId="0" borderId="7" xfId="0" applyFont="1" applyFill="1" applyBorder="1"/>
    <xf numFmtId="0" fontId="2" fillId="0" borderId="0" xfId="0" applyFont="1" applyFill="1" applyBorder="1"/>
    <xf numFmtId="0" fontId="5" fillId="4" borderId="2" xfId="0" applyFont="1" applyFill="1" applyBorder="1"/>
    <xf numFmtId="0" fontId="17" fillId="4" borderId="2" xfId="0" applyFont="1" applyFill="1" applyBorder="1"/>
    <xf numFmtId="0" fontId="6" fillId="4" borderId="12" xfId="0" applyFont="1" applyFill="1" applyBorder="1"/>
    <xf numFmtId="0" fontId="6" fillId="4" borderId="3" xfId="0" applyFont="1" applyFill="1" applyBorder="1"/>
    <xf numFmtId="44" fontId="2" fillId="0" borderId="10" xfId="0" applyNumberFormat="1" applyFont="1" applyBorder="1"/>
    <xf numFmtId="0" fontId="6" fillId="4" borderId="1" xfId="0" applyFont="1" applyFill="1" applyBorder="1"/>
    <xf numFmtId="0" fontId="5" fillId="4" borderId="4" xfId="0" applyFont="1" applyFill="1" applyBorder="1"/>
    <xf numFmtId="0" fontId="6" fillId="4" borderId="5" xfId="0" applyFont="1" applyFill="1" applyBorder="1"/>
    <xf numFmtId="0" fontId="6" fillId="4" borderId="14" xfId="0" applyFont="1" applyFill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9" fontId="5" fillId="4" borderId="0" xfId="1" applyFont="1" applyFill="1" applyBorder="1" applyAlignment="1">
      <alignment horizontal="left"/>
    </xf>
    <xf numFmtId="0" fontId="5" fillId="4" borderId="0" xfId="0" applyFont="1" applyFill="1" applyBorder="1" applyAlignment="1">
      <alignment horizontal="left"/>
    </xf>
    <xf numFmtId="9" fontId="0" fillId="0" borderId="0" xfId="1" applyFont="1" applyFill="1" applyBorder="1" applyAlignment="1">
      <alignment horizontal="left"/>
    </xf>
    <xf numFmtId="9" fontId="0" fillId="0" borderId="0" xfId="1" applyFont="1" applyFill="1" applyAlignment="1">
      <alignment horizontal="left"/>
    </xf>
    <xf numFmtId="9" fontId="0" fillId="0" borderId="0" xfId="1" applyFont="1" applyAlignment="1">
      <alignment horizontal="left"/>
    </xf>
    <xf numFmtId="0" fontId="24" fillId="0" borderId="0" xfId="4" applyFill="1" applyBorder="1" applyAlignment="1">
      <alignment horizontal="left"/>
    </xf>
    <xf numFmtId="0" fontId="25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Font="1" applyFill="1" applyBorder="1"/>
    <xf numFmtId="0" fontId="6" fillId="0" borderId="0" xfId="0" applyFont="1" applyFill="1"/>
    <xf numFmtId="0" fontId="19" fillId="0" borderId="0" xfId="0" applyFont="1" applyFill="1"/>
  </cellXfs>
  <cellStyles count="5">
    <cellStyle name="Lien hypertexte" xfId="4" builtinId="8"/>
    <cellStyle name="Milliers" xfId="3" builtinId="3"/>
    <cellStyle name="Monétaire" xfId="2" builtinId="4"/>
    <cellStyle name="Normal" xfId="0" builtinId="0"/>
    <cellStyle name="Pourcentage" xfId="1" builtinId="5"/>
  </cellStyles>
  <dxfs count="18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FFFF"/>
      <color rgb="FFFF9431"/>
      <color rgb="FF25244C"/>
      <color rgb="FFF28D17"/>
      <color rgb="FFE3E9E1"/>
      <color rgb="FF6A6A6A"/>
      <color rgb="FFAA6F73"/>
      <color rgb="FFF6E1B6"/>
      <color rgb="FF8D8A11"/>
      <color rgb="FFDDD8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17/10/relationships/person" Target="persons/person0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20" Type="http://schemas.microsoft.com/office/2017/10/relationships/person" Target="persons/pers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22" Type="http://schemas.microsoft.com/office/2017/10/relationships/person" Target="persons/person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essources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685799</xdr:colOff>
      <xdr:row>12</xdr:row>
      <xdr:rowOff>66158</xdr:rowOff>
    </xdr:from>
    <xdr:to>
      <xdr:col>6</xdr:col>
      <xdr:colOff>241300</xdr:colOff>
      <xdr:row>20</xdr:row>
      <xdr:rowOff>34407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2945062" y="2338790"/>
          <a:ext cx="4515185" cy="1465512"/>
        </a:xfrm>
        <a:prstGeom prst="roundRect">
          <a:avLst>
            <a:gd name="adj" fmla="val 5070"/>
          </a:avLst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34957</xdr:colOff>
      <xdr:row>4</xdr:row>
      <xdr:rowOff>177800</xdr:rowOff>
    </xdr:from>
    <xdr:to>
      <xdr:col>11</xdr:col>
      <xdr:colOff>616957</xdr:colOff>
      <xdr:row>10</xdr:row>
      <xdr:rowOff>6350</xdr:rowOff>
    </xdr:to>
    <xdr:sp macro="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254907" y="952500"/>
          <a:ext cx="4392000" cy="933450"/>
        </a:xfrm>
        <a:prstGeom prst="roundRect">
          <a:avLst>
            <a:gd name="adj" fmla="val 12324"/>
          </a:avLst>
        </a:prstGeom>
        <a:solidFill>
          <a:srgbClr val="25244C"/>
        </a:solidFill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AA6F73"/>
            </a:solidFill>
          </a:endParaRPr>
        </a:p>
      </xdr:txBody>
    </xdr:sp>
    <xdr:clientData/>
  </xdr:twoCellAnchor>
  <xdr:twoCellAnchor>
    <xdr:from>
      <xdr:col>6</xdr:col>
      <xdr:colOff>2245</xdr:colOff>
      <xdr:row>2</xdr:row>
      <xdr:rowOff>142285</xdr:rowOff>
    </xdr:from>
    <xdr:to>
      <xdr:col>10</xdr:col>
      <xdr:colOff>463551</xdr:colOff>
      <xdr:row>4</xdr:row>
      <xdr:rowOff>119062</xdr:rowOff>
    </xdr:to>
    <xdr:sp macro="" textlink="'Informations film'!C2">
      <xdr:nvSpPr>
        <xdr:cNvPr id="17" name="ZoneText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7222195" y="535985"/>
          <a:ext cx="3509306" cy="357777"/>
        </a:xfrm>
        <a:prstGeom prst="rect">
          <a:avLst/>
        </a:prstGeom>
        <a:noFill/>
        <a:ln w="9525" cmpd="sng">
          <a:noFill/>
        </a:ln>
        <a:effectLst>
          <a:outerShdw blurRad="50800" dist="38100" dir="8100000" sx="61000" sy="61000" algn="tr" rotWithShape="0">
            <a:prstClr val="black">
              <a:alpha val="41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9511ADA9-E6CB-4802-A853-1774C6C383D3}" type="TxLink">
            <a:rPr lang="en-US" sz="1800" b="0" i="0" u="none" strike="noStrike">
              <a:solidFill>
                <a:srgbClr val="25244C"/>
              </a:solidFill>
              <a:latin typeface="Segoe UI Semibold" panose="020B0702040204020203" pitchFamily="34" charset="0"/>
              <a:ea typeface="Calibri"/>
              <a:cs typeface="Segoe UI Semibold" panose="020B0702040204020203" pitchFamily="34" charset="0"/>
            </a:rPr>
            <a:pPr algn="l"/>
            <a:t>FILM </a:t>
          </a:fld>
          <a:endParaRPr lang="fr-FR" sz="2800">
            <a:solidFill>
              <a:srgbClr val="25244C"/>
            </a:solidFill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6</xdr:col>
      <xdr:colOff>44450</xdr:colOff>
      <xdr:row>4</xdr:row>
      <xdr:rowOff>183402</xdr:rowOff>
    </xdr:from>
    <xdr:to>
      <xdr:col>7</xdr:col>
      <xdr:colOff>647700</xdr:colOff>
      <xdr:row>6</xdr:row>
      <xdr:rowOff>40721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7263795" y="956993"/>
          <a:ext cx="1364242" cy="2252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1000">
              <a:solidFill>
                <a:srgbClr val="F28D17"/>
              </a:solidFill>
              <a:latin typeface="Segoe UI Semibold" panose="020B0702040204020203" pitchFamily="34" charset="0"/>
              <a:cs typeface="Segoe UI Semibold" panose="020B0702040204020203" pitchFamily="34" charset="0"/>
            </a:rPr>
            <a:t>Réalisation</a:t>
          </a:r>
        </a:p>
      </xdr:txBody>
    </xdr:sp>
    <xdr:clientData/>
  </xdr:twoCellAnchor>
  <xdr:twoCellAnchor>
    <xdr:from>
      <xdr:col>8</xdr:col>
      <xdr:colOff>9584</xdr:colOff>
      <xdr:row>4</xdr:row>
      <xdr:rowOff>180560</xdr:rowOff>
    </xdr:from>
    <xdr:to>
      <xdr:col>8</xdr:col>
      <xdr:colOff>730215</xdr:colOff>
      <xdr:row>6</xdr:row>
      <xdr:rowOff>22982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750913" y="954151"/>
          <a:ext cx="720631" cy="2103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1000">
              <a:solidFill>
                <a:srgbClr val="F28D17"/>
              </a:solidFill>
              <a:latin typeface="Segoe UI Semibold" panose="020B0702040204020203" pitchFamily="34" charset="0"/>
              <a:cs typeface="Segoe UI Semibold" panose="020B0702040204020203" pitchFamily="34" charset="0"/>
            </a:rPr>
            <a:t>Sortie</a:t>
          </a:r>
        </a:p>
      </xdr:txBody>
    </xdr:sp>
    <xdr:clientData/>
  </xdr:twoCellAnchor>
  <xdr:twoCellAnchor>
    <xdr:from>
      <xdr:col>9</xdr:col>
      <xdr:colOff>156507</xdr:colOff>
      <xdr:row>4</xdr:row>
      <xdr:rowOff>180219</xdr:rowOff>
    </xdr:from>
    <xdr:to>
      <xdr:col>9</xdr:col>
      <xdr:colOff>647700</xdr:colOff>
      <xdr:row>6</xdr:row>
      <xdr:rowOff>40720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9658828" y="953810"/>
          <a:ext cx="491193" cy="228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solidFill>
                <a:schemeClr val="bg1"/>
              </a:solidFill>
              <a:latin typeface="Segoe UI Semibold" panose="020B0702040204020203" pitchFamily="34" charset="0"/>
              <a:cs typeface="Segoe UI Semibold" panose="020B0702040204020203" pitchFamily="34" charset="0"/>
            </a:rPr>
            <a:t> </a:t>
          </a:r>
          <a:r>
            <a:rPr lang="fr-FR" sz="1000">
              <a:solidFill>
                <a:srgbClr val="F28D17"/>
              </a:solidFill>
              <a:latin typeface="Segoe UI Semibold" panose="020B0702040204020203" pitchFamily="34" charset="0"/>
              <a:cs typeface="Segoe UI Semibold" panose="020B0702040204020203" pitchFamily="34" charset="0"/>
            </a:rPr>
            <a:t>RCA</a:t>
          </a:r>
        </a:p>
      </xdr:txBody>
    </xdr:sp>
    <xdr:clientData/>
  </xdr:twoCellAnchor>
  <xdr:twoCellAnchor>
    <xdr:from>
      <xdr:col>10</xdr:col>
      <xdr:colOff>23586</xdr:colOff>
      <xdr:row>4</xdr:row>
      <xdr:rowOff>181227</xdr:rowOff>
    </xdr:from>
    <xdr:to>
      <xdr:col>11</xdr:col>
      <xdr:colOff>518886</xdr:colOff>
      <xdr:row>5</xdr:row>
      <xdr:rowOff>179413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0286899" y="954818"/>
          <a:ext cx="1256293" cy="1821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1000">
              <a:solidFill>
                <a:srgbClr val="F28D17"/>
              </a:solidFill>
              <a:latin typeface="Segoe UI Semibold" panose="020B0702040204020203" pitchFamily="34" charset="0"/>
              <a:cs typeface="Segoe UI Semibold" panose="020B0702040204020203" pitchFamily="34" charset="0"/>
            </a:rPr>
            <a:t>Production</a:t>
          </a:r>
          <a:endParaRPr lang="fr-FR" sz="1100">
            <a:solidFill>
              <a:srgbClr val="F28D17"/>
            </a:solidFill>
            <a:latin typeface="Segoe UI Semibold" panose="020B07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7</xdr:col>
      <xdr:colOff>673100</xdr:colOff>
      <xdr:row>6</xdr:row>
      <xdr:rowOff>44450</xdr:rowOff>
    </xdr:from>
    <xdr:to>
      <xdr:col>9</xdr:col>
      <xdr:colOff>19050</xdr:colOff>
      <xdr:row>8</xdr:row>
      <xdr:rowOff>133927</xdr:rowOff>
    </xdr:to>
    <xdr:sp macro="" textlink="'Informations film'!C4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8655050" y="1187450"/>
          <a:ext cx="869950" cy="4577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0FB9461-EE23-4D5B-B0E9-A35A64AC935B}" type="TxLink">
            <a:rPr lang="en-US" sz="1100" b="0" i="0" u="none" strike="noStrike">
              <a:solidFill>
                <a:srgbClr val="FFFFFF"/>
              </a:solidFill>
              <a:latin typeface="Calibri"/>
              <a:ea typeface="Calibri"/>
              <a:cs typeface="Calibri"/>
            </a:rPr>
            <a:pPr/>
            <a:t>jj/mm/aaaa</a:t>
          </a:fld>
          <a:endParaRPr lang="fr-FR" sz="800">
            <a:solidFill>
              <a:schemeClr val="bg1"/>
            </a:solidFill>
            <a:latin typeface="Segoe UI 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9</xdr:col>
      <xdr:colOff>48427</xdr:colOff>
      <xdr:row>6</xdr:row>
      <xdr:rowOff>51635</xdr:rowOff>
    </xdr:from>
    <xdr:to>
      <xdr:col>9</xdr:col>
      <xdr:colOff>745068</xdr:colOff>
      <xdr:row>8</xdr:row>
      <xdr:rowOff>77291</xdr:rowOff>
    </xdr:to>
    <xdr:sp macro="" textlink="'Informations film'!C5">
      <xdr:nvSpPr>
        <xdr:cNvPr id="18" name="ZoneTex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9554377" y="1194635"/>
          <a:ext cx="696641" cy="3939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7AB95924-531E-4611-B011-8A60B88F5B44}" type="TxLink">
            <a:rPr lang="en-US" sz="1100" b="0" i="0" u="none" strike="noStrike">
              <a:solidFill>
                <a:srgbClr val="FFFFFF"/>
              </a:solidFill>
              <a:latin typeface="Calibri"/>
              <a:ea typeface="Calibri"/>
              <a:cs typeface="Calibri"/>
            </a:rPr>
            <a:pPr algn="ctr"/>
            <a:t>000 000</a:t>
          </a:fld>
          <a:endParaRPr lang="fr-FR" sz="800">
            <a:solidFill>
              <a:schemeClr val="bg1"/>
            </a:solidFill>
            <a:latin typeface="Segoe UI 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10</xdr:col>
      <xdr:colOff>48235</xdr:colOff>
      <xdr:row>6</xdr:row>
      <xdr:rowOff>60292</xdr:rowOff>
    </xdr:from>
    <xdr:to>
      <xdr:col>11</xdr:col>
      <xdr:colOff>521598</xdr:colOff>
      <xdr:row>9</xdr:row>
      <xdr:rowOff>152400</xdr:rowOff>
    </xdr:to>
    <xdr:sp macro="" textlink="'Informations film'!C6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0316185" y="1203292"/>
          <a:ext cx="1235363" cy="6445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F4BBD929-71E2-4275-BE8A-78BDF6BDF59A}" type="TxLink">
            <a:rPr lang="en-US" sz="1100" b="0" i="0" u="none" strike="noStrike">
              <a:solidFill>
                <a:srgbClr val="FFFFFF"/>
              </a:solidFill>
              <a:latin typeface="Calibri"/>
              <a:ea typeface="Calibri"/>
              <a:cs typeface="Calibri"/>
            </a:rPr>
            <a:pPr algn="ctr"/>
            <a:t>[à compléter]</a:t>
          </a:fld>
          <a:endParaRPr lang="fr-FR" sz="800">
            <a:solidFill>
              <a:schemeClr val="bg1"/>
            </a:solidFill>
            <a:latin typeface="Segoe UI 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6</xdr:col>
      <xdr:colOff>82551</xdr:colOff>
      <xdr:row>6</xdr:row>
      <xdr:rowOff>69851</xdr:rowOff>
    </xdr:from>
    <xdr:to>
      <xdr:col>7</xdr:col>
      <xdr:colOff>641351</xdr:colOff>
      <xdr:row>9</xdr:row>
      <xdr:rowOff>171451</xdr:rowOff>
    </xdr:to>
    <xdr:sp macro="" textlink="'Informations film'!C3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7302501" y="1212851"/>
          <a:ext cx="1320800" cy="654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7733F80F-23F0-4A95-A292-1ABC44EC3D07}" type="TxLink">
            <a:rPr lang="en-US" sz="1100" b="0" i="0" u="none" strike="noStrike">
              <a:solidFill>
                <a:srgbClr val="FFFFFF"/>
              </a:solidFill>
              <a:latin typeface="Calibri"/>
              <a:ea typeface="Calibri"/>
              <a:cs typeface="Calibri"/>
            </a:rPr>
            <a:pPr algn="ctr"/>
            <a:t>[à compléter]</a:t>
          </a:fld>
          <a:endParaRPr lang="fr-FR" sz="800">
            <a:solidFill>
              <a:schemeClr val="bg1"/>
            </a:solidFill>
            <a:latin typeface="Segoe UI 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11</xdr:col>
      <xdr:colOff>272498</xdr:colOff>
      <xdr:row>2</xdr:row>
      <xdr:rowOff>193773</xdr:rowOff>
    </xdr:from>
    <xdr:to>
      <xdr:col>11</xdr:col>
      <xdr:colOff>568952</xdr:colOff>
      <xdr:row>4</xdr:row>
      <xdr:rowOff>119713</xdr:rowOff>
    </xdr:to>
    <xdr:pic macro="[0]!Feuil4.Formulaire_Film">
      <xdr:nvPicPr>
        <xdr:cNvPr id="29" name="Imag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7570" y="587197"/>
          <a:ext cx="296454" cy="3078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469900</xdr:colOff>
          <xdr:row>949</xdr:row>
          <xdr:rowOff>69850</xdr:rowOff>
        </xdr:from>
        <xdr:to>
          <xdr:col>3</xdr:col>
          <xdr:colOff>1301750</xdr:colOff>
          <xdr:row>950</xdr:row>
          <xdr:rowOff>69850</xdr:rowOff>
        </xdr:to>
        <xdr:sp macro="" textlink="">
          <xdr:nvSpPr>
            <xdr:cNvPr id="3086" name="ListeAD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</xdr:col>
      <xdr:colOff>800771</xdr:colOff>
      <xdr:row>12</xdr:row>
      <xdr:rowOff>161413</xdr:rowOff>
    </xdr:from>
    <xdr:to>
      <xdr:col>3</xdr:col>
      <xdr:colOff>11538</xdr:colOff>
      <xdr:row>13</xdr:row>
      <xdr:rowOff>134254</xdr:rowOff>
    </xdr:to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3060870" y="2404801"/>
          <a:ext cx="695915" cy="1566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fr-FR" sz="11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Calibri"/>
              <a:ea typeface="Calibri"/>
              <a:cs typeface="Calibri"/>
            </a:rPr>
            <a:t>Identité</a:t>
          </a:r>
        </a:p>
      </xdr:txBody>
    </xdr:sp>
    <xdr:clientData/>
  </xdr:twoCellAnchor>
  <xdr:twoCellAnchor>
    <xdr:from>
      <xdr:col>2</xdr:col>
      <xdr:colOff>593843</xdr:colOff>
      <xdr:row>13</xdr:row>
      <xdr:rowOff>111712</xdr:rowOff>
    </xdr:from>
    <xdr:to>
      <xdr:col>3</xdr:col>
      <xdr:colOff>1049238</xdr:colOff>
      <xdr:row>14</xdr:row>
      <xdr:rowOff>101067</xdr:rowOff>
    </xdr:to>
    <xdr:sp macro="" textlink="">
      <xdr:nvSpPr>
        <xdr:cNvPr id="47" name="Rectangle à coins arrondis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2855149" y="2535295"/>
          <a:ext cx="1940589" cy="17280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1570985</xdr:colOff>
      <xdr:row>12</xdr:row>
      <xdr:rowOff>156285</xdr:rowOff>
    </xdr:from>
    <xdr:to>
      <xdr:col>4</xdr:col>
      <xdr:colOff>252965</xdr:colOff>
      <xdr:row>13</xdr:row>
      <xdr:rowOff>133961</xdr:rowOff>
    </xdr:to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316232" y="2399673"/>
          <a:ext cx="630845" cy="1614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l"/>
          <a:r>
            <a:rPr lang="fr-FR" sz="11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Calibri"/>
              <a:ea typeface="Calibri"/>
              <a:cs typeface="Calibri"/>
            </a:rPr>
            <a:t>Qualité</a:t>
          </a:r>
        </a:p>
      </xdr:txBody>
    </xdr:sp>
    <xdr:clientData/>
  </xdr:twoCellAnchor>
  <xdr:twoCellAnchor>
    <xdr:from>
      <xdr:col>0</xdr:col>
      <xdr:colOff>641350</xdr:colOff>
      <xdr:row>2</xdr:row>
      <xdr:rowOff>36888</xdr:rowOff>
    </xdr:from>
    <xdr:to>
      <xdr:col>2</xdr:col>
      <xdr:colOff>71438</xdr:colOff>
      <xdr:row>4</xdr:row>
      <xdr:rowOff>97254</xdr:rowOff>
    </xdr:to>
    <xdr:grpSp>
      <xdr:nvGrpSpPr>
        <xdr:cNvPr id="49" name="Group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GrpSpPr/>
      </xdr:nvGrpSpPr>
      <xdr:grpSpPr>
        <a:xfrm>
          <a:off x="641350" y="430588"/>
          <a:ext cx="1690688" cy="441366"/>
          <a:chOff x="5410502" y="2560766"/>
          <a:chExt cx="1758274" cy="585403"/>
        </a:xfrm>
        <a:solidFill>
          <a:srgbClr val="25244C"/>
        </a:solidFill>
      </xdr:grpSpPr>
      <xdr:sp macro="" textlink="">
        <xdr:nvSpPr>
          <xdr:cNvPr id="50" name="Rectangle : coins arrondis 15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/>
        </xdr:nvSpPr>
        <xdr:spPr>
          <a:xfrm>
            <a:off x="5412268" y="2568621"/>
            <a:ext cx="1756508" cy="564714"/>
          </a:xfrm>
          <a:prstGeom prst="roundRect">
            <a:avLst>
              <a:gd name="adj" fmla="val 50000"/>
            </a:avLst>
          </a:prstGeom>
          <a:grpFill/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100"/>
          </a:p>
        </xdr:txBody>
      </xdr:sp>
      <xdr:sp macro="[0]!Nouvelle_période" textlink="">
        <xdr:nvSpPr>
          <xdr:cNvPr id="51" name="Ajouter_AD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 txBox="1"/>
        </xdr:nvSpPr>
        <xdr:spPr>
          <a:xfrm>
            <a:off x="5410502" y="2560766"/>
            <a:ext cx="1734851" cy="58540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aseline="0">
                <a:solidFill>
                  <a:srgbClr val="FF9431"/>
                </a:solidFill>
                <a:latin typeface="+mn-lt"/>
                <a:cs typeface="Segoe UI" panose="020B0502040204020203" pitchFamily="34" charset="0"/>
              </a:rPr>
              <a:t>Nouvelle période </a:t>
            </a:r>
          </a:p>
          <a:p>
            <a:pPr algn="ctr"/>
            <a:r>
              <a:rPr lang="fr-FR" sz="1100" baseline="0">
                <a:solidFill>
                  <a:srgbClr val="FF9431"/>
                </a:solidFill>
                <a:latin typeface="+mn-lt"/>
                <a:cs typeface="Segoe UI" panose="020B0502040204020203" pitchFamily="34" charset="0"/>
              </a:rPr>
              <a:t>de répartition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273050</xdr:colOff>
          <xdr:row>14</xdr:row>
          <xdr:rowOff>88900</xdr:rowOff>
        </xdr:from>
        <xdr:to>
          <xdr:col>11</xdr:col>
          <xdr:colOff>406400</xdr:colOff>
          <xdr:row>15</xdr:row>
          <xdr:rowOff>133350</xdr:rowOff>
        </xdr:to>
        <xdr:sp macro="" textlink="">
          <xdr:nvSpPr>
            <xdr:cNvPr id="3088" name="TextBox1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12</xdr:row>
          <xdr:rowOff>165100</xdr:rowOff>
        </xdr:from>
        <xdr:to>
          <xdr:col>11</xdr:col>
          <xdr:colOff>387350</xdr:colOff>
          <xdr:row>14</xdr:row>
          <xdr:rowOff>19050</xdr:rowOff>
        </xdr:to>
        <xdr:sp macro="" textlink="">
          <xdr:nvSpPr>
            <xdr:cNvPr id="3089" name="numérodécompte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755650</xdr:colOff>
          <xdr:row>13</xdr:row>
          <xdr:rowOff>133350</xdr:rowOff>
        </xdr:from>
        <xdr:to>
          <xdr:col>6</xdr:col>
          <xdr:colOff>139700</xdr:colOff>
          <xdr:row>17</xdr:row>
          <xdr:rowOff>101600</xdr:rowOff>
        </xdr:to>
        <xdr:sp macro="" textlink="">
          <xdr:nvSpPr>
            <xdr:cNvPr id="3095" name="ListAD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168830</xdr:colOff>
      <xdr:row>6</xdr:row>
      <xdr:rowOff>57956</xdr:rowOff>
    </xdr:from>
    <xdr:to>
      <xdr:col>11</xdr:col>
      <xdr:colOff>519087</xdr:colOff>
      <xdr:row>6</xdr:row>
      <xdr:rowOff>65516</xdr:rowOff>
    </xdr:to>
    <xdr:cxnSp macro="">
      <xdr:nvCxnSpPr>
        <xdr:cNvPr id="31" name="Connecteur droit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 flipV="1">
          <a:off x="7388175" y="1199444"/>
          <a:ext cx="4155218" cy="7560"/>
        </a:xfrm>
        <a:prstGeom prst="line">
          <a:avLst/>
        </a:prstGeom>
        <a:ln w="6350">
          <a:solidFill>
            <a:schemeClr val="bg1">
              <a:lumMod val="9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361951</xdr:colOff>
      <xdr:row>12</xdr:row>
      <xdr:rowOff>63500</xdr:rowOff>
    </xdr:from>
    <xdr:to>
      <xdr:col>9</xdr:col>
      <xdr:colOff>55951</xdr:colOff>
      <xdr:row>20</xdr:row>
      <xdr:rowOff>31749</xdr:rowOff>
    </xdr:to>
    <xdr:sp macro="" textlink="">
      <xdr:nvSpPr>
        <xdr:cNvPr id="56" name="Rectangle : coins arrondis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7581901" y="2311400"/>
          <a:ext cx="1980000" cy="1441449"/>
        </a:xfrm>
        <a:prstGeom prst="roundRect">
          <a:avLst>
            <a:gd name="adj" fmla="val 4199"/>
          </a:avLst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501651</xdr:colOff>
      <xdr:row>13</xdr:row>
      <xdr:rowOff>74049</xdr:rowOff>
    </xdr:from>
    <xdr:to>
      <xdr:col>8</xdr:col>
      <xdr:colOff>692150</xdr:colOff>
      <xdr:row>15</xdr:row>
      <xdr:rowOff>177800</xdr:rowOff>
    </xdr:to>
    <xdr:grpSp>
      <xdr:nvGrpSpPr>
        <xdr:cNvPr id="28" name="Group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GrpSpPr/>
      </xdr:nvGrpSpPr>
      <xdr:grpSpPr>
        <a:xfrm>
          <a:off x="7721601" y="2506099"/>
          <a:ext cx="1714499" cy="472051"/>
          <a:chOff x="5428526" y="3161096"/>
          <a:chExt cx="1757978" cy="283068"/>
        </a:xfrm>
      </xdr:grpSpPr>
      <xdr:sp macro="" textlink="">
        <xdr:nvSpPr>
          <xdr:cNvPr id="38" name="Rectangle : coins arrondis 15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/>
        </xdr:nvSpPr>
        <xdr:spPr>
          <a:xfrm>
            <a:off x="5428526" y="3176600"/>
            <a:ext cx="1756512" cy="254201"/>
          </a:xfrm>
          <a:prstGeom prst="roundRect">
            <a:avLst>
              <a:gd name="adj" fmla="val 50000"/>
            </a:avLst>
          </a:prstGeom>
          <a:solidFill>
            <a:srgbClr val="25244C"/>
          </a:soli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100"/>
          </a:p>
        </xdr:txBody>
      </xdr:sp>
      <xdr:sp macro="[0]!Feuil4.Editer_décompte_Clique" textlink="">
        <xdr:nvSpPr>
          <xdr:cNvPr id="41" name="Ajouter_AD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5437137" y="3161096"/>
            <a:ext cx="1749367" cy="28306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aseline="0">
                <a:solidFill>
                  <a:srgbClr val="FF9431"/>
                </a:solidFill>
                <a:latin typeface="+mn-lt"/>
                <a:cs typeface="Segoe UI" panose="020B0502040204020203" pitchFamily="34" charset="0"/>
              </a:rPr>
              <a:t>Ajouter une </a:t>
            </a:r>
          </a:p>
          <a:p>
            <a:pPr algn="ctr"/>
            <a:r>
              <a:rPr lang="fr-FR" sz="1100" baseline="0">
                <a:solidFill>
                  <a:srgbClr val="FF9431"/>
                </a:solidFill>
                <a:latin typeface="+mn-lt"/>
                <a:cs typeface="Segoe UI" panose="020B0502040204020203" pitchFamily="34" charset="0"/>
              </a:rPr>
              <a:t>base de décompte</a:t>
            </a:r>
          </a:p>
        </xdr:txBody>
      </xdr:sp>
    </xdr:grpSp>
    <xdr:clientData/>
  </xdr:twoCellAnchor>
  <xdr:twoCellAnchor>
    <xdr:from>
      <xdr:col>6</xdr:col>
      <xdr:colOff>505113</xdr:colOff>
      <xdr:row>16</xdr:row>
      <xdr:rowOff>109561</xdr:rowOff>
    </xdr:from>
    <xdr:to>
      <xdr:col>8</xdr:col>
      <xdr:colOff>694182</xdr:colOff>
      <xdr:row>18</xdr:row>
      <xdr:rowOff>165173</xdr:rowOff>
    </xdr:to>
    <xdr:sp macro="" textlink="">
      <xdr:nvSpPr>
        <xdr:cNvPr id="59" name="Rectangle : coins arrondis 15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7723908" y="3102720"/>
          <a:ext cx="1713069" cy="425067"/>
        </a:xfrm>
        <a:prstGeom prst="roundRect">
          <a:avLst>
            <a:gd name="adj" fmla="val 50000"/>
          </a:avLst>
        </a:prstGeom>
        <a:solidFill>
          <a:srgbClr val="25244C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546559</xdr:colOff>
      <xdr:row>16</xdr:row>
      <xdr:rowOff>87603</xdr:rowOff>
    </xdr:from>
    <xdr:to>
      <xdr:col>8</xdr:col>
      <xdr:colOff>674815</xdr:colOff>
      <xdr:row>18</xdr:row>
      <xdr:rowOff>154130</xdr:rowOff>
    </xdr:to>
    <xdr:sp macro="[0]!Feuil4.Exporter_Clique" textlink="">
      <xdr:nvSpPr>
        <xdr:cNvPr id="48" name="Ajouter_AD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7765354" y="3080762"/>
          <a:ext cx="1652256" cy="4359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aseline="0">
              <a:solidFill>
                <a:srgbClr val="FF9431"/>
              </a:solidFill>
              <a:latin typeface="+mn-lt"/>
              <a:cs typeface="Segoe UI" panose="020B0502040204020203" pitchFamily="34" charset="0"/>
            </a:rPr>
            <a:t>Exporter </a:t>
          </a:r>
        </a:p>
        <a:p>
          <a:pPr algn="ctr"/>
          <a:r>
            <a:rPr lang="fr-FR" sz="1100" baseline="0">
              <a:solidFill>
                <a:srgbClr val="FF9431"/>
              </a:solidFill>
              <a:latin typeface="+mn-lt"/>
              <a:cs typeface="Segoe UI" panose="020B0502040204020203" pitchFamily="34" charset="0"/>
            </a:rPr>
            <a:t>décomptes</a:t>
          </a:r>
        </a:p>
      </xdr:txBody>
    </xdr:sp>
    <xdr:clientData/>
  </xdr:twoCellAnchor>
  <xdr:twoCellAnchor>
    <xdr:from>
      <xdr:col>9</xdr:col>
      <xdr:colOff>727135</xdr:colOff>
      <xdr:row>13</xdr:row>
      <xdr:rowOff>57149</xdr:rowOff>
    </xdr:from>
    <xdr:to>
      <xdr:col>11</xdr:col>
      <xdr:colOff>146050</xdr:colOff>
      <xdr:row>14</xdr:row>
      <xdr:rowOff>20902</xdr:rowOff>
    </xdr:to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0233085" y="2489199"/>
          <a:ext cx="942915" cy="1479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l"/>
          <a:r>
            <a:rPr lang="fr-FR" sz="11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Calibri"/>
              <a:ea typeface="Calibri"/>
              <a:cs typeface="Calibri"/>
            </a:rPr>
            <a:t>Décompte n°</a:t>
          </a:r>
        </a:p>
      </xdr:txBody>
    </xdr:sp>
    <xdr:clientData/>
  </xdr:twoCellAnchor>
  <xdr:twoCellAnchor>
    <xdr:from>
      <xdr:col>9</xdr:col>
      <xdr:colOff>357498</xdr:colOff>
      <xdr:row>14</xdr:row>
      <xdr:rowOff>156969</xdr:rowOff>
    </xdr:from>
    <xdr:to>
      <xdr:col>10</xdr:col>
      <xdr:colOff>332791</xdr:colOff>
      <xdr:row>15</xdr:row>
      <xdr:rowOff>128294</xdr:rowOff>
    </xdr:to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9863448" y="2773169"/>
          <a:ext cx="737293" cy="155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l"/>
          <a:r>
            <a:rPr lang="fr-FR" sz="11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Calibri"/>
              <a:ea typeface="Calibri"/>
              <a:cs typeface="Calibri"/>
            </a:rPr>
            <a:t>Arrété au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604280</xdr:colOff>
      <xdr:row>0</xdr:row>
      <xdr:rowOff>53487</xdr:rowOff>
    </xdr:from>
    <xdr:to>
      <xdr:col>16</xdr:col>
      <xdr:colOff>672235</xdr:colOff>
      <xdr:row>2</xdr:row>
      <xdr:rowOff>6989</xdr:rowOff>
    </xdr:to>
    <xdr:sp macro="" textlink="">
      <xdr:nvSpPr>
        <xdr:cNvPr id="10" name="ZoneTexte 9">
          <a:hlinkClick xmlns:r="http://schemas.openxmlformats.org/officeDocument/2006/relationships" r:id="rId1" tooltip="Ressources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0840480" y="53487"/>
          <a:ext cx="829955" cy="3218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>
              <a:solidFill>
                <a:schemeClr val="bg1"/>
              </a:solidFill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Ressources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2774949</xdr:colOff>
      <xdr:row>0</xdr:row>
      <xdr:rowOff>50957</xdr:rowOff>
    </xdr:from>
    <xdr:to>
      <xdr:col>3</xdr:col>
      <xdr:colOff>164628</xdr:colOff>
      <xdr:row>11</xdr:row>
      <xdr:rowOff>154460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4186537" y="50957"/>
          <a:ext cx="189257" cy="1954871"/>
        </a:xfrm>
        <a:prstGeom prst="roundRect">
          <a:avLst>
            <a:gd name="adj" fmla="val 44922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228600</xdr:colOff>
      <xdr:row>0</xdr:row>
      <xdr:rowOff>50957</xdr:rowOff>
    </xdr:from>
    <xdr:to>
      <xdr:col>1</xdr:col>
      <xdr:colOff>5879</xdr:colOff>
      <xdr:row>11</xdr:row>
      <xdr:rowOff>154460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28600" y="50957"/>
          <a:ext cx="165573" cy="1954871"/>
        </a:xfrm>
        <a:prstGeom prst="roundRect">
          <a:avLst>
            <a:gd name="adj" fmla="val 44922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227346</xdr:colOff>
      <xdr:row>10</xdr:row>
      <xdr:rowOff>175912</xdr:rowOff>
    </xdr:from>
    <xdr:to>
      <xdr:col>3</xdr:col>
      <xdr:colOff>158751</xdr:colOff>
      <xdr:row>11</xdr:row>
      <xdr:rowOff>153986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227346" y="1822208"/>
          <a:ext cx="4141220" cy="160343"/>
        </a:xfrm>
        <a:prstGeom prst="roundRect">
          <a:avLst>
            <a:gd name="adj" fmla="val 44922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241300</xdr:colOff>
      <xdr:row>0</xdr:row>
      <xdr:rowOff>50800</xdr:rowOff>
    </xdr:from>
    <xdr:to>
      <xdr:col>3</xdr:col>
      <xdr:colOff>95250</xdr:colOff>
      <xdr:row>1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241300" y="50800"/>
          <a:ext cx="4064000" cy="133350"/>
        </a:xfrm>
        <a:prstGeom prst="roundRect">
          <a:avLst>
            <a:gd name="adj" fmla="val 44922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mbre extrême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48000">
              <a:schemeClr val="phClr">
                <a:tint val="54000"/>
                <a:satMod val="140000"/>
              </a:schemeClr>
            </a:gs>
            <a:gs pos="100000">
              <a:schemeClr val="phClr">
                <a:tint val="24000"/>
                <a:satMod val="260000"/>
              </a:schemeClr>
            </a:gs>
          </a:gsLst>
          <a:lin ang="1620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48000"/>
                <a:satMod val="180000"/>
                <a:lumMod val="94000"/>
              </a:schemeClr>
            </a:gs>
            <a:gs pos="100000">
              <a:schemeClr val="phClr">
                <a:shade val="48000"/>
                <a:satMod val="180000"/>
                <a:lumMod val="94000"/>
              </a:schemeClr>
            </a:gs>
          </a:gsLst>
          <a:lin ang="4140000" scaled="1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12700" dir="5400000" sx="102000" sy="102000" rotWithShape="0">
              <a:srgbClr val="000000">
                <a:alpha val="32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9800000"/>
            </a:lightRig>
          </a:scene3d>
          <a:sp3d prstMaterial="plastic">
            <a:bevelT w="25400" h="19050"/>
          </a:sp3d>
        </a:effectStyle>
        <a:effectStyle>
          <a:effectLst>
            <a:outerShdw blurRad="114300" dist="114300" dir="5400000" rotWithShape="0">
              <a:srgbClr val="000000">
                <a:alpha val="7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exemple2@gmail.com" TargetMode="External"/><Relationship Id="rId1" Type="http://schemas.openxmlformats.org/officeDocument/2006/relationships/hyperlink" Target="mailto:exemple1@gmail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A1:Z90"/>
  <sheetViews>
    <sheetView showGridLines="0" showRowColHeaders="0" tabSelected="1" zoomScaleNormal="100" workbookViewId="0">
      <selection activeCell="C8" sqref="C8"/>
    </sheetView>
  </sheetViews>
  <sheetFormatPr baseColWidth="10" defaultRowHeight="14.5"/>
  <cols>
    <col min="2" max="2" width="21.453125" customWidth="1"/>
    <col min="3" max="3" width="21.26953125" customWidth="1"/>
    <col min="4" max="4" width="27.90625" customWidth="1"/>
  </cols>
  <sheetData>
    <row r="1" spans="1:26">
      <c r="A1" s="93"/>
      <c r="B1" s="93"/>
      <c r="C1" s="93"/>
      <c r="D1" s="93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26" ht="16.5">
      <c r="A2" s="93"/>
      <c r="B2" s="226" t="s">
        <v>135</v>
      </c>
      <c r="C2" s="94"/>
      <c r="D2" s="94"/>
      <c r="E2" s="95"/>
      <c r="F2" s="95"/>
      <c r="G2" s="95"/>
      <c r="H2" s="95"/>
      <c r="I2" s="95"/>
      <c r="J2" s="95"/>
      <c r="K2" s="95"/>
      <c r="L2" s="95"/>
      <c r="M2" s="95"/>
      <c r="N2" s="13"/>
      <c r="O2" s="13"/>
    </row>
    <row r="3" spans="1:26" ht="15.5">
      <c r="A3" s="93"/>
      <c r="B3" s="94"/>
      <c r="C3" s="94"/>
      <c r="D3" s="94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</row>
    <row r="4" spans="1:26" ht="14.5" customHeight="1">
      <c r="A4" s="93"/>
      <c r="B4" s="93"/>
      <c r="C4" s="93"/>
      <c r="D4" s="93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</row>
    <row r="5" spans="1:26" ht="14.5" customHeight="1">
      <c r="A5" s="93"/>
      <c r="B5" s="93"/>
      <c r="C5" s="93"/>
      <c r="D5" s="93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</row>
    <row r="6" spans="1:26" ht="14.5" customHeight="1">
      <c r="A6" s="93"/>
      <c r="B6" s="93"/>
      <c r="C6" s="93"/>
      <c r="D6" s="93"/>
      <c r="E6" s="96" t="s">
        <v>18</v>
      </c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</row>
    <row r="7" spans="1:26">
      <c r="A7" s="93"/>
      <c r="B7" s="93"/>
      <c r="C7" s="93"/>
      <c r="D7" s="93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spans="1:26">
      <c r="A8" s="93"/>
      <c r="B8" s="93"/>
      <c r="C8" s="93"/>
      <c r="D8" s="93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spans="1:26">
      <c r="A9" s="93"/>
      <c r="B9" s="93"/>
      <c r="C9" s="93"/>
      <c r="D9" s="93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</row>
    <row r="10" spans="1:26">
      <c r="A10" s="93"/>
      <c r="B10" s="93"/>
      <c r="C10" s="93"/>
      <c r="D10" s="93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</row>
    <row r="11" spans="1:26">
      <c r="A11" s="93"/>
      <c r="B11" s="93"/>
      <c r="C11" s="93"/>
      <c r="D11" s="93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</row>
    <row r="12" spans="1:26">
      <c r="A12" s="93"/>
      <c r="B12" s="93"/>
      <c r="C12" s="93"/>
      <c r="D12" s="93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</row>
    <row r="13" spans="1:26">
      <c r="A13" s="93"/>
      <c r="B13" s="93"/>
      <c r="C13" s="93"/>
      <c r="D13" s="93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</row>
    <row r="14" spans="1:26">
      <c r="A14" s="93"/>
      <c r="B14" s="95"/>
      <c r="C14" s="93"/>
      <c r="D14" s="93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</row>
    <row r="15" spans="1:26">
      <c r="A15" s="95"/>
      <c r="B15" s="95"/>
      <c r="C15" s="95"/>
      <c r="D15" s="93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</row>
    <row r="16" spans="1:26">
      <c r="A16" s="95"/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</row>
    <row r="17" spans="1:26">
      <c r="A17" s="95"/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</row>
    <row r="18" spans="1:26">
      <c r="A18" s="95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</row>
    <row r="19" spans="1:26">
      <c r="A19" s="95"/>
      <c r="B19" s="104" t="b">
        <v>0</v>
      </c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</row>
    <row r="20" spans="1:26">
      <c r="A20" s="95"/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</row>
    <row r="21" spans="1:26">
      <c r="A21" s="95"/>
      <c r="B21" s="97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</row>
    <row r="22" spans="1:26">
      <c r="A22" s="95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</row>
    <row r="23" spans="1:26">
      <c r="A23" s="95"/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</row>
    <row r="24" spans="1:26">
      <c r="A24" s="95"/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</row>
    <row r="25" spans="1:26">
      <c r="A25" s="95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</row>
    <row r="26" spans="1:26">
      <c r="A26" s="95"/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</row>
    <row r="27" spans="1:26">
      <c r="A27" s="95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</row>
    <row r="28" spans="1:26">
      <c r="A28" s="95"/>
      <c r="B28" s="95"/>
      <c r="C28" s="95"/>
      <c r="D28" s="98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</row>
    <row r="29" spans="1:26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</row>
    <row r="30" spans="1:26">
      <c r="A30" s="95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</row>
    <row r="31" spans="1:26">
      <c r="A31" s="95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</row>
    <row r="32" spans="1:26">
      <c r="A32" s="95"/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</row>
    <row r="33" spans="1:26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</row>
    <row r="34" spans="1:26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</row>
    <row r="35" spans="1:26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</row>
    <row r="36" spans="1:26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</row>
    <row r="37" spans="1:26">
      <c r="A37" s="95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</row>
    <row r="38" spans="1:26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</row>
    <row r="39" spans="1:26">
      <c r="A39" s="95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</row>
    <row r="40" spans="1:26">
      <c r="A40" s="95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</row>
    <row r="41" spans="1:26">
      <c r="A41" s="95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</row>
    <row r="42" spans="1:26">
      <c r="A42" s="95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</row>
    <row r="43" spans="1:26">
      <c r="A43" s="95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</row>
    <row r="44" spans="1:26">
      <c r="A44" s="95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</row>
    <row r="45" spans="1:26">
      <c r="A45" s="95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</row>
    <row r="46" spans="1:26">
      <c r="A46" s="95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</row>
    <row r="47" spans="1:26">
      <c r="A47" s="95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</row>
    <row r="48" spans="1:26">
      <c r="A48" s="95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</row>
    <row r="49" spans="1:26">
      <c r="A49" s="95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</row>
    <row r="50" spans="1:26">
      <c r="A50" s="95"/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</row>
    <row r="51" spans="1:26">
      <c r="A51" s="95"/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</row>
    <row r="52" spans="1:26">
      <c r="A52" s="95"/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</row>
    <row r="53" spans="1:26">
      <c r="A53" s="95"/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</row>
    <row r="54" spans="1:26">
      <c r="A54" s="95"/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</row>
    <row r="55" spans="1:26">
      <c r="A55" s="95"/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</row>
    <row r="56" spans="1:26">
      <c r="A56" s="95"/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</row>
    <row r="57" spans="1:26">
      <c r="A57" s="95"/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</row>
    <row r="58" spans="1:26">
      <c r="A58" s="95"/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</row>
    <row r="59" spans="1:26">
      <c r="A59" s="95"/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</row>
    <row r="60" spans="1:26">
      <c r="A60" s="95"/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</row>
    <row r="61" spans="1:26">
      <c r="A61" s="95"/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</row>
    <row r="62" spans="1:26">
      <c r="A62" s="95"/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</row>
    <row r="63" spans="1:26">
      <c r="A63" s="95"/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</row>
    <row r="64" spans="1:26">
      <c r="A64" s="95"/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</row>
    <row r="65" spans="1:26">
      <c r="A65" s="95"/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</row>
    <row r="66" spans="1:26">
      <c r="A66" s="95"/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</row>
    <row r="67" spans="1:26">
      <c r="A67" s="95"/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</row>
    <row r="68" spans="1:26">
      <c r="A68" s="95"/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</row>
    <row r="69" spans="1:26">
      <c r="A69" s="95"/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</row>
    <row r="70" spans="1:26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</row>
    <row r="71" spans="1:26">
      <c r="A71" s="95"/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</row>
    <row r="72" spans="1:26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</row>
    <row r="73" spans="1:26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</row>
    <row r="74" spans="1:26">
      <c r="A74" s="95"/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</row>
    <row r="75" spans="1:26">
      <c r="A75" s="95"/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</row>
    <row r="76" spans="1:26">
      <c r="A76" s="95"/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</row>
    <row r="77" spans="1:26">
      <c r="A77" s="95"/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</row>
    <row r="78" spans="1:26">
      <c r="A78" s="95"/>
      <c r="B78" s="95"/>
      <c r="C78" s="95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</row>
    <row r="79" spans="1:26">
      <c r="A79" s="95"/>
      <c r="B79" s="95"/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</row>
    <row r="80" spans="1:26">
      <c r="A80" s="95"/>
      <c r="B80" s="95"/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</row>
    <row r="81" spans="1:26">
      <c r="A81" s="95"/>
      <c r="B81" s="95"/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</row>
    <row r="82" spans="1:26">
      <c r="A82" s="95"/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</row>
    <row r="83" spans="1:26">
      <c r="A83" s="95"/>
      <c r="B83" s="95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</row>
    <row r="84" spans="1:26">
      <c r="A84" s="95"/>
      <c r="B84" s="95"/>
      <c r="C84" s="95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</row>
    <row r="85" spans="1:26">
      <c r="A85" s="95"/>
      <c r="B85" s="95"/>
      <c r="C85" s="95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</row>
    <row r="86" spans="1:26">
      <c r="A86" s="95"/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</row>
    <row r="87" spans="1:26">
      <c r="A87" s="95"/>
      <c r="B87" s="95"/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</row>
    <row r="88" spans="1:26">
      <c r="A88" s="95"/>
      <c r="B88" s="95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</row>
    <row r="89" spans="1:26">
      <c r="A89" s="95"/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</row>
    <row r="90" spans="1:26">
      <c r="A90" s="95"/>
      <c r="C90" s="95"/>
      <c r="D90" s="95"/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</row>
  </sheetData>
  <pageMargins left="0.7" right="0.7" top="0.75" bottom="0.75" header="0.3" footer="0.3"/>
  <pageSetup paperSize="9" scale="26" orientation="portrait" r:id="rId1"/>
  <drawing r:id="rId2"/>
  <legacyDrawing r:id="rId3"/>
  <controls>
    <mc:AlternateContent xmlns:mc="http://schemas.openxmlformats.org/markup-compatibility/2006">
      <mc:Choice Requires="x14">
        <control shapeId="3095" r:id="rId4" name="ListAD">
          <controlPr defaultSize="0" autoLine="0" autoPict="0" r:id="rId5">
            <anchor moveWithCells="1">
              <from>
                <xdr:col>2</xdr:col>
                <xdr:colOff>755650</xdr:colOff>
                <xdr:row>13</xdr:row>
                <xdr:rowOff>133350</xdr:rowOff>
              </from>
              <to>
                <xdr:col>6</xdr:col>
                <xdr:colOff>139700</xdr:colOff>
                <xdr:row>17</xdr:row>
                <xdr:rowOff>101600</xdr:rowOff>
              </to>
            </anchor>
          </controlPr>
        </control>
      </mc:Choice>
      <mc:Fallback>
        <control shapeId="3095" r:id="rId4" name="ListAD"/>
      </mc:Fallback>
    </mc:AlternateContent>
    <mc:AlternateContent xmlns:mc="http://schemas.openxmlformats.org/markup-compatibility/2006">
      <mc:Choice Requires="x14">
        <control shapeId="3086" r:id="rId6" name="ListeAD">
          <controlPr defaultSize="0" print="0" autoLine="0" r:id="rId7">
            <anchor>
              <from>
                <xdr:col>0</xdr:col>
                <xdr:colOff>469900</xdr:colOff>
                <xdr:row>949</xdr:row>
                <xdr:rowOff>69850</xdr:rowOff>
              </from>
              <to>
                <xdr:col>3</xdr:col>
                <xdr:colOff>1301750</xdr:colOff>
                <xdr:row>950</xdr:row>
                <xdr:rowOff>69850</xdr:rowOff>
              </to>
            </anchor>
          </controlPr>
        </control>
      </mc:Choice>
      <mc:Fallback>
        <control shapeId="3086" r:id="rId6" name="ListeAD"/>
      </mc:Fallback>
    </mc:AlternateContent>
    <mc:AlternateContent xmlns:mc="http://schemas.openxmlformats.org/markup-compatibility/2006">
      <mc:Choice Requires="x14">
        <control shapeId="3088" r:id="rId8" name="TextBox1">
          <controlPr defaultSize="0" autoLine="0" linkedCell="'Informations film'!C9" r:id="rId9">
            <anchor moveWithCells="1">
              <from>
                <xdr:col>10</xdr:col>
                <xdr:colOff>273050</xdr:colOff>
                <xdr:row>14</xdr:row>
                <xdr:rowOff>88900</xdr:rowOff>
              </from>
              <to>
                <xdr:col>11</xdr:col>
                <xdr:colOff>406400</xdr:colOff>
                <xdr:row>15</xdr:row>
                <xdr:rowOff>133350</xdr:rowOff>
              </to>
            </anchor>
          </controlPr>
        </control>
      </mc:Choice>
      <mc:Fallback>
        <control shapeId="3088" r:id="rId8" name="TextBox1"/>
      </mc:Fallback>
    </mc:AlternateContent>
    <mc:AlternateContent xmlns:mc="http://schemas.openxmlformats.org/markup-compatibility/2006">
      <mc:Choice Requires="x14">
        <control shapeId="3089" r:id="rId10" name="numérodécompte">
          <controlPr defaultSize="0" autoLine="0" linkedCell="'Informations film'!C11" r:id="rId11">
            <anchor moveWithCells="1">
              <from>
                <xdr:col>11</xdr:col>
                <xdr:colOff>76200</xdr:colOff>
                <xdr:row>12</xdr:row>
                <xdr:rowOff>165100</xdr:rowOff>
              </from>
              <to>
                <xdr:col>11</xdr:col>
                <xdr:colOff>387350</xdr:colOff>
                <xdr:row>14</xdr:row>
                <xdr:rowOff>19050</xdr:rowOff>
              </to>
            </anchor>
          </controlPr>
        </control>
      </mc:Choice>
      <mc:Fallback>
        <control shapeId="3089" r:id="rId10" name="numérodécomp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pageSetUpPr fitToPage="1"/>
  </sheetPr>
  <dimension ref="A7:AA115"/>
  <sheetViews>
    <sheetView showGridLines="0" zoomScaleNormal="100" zoomScaleSheetLayoutView="110" workbookViewId="0">
      <selection activeCell="M21" sqref="M21"/>
    </sheetView>
  </sheetViews>
  <sheetFormatPr baseColWidth="10" defaultRowHeight="14.5"/>
  <cols>
    <col min="1" max="1" width="2.6328125" customWidth="1"/>
    <col min="2" max="2" width="2.7265625" customWidth="1"/>
    <col min="3" max="5" width="9.6328125" customWidth="1"/>
    <col min="6" max="6" width="17.7265625" customWidth="1"/>
    <col min="7" max="7" width="13.36328125" customWidth="1"/>
    <col min="8" max="8" width="15" bestFit="1" customWidth="1"/>
    <col min="9" max="9" width="14.6328125" customWidth="1"/>
    <col min="10" max="10" width="27.81640625" bestFit="1" customWidth="1"/>
    <col min="11" max="12" width="2.6328125" customWidth="1"/>
    <col min="13" max="13" width="10.90625" customWidth="1"/>
    <col min="27" max="27" width="10.90625" style="116"/>
  </cols>
  <sheetData>
    <row r="7" spans="1:26" ht="14.5" customHeight="1">
      <c r="B7" s="124"/>
      <c r="J7" s="79"/>
      <c r="L7" s="116"/>
    </row>
    <row r="8" spans="1:26" ht="14.5" customHeight="1">
      <c r="B8" s="78"/>
      <c r="L8" s="116"/>
    </row>
    <row r="9" spans="1:26">
      <c r="L9" s="116"/>
      <c r="N9" s="241">
        <v>2</v>
      </c>
    </row>
    <row r="10" spans="1:26" ht="15.5" customHeight="1">
      <c r="B10" s="1"/>
      <c r="C10" s="11"/>
      <c r="D10" s="11"/>
      <c r="E10" s="11"/>
      <c r="F10" s="11"/>
      <c r="G10" s="36"/>
      <c r="H10" s="42" t="s">
        <v>130</v>
      </c>
      <c r="I10" s="35" t="s">
        <v>88</v>
      </c>
      <c r="J10" s="35" t="s">
        <v>33</v>
      </c>
    </row>
    <row r="11" spans="1:26">
      <c r="B11" s="128" t="s">
        <v>89</v>
      </c>
      <c r="C11" s="101"/>
      <c r="D11" s="101"/>
      <c r="E11" s="101"/>
      <c r="F11" s="101"/>
      <c r="G11" s="101"/>
      <c r="H11" s="103"/>
      <c r="I11" s="103"/>
      <c r="J11" s="103"/>
    </row>
    <row r="12" spans="1:26">
      <c r="A12" s="6"/>
      <c r="B12" s="70"/>
      <c r="C12" s="69" t="s">
        <v>121</v>
      </c>
      <c r="D12" s="69"/>
      <c r="E12" s="69"/>
      <c r="F12" s="69"/>
      <c r="G12" s="138">
        <v>0</v>
      </c>
      <c r="H12" s="71"/>
      <c r="I12" s="71"/>
      <c r="J12" s="71"/>
    </row>
    <row r="13" spans="1:26">
      <c r="A13" s="6"/>
      <c r="B13" s="118"/>
      <c r="C13" s="87" t="s">
        <v>40</v>
      </c>
      <c r="D13" s="87"/>
      <c r="E13" s="87"/>
      <c r="F13" s="87"/>
      <c r="G13" s="88"/>
      <c r="H13" s="89">
        <v>0</v>
      </c>
      <c r="I13" s="145">
        <v>100000</v>
      </c>
      <c r="J13" s="89">
        <f>+H13+I13</f>
        <v>100000</v>
      </c>
      <c r="M13" s="125"/>
      <c r="O13" s="123"/>
      <c r="P13" s="123"/>
      <c r="Q13" s="123"/>
      <c r="R13" s="123"/>
      <c r="S13" s="123"/>
      <c r="T13" s="123"/>
      <c r="U13" s="123"/>
      <c r="V13" s="123"/>
      <c r="W13" s="123"/>
      <c r="X13" s="116"/>
      <c r="Y13" s="116"/>
      <c r="Z13" s="116"/>
    </row>
    <row r="14" spans="1:26" ht="10" customHeight="1">
      <c r="A14" s="6"/>
      <c r="B14" s="15"/>
      <c r="C14" s="41"/>
      <c r="D14" s="41"/>
      <c r="E14" s="41"/>
      <c r="F14" s="41"/>
      <c r="G14" s="74"/>
      <c r="H14" s="56"/>
      <c r="I14" s="56"/>
      <c r="J14" s="56"/>
      <c r="M14" s="126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16"/>
      <c r="Y14" s="116"/>
      <c r="Z14" s="116"/>
    </row>
    <row r="15" spans="1:26">
      <c r="A15" s="6"/>
      <c r="B15" s="15"/>
      <c r="C15" s="52" t="s">
        <v>46</v>
      </c>
      <c r="D15" s="52"/>
      <c r="E15" s="52"/>
      <c r="F15" s="41"/>
      <c r="G15" s="74"/>
      <c r="H15" s="46">
        <v>27000000</v>
      </c>
      <c r="I15" s="139">
        <v>1500000</v>
      </c>
      <c r="J15" s="46">
        <f>+H15+I15</f>
        <v>28500000</v>
      </c>
      <c r="M15" s="126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16"/>
      <c r="Y15" s="116"/>
      <c r="Z15" s="116"/>
    </row>
    <row r="16" spans="1:26">
      <c r="A16" s="6"/>
      <c r="B16" s="15"/>
      <c r="C16" s="52" t="s">
        <v>47</v>
      </c>
      <c r="D16" s="52"/>
      <c r="E16" s="52"/>
      <c r="F16" s="41"/>
      <c r="G16" s="141">
        <v>0.25</v>
      </c>
      <c r="H16" s="57">
        <v>6750000</v>
      </c>
      <c r="I16" s="140">
        <f>I15*$G$16</f>
        <v>375000</v>
      </c>
      <c r="J16" s="46">
        <f>H16+I16</f>
        <v>7125000</v>
      </c>
      <c r="M16" s="125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16"/>
      <c r="Y16" s="116"/>
      <c r="Z16" s="116"/>
    </row>
    <row r="17" spans="1:26">
      <c r="A17" s="6"/>
      <c r="B17" s="15"/>
      <c r="C17" s="15" t="s">
        <v>34</v>
      </c>
      <c r="D17" s="15"/>
      <c r="E17" s="15"/>
      <c r="F17" s="15"/>
      <c r="G17" s="76"/>
      <c r="H17" s="46">
        <v>0</v>
      </c>
      <c r="I17" s="139">
        <f>0</f>
        <v>0</v>
      </c>
      <c r="J17" s="46">
        <f>+H17+I17</f>
        <v>0</v>
      </c>
      <c r="M17" s="125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16"/>
      <c r="Y17" s="116"/>
      <c r="Z17" s="116"/>
    </row>
    <row r="18" spans="1:26">
      <c r="A18" s="6"/>
      <c r="B18" s="15"/>
      <c r="C18" s="8" t="s">
        <v>35</v>
      </c>
      <c r="D18" s="8"/>
      <c r="E18" s="8"/>
      <c r="F18" s="8"/>
      <c r="G18" s="82"/>
      <c r="H18" s="61">
        <v>0</v>
      </c>
      <c r="I18" s="142">
        <f>0</f>
        <v>0</v>
      </c>
      <c r="J18" s="61">
        <f>+H18+I18</f>
        <v>0</v>
      </c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16"/>
      <c r="Y18" s="116"/>
      <c r="Z18" s="116"/>
    </row>
    <row r="19" spans="1:26">
      <c r="A19" s="6"/>
      <c r="C19" s="40" t="s">
        <v>52</v>
      </c>
      <c r="G19" s="75"/>
      <c r="H19" s="44">
        <v>20250000</v>
      </c>
      <c r="I19" s="44">
        <f>+I15-SUM(I16:I18)</f>
        <v>1125000</v>
      </c>
      <c r="J19" s="46">
        <f>+H19+I19</f>
        <v>21375000</v>
      </c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16"/>
      <c r="Y19" s="116"/>
      <c r="Z19" s="116"/>
    </row>
    <row r="20" spans="1:26" ht="10" customHeight="1">
      <c r="A20" s="6"/>
      <c r="B20" s="15"/>
      <c r="C20" s="15"/>
      <c r="D20" s="15"/>
      <c r="E20" s="15"/>
      <c r="F20" s="15"/>
      <c r="G20" s="76"/>
      <c r="H20" s="46"/>
      <c r="I20" s="80"/>
      <c r="J20" s="46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16"/>
      <c r="Y20" s="116"/>
      <c r="Z20" s="116"/>
    </row>
    <row r="21" spans="1:26">
      <c r="A21" s="6"/>
      <c r="B21" s="15"/>
      <c r="C21" s="15" t="s">
        <v>48</v>
      </c>
      <c r="D21" s="15"/>
      <c r="E21" s="15"/>
      <c r="F21" s="15"/>
      <c r="G21" s="75"/>
      <c r="H21" s="46">
        <v>0</v>
      </c>
      <c r="I21" s="139">
        <v>0</v>
      </c>
      <c r="J21" s="46">
        <f>+H21+I21</f>
        <v>0</v>
      </c>
      <c r="M21" s="116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16"/>
      <c r="Y21" s="116"/>
      <c r="Z21" s="116"/>
    </row>
    <row r="22" spans="1:26">
      <c r="A22" s="6"/>
      <c r="B22" s="15"/>
      <c r="C22" s="15" t="s">
        <v>122</v>
      </c>
      <c r="D22" s="15"/>
      <c r="E22" s="15"/>
      <c r="F22" s="15"/>
      <c r="G22" s="141">
        <v>0.3</v>
      </c>
      <c r="H22" s="46">
        <v>0</v>
      </c>
      <c r="I22" s="44">
        <f>+I21*$G$22</f>
        <v>0</v>
      </c>
      <c r="J22" s="46">
        <f>+H22+I22</f>
        <v>0</v>
      </c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16"/>
      <c r="Y22" s="116"/>
      <c r="Z22" s="116"/>
    </row>
    <row r="23" spans="1:26">
      <c r="A23" s="6"/>
      <c r="B23" s="15"/>
      <c r="C23" s="8" t="s">
        <v>35</v>
      </c>
      <c r="D23" s="8"/>
      <c r="E23" s="8"/>
      <c r="F23" s="8"/>
      <c r="G23" s="68"/>
      <c r="H23" s="61">
        <v>0</v>
      </c>
      <c r="I23" s="142">
        <f>+I21-I22</f>
        <v>0</v>
      </c>
      <c r="J23" s="61">
        <f>+H23+I23</f>
        <v>0</v>
      </c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16"/>
      <c r="Y23" s="116"/>
      <c r="Z23" s="116"/>
    </row>
    <row r="24" spans="1:26">
      <c r="A24" s="6"/>
      <c r="C24" s="40" t="s">
        <v>53</v>
      </c>
      <c r="G24" s="75"/>
      <c r="H24" s="44">
        <v>0</v>
      </c>
      <c r="I24" s="44">
        <f>I21-SUM(I22-I23)</f>
        <v>0</v>
      </c>
      <c r="J24" s="46">
        <f>H24+I24</f>
        <v>0</v>
      </c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16"/>
      <c r="Y24" s="116"/>
      <c r="Z24" s="116"/>
    </row>
    <row r="25" spans="1:26" ht="10" customHeight="1">
      <c r="A25" s="15"/>
      <c r="B25" s="5"/>
      <c r="C25" s="40"/>
      <c r="G25" s="81"/>
      <c r="H25" s="56"/>
      <c r="I25" s="43"/>
      <c r="J25" s="56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</row>
    <row r="26" spans="1:26">
      <c r="B26" s="5"/>
      <c r="C26" s="60" t="s">
        <v>37</v>
      </c>
      <c r="D26" s="8"/>
      <c r="E26" s="8"/>
      <c r="F26" s="8"/>
      <c r="G26" s="147">
        <v>400000</v>
      </c>
      <c r="H26" s="61">
        <v>0</v>
      </c>
      <c r="I26" s="61">
        <f>+MIN(I19+I24,G26)</f>
        <v>400000</v>
      </c>
      <c r="J26" s="61">
        <f>+H26+I26</f>
        <v>400000</v>
      </c>
      <c r="M26" s="125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</row>
    <row r="27" spans="1:26">
      <c r="B27" s="5"/>
      <c r="C27" s="41" t="s">
        <v>54</v>
      </c>
      <c r="D27" s="41"/>
      <c r="E27" s="41"/>
      <c r="F27" s="41"/>
      <c r="G27" s="73"/>
      <c r="H27" s="59">
        <v>20250000</v>
      </c>
      <c r="I27" s="45">
        <f>I15+I21-I16-I22-I17-I18-I26</f>
        <v>725000</v>
      </c>
      <c r="J27" s="62">
        <f>+H27+I27</f>
        <v>20975000</v>
      </c>
      <c r="M27" s="125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</row>
    <row r="28" spans="1:26">
      <c r="B28" s="5"/>
      <c r="C28" s="15"/>
      <c r="D28" s="15"/>
      <c r="E28" s="15"/>
      <c r="F28" s="15"/>
      <c r="G28" s="15"/>
      <c r="H28" s="43"/>
      <c r="I28" s="43"/>
      <c r="J28" s="43"/>
      <c r="M28" s="125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</row>
    <row r="29" spans="1:26">
      <c r="B29" s="127" t="s">
        <v>90</v>
      </c>
      <c r="C29" s="101"/>
      <c r="D29" s="101"/>
      <c r="E29" s="101"/>
      <c r="F29" s="101"/>
      <c r="G29" s="101"/>
      <c r="H29" s="103"/>
      <c r="I29" s="103"/>
      <c r="J29" s="103"/>
      <c r="M29" s="125"/>
      <c r="N29" s="242"/>
      <c r="O29" s="242"/>
      <c r="P29" s="242"/>
      <c r="Q29" s="242"/>
      <c r="R29" s="116"/>
      <c r="S29" s="116"/>
      <c r="T29" s="116"/>
      <c r="U29" s="116"/>
      <c r="V29" s="116"/>
      <c r="W29" s="116"/>
      <c r="X29" s="116"/>
      <c r="Y29" s="116"/>
      <c r="Z29" s="116"/>
    </row>
    <row r="30" spans="1:26">
      <c r="A30" s="6"/>
      <c r="B30" s="70"/>
      <c r="C30" s="69" t="s">
        <v>42</v>
      </c>
      <c r="D30" s="69"/>
      <c r="E30" s="69"/>
      <c r="F30" s="69"/>
      <c r="G30" s="70"/>
      <c r="H30" s="72">
        <v>0</v>
      </c>
      <c r="I30" s="143">
        <v>0</v>
      </c>
      <c r="J30" s="72">
        <f>+H30+I30</f>
        <v>0</v>
      </c>
      <c r="M30" s="125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</row>
    <row r="31" spans="1:26">
      <c r="A31" s="6"/>
      <c r="B31" s="70"/>
      <c r="C31" s="69" t="s">
        <v>103</v>
      </c>
      <c r="D31" s="69"/>
      <c r="E31" s="69"/>
      <c r="F31" s="69"/>
      <c r="G31" s="165">
        <v>1.5</v>
      </c>
      <c r="H31" s="144"/>
      <c r="I31" s="72"/>
      <c r="J31" s="72"/>
      <c r="M31" s="125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</row>
    <row r="32" spans="1:26">
      <c r="A32" s="6"/>
      <c r="B32" s="118"/>
      <c r="C32" s="87" t="s">
        <v>115</v>
      </c>
      <c r="D32" s="90"/>
      <c r="E32" s="90"/>
      <c r="F32" s="90"/>
      <c r="G32" s="91"/>
      <c r="H32" s="89">
        <v>0</v>
      </c>
      <c r="I32" s="89">
        <f>I30*$G$31</f>
        <v>0</v>
      </c>
      <c r="J32" s="89">
        <f>H32+I32</f>
        <v>0</v>
      </c>
      <c r="M32" s="125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</row>
    <row r="33" spans="1:26" ht="10" customHeight="1">
      <c r="A33" s="6"/>
      <c r="B33" s="15"/>
      <c r="C33" s="15"/>
      <c r="D33" s="15"/>
      <c r="E33" s="15"/>
      <c r="F33" s="15"/>
      <c r="G33" s="15"/>
      <c r="H33" s="46"/>
      <c r="I33" s="46"/>
      <c r="J33" s="46"/>
      <c r="M33" s="125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</row>
    <row r="34" spans="1:26" ht="10" customHeight="1">
      <c r="A34" s="6"/>
      <c r="B34" s="15"/>
      <c r="C34" s="15"/>
      <c r="D34" s="15"/>
      <c r="E34" s="15"/>
      <c r="F34" s="15"/>
      <c r="G34" s="177" t="s">
        <v>118</v>
      </c>
      <c r="H34" s="46"/>
      <c r="I34" s="164"/>
      <c r="J34" s="46"/>
      <c r="M34" s="125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</row>
    <row r="35" spans="1:26">
      <c r="A35" s="6"/>
      <c r="B35" s="15"/>
      <c r="C35" s="15" t="s">
        <v>107</v>
      </c>
      <c r="D35" s="15"/>
      <c r="E35" s="15"/>
      <c r="F35" s="15"/>
      <c r="G35" s="178">
        <v>0</v>
      </c>
      <c r="H35" s="46">
        <v>0</v>
      </c>
      <c r="I35" s="139">
        <v>0</v>
      </c>
      <c r="J35" s="46">
        <f>+H35+I35</f>
        <v>0</v>
      </c>
      <c r="M35" s="125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</row>
    <row r="36" spans="1:26">
      <c r="A36" s="6"/>
      <c r="B36" s="15"/>
      <c r="C36" s="15" t="s">
        <v>106</v>
      </c>
      <c r="D36" s="15"/>
      <c r="E36" s="15"/>
      <c r="F36" s="15"/>
      <c r="G36" s="178">
        <v>0</v>
      </c>
      <c r="H36" s="46">
        <v>0</v>
      </c>
      <c r="I36" s="139">
        <v>0</v>
      </c>
      <c r="J36" s="46">
        <f t="shared" ref="J36:J40" si="0">+H36+I36</f>
        <v>0</v>
      </c>
      <c r="M36" s="125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</row>
    <row r="37" spans="1:26">
      <c r="A37" s="6"/>
      <c r="B37" s="15"/>
      <c r="C37" s="166" t="s">
        <v>109</v>
      </c>
      <c r="D37" s="166"/>
      <c r="E37" s="166"/>
      <c r="F37" s="166"/>
      <c r="G37" s="179">
        <v>0</v>
      </c>
      <c r="H37" s="167">
        <v>0</v>
      </c>
      <c r="I37" s="168">
        <v>0</v>
      </c>
      <c r="J37" s="167">
        <f t="shared" si="0"/>
        <v>0</v>
      </c>
      <c r="M37" s="125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</row>
    <row r="38" spans="1:26">
      <c r="A38" s="15"/>
      <c r="B38" s="5"/>
      <c r="C38" s="40" t="s">
        <v>110</v>
      </c>
      <c r="D38" s="15"/>
      <c r="E38" s="15"/>
      <c r="F38" s="15"/>
      <c r="G38" s="141">
        <v>0.3</v>
      </c>
      <c r="H38" s="46">
        <v>0</v>
      </c>
      <c r="I38" s="46">
        <f>+I35*$G$38</f>
        <v>0</v>
      </c>
      <c r="J38" s="46">
        <f t="shared" si="0"/>
        <v>0</v>
      </c>
      <c r="M38" s="125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</row>
    <row r="39" spans="1:26">
      <c r="A39" s="15"/>
      <c r="B39" s="5"/>
      <c r="C39" s="40" t="s">
        <v>108</v>
      </c>
      <c r="D39" s="15"/>
      <c r="E39" s="15"/>
      <c r="F39" s="15"/>
      <c r="G39" s="141">
        <v>0.3</v>
      </c>
      <c r="H39" s="46">
        <v>0</v>
      </c>
      <c r="I39" s="164">
        <f>+I36*G39</f>
        <v>0</v>
      </c>
      <c r="J39" s="46">
        <f t="shared" si="0"/>
        <v>0</v>
      </c>
      <c r="M39" s="125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</row>
    <row r="40" spans="1:26">
      <c r="A40" s="15"/>
      <c r="B40" s="5"/>
      <c r="C40" s="169" t="s">
        <v>123</v>
      </c>
      <c r="D40" s="166"/>
      <c r="E40" s="166"/>
      <c r="F40" s="166"/>
      <c r="G40" s="170">
        <v>0.3</v>
      </c>
      <c r="H40" s="167">
        <v>0</v>
      </c>
      <c r="I40" s="171">
        <f>I37*G40</f>
        <v>0</v>
      </c>
      <c r="J40" s="167">
        <f t="shared" si="0"/>
        <v>0</v>
      </c>
      <c r="M40" s="125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</row>
    <row r="41" spans="1:26">
      <c r="A41" s="15"/>
      <c r="B41" s="5"/>
      <c r="C41" s="40" t="s">
        <v>43</v>
      </c>
      <c r="D41" s="15"/>
      <c r="E41" s="15"/>
      <c r="F41" s="15"/>
      <c r="G41" s="15"/>
      <c r="H41" s="46">
        <v>0</v>
      </c>
      <c r="I41" s="139">
        <v>0</v>
      </c>
      <c r="J41" s="46">
        <f>+H41+I41</f>
        <v>0</v>
      </c>
      <c r="M41" s="125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</row>
    <row r="42" spans="1:26">
      <c r="A42" s="6"/>
      <c r="B42" s="15"/>
      <c r="C42" s="40" t="s">
        <v>34</v>
      </c>
      <c r="D42" s="15"/>
      <c r="E42" s="15"/>
      <c r="F42" s="15"/>
      <c r="G42" s="15"/>
      <c r="H42" s="46">
        <v>0</v>
      </c>
      <c r="I42" s="139">
        <v>0</v>
      </c>
      <c r="J42" s="46">
        <f t="shared" ref="J42:J45" si="1">+H42+I42</f>
        <v>0</v>
      </c>
      <c r="M42" s="125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</row>
    <row r="43" spans="1:26">
      <c r="A43" s="6"/>
      <c r="B43" s="15"/>
      <c r="C43" s="40" t="s">
        <v>35</v>
      </c>
      <c r="D43" s="15"/>
      <c r="E43" s="15"/>
      <c r="F43" s="15"/>
      <c r="G43" s="15"/>
      <c r="H43" s="46">
        <v>0</v>
      </c>
      <c r="I43" s="139">
        <v>0</v>
      </c>
      <c r="J43" s="46">
        <f t="shared" si="1"/>
        <v>0</v>
      </c>
      <c r="M43" s="125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</row>
    <row r="44" spans="1:26">
      <c r="B44" s="5"/>
      <c r="C44" s="60" t="s">
        <v>37</v>
      </c>
      <c r="D44" s="8"/>
      <c r="E44" s="8"/>
      <c r="F44" s="8"/>
      <c r="G44" s="147">
        <v>0</v>
      </c>
      <c r="H44" s="61">
        <v>0</v>
      </c>
      <c r="I44" s="142">
        <f>+MIN(I35+I36+I37-I38-I39-I40-I42-I43-I41,G44)</f>
        <v>0</v>
      </c>
      <c r="J44" s="46">
        <f t="shared" si="1"/>
        <v>0</v>
      </c>
      <c r="M44" s="125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</row>
    <row r="45" spans="1:26">
      <c r="B45" s="5"/>
      <c r="C45" s="41" t="s">
        <v>55</v>
      </c>
      <c r="D45" s="41"/>
      <c r="E45" s="41"/>
      <c r="F45" s="41"/>
      <c r="G45" s="41"/>
      <c r="H45" s="59">
        <v>0</v>
      </c>
      <c r="I45" s="45">
        <f>I38+I39+I40-I42-I43-I41-I44</f>
        <v>0</v>
      </c>
      <c r="J45" s="62">
        <f t="shared" si="1"/>
        <v>0</v>
      </c>
      <c r="M45" s="125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</row>
    <row r="46" spans="1:26">
      <c r="A46" s="6"/>
      <c r="B46" s="15"/>
      <c r="C46" s="54"/>
      <c r="D46" s="41"/>
      <c r="E46" s="41"/>
      <c r="F46" s="41"/>
      <c r="G46" s="53"/>
      <c r="H46" s="46"/>
      <c r="I46" s="46"/>
      <c r="J46" s="46"/>
      <c r="M46" s="125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</row>
    <row r="47" spans="1:26">
      <c r="B47" s="127" t="s">
        <v>91</v>
      </c>
      <c r="C47" s="101"/>
      <c r="D47" s="101"/>
      <c r="E47" s="101"/>
      <c r="F47" s="101"/>
      <c r="G47" s="101"/>
      <c r="H47" s="103"/>
      <c r="I47" s="103"/>
      <c r="J47" s="103"/>
      <c r="M47" s="125"/>
      <c r="N47" s="242"/>
      <c r="O47" s="242"/>
      <c r="P47" s="242"/>
      <c r="Q47" s="242"/>
      <c r="R47" s="116"/>
      <c r="S47" s="116"/>
      <c r="T47" s="116"/>
      <c r="U47" s="116"/>
      <c r="V47" s="116"/>
      <c r="W47" s="116"/>
      <c r="X47" s="116"/>
      <c r="Y47" s="116"/>
      <c r="Z47" s="116"/>
    </row>
    <row r="48" spans="1:26">
      <c r="B48" s="118"/>
      <c r="C48" s="87" t="s">
        <v>44</v>
      </c>
      <c r="D48" s="91"/>
      <c r="E48" s="91"/>
      <c r="F48" s="91"/>
      <c r="G48" s="91"/>
      <c r="H48" s="89">
        <v>0</v>
      </c>
      <c r="I48" s="145">
        <v>0</v>
      </c>
      <c r="J48" s="89">
        <f>+H48+I48</f>
        <v>0</v>
      </c>
      <c r="M48" s="125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</row>
    <row r="49" spans="1:26" ht="10" customHeight="1">
      <c r="B49" s="37"/>
      <c r="C49" s="15"/>
      <c r="D49" s="15"/>
      <c r="E49" s="15"/>
      <c r="F49" s="15"/>
      <c r="G49" s="15"/>
      <c r="H49" s="43"/>
      <c r="I49" s="43"/>
      <c r="J49" s="43"/>
      <c r="M49" s="125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</row>
    <row r="50" spans="1:26" ht="10" customHeight="1">
      <c r="B50" s="37"/>
      <c r="C50" s="15"/>
      <c r="D50" s="15"/>
      <c r="E50" s="15"/>
      <c r="F50" s="15"/>
      <c r="G50" s="177" t="s">
        <v>117</v>
      </c>
      <c r="H50" s="43"/>
      <c r="I50" s="15"/>
      <c r="J50" s="43"/>
      <c r="M50" s="125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</row>
    <row r="51" spans="1:26">
      <c r="B51" s="5"/>
      <c r="C51" s="15" t="s">
        <v>111</v>
      </c>
      <c r="D51" s="15"/>
      <c r="E51" s="15"/>
      <c r="F51" s="15"/>
      <c r="G51" s="178">
        <v>0</v>
      </c>
      <c r="H51" s="46">
        <v>0</v>
      </c>
      <c r="I51" s="139">
        <v>0</v>
      </c>
      <c r="J51" s="44">
        <f t="shared" ref="J51:J58" si="2">+H51+I51</f>
        <v>0</v>
      </c>
      <c r="M51" s="125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</row>
    <row r="52" spans="1:26">
      <c r="B52" s="5"/>
      <c r="C52" s="166" t="s">
        <v>112</v>
      </c>
      <c r="D52" s="166"/>
      <c r="E52" s="166"/>
      <c r="F52" s="166"/>
      <c r="G52" s="179">
        <v>0</v>
      </c>
      <c r="H52" s="167">
        <v>0</v>
      </c>
      <c r="I52" s="168">
        <v>0</v>
      </c>
      <c r="J52" s="172">
        <f t="shared" si="2"/>
        <v>0</v>
      </c>
      <c r="M52" s="125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</row>
    <row r="53" spans="1:26">
      <c r="B53" s="5"/>
      <c r="C53" s="15" t="s">
        <v>113</v>
      </c>
      <c r="D53" s="15"/>
      <c r="E53" s="15"/>
      <c r="F53" s="15"/>
      <c r="G53" s="141">
        <v>0.15</v>
      </c>
      <c r="H53" s="44">
        <v>0</v>
      </c>
      <c r="I53" s="44">
        <f>+I51*$G$53</f>
        <v>0</v>
      </c>
      <c r="J53" s="44">
        <f t="shared" si="2"/>
        <v>0</v>
      </c>
      <c r="M53" s="125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</row>
    <row r="54" spans="1:26">
      <c r="B54" s="5"/>
      <c r="C54" s="166" t="s">
        <v>114</v>
      </c>
      <c r="D54" s="166"/>
      <c r="E54" s="166"/>
      <c r="F54" s="166"/>
      <c r="G54" s="170">
        <v>0.15</v>
      </c>
      <c r="H54" s="172">
        <v>0</v>
      </c>
      <c r="I54" s="172">
        <f>+I52*G54</f>
        <v>0</v>
      </c>
      <c r="J54" s="172">
        <f t="shared" si="2"/>
        <v>0</v>
      </c>
      <c r="M54" s="125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</row>
    <row r="55" spans="1:26">
      <c r="B55" s="5"/>
      <c r="C55" s="15" t="s">
        <v>34</v>
      </c>
      <c r="D55" s="15"/>
      <c r="E55" s="15"/>
      <c r="F55" s="15"/>
      <c r="G55" s="40"/>
      <c r="H55" s="44">
        <v>0</v>
      </c>
      <c r="I55" s="139">
        <v>0</v>
      </c>
      <c r="J55" s="44">
        <f t="shared" si="2"/>
        <v>0</v>
      </c>
      <c r="M55" s="125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</row>
    <row r="56" spans="1:26">
      <c r="A56" s="6"/>
      <c r="B56" s="15"/>
      <c r="C56" s="40" t="s">
        <v>35</v>
      </c>
      <c r="D56" s="15"/>
      <c r="E56" s="15"/>
      <c r="F56" s="15"/>
      <c r="G56" s="15"/>
      <c r="H56" s="46">
        <v>0</v>
      </c>
      <c r="I56" s="139">
        <f>G56-H56</f>
        <v>0</v>
      </c>
      <c r="J56" s="46">
        <f t="shared" si="2"/>
        <v>0</v>
      </c>
      <c r="M56" s="125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</row>
    <row r="57" spans="1:26">
      <c r="B57" s="5"/>
      <c r="C57" s="60" t="s">
        <v>37</v>
      </c>
      <c r="D57" s="8"/>
      <c r="E57" s="8"/>
      <c r="F57" s="8"/>
      <c r="G57" s="147">
        <v>0</v>
      </c>
      <c r="H57" s="61">
        <v>0</v>
      </c>
      <c r="I57" s="142">
        <f>+MIN(I51+I52-I53-I54-I55-I56,G57)</f>
        <v>0</v>
      </c>
      <c r="J57" s="46">
        <f t="shared" si="2"/>
        <v>0</v>
      </c>
      <c r="M57" s="125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</row>
    <row r="58" spans="1:26">
      <c r="B58" s="5"/>
      <c r="C58" s="41" t="s">
        <v>56</v>
      </c>
      <c r="D58" s="41"/>
      <c r="E58" s="41"/>
      <c r="F58" s="41"/>
      <c r="G58" s="41"/>
      <c r="H58" s="59">
        <v>0</v>
      </c>
      <c r="I58" s="45">
        <f>(I51+I52)-SUM(I53:I57)</f>
        <v>0</v>
      </c>
      <c r="J58" s="62">
        <f t="shared" si="2"/>
        <v>0</v>
      </c>
      <c r="M58" s="125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</row>
    <row r="59" spans="1:26">
      <c r="B59" s="5"/>
      <c r="C59" s="54"/>
      <c r="D59" s="41"/>
      <c r="E59" s="41"/>
      <c r="F59" s="41"/>
      <c r="G59" s="53"/>
      <c r="H59" s="46"/>
      <c r="I59" s="46"/>
      <c r="J59" s="46"/>
      <c r="M59" s="125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</row>
    <row r="60" spans="1:26">
      <c r="B60" s="127" t="s">
        <v>92</v>
      </c>
      <c r="C60" s="101"/>
      <c r="D60" s="101"/>
      <c r="E60" s="101"/>
      <c r="F60" s="101"/>
      <c r="G60" s="101"/>
      <c r="H60" s="103"/>
      <c r="I60" s="103"/>
      <c r="J60" s="103"/>
      <c r="M60" s="125"/>
      <c r="N60" s="242"/>
      <c r="O60" s="242"/>
      <c r="P60" s="242"/>
      <c r="Q60" s="242"/>
      <c r="R60" s="116"/>
      <c r="S60" s="116"/>
      <c r="T60" s="116"/>
      <c r="U60" s="116"/>
      <c r="V60" s="116"/>
      <c r="W60" s="116"/>
      <c r="X60" s="116"/>
      <c r="Y60" s="116"/>
      <c r="Z60" s="116"/>
    </row>
    <row r="61" spans="1:26">
      <c r="B61" s="174"/>
      <c r="C61" s="173" t="s">
        <v>104</v>
      </c>
      <c r="D61" s="70"/>
      <c r="E61" s="70"/>
      <c r="F61" s="70"/>
      <c r="G61" s="70"/>
      <c r="H61" s="72">
        <v>0</v>
      </c>
      <c r="I61" s="175">
        <v>0</v>
      </c>
      <c r="J61" s="72">
        <f>+H61+I61</f>
        <v>0</v>
      </c>
      <c r="M61" s="125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</row>
    <row r="62" spans="1:26">
      <c r="B62" s="118"/>
      <c r="C62" s="91" t="s">
        <v>61</v>
      </c>
      <c r="D62" s="91"/>
      <c r="E62" s="91"/>
      <c r="F62" s="91"/>
      <c r="G62" s="91"/>
      <c r="H62" s="89">
        <v>0</v>
      </c>
      <c r="I62" s="89">
        <f>SUM(I61)</f>
        <v>0</v>
      </c>
      <c r="J62" s="89">
        <f>+H62+I62</f>
        <v>0</v>
      </c>
      <c r="M62" s="125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</row>
    <row r="63" spans="1:26" ht="10" customHeight="1">
      <c r="B63" s="37"/>
      <c r="C63" s="15"/>
      <c r="D63" s="15"/>
      <c r="E63" s="15"/>
      <c r="F63" s="15"/>
      <c r="G63" s="15"/>
      <c r="H63" s="43"/>
      <c r="I63" s="43"/>
      <c r="J63" s="43"/>
      <c r="M63" s="125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</row>
    <row r="64" spans="1:26" ht="14.5" customHeight="1">
      <c r="B64" s="37"/>
      <c r="C64" s="173" t="s">
        <v>104</v>
      </c>
      <c r="D64" s="15"/>
      <c r="E64" s="15"/>
      <c r="F64" s="15"/>
      <c r="G64" s="154">
        <v>0</v>
      </c>
      <c r="H64" s="46">
        <v>0</v>
      </c>
      <c r="I64" s="139">
        <v>0</v>
      </c>
      <c r="J64" s="44">
        <f>+H64+I64</f>
        <v>0</v>
      </c>
      <c r="M64" s="125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</row>
    <row r="65" spans="2:26" ht="14.5" customHeight="1">
      <c r="B65" s="5"/>
      <c r="C65" s="15" t="s">
        <v>85</v>
      </c>
      <c r="D65" s="15"/>
      <c r="E65" s="15"/>
      <c r="F65" s="15"/>
      <c r="G65" s="15"/>
      <c r="H65" s="46">
        <v>0</v>
      </c>
      <c r="I65" s="44">
        <f>+SUM(I64)</f>
        <v>0</v>
      </c>
      <c r="J65" s="44">
        <f t="shared" ref="J65:J72" si="3">+H65+I65</f>
        <v>0</v>
      </c>
      <c r="M65" s="125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</row>
    <row r="66" spans="2:26" ht="14.5" customHeight="1">
      <c r="B66" s="5"/>
      <c r="C66" s="173" t="s">
        <v>104</v>
      </c>
      <c r="D66" s="15"/>
      <c r="E66" s="15"/>
      <c r="F66" s="15"/>
      <c r="G66" s="154">
        <v>0</v>
      </c>
      <c r="H66" s="46">
        <v>0</v>
      </c>
      <c r="I66" s="139">
        <v>0</v>
      </c>
      <c r="J66" s="44">
        <v>0</v>
      </c>
      <c r="M66" s="125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</row>
    <row r="67" spans="2:26">
      <c r="B67" s="5"/>
      <c r="C67" s="166" t="s">
        <v>105</v>
      </c>
      <c r="D67" s="166"/>
      <c r="E67" s="166"/>
      <c r="F67" s="166"/>
      <c r="G67" s="166"/>
      <c r="H67" s="167">
        <v>0</v>
      </c>
      <c r="I67" s="172">
        <f>+SUM(I66)</f>
        <v>0</v>
      </c>
      <c r="J67" s="172">
        <f t="shared" si="3"/>
        <v>0</v>
      </c>
      <c r="M67" s="125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</row>
    <row r="68" spans="2:26">
      <c r="B68" s="5"/>
      <c r="C68" s="15" t="s">
        <v>119</v>
      </c>
      <c r="D68" s="15"/>
      <c r="E68" s="15"/>
      <c r="F68" s="15"/>
      <c r="G68" s="141">
        <v>0.1</v>
      </c>
      <c r="H68" s="44">
        <v>0</v>
      </c>
      <c r="I68" s="46">
        <f>+I65*$G$68</f>
        <v>0</v>
      </c>
      <c r="J68" s="44">
        <f t="shared" si="3"/>
        <v>0</v>
      </c>
      <c r="M68" s="125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</row>
    <row r="69" spans="2:26">
      <c r="B69" s="5"/>
      <c r="C69" s="166" t="s">
        <v>120</v>
      </c>
      <c r="D69" s="166"/>
      <c r="E69" s="166"/>
      <c r="F69" s="166"/>
      <c r="G69" s="170">
        <v>0.15</v>
      </c>
      <c r="H69" s="172">
        <v>0</v>
      </c>
      <c r="I69" s="167">
        <f>+I67*$G$69</f>
        <v>0</v>
      </c>
      <c r="J69" s="172">
        <f t="shared" si="3"/>
        <v>0</v>
      </c>
      <c r="M69" s="125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</row>
    <row r="70" spans="2:26">
      <c r="B70" s="5"/>
      <c r="C70" s="15" t="s">
        <v>34</v>
      </c>
      <c r="D70" s="15"/>
      <c r="E70" s="15"/>
      <c r="F70" s="15"/>
      <c r="G70" s="40"/>
      <c r="H70" s="44">
        <v>0</v>
      </c>
      <c r="I70" s="139">
        <f>G70-H70</f>
        <v>0</v>
      </c>
      <c r="J70" s="44">
        <f t="shared" si="3"/>
        <v>0</v>
      </c>
      <c r="M70" s="125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</row>
    <row r="71" spans="2:26">
      <c r="B71" s="5"/>
      <c r="C71" s="60" t="s">
        <v>35</v>
      </c>
      <c r="D71" s="8"/>
      <c r="E71" s="8"/>
      <c r="F71" s="8"/>
      <c r="G71" s="60"/>
      <c r="H71" s="61">
        <v>0</v>
      </c>
      <c r="I71" s="142">
        <f>G71-H71</f>
        <v>0</v>
      </c>
      <c r="J71" s="46">
        <f t="shared" si="3"/>
        <v>0</v>
      </c>
      <c r="M71" s="125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</row>
    <row r="72" spans="2:26">
      <c r="B72" s="5"/>
      <c r="C72" s="41" t="s">
        <v>57</v>
      </c>
      <c r="D72" s="41"/>
      <c r="E72" s="41"/>
      <c r="F72" s="41"/>
      <c r="G72" s="41"/>
      <c r="H72" s="59">
        <v>0</v>
      </c>
      <c r="I72" s="45">
        <f>I65+I67-SUM(I68:I71)</f>
        <v>0</v>
      </c>
      <c r="J72" s="62">
        <f t="shared" si="3"/>
        <v>0</v>
      </c>
      <c r="M72" s="125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</row>
    <row r="73" spans="2:26">
      <c r="B73" s="5"/>
      <c r="C73" s="15"/>
      <c r="D73" s="15"/>
      <c r="E73" s="15"/>
      <c r="F73" s="15"/>
      <c r="G73" s="15"/>
      <c r="H73" s="43"/>
      <c r="I73" s="43"/>
      <c r="J73" s="43"/>
      <c r="M73" s="125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</row>
    <row r="74" spans="2:26">
      <c r="B74" s="127" t="s">
        <v>93</v>
      </c>
      <c r="C74" s="101"/>
      <c r="D74" s="101"/>
      <c r="E74" s="101"/>
      <c r="F74" s="101"/>
      <c r="G74" s="101"/>
      <c r="H74" s="103"/>
      <c r="I74" s="103"/>
      <c r="J74" s="103"/>
      <c r="M74" s="125"/>
      <c r="N74" s="242"/>
      <c r="O74" s="242"/>
      <c r="P74" s="242"/>
      <c r="Q74" s="242"/>
      <c r="R74" s="116"/>
      <c r="S74" s="116"/>
      <c r="T74" s="116"/>
      <c r="U74" s="116"/>
      <c r="V74" s="116"/>
      <c r="W74" s="116"/>
      <c r="X74" s="116"/>
      <c r="Y74" s="116"/>
      <c r="Z74" s="116"/>
    </row>
    <row r="75" spans="2:26">
      <c r="B75" s="174"/>
      <c r="C75" s="173" t="s">
        <v>104</v>
      </c>
      <c r="D75" s="70"/>
      <c r="E75" s="70"/>
      <c r="F75" s="70"/>
      <c r="G75" s="70"/>
      <c r="H75" s="72">
        <v>0</v>
      </c>
      <c r="I75" s="175">
        <v>0</v>
      </c>
      <c r="J75" s="72">
        <f>+H75+I75</f>
        <v>0</v>
      </c>
      <c r="M75" s="125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</row>
    <row r="76" spans="2:26">
      <c r="B76" s="118"/>
      <c r="C76" s="91" t="s">
        <v>62</v>
      </c>
      <c r="D76" s="91"/>
      <c r="E76" s="91"/>
      <c r="F76" s="91"/>
      <c r="G76" s="91"/>
      <c r="H76" s="89">
        <v>0</v>
      </c>
      <c r="I76" s="89">
        <f>+SUM(I75)</f>
        <v>0</v>
      </c>
      <c r="J76" s="89">
        <f>+H76+I76</f>
        <v>0</v>
      </c>
      <c r="M76" s="125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</row>
    <row r="77" spans="2:26" ht="10" customHeight="1">
      <c r="B77" s="37"/>
      <c r="C77" s="15"/>
      <c r="D77" s="15"/>
      <c r="E77" s="15"/>
      <c r="F77" s="15"/>
      <c r="G77" s="15"/>
      <c r="H77" s="43"/>
      <c r="I77" s="43"/>
      <c r="J77" s="43"/>
      <c r="M77" s="125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</row>
    <row r="78" spans="2:26" ht="14.5" customHeight="1">
      <c r="B78" s="37"/>
      <c r="C78" s="173" t="s">
        <v>116</v>
      </c>
      <c r="D78" s="15"/>
      <c r="E78" s="15"/>
      <c r="F78" s="15"/>
      <c r="G78" s="154">
        <v>0</v>
      </c>
      <c r="H78" s="46">
        <v>0</v>
      </c>
      <c r="I78" s="139">
        <v>0</v>
      </c>
      <c r="J78" s="44">
        <f t="shared" ref="J78:J83" si="4">+H78+I78</f>
        <v>0</v>
      </c>
      <c r="M78" s="125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</row>
    <row r="79" spans="2:26">
      <c r="B79" s="5"/>
      <c r="C79" s="166" t="s">
        <v>45</v>
      </c>
      <c r="D79" s="166"/>
      <c r="E79" s="166"/>
      <c r="F79" s="166"/>
      <c r="G79" s="166"/>
      <c r="H79" s="167">
        <v>0</v>
      </c>
      <c r="I79" s="167">
        <f>+SUM(I78)</f>
        <v>0</v>
      </c>
      <c r="J79" s="172">
        <f t="shared" si="4"/>
        <v>0</v>
      </c>
      <c r="M79" s="125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</row>
    <row r="80" spans="2:26">
      <c r="B80" s="5"/>
      <c r="C80" s="15" t="s">
        <v>36</v>
      </c>
      <c r="D80" s="15"/>
      <c r="E80" s="15"/>
      <c r="F80" s="15"/>
      <c r="G80" s="141">
        <v>0.3</v>
      </c>
      <c r="H80" s="44">
        <v>0</v>
      </c>
      <c r="I80" s="46">
        <f>+I79*$G$80</f>
        <v>0</v>
      </c>
      <c r="J80" s="44">
        <f t="shared" si="4"/>
        <v>0</v>
      </c>
      <c r="M80" s="125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</row>
    <row r="81" spans="2:26">
      <c r="B81" s="5"/>
      <c r="C81" s="15" t="s">
        <v>34</v>
      </c>
      <c r="D81" s="15"/>
      <c r="E81" s="15"/>
      <c r="F81" s="15"/>
      <c r="G81" s="40"/>
      <c r="H81" s="44">
        <v>0</v>
      </c>
      <c r="I81" s="139">
        <f>G81-H81</f>
        <v>0</v>
      </c>
      <c r="J81" s="44">
        <f t="shared" si="4"/>
        <v>0</v>
      </c>
      <c r="M81" s="125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</row>
    <row r="82" spans="2:26">
      <c r="B82" s="5"/>
      <c r="C82" s="60" t="s">
        <v>35</v>
      </c>
      <c r="D82" s="8"/>
      <c r="E82" s="8"/>
      <c r="F82" s="8"/>
      <c r="G82" s="65"/>
      <c r="H82" s="63">
        <v>0</v>
      </c>
      <c r="I82" s="142">
        <f>G82-H82</f>
        <v>0</v>
      </c>
      <c r="J82" s="46">
        <f t="shared" si="4"/>
        <v>0</v>
      </c>
      <c r="M82" s="125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</row>
    <row r="83" spans="2:26">
      <c r="B83" s="5"/>
      <c r="C83" s="41" t="s">
        <v>58</v>
      </c>
      <c r="D83" s="41"/>
      <c r="E83" s="41"/>
      <c r="F83" s="41"/>
      <c r="G83" s="77"/>
      <c r="H83" s="58">
        <v>0</v>
      </c>
      <c r="I83" s="45">
        <f>I79-SUM(I80:I82)</f>
        <v>0</v>
      </c>
      <c r="J83" s="62">
        <f t="shared" si="4"/>
        <v>0</v>
      </c>
      <c r="M83" s="125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</row>
    <row r="84" spans="2:26">
      <c r="B84" s="5"/>
      <c r="C84" s="41"/>
      <c r="D84" s="41"/>
      <c r="E84" s="41"/>
      <c r="F84" s="41"/>
      <c r="G84" s="64"/>
      <c r="H84" s="58"/>
      <c r="I84" s="45"/>
      <c r="J84" s="45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</row>
    <row r="85" spans="2:26">
      <c r="B85" s="127" t="s">
        <v>28</v>
      </c>
      <c r="C85" s="101"/>
      <c r="D85" s="101"/>
      <c r="E85" s="101"/>
      <c r="F85" s="101"/>
      <c r="G85" s="101"/>
      <c r="H85" s="103"/>
      <c r="I85" s="103"/>
      <c r="J85" s="103"/>
      <c r="M85" s="242"/>
      <c r="N85" s="242"/>
      <c r="O85" s="242"/>
      <c r="P85" s="242"/>
      <c r="Q85" s="242"/>
      <c r="R85" s="116"/>
      <c r="S85" s="116"/>
      <c r="T85" s="116"/>
      <c r="U85" s="116"/>
      <c r="V85" s="116"/>
      <c r="W85" s="116"/>
      <c r="X85" s="116"/>
      <c r="Y85" s="116"/>
      <c r="Z85" s="116"/>
    </row>
    <row r="86" spans="2:26">
      <c r="B86" s="5"/>
      <c r="C86" s="15" t="s">
        <v>45</v>
      </c>
      <c r="D86" s="15"/>
      <c r="E86" s="15"/>
      <c r="F86" s="15"/>
      <c r="G86" s="15"/>
      <c r="H86" s="46">
        <v>0</v>
      </c>
      <c r="I86" s="139">
        <v>0</v>
      </c>
      <c r="J86" s="44">
        <f t="shared" ref="J86:J91" si="5">+H86+I86</f>
        <v>0</v>
      </c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</row>
    <row r="87" spans="2:26">
      <c r="B87" s="5"/>
      <c r="C87" s="15" t="s">
        <v>36</v>
      </c>
      <c r="D87" s="15"/>
      <c r="E87" s="15"/>
      <c r="F87" s="15"/>
      <c r="G87" s="141">
        <v>0.25</v>
      </c>
      <c r="H87" s="44">
        <v>0</v>
      </c>
      <c r="I87" s="44">
        <f>+I86*$G$87</f>
        <v>0</v>
      </c>
      <c r="J87" s="44">
        <f t="shared" si="5"/>
        <v>0</v>
      </c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</row>
    <row r="88" spans="2:26">
      <c r="B88" s="5"/>
      <c r="C88" s="15" t="s">
        <v>34</v>
      </c>
      <c r="D88" s="15"/>
      <c r="E88" s="15"/>
      <c r="F88" s="15"/>
      <c r="G88" s="40"/>
      <c r="H88" s="44">
        <v>0</v>
      </c>
      <c r="I88" s="146">
        <f>G88-H88</f>
        <v>0</v>
      </c>
      <c r="J88" s="38">
        <f t="shared" si="5"/>
        <v>0</v>
      </c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</row>
    <row r="89" spans="2:26">
      <c r="B89" s="5"/>
      <c r="C89" s="15" t="s">
        <v>35</v>
      </c>
      <c r="D89" s="15"/>
      <c r="E89" s="15"/>
      <c r="F89" s="15"/>
      <c r="G89" s="55"/>
      <c r="H89" s="44">
        <v>0</v>
      </c>
      <c r="I89" s="146">
        <f>G89-H89</f>
        <v>0</v>
      </c>
      <c r="J89" s="38">
        <f t="shared" si="5"/>
        <v>0</v>
      </c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</row>
    <row r="90" spans="2:26">
      <c r="B90" s="5"/>
      <c r="C90" s="60" t="s">
        <v>37</v>
      </c>
      <c r="D90" s="8"/>
      <c r="E90" s="8"/>
      <c r="F90" s="8"/>
      <c r="G90" s="147">
        <v>0</v>
      </c>
      <c r="H90" s="63">
        <v>0</v>
      </c>
      <c r="I90" s="142">
        <f>MIN(I86-SUM(I87:I89),G90)</f>
        <v>0</v>
      </c>
      <c r="J90" s="38">
        <f t="shared" si="5"/>
        <v>0</v>
      </c>
      <c r="M90" s="125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</row>
    <row r="91" spans="2:26">
      <c r="B91" s="5"/>
      <c r="C91" s="41" t="s">
        <v>59</v>
      </c>
      <c r="D91" s="41"/>
      <c r="E91" s="41"/>
      <c r="F91" s="41"/>
      <c r="G91" s="64"/>
      <c r="H91" s="58">
        <v>0</v>
      </c>
      <c r="I91" s="45">
        <f>I86-SUM(I87:I90)</f>
        <v>0</v>
      </c>
      <c r="J91" s="62">
        <f t="shared" si="5"/>
        <v>0</v>
      </c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</row>
    <row r="92" spans="2:26">
      <c r="B92" s="5"/>
      <c r="C92" s="15"/>
      <c r="D92" s="15"/>
      <c r="E92" s="15"/>
      <c r="F92" s="15"/>
      <c r="G92" s="15"/>
      <c r="H92" s="43"/>
      <c r="I92" s="43"/>
      <c r="J92" s="4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</row>
    <row r="93" spans="2:26">
      <c r="B93" s="127" t="s">
        <v>68</v>
      </c>
      <c r="C93" s="101"/>
      <c r="D93" s="101"/>
      <c r="E93" s="101"/>
      <c r="F93" s="101"/>
      <c r="G93" s="101"/>
      <c r="H93" s="103"/>
      <c r="I93" s="103"/>
      <c r="J93" s="103"/>
      <c r="M93" s="243"/>
      <c r="N93" s="242"/>
      <c r="O93" s="242"/>
      <c r="P93" s="242"/>
      <c r="Q93" s="242"/>
      <c r="R93" s="116"/>
      <c r="S93" s="116"/>
      <c r="T93" s="116"/>
      <c r="U93" s="116"/>
      <c r="V93" s="116"/>
      <c r="W93" s="116"/>
      <c r="X93" s="116"/>
      <c r="Y93" s="116"/>
      <c r="Z93" s="116"/>
    </row>
    <row r="94" spans="2:26">
      <c r="B94" s="5"/>
      <c r="C94" s="15" t="s">
        <v>45</v>
      </c>
      <c r="D94" s="15"/>
      <c r="E94" s="15"/>
      <c r="F94" s="15"/>
      <c r="G94" s="15"/>
      <c r="H94" s="46">
        <v>0</v>
      </c>
      <c r="I94" s="139">
        <v>0</v>
      </c>
      <c r="J94" s="44">
        <f>+H94+I94</f>
        <v>0</v>
      </c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</row>
    <row r="95" spans="2:26">
      <c r="B95" s="5"/>
      <c r="C95" s="15" t="s">
        <v>36</v>
      </c>
      <c r="D95" s="15"/>
      <c r="E95" s="15"/>
      <c r="F95" s="15"/>
      <c r="G95" s="141">
        <v>0.2</v>
      </c>
      <c r="H95" s="44">
        <v>0</v>
      </c>
      <c r="I95" s="44">
        <f>+I94*$G$95</f>
        <v>0</v>
      </c>
      <c r="J95" s="44">
        <f>+H95+I95</f>
        <v>0</v>
      </c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</row>
    <row r="96" spans="2:26">
      <c r="B96" s="5"/>
      <c r="C96" s="60" t="s">
        <v>34</v>
      </c>
      <c r="D96" s="8"/>
      <c r="E96" s="8"/>
      <c r="F96" s="8"/>
      <c r="G96" s="65"/>
      <c r="H96" s="63">
        <v>0</v>
      </c>
      <c r="I96" s="142">
        <v>0</v>
      </c>
      <c r="J96" s="46">
        <f>+H96+I96</f>
        <v>0</v>
      </c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</row>
    <row r="97" spans="2:26">
      <c r="B97" s="5"/>
      <c r="C97" s="41" t="s">
        <v>60</v>
      </c>
      <c r="D97" s="41"/>
      <c r="E97" s="41"/>
      <c r="F97" s="41"/>
      <c r="G97" s="64"/>
      <c r="H97" s="62">
        <v>0</v>
      </c>
      <c r="I97" s="66">
        <f>I94-SUM(I95:I96)</f>
        <v>0</v>
      </c>
      <c r="J97" s="62">
        <f>+H97+I97</f>
        <v>0</v>
      </c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</row>
    <row r="98" spans="2:26">
      <c r="B98" s="5"/>
      <c r="C98" s="41"/>
      <c r="D98" s="41"/>
      <c r="E98" s="41"/>
      <c r="F98" s="41"/>
      <c r="G98" s="41"/>
      <c r="H98" s="45"/>
      <c r="I98" s="66"/>
      <c r="J98" s="45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</row>
    <row r="99" spans="2:26">
      <c r="B99" s="127" t="s">
        <v>69</v>
      </c>
      <c r="C99" s="101"/>
      <c r="D99" s="101"/>
      <c r="E99" s="101"/>
      <c r="F99" s="101"/>
      <c r="G99" s="101"/>
      <c r="H99" s="103"/>
      <c r="I99" s="103"/>
      <c r="J99" s="103"/>
      <c r="M99" s="242"/>
      <c r="N99" s="242"/>
      <c r="O99" s="242"/>
      <c r="P99" s="242"/>
      <c r="Q99" s="242"/>
      <c r="R99" s="116"/>
      <c r="S99" s="116"/>
      <c r="T99" s="116"/>
      <c r="U99" s="116"/>
      <c r="V99" s="116"/>
      <c r="W99" s="116"/>
      <c r="X99" s="116"/>
      <c r="Y99" s="116"/>
      <c r="Z99" s="116"/>
    </row>
    <row r="100" spans="2:26">
      <c r="B100" s="5"/>
      <c r="C100" s="40" t="s">
        <v>67</v>
      </c>
      <c r="G100" s="6"/>
      <c r="H100" s="46">
        <v>0</v>
      </c>
      <c r="I100" s="139">
        <v>0</v>
      </c>
      <c r="J100" s="44">
        <f>+H100+I100</f>
        <v>0</v>
      </c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</row>
    <row r="101" spans="2:26">
      <c r="B101" s="5"/>
      <c r="C101" s="60" t="s">
        <v>84</v>
      </c>
      <c r="D101" s="8"/>
      <c r="E101" s="8"/>
      <c r="F101" s="8"/>
      <c r="G101" s="147">
        <v>150000</v>
      </c>
      <c r="H101" s="63">
        <v>0</v>
      </c>
      <c r="I101" s="142">
        <f>+MIN(I100,G101)</f>
        <v>0</v>
      </c>
      <c r="J101" s="46">
        <f>+H101+I101</f>
        <v>0</v>
      </c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</row>
    <row r="102" spans="2:26">
      <c r="B102" s="5"/>
      <c r="C102" s="41" t="s">
        <v>41</v>
      </c>
      <c r="D102" s="41"/>
      <c r="E102" s="41"/>
      <c r="F102" s="41"/>
      <c r="G102" s="64"/>
      <c r="H102" s="58">
        <v>0</v>
      </c>
      <c r="I102" s="45">
        <f>I100-I101</f>
        <v>0</v>
      </c>
      <c r="J102" s="62">
        <f>H102+I102</f>
        <v>0</v>
      </c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</row>
    <row r="103" spans="2:26" ht="10" customHeight="1">
      <c r="B103" s="7"/>
      <c r="C103" s="8"/>
      <c r="D103" s="8"/>
      <c r="E103" s="8"/>
      <c r="F103" s="8"/>
      <c r="G103" s="9"/>
      <c r="H103" s="67"/>
      <c r="I103" s="67"/>
      <c r="J103" s="67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</row>
    <row r="104" spans="2:26"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</row>
    <row r="105" spans="2:26">
      <c r="B105" s="127" t="s">
        <v>70</v>
      </c>
      <c r="C105" s="102"/>
      <c r="D105" s="101"/>
      <c r="E105" s="101"/>
      <c r="F105" s="101"/>
      <c r="G105" s="101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</row>
    <row r="106" spans="2:26" ht="10" customHeight="1">
      <c r="B106" s="149"/>
      <c r="C106" s="150"/>
      <c r="D106" s="150"/>
      <c r="E106" s="150"/>
      <c r="F106" s="150"/>
      <c r="G106" s="151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</row>
    <row r="107" spans="2:26">
      <c r="B107" s="152" t="s">
        <v>71</v>
      </c>
      <c r="C107" s="70"/>
      <c r="D107" s="70"/>
      <c r="E107" s="70"/>
      <c r="F107" s="70"/>
      <c r="G107" s="15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</row>
    <row r="108" spans="2:26">
      <c r="B108" s="152"/>
      <c r="C108" s="70" t="s">
        <v>77</v>
      </c>
      <c r="D108" s="70"/>
      <c r="E108" s="70"/>
      <c r="F108" s="70"/>
      <c r="G108" s="144">
        <f>J27+G26+G44+G57+J62+J76+G90+J45+J58+J72+J83+J91+J97</f>
        <v>21375000</v>
      </c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</row>
    <row r="109" spans="2:26">
      <c r="B109" s="152"/>
      <c r="C109" s="70" t="s">
        <v>76</v>
      </c>
      <c r="D109" s="70"/>
      <c r="E109" s="70"/>
      <c r="F109" s="70"/>
      <c r="G109" s="144">
        <f>+IF(J100&gt;50000,(J100-50000)*75%,0)</f>
        <v>0</v>
      </c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</row>
    <row r="110" spans="2:26">
      <c r="B110" s="152"/>
      <c r="C110" s="70" t="s">
        <v>72</v>
      </c>
      <c r="D110" s="70"/>
      <c r="E110" s="70"/>
      <c r="F110" s="70"/>
      <c r="G110" s="154">
        <v>0</v>
      </c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</row>
    <row r="111" spans="2:26">
      <c r="B111" s="152"/>
      <c r="C111" s="70" t="s">
        <v>73</v>
      </c>
      <c r="D111" s="70"/>
      <c r="E111" s="70"/>
      <c r="F111" s="70"/>
      <c r="G111" s="154">
        <v>0</v>
      </c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</row>
    <row r="112" spans="2:26">
      <c r="B112" s="152"/>
      <c r="C112" s="155" t="s">
        <v>74</v>
      </c>
      <c r="D112" s="155"/>
      <c r="E112" s="155"/>
      <c r="F112" s="155"/>
      <c r="G112" s="153">
        <v>0</v>
      </c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</row>
    <row r="113" spans="2:26">
      <c r="B113" s="152"/>
      <c r="C113" s="156" t="s">
        <v>75</v>
      </c>
      <c r="D113" s="156"/>
      <c r="E113" s="156"/>
      <c r="F113" s="157" t="str">
        <f>IF(G107-(SUM(G108:G112))&gt;0,"FILM AMORTI","FILM NON AMORTI")</f>
        <v>FILM NON AMORTI</v>
      </c>
      <c r="G113" s="158">
        <f>IF(G107-(SUM(G108:G112))&gt;0,0,G107-(SUM(G108:G112)))</f>
        <v>-21375000</v>
      </c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</row>
    <row r="114" spans="2:26" ht="10" customHeight="1">
      <c r="B114" s="159"/>
      <c r="C114" s="155"/>
      <c r="D114" s="155"/>
      <c r="E114" s="155"/>
      <c r="F114" s="155"/>
      <c r="G114" s="160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</row>
    <row r="115" spans="2:26"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</row>
  </sheetData>
  <conditionalFormatting sqref="G12">
    <cfRule type="expression" dxfId="17" priority="91">
      <formula>N$9&gt;1</formula>
    </cfRule>
  </conditionalFormatting>
  <conditionalFormatting sqref="I13 G16 I17:I18 I23 I21 I30 I48 I55:I57 I70:I71 I81:I82 I86 I88:I90 I94 I96 I100:I101 G22 G68:G69 G80 G87 G95 G90 G107 G110:G112 G101 G57 G44 G26 I64 I66 I35:I37 I41:I44 I51:I52 I78 I61 I75 G51:G54 G64 G66 G78 G35:G40 I15">
    <cfRule type="expression" dxfId="16" priority="92">
      <formula>$N$9&gt;1</formula>
    </cfRule>
  </conditionalFormatting>
  <conditionalFormatting sqref="G31">
    <cfRule type="expression" dxfId="15" priority="129">
      <formula>N9&gt;1</formula>
    </cfRule>
  </conditionalFormatting>
  <pageMargins left="0.7" right="0.7" top="0.75" bottom="0.75" header="0.3" footer="0.3"/>
  <pageSetup paperSize="9" scale="7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B0D98-FAA9-46FD-BD56-4AE948BC5A6D}">
  <sheetPr codeName="Feuil1">
    <tabColor rgb="FF25244C"/>
  </sheetPr>
  <dimension ref="A1"/>
  <sheetViews>
    <sheetView showGridLines="0" workbookViewId="0">
      <selection activeCell="E9" sqref="E9"/>
    </sheetView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A877D-FA50-4B21-B2C3-8017934F49B3}">
  <sheetPr codeName="Feuil11">
    <tabColor rgb="FF25244C"/>
  </sheetPr>
  <dimension ref="A1"/>
  <sheetViews>
    <sheetView showGridLines="0" workbookViewId="0">
      <selection activeCell="I10" sqref="I10"/>
    </sheetView>
  </sheetViews>
  <sheetFormatPr baseColWidth="10" defaultRowHeight="14.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A1:Z51"/>
  <sheetViews>
    <sheetView showGridLines="0" zoomScale="108" zoomScaleNormal="108" workbookViewId="0">
      <selection activeCell="C15" sqref="C15"/>
    </sheetView>
  </sheetViews>
  <sheetFormatPr baseColWidth="10" defaultRowHeight="14.5"/>
  <cols>
    <col min="1" max="1" width="5.54296875" customWidth="1"/>
    <col min="2" max="2" width="14.6328125" customWidth="1"/>
    <col min="3" max="3" width="40.08984375" customWidth="1"/>
  </cols>
  <sheetData>
    <row r="1" spans="1:26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6">
      <c r="A2" s="99"/>
      <c r="B2" s="108" t="s">
        <v>12</v>
      </c>
      <c r="C2" s="108" t="s">
        <v>82</v>
      </c>
      <c r="D2" s="106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6">
      <c r="A3" s="99"/>
      <c r="B3" s="108" t="s">
        <v>13</v>
      </c>
      <c r="C3" s="108" t="s">
        <v>80</v>
      </c>
      <c r="D3" s="106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6">
      <c r="A4" s="99"/>
      <c r="B4" s="108" t="s">
        <v>14</v>
      </c>
      <c r="C4" s="108" t="s">
        <v>17</v>
      </c>
      <c r="D4" s="106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</row>
    <row r="5" spans="1:26">
      <c r="A5" s="99"/>
      <c r="B5" s="108" t="s">
        <v>15</v>
      </c>
      <c r="C5" s="109" t="s">
        <v>81</v>
      </c>
      <c r="D5" s="106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</row>
    <row r="6" spans="1:26">
      <c r="A6" s="99"/>
      <c r="B6" s="108" t="s">
        <v>16</v>
      </c>
      <c r="C6" s="108" t="s">
        <v>80</v>
      </c>
      <c r="D6" s="106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</row>
    <row r="7" spans="1:26">
      <c r="A7" s="99"/>
      <c r="B7" s="108" t="s">
        <v>2</v>
      </c>
      <c r="C7" s="108" t="s">
        <v>80</v>
      </c>
      <c r="D7" s="106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</row>
    <row r="8" spans="1:26">
      <c r="A8" s="99"/>
      <c r="B8" s="108" t="s">
        <v>32</v>
      </c>
      <c r="C8" s="108" t="s">
        <v>80</v>
      </c>
      <c r="D8" s="106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</row>
    <row r="9" spans="1:26">
      <c r="A9" s="99"/>
      <c r="B9" s="108" t="s">
        <v>79</v>
      </c>
      <c r="C9" s="112" t="s">
        <v>129</v>
      </c>
      <c r="D9" s="107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</row>
    <row r="10" spans="1:26">
      <c r="A10" s="99"/>
      <c r="B10" s="108"/>
      <c r="C10" s="110" t="str">
        <f>TEXT(C9,"j.M.aaaa")</f>
        <v>31.12.2022</v>
      </c>
      <c r="D10" s="107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</row>
    <row r="11" spans="1:26">
      <c r="A11" s="99"/>
      <c r="B11" s="108" t="s">
        <v>83</v>
      </c>
      <c r="C11" s="111" t="s">
        <v>134</v>
      </c>
      <c r="D11" s="106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</row>
    <row r="12" spans="1:26">
      <c r="A12" s="99"/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</row>
    <row r="13" spans="1:26">
      <c r="A13" s="99"/>
      <c r="B13" s="100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</row>
    <row r="14" spans="1:26">
      <c r="A14" s="99"/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</row>
    <row r="15" spans="1:26">
      <c r="A15" s="99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</row>
    <row r="16" spans="1:26">
      <c r="A16" s="99"/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</row>
    <row r="17" spans="1:26">
      <c r="A17" s="99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</row>
    <row r="18" spans="1:26">
      <c r="A18" s="99"/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</row>
    <row r="19" spans="1:26">
      <c r="A19" s="99"/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</row>
    <row r="20" spans="1:26">
      <c r="A20" s="99"/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</row>
    <row r="21" spans="1:26">
      <c r="A21" s="99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</row>
    <row r="22" spans="1:26">
      <c r="A22" s="99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</row>
    <row r="23" spans="1:26">
      <c r="A23" s="99"/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</row>
    <row r="24" spans="1:26">
      <c r="A24" s="99"/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</row>
    <row r="25" spans="1:26">
      <c r="A25" s="99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</row>
    <row r="26" spans="1:26">
      <c r="A26" s="99"/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</row>
    <row r="27" spans="1:26">
      <c r="A27" s="99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</row>
    <row r="28" spans="1:26">
      <c r="A28" s="99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</row>
    <row r="29" spans="1:26">
      <c r="A29" s="99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</row>
    <row r="30" spans="1:26">
      <c r="A30" s="99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</row>
    <row r="31" spans="1:26">
      <c r="A31" s="99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</row>
    <row r="32" spans="1:26">
      <c r="A32" s="99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</row>
    <row r="33" spans="1:26">
      <c r="A33" s="99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</row>
    <row r="34" spans="1:26">
      <c r="A34" s="99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</row>
    <row r="35" spans="1:26">
      <c r="A35" s="99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</row>
    <row r="36" spans="1:26">
      <c r="A36" s="99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</row>
    <row r="37" spans="1:26">
      <c r="A37" s="99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</row>
    <row r="38" spans="1:26">
      <c r="A38" s="99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</row>
    <row r="39" spans="1:26">
      <c r="A39" s="99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</row>
    <row r="40" spans="1:26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</row>
    <row r="41" spans="1:26">
      <c r="A41" s="99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</row>
    <row r="42" spans="1:26">
      <c r="A42" s="99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</row>
    <row r="43" spans="1:26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</row>
    <row r="44" spans="1:26">
      <c r="A44" s="99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</row>
    <row r="45" spans="1:26">
      <c r="A45" s="99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</row>
    <row r="46" spans="1:26">
      <c r="A46" s="99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</row>
    <row r="47" spans="1:26">
      <c r="A47" s="99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</row>
    <row r="48" spans="1:26">
      <c r="A48" s="99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</row>
    <row r="49" spans="1:26">
      <c r="A49" s="99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</row>
    <row r="50" spans="1:26">
      <c r="A50" s="99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</row>
    <row r="51" spans="1:26">
      <c r="A51" s="99"/>
      <c r="B51" s="99"/>
      <c r="C51" s="99"/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pageSetUpPr fitToPage="1"/>
  </sheetPr>
  <dimension ref="A1:AF50"/>
  <sheetViews>
    <sheetView showGridLines="0" zoomScale="95" zoomScaleNormal="95" workbookViewId="0">
      <selection activeCell="AE16" sqref="AE16"/>
    </sheetView>
  </sheetViews>
  <sheetFormatPr baseColWidth="10" defaultRowHeight="14.5"/>
  <cols>
    <col min="1" max="1" width="5.36328125" style="129" customWidth="1"/>
    <col min="2" max="13" width="17.6328125" style="12" customWidth="1"/>
    <col min="14" max="14" width="17.6328125" customWidth="1"/>
    <col min="15" max="16" width="15.6328125" style="224" customWidth="1"/>
    <col min="17" max="23" width="15.6328125" style="12" customWidth="1"/>
    <col min="24" max="25" width="5.6328125" customWidth="1"/>
    <col min="26" max="28" width="15.6328125" style="12" customWidth="1"/>
    <col min="29" max="29" width="10.6328125" style="134" customWidth="1"/>
  </cols>
  <sheetData>
    <row r="1" spans="1:32" s="122" customFormat="1" ht="17" customHeight="1" thickBot="1">
      <c r="A1" s="131" t="s">
        <v>98</v>
      </c>
      <c r="B1" s="121" t="s">
        <v>0</v>
      </c>
      <c r="C1" s="121" t="s">
        <v>1</v>
      </c>
      <c r="D1" s="121" t="s">
        <v>5</v>
      </c>
      <c r="E1" s="121" t="s">
        <v>4</v>
      </c>
      <c r="F1" s="121" t="s">
        <v>2</v>
      </c>
      <c r="G1" s="121" t="s">
        <v>11</v>
      </c>
      <c r="H1" s="121" t="s">
        <v>6</v>
      </c>
      <c r="I1" s="121" t="s">
        <v>7</v>
      </c>
      <c r="J1" s="121" t="s">
        <v>8</v>
      </c>
      <c r="K1" s="121" t="s">
        <v>9</v>
      </c>
      <c r="L1" s="121" t="s">
        <v>10</v>
      </c>
      <c r="M1" s="121" t="s">
        <v>31</v>
      </c>
      <c r="N1" s="122" t="s">
        <v>126</v>
      </c>
      <c r="O1" s="220" t="s">
        <v>124</v>
      </c>
      <c r="P1" s="220" t="s">
        <v>125</v>
      </c>
      <c r="Q1" s="221" t="s">
        <v>19</v>
      </c>
      <c r="R1" s="221" t="s">
        <v>20</v>
      </c>
      <c r="S1" s="221" t="s">
        <v>21</v>
      </c>
      <c r="T1" s="221" t="s">
        <v>22</v>
      </c>
      <c r="U1" s="221" t="s">
        <v>23</v>
      </c>
      <c r="V1" s="221" t="s">
        <v>49</v>
      </c>
      <c r="W1" s="221" t="s">
        <v>63</v>
      </c>
      <c r="Z1" s="221" t="s">
        <v>102</v>
      </c>
      <c r="AA1" s="221" t="s">
        <v>50</v>
      </c>
      <c r="AB1" s="221" t="s">
        <v>51</v>
      </c>
      <c r="AC1" s="133" t="s">
        <v>95</v>
      </c>
      <c r="AD1" s="133"/>
      <c r="AE1" s="135">
        <v>8</v>
      </c>
      <c r="AF1" s="135" t="s">
        <v>133</v>
      </c>
    </row>
    <row r="2" spans="1:32" s="40" customFormat="1">
      <c r="A2" s="132" t="str">
        <f>AC2</f>
        <v>AD1</v>
      </c>
      <c r="B2" s="51" t="s">
        <v>99</v>
      </c>
      <c r="C2" s="51"/>
      <c r="D2" s="51" t="s">
        <v>39</v>
      </c>
      <c r="E2" s="51"/>
      <c r="F2" s="51"/>
      <c r="G2" s="51"/>
      <c r="H2" s="225" t="s">
        <v>127</v>
      </c>
      <c r="I2" s="51"/>
      <c r="J2" s="51"/>
      <c r="K2" s="51"/>
      <c r="L2" s="51"/>
      <c r="M2" s="51" t="b">
        <v>0</v>
      </c>
      <c r="N2" s="130"/>
      <c r="O2" s="222">
        <v>1</v>
      </c>
      <c r="P2" s="222">
        <v>1</v>
      </c>
      <c r="Q2" s="51">
        <v>2</v>
      </c>
      <c r="R2" s="51">
        <v>3</v>
      </c>
      <c r="S2" s="51">
        <v>4</v>
      </c>
      <c r="T2" s="51" t="b">
        <v>0</v>
      </c>
      <c r="U2" s="51">
        <v>5</v>
      </c>
      <c r="V2" s="51">
        <v>6</v>
      </c>
      <c r="W2" s="51">
        <v>7</v>
      </c>
      <c r="Z2" s="51">
        <v>8</v>
      </c>
      <c r="AA2" s="51">
        <v>9</v>
      </c>
      <c r="AB2" s="51">
        <v>9</v>
      </c>
      <c r="AC2" s="132" t="s">
        <v>97</v>
      </c>
    </row>
    <row r="3" spans="1:32" s="40" customFormat="1">
      <c r="A3" s="132" t="str">
        <f t="shared" ref="A3:A50" si="0">AC3</f>
        <v>AD4</v>
      </c>
      <c r="B3" s="51" t="s">
        <v>100</v>
      </c>
      <c r="C3" s="51"/>
      <c r="D3" s="51" t="s">
        <v>94</v>
      </c>
      <c r="E3" s="51"/>
      <c r="F3" s="51"/>
      <c r="G3" s="51"/>
      <c r="H3" s="225" t="s">
        <v>128</v>
      </c>
      <c r="I3" s="51"/>
      <c r="J3" s="51"/>
      <c r="K3" s="51"/>
      <c r="L3" s="51"/>
      <c r="M3" s="51" t="b">
        <v>0</v>
      </c>
      <c r="O3" s="222">
        <v>1</v>
      </c>
      <c r="P3" s="222">
        <v>1</v>
      </c>
      <c r="Q3" s="51">
        <v>2</v>
      </c>
      <c r="R3" s="51">
        <v>3</v>
      </c>
      <c r="S3" s="51">
        <v>4</v>
      </c>
      <c r="T3" s="51" t="b">
        <v>0</v>
      </c>
      <c r="U3" s="51">
        <v>5</v>
      </c>
      <c r="V3" s="51">
        <v>6</v>
      </c>
      <c r="W3" s="51">
        <v>7</v>
      </c>
      <c r="Z3" s="51"/>
      <c r="AA3" s="51"/>
      <c r="AB3" s="51"/>
      <c r="AC3" s="132" t="s">
        <v>96</v>
      </c>
    </row>
    <row r="4" spans="1:32" s="40" customFormat="1">
      <c r="A4" s="132" t="str">
        <f t="shared" si="0"/>
        <v>AD6</v>
      </c>
      <c r="B4" s="51" t="s">
        <v>131</v>
      </c>
      <c r="C4" s="51"/>
      <c r="D4" s="51" t="s">
        <v>132</v>
      </c>
      <c r="E4" s="51"/>
      <c r="F4" s="51"/>
      <c r="G4" s="51"/>
      <c r="H4" s="51"/>
      <c r="I4" s="51"/>
      <c r="J4" s="51"/>
      <c r="K4" s="51"/>
      <c r="L4" s="51"/>
      <c r="M4" s="51" t="b">
        <v>0</v>
      </c>
      <c r="O4" s="222"/>
      <c r="P4" s="222"/>
      <c r="Q4" s="51"/>
      <c r="R4" s="51"/>
      <c r="S4" s="51"/>
      <c r="T4" s="51" t="b">
        <v>0</v>
      </c>
      <c r="U4" s="51"/>
      <c r="V4" s="51"/>
      <c r="W4" s="51"/>
      <c r="Z4" s="51"/>
      <c r="AA4" s="51"/>
      <c r="AB4" s="51"/>
      <c r="AC4" s="132" t="s">
        <v>101</v>
      </c>
    </row>
    <row r="5" spans="1:32" s="40" customFormat="1">
      <c r="A5" s="132">
        <f t="shared" si="0"/>
        <v>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O5" s="222"/>
      <c r="P5" s="222"/>
      <c r="Q5" s="51"/>
      <c r="R5" s="51"/>
      <c r="S5" s="51"/>
      <c r="T5" s="51"/>
      <c r="U5" s="51"/>
      <c r="V5" s="51"/>
      <c r="W5" s="51"/>
      <c r="Z5" s="51"/>
      <c r="AA5" s="51"/>
      <c r="AB5" s="51"/>
      <c r="AC5" s="132"/>
    </row>
    <row r="6" spans="1:32" s="40" customFormat="1">
      <c r="A6" s="132">
        <f t="shared" si="0"/>
        <v>0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O6" s="222"/>
      <c r="P6" s="222"/>
      <c r="Q6" s="51"/>
      <c r="R6" s="51"/>
      <c r="S6" s="51"/>
      <c r="T6" s="51"/>
      <c r="U6" s="51"/>
      <c r="V6" s="51"/>
      <c r="W6" s="51"/>
      <c r="Z6" s="51"/>
      <c r="AA6" s="51"/>
      <c r="AB6" s="51"/>
      <c r="AC6" s="132"/>
    </row>
    <row r="7" spans="1:32" s="40" customFormat="1">
      <c r="A7" s="132">
        <f t="shared" si="0"/>
        <v>0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O7" s="222"/>
      <c r="P7" s="222"/>
      <c r="Q7" s="51"/>
      <c r="R7" s="51"/>
      <c r="S7" s="51"/>
      <c r="T7" s="51"/>
      <c r="U7" s="51"/>
      <c r="V7" s="51"/>
      <c r="W7" s="51"/>
      <c r="Z7" s="51"/>
      <c r="AA7" s="51"/>
      <c r="AB7" s="51"/>
      <c r="AC7" s="132"/>
    </row>
    <row r="8" spans="1:32">
      <c r="A8" s="132">
        <f t="shared" si="0"/>
        <v>0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116"/>
      <c r="O8" s="223"/>
      <c r="P8" s="223"/>
      <c r="Q8" s="218"/>
      <c r="R8" s="218"/>
      <c r="S8" s="218"/>
      <c r="T8" s="218"/>
      <c r="U8" s="218"/>
      <c r="V8" s="218"/>
      <c r="W8" s="218"/>
      <c r="X8" s="116"/>
      <c r="Y8" s="116"/>
      <c r="Z8" s="218"/>
      <c r="AA8" s="218"/>
      <c r="AB8" s="218"/>
      <c r="AC8" s="219"/>
    </row>
    <row r="9" spans="1:32">
      <c r="A9" s="132">
        <f t="shared" si="0"/>
        <v>0</v>
      </c>
      <c r="B9" s="218"/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116"/>
      <c r="O9" s="223"/>
      <c r="P9" s="223"/>
      <c r="Q9" s="218"/>
      <c r="R9" s="218"/>
      <c r="S9" s="218"/>
      <c r="T9" s="218"/>
      <c r="U9" s="218"/>
      <c r="V9" s="218"/>
      <c r="W9" s="218"/>
      <c r="X9" s="116"/>
      <c r="Y9" s="116"/>
      <c r="Z9" s="218"/>
      <c r="AA9" s="218"/>
      <c r="AB9" s="218"/>
      <c r="AC9" s="219"/>
    </row>
    <row r="10" spans="1:32">
      <c r="A10" s="132">
        <f t="shared" si="0"/>
        <v>0</v>
      </c>
      <c r="B10" s="218"/>
      <c r="C10" s="218"/>
      <c r="D10" s="218"/>
      <c r="E10" s="218"/>
      <c r="F10" s="218"/>
      <c r="G10" s="218"/>
      <c r="H10" s="218"/>
      <c r="I10" s="218"/>
      <c r="J10" s="218"/>
      <c r="K10" s="218"/>
      <c r="L10" s="218"/>
      <c r="M10" s="218"/>
      <c r="N10" s="116"/>
      <c r="O10" s="223"/>
      <c r="P10" s="223"/>
      <c r="Q10" s="218"/>
      <c r="R10" s="218"/>
      <c r="S10" s="218"/>
      <c r="T10" s="218"/>
      <c r="U10" s="218"/>
      <c r="V10" s="218"/>
      <c r="W10" s="218"/>
      <c r="X10" s="116"/>
      <c r="Y10" s="116"/>
      <c r="Z10" s="218"/>
      <c r="AA10" s="218"/>
      <c r="AB10" s="218"/>
      <c r="AC10" s="219"/>
    </row>
    <row r="11" spans="1:32">
      <c r="A11" s="132">
        <f t="shared" si="0"/>
        <v>0</v>
      </c>
      <c r="B11" s="218"/>
      <c r="C11" s="218"/>
      <c r="D11" s="218"/>
      <c r="E11" s="218"/>
      <c r="F11" s="218"/>
      <c r="G11" s="218"/>
      <c r="H11" s="218"/>
      <c r="I11" s="218"/>
      <c r="J11" s="218"/>
      <c r="K11" s="218"/>
      <c r="L11" s="218"/>
      <c r="M11" s="218"/>
      <c r="N11" s="116"/>
      <c r="O11" s="223"/>
      <c r="P11" s="223"/>
      <c r="Q11" s="218"/>
      <c r="R11" s="218"/>
      <c r="S11" s="218"/>
      <c r="T11" s="218"/>
      <c r="U11" s="218"/>
      <c r="V11" s="218"/>
      <c r="W11" s="218"/>
      <c r="X11" s="116"/>
      <c r="Y11" s="116"/>
      <c r="Z11" s="218"/>
      <c r="AA11" s="218"/>
      <c r="AB11" s="218"/>
      <c r="AC11" s="219"/>
    </row>
    <row r="12" spans="1:32">
      <c r="A12" s="132">
        <f t="shared" si="0"/>
        <v>0</v>
      </c>
      <c r="B12" s="218"/>
      <c r="C12" s="218"/>
      <c r="D12" s="218"/>
      <c r="E12" s="218"/>
      <c r="F12" s="218"/>
      <c r="G12" s="218"/>
      <c r="H12" s="218"/>
      <c r="I12" s="218"/>
      <c r="J12" s="218"/>
      <c r="K12" s="218"/>
      <c r="L12" s="218"/>
      <c r="M12" s="218"/>
      <c r="N12" s="116"/>
      <c r="O12" s="223"/>
      <c r="P12" s="223"/>
      <c r="Q12" s="218"/>
      <c r="R12" s="218"/>
      <c r="S12" s="218"/>
      <c r="T12" s="218"/>
      <c r="U12" s="218"/>
      <c r="V12" s="218"/>
      <c r="W12" s="218"/>
      <c r="X12" s="116"/>
      <c r="Y12" s="116"/>
      <c r="Z12" s="218"/>
      <c r="AA12" s="218"/>
      <c r="AB12" s="218"/>
      <c r="AC12" s="219"/>
    </row>
    <row r="13" spans="1:32">
      <c r="A13" s="132">
        <f t="shared" si="0"/>
        <v>0</v>
      </c>
      <c r="B13" s="218"/>
      <c r="C13" s="218"/>
      <c r="D13" s="218"/>
      <c r="E13" s="218"/>
      <c r="F13" s="218"/>
      <c r="G13" s="218"/>
      <c r="H13" s="218"/>
      <c r="I13" s="218"/>
      <c r="J13" s="218"/>
      <c r="K13" s="218"/>
      <c r="L13" s="218"/>
      <c r="M13" s="218"/>
      <c r="N13" s="116"/>
      <c r="O13" s="223"/>
      <c r="P13" s="223"/>
      <c r="Q13" s="218"/>
      <c r="R13" s="218"/>
      <c r="S13" s="218"/>
      <c r="T13" s="218"/>
      <c r="U13" s="218"/>
      <c r="V13" s="218"/>
      <c r="W13" s="218"/>
      <c r="X13" s="116"/>
      <c r="Y13" s="116"/>
      <c r="Z13" s="218"/>
      <c r="AA13" s="218"/>
      <c r="AB13" s="218"/>
      <c r="AC13" s="219"/>
    </row>
    <row r="14" spans="1:32">
      <c r="A14" s="132">
        <f t="shared" si="0"/>
        <v>0</v>
      </c>
      <c r="B14" s="218"/>
      <c r="C14" s="218"/>
      <c r="D14" s="218"/>
      <c r="E14" s="218"/>
      <c r="F14" s="218"/>
      <c r="G14" s="218"/>
      <c r="H14" s="218"/>
      <c r="I14" s="218"/>
      <c r="J14" s="218"/>
      <c r="K14" s="218"/>
      <c r="L14" s="218"/>
      <c r="M14" s="218"/>
      <c r="N14" s="116"/>
      <c r="O14" s="223"/>
      <c r="P14" s="223"/>
      <c r="Q14" s="218"/>
      <c r="R14" s="218"/>
      <c r="S14" s="218"/>
      <c r="T14" s="218"/>
      <c r="U14" s="218"/>
      <c r="V14" s="218"/>
      <c r="W14" s="218"/>
      <c r="X14" s="116"/>
      <c r="Y14" s="116"/>
      <c r="Z14" s="218"/>
      <c r="AA14" s="218"/>
      <c r="AB14" s="218"/>
      <c r="AC14" s="219"/>
    </row>
    <row r="15" spans="1:32">
      <c r="A15" s="132">
        <f t="shared" si="0"/>
        <v>0</v>
      </c>
      <c r="B15" s="218"/>
      <c r="C15" s="218"/>
      <c r="D15" s="218"/>
      <c r="E15" s="218"/>
      <c r="F15" s="218"/>
      <c r="G15" s="218"/>
      <c r="H15" s="218"/>
      <c r="I15" s="218"/>
      <c r="J15" s="218"/>
      <c r="K15" s="218"/>
      <c r="L15" s="218"/>
      <c r="M15" s="218"/>
      <c r="N15" s="116"/>
      <c r="O15" s="223"/>
      <c r="P15" s="223"/>
      <c r="Q15" s="218"/>
      <c r="R15" s="218"/>
      <c r="S15" s="218"/>
      <c r="T15" s="218"/>
      <c r="U15" s="218"/>
      <c r="V15" s="218"/>
      <c r="W15" s="218"/>
      <c r="X15" s="116"/>
      <c r="Y15" s="116"/>
      <c r="Z15" s="218"/>
      <c r="AA15" s="218"/>
      <c r="AB15" s="218"/>
      <c r="AC15" s="219"/>
    </row>
    <row r="16" spans="1:32">
      <c r="A16" s="132">
        <f t="shared" si="0"/>
        <v>0</v>
      </c>
      <c r="B16" s="218"/>
      <c r="C16" s="218"/>
      <c r="D16" s="218"/>
      <c r="E16" s="218"/>
      <c r="F16" s="218"/>
      <c r="G16" s="218"/>
      <c r="H16" s="218"/>
      <c r="I16" s="218"/>
      <c r="J16" s="218"/>
      <c r="K16" s="218"/>
      <c r="L16" s="218"/>
      <c r="M16" s="218"/>
      <c r="N16" s="116"/>
      <c r="O16" s="223"/>
      <c r="P16" s="223"/>
      <c r="Q16" s="218"/>
      <c r="R16" s="218"/>
      <c r="S16" s="218"/>
      <c r="T16" s="218"/>
      <c r="U16" s="218"/>
      <c r="V16" s="218"/>
      <c r="W16" s="218"/>
      <c r="X16" s="116"/>
      <c r="Y16" s="116"/>
      <c r="Z16" s="218"/>
      <c r="AA16" s="218"/>
      <c r="AB16" s="218"/>
      <c r="AC16" s="219"/>
    </row>
    <row r="17" spans="1:29">
      <c r="A17" s="132">
        <f t="shared" si="0"/>
        <v>0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116"/>
      <c r="O17" s="223"/>
      <c r="P17" s="223"/>
      <c r="Q17" s="218"/>
      <c r="R17" s="218"/>
      <c r="S17" s="218"/>
      <c r="T17" s="218"/>
      <c r="U17" s="218"/>
      <c r="V17" s="218"/>
      <c r="W17" s="218"/>
      <c r="X17" s="116"/>
      <c r="Y17" s="116"/>
      <c r="Z17" s="218"/>
      <c r="AA17" s="218"/>
      <c r="AB17" s="218"/>
      <c r="AC17" s="219"/>
    </row>
    <row r="18" spans="1:29">
      <c r="A18" s="132">
        <f t="shared" si="0"/>
        <v>0</v>
      </c>
      <c r="B18" s="218"/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8"/>
      <c r="N18" s="116"/>
      <c r="O18" s="223"/>
      <c r="P18" s="223"/>
      <c r="Q18" s="218"/>
      <c r="R18" s="218"/>
      <c r="S18" s="218"/>
      <c r="T18" s="218"/>
      <c r="U18" s="218"/>
      <c r="V18" s="218"/>
      <c r="W18" s="218"/>
      <c r="X18" s="116"/>
      <c r="Y18" s="116"/>
      <c r="Z18" s="218"/>
      <c r="AA18" s="218"/>
      <c r="AB18" s="218"/>
      <c r="AC18" s="219"/>
    </row>
    <row r="19" spans="1:29">
      <c r="A19" s="132">
        <f t="shared" si="0"/>
        <v>0</v>
      </c>
      <c r="B19" s="218"/>
      <c r="C19" s="218"/>
      <c r="D19" s="218"/>
      <c r="E19" s="218"/>
      <c r="F19" s="218"/>
      <c r="G19" s="218"/>
      <c r="H19" s="218"/>
      <c r="I19" s="218"/>
      <c r="J19" s="218"/>
      <c r="K19" s="218"/>
      <c r="L19" s="218"/>
      <c r="M19" s="218"/>
      <c r="N19" s="116"/>
      <c r="O19" s="223"/>
      <c r="P19" s="223"/>
      <c r="Q19" s="218"/>
      <c r="R19" s="218"/>
      <c r="S19" s="218"/>
      <c r="T19" s="218"/>
      <c r="U19" s="218"/>
      <c r="V19" s="218"/>
      <c r="W19" s="218"/>
      <c r="X19" s="116"/>
      <c r="Y19" s="116"/>
      <c r="Z19" s="218"/>
      <c r="AA19" s="218"/>
      <c r="AB19" s="218"/>
      <c r="AC19" s="219"/>
    </row>
    <row r="20" spans="1:29">
      <c r="A20" s="132">
        <f t="shared" si="0"/>
        <v>0</v>
      </c>
      <c r="B20" s="218"/>
      <c r="C20" s="218"/>
      <c r="D20" s="218"/>
      <c r="E20" s="218"/>
      <c r="F20" s="218"/>
      <c r="G20" s="218"/>
      <c r="H20" s="218"/>
      <c r="I20" s="218"/>
      <c r="J20" s="218"/>
      <c r="K20" s="218"/>
      <c r="L20" s="218"/>
      <c r="M20" s="218"/>
      <c r="N20" s="116"/>
      <c r="O20" s="223"/>
      <c r="P20" s="223"/>
      <c r="Q20" s="218"/>
      <c r="R20" s="218"/>
      <c r="S20" s="218"/>
      <c r="T20" s="218"/>
      <c r="U20" s="218"/>
      <c r="V20" s="218"/>
      <c r="W20" s="218"/>
      <c r="X20" s="116"/>
      <c r="Y20" s="116"/>
      <c r="Z20" s="218"/>
      <c r="AA20" s="218"/>
      <c r="AB20" s="218"/>
      <c r="AC20" s="219"/>
    </row>
    <row r="21" spans="1:29">
      <c r="A21" s="132">
        <f t="shared" si="0"/>
        <v>0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218"/>
      <c r="M21" s="218"/>
      <c r="N21" s="116"/>
      <c r="O21" s="223"/>
      <c r="P21" s="223"/>
      <c r="Q21" s="218"/>
      <c r="R21" s="218"/>
      <c r="S21" s="218"/>
      <c r="T21" s="218"/>
      <c r="U21" s="218"/>
      <c r="V21" s="218"/>
      <c r="W21" s="218"/>
      <c r="X21" s="116"/>
      <c r="Y21" s="116"/>
      <c r="Z21" s="218"/>
      <c r="AA21" s="218"/>
      <c r="AB21" s="218"/>
      <c r="AC21" s="219"/>
    </row>
    <row r="22" spans="1:29">
      <c r="A22" s="132">
        <f t="shared" si="0"/>
        <v>0</v>
      </c>
      <c r="B22" s="218"/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116"/>
      <c r="O22" s="223"/>
      <c r="P22" s="223"/>
      <c r="Q22" s="218"/>
      <c r="R22" s="218"/>
      <c r="S22" s="218"/>
      <c r="T22" s="218"/>
      <c r="U22" s="218"/>
      <c r="V22" s="218"/>
      <c r="W22" s="218"/>
      <c r="X22" s="116"/>
      <c r="Y22" s="116"/>
      <c r="Z22" s="218"/>
      <c r="AA22" s="218"/>
      <c r="AB22" s="218"/>
      <c r="AC22" s="219"/>
    </row>
    <row r="23" spans="1:29">
      <c r="A23" s="132">
        <f t="shared" si="0"/>
        <v>0</v>
      </c>
      <c r="B23" s="218"/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116"/>
      <c r="O23" s="223"/>
      <c r="P23" s="223"/>
      <c r="Q23" s="218"/>
      <c r="R23" s="218"/>
      <c r="S23" s="218"/>
      <c r="T23" s="218"/>
      <c r="U23" s="218"/>
      <c r="V23" s="218"/>
      <c r="W23" s="218"/>
      <c r="X23" s="116"/>
      <c r="Y23" s="116"/>
      <c r="Z23" s="218"/>
      <c r="AA23" s="218"/>
      <c r="AB23" s="218"/>
      <c r="AC23" s="219"/>
    </row>
    <row r="24" spans="1:29">
      <c r="A24" s="132">
        <f t="shared" si="0"/>
        <v>0</v>
      </c>
      <c r="B24" s="218"/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116"/>
      <c r="O24" s="223"/>
      <c r="P24" s="223"/>
      <c r="Q24" s="218"/>
      <c r="R24" s="218"/>
      <c r="S24" s="218"/>
      <c r="T24" s="218"/>
      <c r="U24" s="218"/>
      <c r="V24" s="218"/>
      <c r="W24" s="218"/>
      <c r="X24" s="116"/>
      <c r="Y24" s="116"/>
      <c r="Z24" s="218"/>
      <c r="AA24" s="218"/>
      <c r="AB24" s="218"/>
      <c r="AC24" s="219"/>
    </row>
    <row r="25" spans="1:29">
      <c r="A25" s="132">
        <f t="shared" si="0"/>
        <v>0</v>
      </c>
      <c r="B25" s="218"/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116"/>
      <c r="O25" s="223"/>
      <c r="P25" s="223"/>
      <c r="Q25" s="218"/>
      <c r="R25" s="218"/>
      <c r="S25" s="218"/>
      <c r="T25" s="218"/>
      <c r="U25" s="218"/>
      <c r="V25" s="218"/>
      <c r="W25" s="218"/>
      <c r="X25" s="116"/>
      <c r="Y25" s="116"/>
      <c r="Z25" s="218"/>
      <c r="AA25" s="218"/>
      <c r="AB25" s="218"/>
      <c r="AC25" s="219"/>
    </row>
    <row r="26" spans="1:29">
      <c r="A26" s="132">
        <f t="shared" si="0"/>
        <v>0</v>
      </c>
      <c r="B26" s="218"/>
      <c r="C26" s="218"/>
      <c r="D26" s="218"/>
      <c r="E26" s="218"/>
      <c r="F26" s="218"/>
      <c r="G26" s="218"/>
      <c r="H26" s="218"/>
      <c r="I26" s="218"/>
      <c r="J26" s="218"/>
      <c r="K26" s="218"/>
      <c r="L26" s="218"/>
      <c r="M26" s="218"/>
      <c r="N26" s="116"/>
      <c r="O26" s="223"/>
      <c r="P26" s="223"/>
      <c r="Q26" s="218"/>
      <c r="R26" s="218"/>
      <c r="S26" s="218"/>
      <c r="T26" s="218"/>
      <c r="U26" s="218"/>
      <c r="V26" s="218"/>
      <c r="W26" s="218"/>
      <c r="X26" s="116"/>
      <c r="Y26" s="116"/>
      <c r="Z26" s="218"/>
      <c r="AA26" s="218"/>
      <c r="AB26" s="218"/>
      <c r="AC26" s="219"/>
    </row>
    <row r="27" spans="1:29">
      <c r="A27" s="132">
        <f t="shared" si="0"/>
        <v>0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116"/>
      <c r="O27" s="223"/>
      <c r="P27" s="223"/>
      <c r="Q27" s="218"/>
      <c r="R27" s="218"/>
      <c r="S27" s="218"/>
      <c r="T27" s="218"/>
      <c r="U27" s="218"/>
      <c r="V27" s="218"/>
      <c r="W27" s="218"/>
      <c r="X27" s="116"/>
      <c r="Y27" s="116"/>
      <c r="Z27" s="218"/>
      <c r="AA27" s="218"/>
      <c r="AB27" s="218"/>
      <c r="AC27" s="219"/>
    </row>
    <row r="28" spans="1:29">
      <c r="A28" s="132">
        <f t="shared" si="0"/>
        <v>0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116"/>
      <c r="O28" s="223"/>
      <c r="P28" s="223"/>
      <c r="Q28" s="218"/>
      <c r="R28" s="218"/>
      <c r="S28" s="218"/>
      <c r="T28" s="218"/>
      <c r="U28" s="218"/>
      <c r="V28" s="218"/>
      <c r="W28" s="218"/>
      <c r="X28" s="116"/>
      <c r="Y28" s="116"/>
      <c r="Z28" s="218"/>
      <c r="AA28" s="218"/>
      <c r="AB28" s="218"/>
      <c r="AC28" s="219"/>
    </row>
    <row r="29" spans="1:29">
      <c r="A29" s="132">
        <f t="shared" si="0"/>
        <v>0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116"/>
      <c r="O29" s="223"/>
      <c r="P29" s="223"/>
      <c r="Q29" s="218"/>
      <c r="R29" s="218"/>
      <c r="S29" s="218"/>
      <c r="T29" s="218"/>
      <c r="U29" s="218"/>
      <c r="V29" s="218"/>
      <c r="W29" s="218"/>
      <c r="X29" s="116"/>
      <c r="Y29" s="116"/>
      <c r="Z29" s="218"/>
      <c r="AA29" s="218"/>
      <c r="AB29" s="218"/>
      <c r="AC29" s="219"/>
    </row>
    <row r="30" spans="1:29">
      <c r="A30" s="132">
        <f t="shared" si="0"/>
        <v>0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116"/>
      <c r="O30" s="223"/>
      <c r="P30" s="223"/>
      <c r="Q30" s="218"/>
      <c r="R30" s="218"/>
      <c r="S30" s="218"/>
      <c r="T30" s="218"/>
      <c r="U30" s="218"/>
      <c r="V30" s="218"/>
      <c r="W30" s="218"/>
      <c r="X30" s="116"/>
      <c r="Y30" s="116"/>
      <c r="Z30" s="218"/>
      <c r="AA30" s="218"/>
      <c r="AB30" s="218"/>
      <c r="AC30" s="219"/>
    </row>
    <row r="31" spans="1:29">
      <c r="A31" s="132">
        <f t="shared" si="0"/>
        <v>0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116"/>
      <c r="O31" s="223"/>
      <c r="P31" s="223"/>
      <c r="Q31" s="218"/>
      <c r="R31" s="218"/>
      <c r="S31" s="218"/>
      <c r="T31" s="218"/>
      <c r="U31" s="218"/>
      <c r="V31" s="218"/>
      <c r="W31" s="218"/>
      <c r="X31" s="116"/>
      <c r="Y31" s="116"/>
      <c r="Z31" s="218"/>
      <c r="AA31" s="218"/>
      <c r="AB31" s="218"/>
      <c r="AC31" s="219"/>
    </row>
    <row r="32" spans="1:29">
      <c r="A32" s="132">
        <f t="shared" si="0"/>
        <v>0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116"/>
      <c r="O32" s="223"/>
      <c r="P32" s="223"/>
      <c r="Q32" s="218"/>
      <c r="R32" s="218"/>
      <c r="S32" s="218"/>
      <c r="T32" s="218"/>
      <c r="U32" s="218"/>
      <c r="V32" s="218"/>
      <c r="W32" s="218"/>
      <c r="X32" s="116"/>
      <c r="Y32" s="116"/>
      <c r="Z32" s="218"/>
      <c r="AA32" s="218"/>
      <c r="AB32" s="218"/>
      <c r="AC32" s="219"/>
    </row>
    <row r="33" spans="1:29">
      <c r="A33" s="132">
        <f t="shared" si="0"/>
        <v>0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116"/>
      <c r="O33" s="223"/>
      <c r="P33" s="223"/>
      <c r="Q33" s="218"/>
      <c r="R33" s="218"/>
      <c r="S33" s="218"/>
      <c r="T33" s="218"/>
      <c r="U33" s="218"/>
      <c r="V33" s="218"/>
      <c r="W33" s="218"/>
      <c r="X33" s="116"/>
      <c r="Y33" s="116"/>
      <c r="Z33" s="218"/>
      <c r="AA33" s="218"/>
      <c r="AB33" s="218"/>
      <c r="AC33" s="219"/>
    </row>
    <row r="34" spans="1:29">
      <c r="A34" s="132">
        <f t="shared" si="0"/>
        <v>0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116"/>
      <c r="O34" s="223"/>
      <c r="P34" s="223"/>
      <c r="Q34" s="218"/>
      <c r="R34" s="218"/>
      <c r="S34" s="218"/>
      <c r="T34" s="218"/>
      <c r="U34" s="218"/>
      <c r="V34" s="218"/>
      <c r="W34" s="218"/>
      <c r="X34" s="116"/>
      <c r="Y34" s="116"/>
      <c r="Z34" s="218"/>
      <c r="AA34" s="218"/>
      <c r="AB34" s="218"/>
      <c r="AC34" s="219"/>
    </row>
    <row r="35" spans="1:29">
      <c r="A35" s="132">
        <f t="shared" si="0"/>
        <v>0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116"/>
      <c r="O35" s="223"/>
      <c r="P35" s="223"/>
      <c r="Q35" s="218"/>
      <c r="R35" s="218"/>
      <c r="S35" s="218"/>
      <c r="T35" s="218"/>
      <c r="U35" s="218"/>
      <c r="V35" s="218"/>
      <c r="W35" s="218"/>
      <c r="X35" s="116"/>
      <c r="Y35" s="116"/>
      <c r="Z35" s="218"/>
      <c r="AA35" s="218"/>
      <c r="AB35" s="218"/>
      <c r="AC35" s="219"/>
    </row>
    <row r="36" spans="1:29">
      <c r="A36" s="132">
        <f t="shared" si="0"/>
        <v>0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116"/>
      <c r="O36" s="223"/>
      <c r="P36" s="223"/>
      <c r="Q36" s="218"/>
      <c r="R36" s="218"/>
      <c r="S36" s="218"/>
      <c r="T36" s="218"/>
      <c r="U36" s="218"/>
      <c r="V36" s="218"/>
      <c r="W36" s="218"/>
      <c r="X36" s="116"/>
      <c r="Y36" s="116"/>
      <c r="Z36" s="218"/>
      <c r="AA36" s="218"/>
      <c r="AB36" s="218"/>
      <c r="AC36" s="219"/>
    </row>
    <row r="37" spans="1:29">
      <c r="A37" s="132">
        <f t="shared" si="0"/>
        <v>0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116"/>
      <c r="O37" s="223"/>
      <c r="P37" s="223"/>
      <c r="Q37" s="218"/>
      <c r="R37" s="218"/>
      <c r="S37" s="218"/>
      <c r="T37" s="218"/>
      <c r="U37" s="218"/>
      <c r="V37" s="218"/>
      <c r="W37" s="218"/>
      <c r="X37" s="116"/>
      <c r="Y37" s="116"/>
      <c r="Z37" s="218"/>
      <c r="AA37" s="218"/>
      <c r="AB37" s="218"/>
      <c r="AC37" s="219"/>
    </row>
    <row r="38" spans="1:29">
      <c r="A38" s="132">
        <f t="shared" si="0"/>
        <v>0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116"/>
      <c r="O38" s="223"/>
      <c r="P38" s="223"/>
      <c r="Q38" s="218"/>
      <c r="R38" s="218"/>
      <c r="S38" s="218"/>
      <c r="T38" s="218"/>
      <c r="U38" s="218"/>
      <c r="V38" s="218"/>
      <c r="W38" s="218"/>
      <c r="X38" s="116"/>
      <c r="Y38" s="116"/>
      <c r="Z38" s="218"/>
      <c r="AA38" s="218"/>
      <c r="AB38" s="218"/>
      <c r="AC38" s="219"/>
    </row>
    <row r="39" spans="1:29">
      <c r="A39" s="132">
        <f t="shared" si="0"/>
        <v>0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116"/>
      <c r="O39" s="223"/>
      <c r="P39" s="223"/>
      <c r="Q39" s="218"/>
      <c r="R39" s="218"/>
      <c r="S39" s="218"/>
      <c r="T39" s="218"/>
      <c r="U39" s="218"/>
      <c r="V39" s="218"/>
      <c r="W39" s="218"/>
      <c r="X39" s="116"/>
      <c r="Y39" s="116"/>
      <c r="Z39" s="218"/>
      <c r="AA39" s="218"/>
      <c r="AB39" s="218"/>
      <c r="AC39" s="219"/>
    </row>
    <row r="40" spans="1:29">
      <c r="A40" s="132">
        <f t="shared" si="0"/>
        <v>0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116"/>
      <c r="O40" s="223"/>
      <c r="P40" s="223"/>
      <c r="Q40" s="218"/>
      <c r="R40" s="218"/>
      <c r="S40" s="218"/>
      <c r="T40" s="218"/>
      <c r="U40" s="218"/>
      <c r="V40" s="218"/>
      <c r="W40" s="218"/>
      <c r="X40" s="116"/>
      <c r="Y40" s="116"/>
      <c r="Z40" s="218"/>
      <c r="AA40" s="218"/>
      <c r="AB40" s="218"/>
      <c r="AC40" s="219"/>
    </row>
    <row r="41" spans="1:29">
      <c r="A41" s="132">
        <f t="shared" si="0"/>
        <v>0</v>
      </c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116"/>
      <c r="O41" s="223"/>
      <c r="P41" s="223"/>
      <c r="Q41" s="218"/>
      <c r="R41" s="218"/>
      <c r="S41" s="218"/>
      <c r="T41" s="218"/>
      <c r="U41" s="218"/>
      <c r="V41" s="218"/>
      <c r="W41" s="218"/>
      <c r="X41" s="116"/>
      <c r="Y41" s="116"/>
      <c r="Z41" s="218"/>
      <c r="AA41" s="218"/>
      <c r="AB41" s="218"/>
      <c r="AC41" s="219"/>
    </row>
    <row r="42" spans="1:29">
      <c r="A42" s="132">
        <f t="shared" si="0"/>
        <v>0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116"/>
      <c r="O42" s="223"/>
      <c r="P42" s="223"/>
      <c r="Q42" s="218"/>
      <c r="R42" s="218"/>
      <c r="S42" s="218"/>
      <c r="T42" s="218"/>
      <c r="U42" s="218"/>
      <c r="V42" s="218"/>
      <c r="W42" s="218"/>
      <c r="X42" s="116"/>
      <c r="Y42" s="116"/>
      <c r="Z42" s="218"/>
      <c r="AA42" s="218"/>
      <c r="AB42" s="218"/>
      <c r="AC42" s="219"/>
    </row>
    <row r="43" spans="1:29">
      <c r="A43" s="132">
        <f t="shared" si="0"/>
        <v>0</v>
      </c>
      <c r="B43" s="218"/>
      <c r="C43" s="218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116"/>
      <c r="O43" s="223"/>
      <c r="P43" s="223"/>
      <c r="Q43" s="218"/>
      <c r="R43" s="218"/>
      <c r="S43" s="218"/>
      <c r="T43" s="218"/>
      <c r="U43" s="218"/>
      <c r="V43" s="218"/>
      <c r="W43" s="218"/>
      <c r="X43" s="116"/>
      <c r="Y43" s="116"/>
      <c r="Z43" s="218"/>
      <c r="AA43" s="218"/>
      <c r="AB43" s="218"/>
      <c r="AC43" s="219"/>
    </row>
    <row r="44" spans="1:29">
      <c r="A44" s="132">
        <f t="shared" si="0"/>
        <v>0</v>
      </c>
      <c r="B44" s="218"/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116"/>
      <c r="O44" s="223"/>
      <c r="P44" s="223"/>
      <c r="Q44" s="218"/>
      <c r="R44" s="218"/>
      <c r="S44" s="218"/>
      <c r="T44" s="218"/>
      <c r="U44" s="218"/>
      <c r="V44" s="218"/>
      <c r="W44" s="218"/>
      <c r="X44" s="116"/>
      <c r="Y44" s="116"/>
      <c r="Z44" s="218"/>
      <c r="AA44" s="218"/>
      <c r="AB44" s="218"/>
      <c r="AC44" s="219"/>
    </row>
    <row r="45" spans="1:29">
      <c r="A45" s="132">
        <f t="shared" si="0"/>
        <v>0</v>
      </c>
      <c r="B45" s="218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116"/>
      <c r="O45" s="223"/>
      <c r="P45" s="223"/>
      <c r="Q45" s="218"/>
      <c r="R45" s="218"/>
      <c r="S45" s="218"/>
      <c r="T45" s="218"/>
      <c r="U45" s="218"/>
      <c r="V45" s="218"/>
      <c r="W45" s="218"/>
      <c r="X45" s="116"/>
      <c r="Y45" s="116"/>
      <c r="Z45" s="218"/>
      <c r="AA45" s="218"/>
      <c r="AB45" s="218"/>
      <c r="AC45" s="219"/>
    </row>
    <row r="46" spans="1:29">
      <c r="A46" s="132">
        <f t="shared" si="0"/>
        <v>0</v>
      </c>
      <c r="B46" s="218"/>
      <c r="C46" s="218"/>
      <c r="D46" s="218"/>
      <c r="E46" s="218"/>
      <c r="F46" s="218"/>
      <c r="G46" s="218"/>
      <c r="H46" s="218"/>
      <c r="I46" s="218"/>
      <c r="J46" s="218"/>
      <c r="K46" s="218"/>
      <c r="L46" s="218"/>
      <c r="M46" s="218"/>
      <c r="N46" s="116"/>
      <c r="O46" s="223"/>
      <c r="P46" s="223"/>
      <c r="Q46" s="218"/>
      <c r="R46" s="218"/>
      <c r="S46" s="218"/>
      <c r="T46" s="218"/>
      <c r="U46" s="218"/>
      <c r="V46" s="218"/>
      <c r="W46" s="218"/>
      <c r="X46" s="116"/>
      <c r="Y46" s="116"/>
      <c r="Z46" s="218"/>
      <c r="AA46" s="218"/>
      <c r="AB46" s="218"/>
      <c r="AC46" s="219"/>
    </row>
    <row r="47" spans="1:29">
      <c r="A47" s="132">
        <f t="shared" si="0"/>
        <v>0</v>
      </c>
      <c r="B47" s="218"/>
      <c r="C47" s="218"/>
      <c r="D47" s="218"/>
      <c r="E47" s="218"/>
      <c r="F47" s="218"/>
      <c r="G47" s="218"/>
      <c r="H47" s="218"/>
      <c r="I47" s="218"/>
      <c r="J47" s="218"/>
      <c r="K47" s="218"/>
      <c r="L47" s="218"/>
      <c r="M47" s="218"/>
      <c r="N47" s="116"/>
      <c r="O47" s="223"/>
      <c r="P47" s="223"/>
      <c r="Q47" s="218"/>
      <c r="R47" s="218"/>
      <c r="S47" s="218"/>
      <c r="T47" s="218"/>
      <c r="U47" s="218"/>
      <c r="V47" s="218"/>
      <c r="W47" s="218"/>
      <c r="X47" s="116"/>
      <c r="Y47" s="116"/>
      <c r="Z47" s="218"/>
      <c r="AA47" s="218"/>
      <c r="AB47" s="218"/>
      <c r="AC47" s="219"/>
    </row>
    <row r="48" spans="1:29">
      <c r="A48" s="132">
        <f t="shared" si="0"/>
        <v>0</v>
      </c>
      <c r="B48" s="218"/>
      <c r="C48" s="218"/>
      <c r="D48" s="218"/>
      <c r="E48" s="218"/>
      <c r="F48" s="218"/>
      <c r="G48" s="218"/>
      <c r="H48" s="218"/>
      <c r="I48" s="218"/>
      <c r="J48" s="218"/>
      <c r="K48" s="218"/>
      <c r="L48" s="218"/>
      <c r="M48" s="218"/>
      <c r="N48" s="116"/>
      <c r="O48" s="223"/>
      <c r="P48" s="223"/>
      <c r="Q48" s="218"/>
      <c r="R48" s="218"/>
      <c r="S48" s="218"/>
      <c r="T48" s="218"/>
      <c r="U48" s="218"/>
      <c r="V48" s="218"/>
      <c r="W48" s="218"/>
      <c r="X48" s="116"/>
      <c r="Y48" s="116"/>
      <c r="Z48" s="218"/>
      <c r="AA48" s="218"/>
      <c r="AB48" s="218"/>
      <c r="AC48" s="219"/>
    </row>
    <row r="49" spans="1:29">
      <c r="A49" s="132">
        <f t="shared" si="0"/>
        <v>0</v>
      </c>
      <c r="B49" s="218"/>
      <c r="C49" s="218"/>
      <c r="D49" s="218"/>
      <c r="E49" s="218"/>
      <c r="F49" s="218"/>
      <c r="G49" s="218"/>
      <c r="H49" s="218"/>
      <c r="I49" s="218"/>
      <c r="J49" s="218"/>
      <c r="K49" s="218"/>
      <c r="L49" s="218"/>
      <c r="M49" s="218"/>
      <c r="N49" s="116"/>
      <c r="O49" s="223"/>
      <c r="P49" s="223"/>
      <c r="Q49" s="218"/>
      <c r="R49" s="218"/>
      <c r="S49" s="218"/>
      <c r="T49" s="218"/>
      <c r="U49" s="218"/>
      <c r="V49" s="218"/>
      <c r="W49" s="218"/>
      <c r="X49" s="116"/>
      <c r="Y49" s="116"/>
      <c r="Z49" s="218"/>
      <c r="AA49" s="218"/>
      <c r="AB49" s="218"/>
      <c r="AC49" s="219"/>
    </row>
    <row r="50" spans="1:29">
      <c r="A50" s="132">
        <f t="shared" si="0"/>
        <v>0</v>
      </c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116"/>
      <c r="O50" s="223"/>
      <c r="P50" s="223"/>
      <c r="Q50" s="218"/>
      <c r="R50" s="218"/>
      <c r="S50" s="218"/>
      <c r="T50" s="218"/>
      <c r="U50" s="218"/>
      <c r="V50" s="218"/>
      <c r="W50" s="218"/>
      <c r="X50" s="116"/>
      <c r="Y50" s="116"/>
      <c r="Z50" s="218"/>
      <c r="AA50" s="218"/>
      <c r="AB50" s="218"/>
      <c r="AC50" s="219"/>
    </row>
  </sheetData>
  <conditionalFormatting sqref="A2:AC2 B3:AC47 A3:A48 A50 A49:AC49">
    <cfRule type="expression" dxfId="14" priority="2">
      <formula>MOD(ROW(),2)</formula>
    </cfRule>
  </conditionalFormatting>
  <hyperlinks>
    <hyperlink ref="H2" r:id="rId1" xr:uid="{B50FE90C-A702-4CA6-B1F7-C47F8A7EEAC0}"/>
    <hyperlink ref="H3" r:id="rId2" xr:uid="{4D056B83-C26B-467C-9886-A7E1F0DCC266}"/>
  </hyperlinks>
  <pageMargins left="0.7" right="0.7" top="0.75" bottom="0.75" header="0.3" footer="0.3"/>
  <pageSetup paperSize="9" scale="18" fitToHeight="0" orientation="portrait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>
    <pageSetUpPr fitToPage="1"/>
  </sheetPr>
  <dimension ref="B2:U169"/>
  <sheetViews>
    <sheetView showGridLines="0" view="pageBreakPreview" topLeftCell="A76" zoomScaleNormal="100" zoomScaleSheetLayoutView="100" workbookViewId="0">
      <selection activeCell="M78" sqref="M78"/>
    </sheetView>
  </sheetViews>
  <sheetFormatPr baseColWidth="10" defaultRowHeight="14.5"/>
  <cols>
    <col min="1" max="1" width="2.6328125" customWidth="1"/>
    <col min="2" max="2" width="3.6328125" customWidth="1"/>
    <col min="3" max="3" width="11.6328125" customWidth="1"/>
    <col min="4" max="5" width="14.6328125" customWidth="1"/>
    <col min="6" max="7" width="13.6328125" customWidth="1"/>
    <col min="8" max="10" width="14.6328125" customWidth="1"/>
    <col min="11" max="12" width="2.6328125" customWidth="1"/>
    <col min="14" max="14" width="17.36328125" customWidth="1"/>
    <col min="15" max="15" width="20.6328125" customWidth="1"/>
  </cols>
  <sheetData>
    <row r="2" spans="2:16" ht="15" thickBot="1">
      <c r="B2" s="229" t="s">
        <v>24</v>
      </c>
      <c r="C2" s="230"/>
      <c r="D2" s="230"/>
      <c r="E2" s="231"/>
      <c r="H2" s="2"/>
      <c r="I2" s="34" t="s">
        <v>3</v>
      </c>
      <c r="J2" s="4"/>
    </row>
    <row r="3" spans="2:16" ht="15" thickBot="1">
      <c r="B3" s="232" t="str">
        <f>'Informations film'!C6</f>
        <v>[à compléter]</v>
      </c>
      <c r="C3" s="233"/>
      <c r="D3" s="233"/>
      <c r="E3" s="234"/>
      <c r="H3" s="5"/>
      <c r="I3" s="32" t="e">
        <f>N3&amp;" "&amp;+VLOOKUP($N$3,'Base de données ayants-droits'!B:Y,2,FALSE)</f>
        <v>#N/A</v>
      </c>
      <c r="J3" s="6"/>
      <c r="M3" s="120" t="s">
        <v>87</v>
      </c>
      <c r="N3" s="26"/>
    </row>
    <row r="4" spans="2:16">
      <c r="B4" s="235" t="str">
        <f>'Informations film'!C7</f>
        <v>[à compléter]</v>
      </c>
      <c r="C4" s="236"/>
      <c r="D4" s="236"/>
      <c r="E4" s="237"/>
      <c r="H4" s="5"/>
      <c r="I4" s="30" t="e">
        <f>+VLOOKUP($N$3,'Base de données ayants-droits'!B:Y,5,FALSE)</f>
        <v>#N/A</v>
      </c>
      <c r="J4" s="6"/>
      <c r="M4" s="115" t="s">
        <v>86</v>
      </c>
    </row>
    <row r="5" spans="2:16">
      <c r="B5" s="238" t="str">
        <f>'Informations film'!C8</f>
        <v>[à compléter]</v>
      </c>
      <c r="C5" s="239"/>
      <c r="D5" s="239"/>
      <c r="E5" s="240"/>
      <c r="H5" s="7"/>
      <c r="I5" s="105" t="e">
        <f>+VLOOKUP($N$3,'Base de données ayants-droits'!B:Y,6,FALSE)</f>
        <v>#N/A</v>
      </c>
      <c r="J5" s="9"/>
    </row>
    <row r="7" spans="2:16" ht="28.5">
      <c r="B7" s="10" t="str">
        <f>'Informations film'!C2</f>
        <v xml:space="preserve">FILM </v>
      </c>
      <c r="C7" s="10"/>
      <c r="H7" s="10" t="str">
        <f>"DÉCOMPTE N°"&amp;'Informations film'!C11</f>
        <v>DÉCOMPTE N°9</v>
      </c>
    </row>
    <row r="8" spans="2:16" ht="15.5">
      <c r="B8" t="str">
        <f>"Sortie France : "&amp;'Informations film'!C4</f>
        <v>Sortie France : jj/mm/aaaa</v>
      </c>
      <c r="H8" s="14" t="str">
        <f>"Arrété au "&amp;TEXT('Informations film'!C9,"jj/mm/aaaa")</f>
        <v>Arrété au 31/12/2022</v>
      </c>
      <c r="P8" s="33"/>
    </row>
    <row r="9" spans="2:16">
      <c r="B9" t="str">
        <f>"Réalisation : "&amp;'Informations film'!C3</f>
        <v>Réalisation : [à compléter]</v>
      </c>
    </row>
    <row r="10" spans="2:16">
      <c r="B10" t="str">
        <f>"N° RCA : "&amp;'Informations film'!C5</f>
        <v>N° RCA : 000 000</v>
      </c>
    </row>
    <row r="12" spans="2:16" ht="21">
      <c r="B12" s="227" t="e">
        <f>+N3&amp;" "&amp;VLOOKUP(N3,'Base de données ayants-droits'!B:Y,2, FALSE)</f>
        <v>#N/A</v>
      </c>
      <c r="C12" s="227"/>
      <c r="D12" s="227"/>
      <c r="E12" s="227"/>
      <c r="F12" s="227"/>
      <c r="G12" s="227"/>
      <c r="H12" s="227"/>
      <c r="I12" s="227"/>
      <c r="J12" s="227"/>
    </row>
    <row r="13" spans="2:16">
      <c r="B13" s="228" t="e">
        <f>"Contrat "&amp;VLOOKUP(N3,'Base de données ayants-droits'!B:Y,3,FALSE)</f>
        <v>#N/A</v>
      </c>
      <c r="C13" s="228"/>
      <c r="D13" s="228"/>
      <c r="E13" s="228"/>
      <c r="F13" s="228"/>
      <c r="G13" s="228"/>
      <c r="H13" s="228"/>
      <c r="I13" s="228"/>
      <c r="J13" s="228"/>
    </row>
    <row r="14" spans="2:16">
      <c r="B14" s="228" t="e">
        <f>"Signé en date du "&amp;TEXT(VLOOKUP(N3,'Base de données ayants-droits'!B:W,11,FALSE),"jj/mm/aa")&amp;IF(VLOOKUP(N3,'Base de données ayants-droits'!B:W,12,FALSE)=TRUE," et son/ses avenant(s)","")</f>
        <v>#N/A</v>
      </c>
      <c r="C14" s="228"/>
      <c r="D14" s="228"/>
      <c r="E14" s="228"/>
      <c r="F14" s="228"/>
      <c r="G14" s="228"/>
      <c r="H14" s="228"/>
      <c r="I14" s="228"/>
      <c r="J14" s="228"/>
    </row>
    <row r="16" spans="2:16">
      <c r="B16" s="83" t="s">
        <v>65</v>
      </c>
      <c r="C16" s="84"/>
      <c r="D16" s="11"/>
      <c r="E16" s="11"/>
      <c r="F16" s="11"/>
      <c r="G16" s="11"/>
      <c r="H16" s="16" t="s">
        <v>25</v>
      </c>
      <c r="I16" s="16" t="s">
        <v>26</v>
      </c>
      <c r="J16" s="17" t="s">
        <v>27</v>
      </c>
      <c r="M16" s="117"/>
    </row>
    <row r="17" spans="2:13" ht="10" customHeight="1">
      <c r="B17" s="2"/>
      <c r="C17" s="3"/>
      <c r="D17" s="3"/>
      <c r="E17" s="3"/>
      <c r="F17" s="3"/>
      <c r="G17" s="3"/>
      <c r="H17" s="3"/>
      <c r="I17" s="3"/>
      <c r="J17" s="4"/>
    </row>
    <row r="18" spans="2:13">
      <c r="B18" s="18"/>
      <c r="C18" s="85"/>
      <c r="D18" s="15"/>
      <c r="E18" s="15"/>
      <c r="F18" s="15"/>
      <c r="G18" s="15"/>
      <c r="H18" s="15"/>
      <c r="I18" s="19"/>
      <c r="J18" s="6"/>
      <c r="M18" s="115"/>
    </row>
    <row r="19" spans="2:13">
      <c r="B19" s="5"/>
      <c r="C19" s="15"/>
      <c r="E19" s="15"/>
      <c r="F19" s="15"/>
      <c r="G19" s="15"/>
      <c r="H19" s="47">
        <f>J79</f>
        <v>100000</v>
      </c>
      <c r="I19" s="24" t="e">
        <f>+VLOOKUP($N$3,'Base de données ayants-droits'!B:Y,14,FALSE)&amp;"%"</f>
        <v>#N/A</v>
      </c>
      <c r="J19" s="25" t="e">
        <f>H19*I19</f>
        <v>#N/A</v>
      </c>
      <c r="M19" s="115"/>
    </row>
    <row r="20" spans="2:13">
      <c r="B20" s="5"/>
      <c r="C20" s="15"/>
      <c r="E20" s="15"/>
      <c r="F20" s="15"/>
      <c r="G20" s="20"/>
      <c r="H20" s="47">
        <f>J84</f>
        <v>0</v>
      </c>
      <c r="I20" s="24" t="e">
        <f>+VLOOKUP($N$3,'Base de données ayants-droits'!B:Y,15,FALSE)&amp;"%"</f>
        <v>#N/A</v>
      </c>
      <c r="J20" s="25" t="e">
        <f>H20*I20</f>
        <v>#N/A</v>
      </c>
      <c r="M20" s="115"/>
    </row>
    <row r="21" spans="2:13" ht="10" customHeight="1">
      <c r="B21" s="5"/>
      <c r="C21" s="15"/>
      <c r="D21" s="15"/>
      <c r="E21" s="15"/>
      <c r="F21" s="15"/>
      <c r="G21" s="15"/>
      <c r="H21" s="15"/>
      <c r="I21" s="15"/>
      <c r="J21" s="25"/>
      <c r="M21" s="115"/>
    </row>
    <row r="22" spans="2:13">
      <c r="B22" s="18"/>
      <c r="C22" s="85"/>
      <c r="D22" s="15"/>
      <c r="E22" s="15"/>
      <c r="F22" s="15"/>
      <c r="G22" s="15"/>
      <c r="J22" s="6"/>
      <c r="M22" s="115"/>
    </row>
    <row r="23" spans="2:13">
      <c r="B23" s="18"/>
      <c r="C23" s="15"/>
      <c r="E23" s="15"/>
      <c r="F23" s="15"/>
      <c r="G23" s="15"/>
      <c r="H23" s="48">
        <f>J89</f>
        <v>0</v>
      </c>
      <c r="I23" s="24" t="e">
        <f>+VLOOKUP($N$3,'Base de données ayants-droits'!B:Y,16,FALSE)&amp;"%"</f>
        <v>#N/A</v>
      </c>
      <c r="J23" s="25" t="e">
        <f>H23*I23</f>
        <v>#N/A</v>
      </c>
      <c r="M23" s="115"/>
    </row>
    <row r="24" spans="2:13" ht="10" customHeight="1">
      <c r="B24" s="5"/>
      <c r="C24" s="15"/>
      <c r="D24" s="15"/>
      <c r="E24" s="15"/>
      <c r="F24" s="15"/>
      <c r="G24" s="15"/>
      <c r="H24" s="15"/>
      <c r="I24" s="24"/>
      <c r="J24" s="25"/>
    </row>
    <row r="25" spans="2:13">
      <c r="B25" s="18"/>
      <c r="C25" s="85"/>
      <c r="D25" s="15"/>
      <c r="E25" s="15"/>
      <c r="F25" s="15"/>
      <c r="G25" s="15"/>
      <c r="J25" s="6"/>
    </row>
    <row r="26" spans="2:13">
      <c r="B26" s="18"/>
      <c r="C26" s="15"/>
      <c r="E26" s="15"/>
      <c r="F26" s="15"/>
      <c r="G26" s="15"/>
      <c r="H26" s="39">
        <f>+G114+J115</f>
        <v>0</v>
      </c>
      <c r="I26" s="24" t="e">
        <f>+VLOOKUP($N$3,'Base de données ayants-droits'!B:Y,17,FALSE)&amp;"%"</f>
        <v>#N/A</v>
      </c>
      <c r="J26" s="25" t="e">
        <f>H26*I26</f>
        <v>#N/A</v>
      </c>
    </row>
    <row r="27" spans="2:13" ht="10" customHeight="1">
      <c r="B27" s="18"/>
      <c r="C27" s="85"/>
      <c r="D27" s="15"/>
      <c r="E27" s="15"/>
      <c r="F27" s="15"/>
      <c r="G27" s="15"/>
      <c r="H27" s="15"/>
      <c r="I27" s="24"/>
      <c r="J27" s="25"/>
    </row>
    <row r="28" spans="2:13">
      <c r="B28" s="18"/>
      <c r="C28" s="85"/>
      <c r="D28" s="15"/>
      <c r="E28" s="15"/>
      <c r="F28" s="15"/>
      <c r="G28" s="113" t="e">
        <f>+IF(VLOOKUP($N$3,'Base de données ayants-droits'!B:Y,19,FALSE)=TRUE,"Gestion collective","")</f>
        <v>#N/A</v>
      </c>
      <c r="J28" s="6"/>
    </row>
    <row r="29" spans="2:13">
      <c r="B29" s="18"/>
      <c r="C29" s="15"/>
      <c r="E29" s="15"/>
      <c r="F29" s="15"/>
      <c r="G29" s="20"/>
      <c r="H29" s="39">
        <f>+J119+J129</f>
        <v>0</v>
      </c>
      <c r="I29" s="24" t="e">
        <f>IF(G28="Gestion collective",0,+VLOOKUP($N$3,'Base de données ayants-droits'!B:Y,18,FALSE)&amp;"%")</f>
        <v>#N/A</v>
      </c>
      <c r="J29" s="25" t="e">
        <f>H29*I29</f>
        <v>#N/A</v>
      </c>
    </row>
    <row r="30" spans="2:13" ht="10" customHeight="1">
      <c r="B30" s="18"/>
      <c r="C30" s="85"/>
      <c r="D30" s="15"/>
      <c r="E30" s="15"/>
      <c r="F30" s="15"/>
      <c r="G30" s="15"/>
      <c r="H30" s="15"/>
      <c r="I30" s="24"/>
      <c r="J30" s="25"/>
    </row>
    <row r="31" spans="2:13">
      <c r="B31" s="18"/>
      <c r="C31" s="85"/>
      <c r="D31" s="15"/>
      <c r="E31" s="15"/>
      <c r="F31" s="15"/>
      <c r="G31" s="15"/>
      <c r="J31" s="6"/>
    </row>
    <row r="32" spans="2:13">
      <c r="B32" s="18"/>
      <c r="C32" s="15"/>
      <c r="D32" s="15"/>
      <c r="E32" s="15"/>
      <c r="F32" s="15"/>
      <c r="G32" s="15"/>
      <c r="H32" s="39">
        <f>+J133+J140</f>
        <v>0</v>
      </c>
      <c r="I32" s="24" t="e">
        <f>+VLOOKUP($N$3,'Base de données ayants-droits'!B:Y,20,FALSE)&amp;"%"</f>
        <v>#N/A</v>
      </c>
      <c r="J32" s="25" t="e">
        <f>H32*I32</f>
        <v>#N/A</v>
      </c>
    </row>
    <row r="33" spans="2:13" ht="10" customHeight="1">
      <c r="B33" s="18"/>
      <c r="C33" s="85"/>
      <c r="D33" s="15"/>
      <c r="E33" s="15"/>
      <c r="F33" s="15"/>
      <c r="G33" s="15"/>
      <c r="H33" s="15"/>
      <c r="I33" s="24"/>
      <c r="J33" s="25"/>
    </row>
    <row r="34" spans="2:13">
      <c r="B34" s="18"/>
      <c r="C34" s="85"/>
      <c r="D34" s="15"/>
      <c r="E34" s="15"/>
      <c r="F34" s="15"/>
      <c r="G34" s="15"/>
      <c r="J34" s="6"/>
    </row>
    <row r="35" spans="2:13">
      <c r="B35" s="18"/>
      <c r="C35" s="15"/>
      <c r="D35" s="15"/>
      <c r="E35" s="15"/>
      <c r="F35" s="15"/>
      <c r="G35" s="15"/>
      <c r="H35" s="39">
        <f>+G151+J152</f>
        <v>0</v>
      </c>
      <c r="I35" s="24" t="e">
        <f>+VLOOKUP($N$3,'Base de données ayants-droits'!B:Y,21,FALSE)&amp;"%"</f>
        <v>#N/A</v>
      </c>
      <c r="J35" s="25" t="e">
        <f>H35*I35</f>
        <v>#N/A</v>
      </c>
    </row>
    <row r="36" spans="2:13" ht="10" customHeight="1">
      <c r="B36" s="18"/>
      <c r="C36" s="85"/>
      <c r="D36" s="15"/>
      <c r="E36" s="15"/>
      <c r="F36" s="15"/>
      <c r="G36" s="15"/>
      <c r="H36" s="15"/>
      <c r="I36" s="24"/>
      <c r="J36" s="25"/>
    </row>
    <row r="37" spans="2:13">
      <c r="B37" s="18"/>
      <c r="C37" s="85"/>
      <c r="D37" s="15"/>
      <c r="E37" s="15"/>
      <c r="F37" s="15"/>
      <c r="G37" s="15"/>
      <c r="J37" s="6"/>
    </row>
    <row r="38" spans="2:13">
      <c r="B38" s="18"/>
      <c r="C38" s="15"/>
      <c r="E38" s="15"/>
      <c r="F38" s="15"/>
      <c r="G38" s="15"/>
      <c r="H38" s="39">
        <f>J158</f>
        <v>0</v>
      </c>
      <c r="I38" s="24" t="e">
        <f>+VLOOKUP($N$3,'Base de données ayants-droits'!B:Y,22,FALSE)&amp;"%"</f>
        <v>#N/A</v>
      </c>
      <c r="J38" s="25" t="e">
        <f>H38*I38</f>
        <v>#N/A</v>
      </c>
    </row>
    <row r="39" spans="2:13" ht="10" customHeight="1">
      <c r="B39" s="18"/>
      <c r="C39" s="85"/>
      <c r="D39" s="15"/>
      <c r="E39" s="15"/>
      <c r="F39" s="15"/>
      <c r="G39" s="15"/>
      <c r="H39" s="39"/>
      <c r="I39" s="24"/>
      <c r="J39" s="25"/>
    </row>
    <row r="40" spans="2:13">
      <c r="B40" s="18"/>
      <c r="C40" s="85"/>
      <c r="D40" s="15"/>
      <c r="E40" s="15"/>
      <c r="F40" s="15"/>
      <c r="G40" s="15"/>
      <c r="H40" s="15"/>
      <c r="J40" s="31" t="e">
        <f>-(+VLOOKUP($N$3,'Base de données ayants-droits'!B:Y,13,FALSE))</f>
        <v>#N/A</v>
      </c>
    </row>
    <row r="41" spans="2:13" ht="10" customHeight="1">
      <c r="B41" s="7"/>
      <c r="C41" s="8"/>
      <c r="D41" s="8"/>
      <c r="E41" s="8"/>
      <c r="F41" s="8"/>
      <c r="G41" s="8"/>
      <c r="H41" s="8"/>
      <c r="I41" s="8"/>
      <c r="J41" s="27"/>
    </row>
    <row r="42" spans="2:13">
      <c r="B42" s="21" t="s">
        <v>29</v>
      </c>
      <c r="C42" s="86"/>
      <c r="D42" s="11"/>
      <c r="E42" s="11"/>
      <c r="F42" s="11"/>
      <c r="G42" s="11"/>
      <c r="H42" s="11"/>
      <c r="I42" s="11"/>
      <c r="J42" s="28" t="e">
        <f>SUM(J19:J41)</f>
        <v>#N/A</v>
      </c>
    </row>
    <row r="43" spans="2:13">
      <c r="B43" s="15"/>
      <c r="C43" s="15"/>
      <c r="D43" s="15"/>
      <c r="E43" s="15"/>
      <c r="F43" s="15"/>
      <c r="G43" s="15"/>
      <c r="H43" s="15"/>
      <c r="I43" s="15"/>
      <c r="J43" s="15"/>
    </row>
    <row r="44" spans="2:13">
      <c r="B44" s="2" t="s">
        <v>64</v>
      </c>
      <c r="C44" s="3"/>
      <c r="D44" s="3"/>
      <c r="E44" s="3"/>
      <c r="F44" s="3"/>
      <c r="G44" s="3"/>
      <c r="H44" s="3"/>
      <c r="I44" s="3"/>
      <c r="J44" s="92" t="e">
        <f>IF(J42&gt;0,J42,0)</f>
        <v>#N/A</v>
      </c>
      <c r="M44" s="119"/>
    </row>
    <row r="45" spans="2:13" ht="5" customHeight="1">
      <c r="B45" s="5"/>
      <c r="C45" s="15"/>
      <c r="D45" s="15"/>
      <c r="E45" s="15"/>
      <c r="F45" s="15"/>
      <c r="G45" s="15"/>
      <c r="H45" s="15"/>
      <c r="I45" s="15"/>
      <c r="J45" s="6"/>
      <c r="M45" s="119"/>
    </row>
    <row r="46" spans="2:13">
      <c r="B46" s="5" t="s">
        <v>66</v>
      </c>
      <c r="C46" s="15"/>
      <c r="D46" s="15"/>
      <c r="E46" s="15"/>
      <c r="F46" s="15"/>
      <c r="G46" s="15"/>
      <c r="H46" s="15"/>
      <c r="I46" s="15"/>
      <c r="J46" s="136" t="e">
        <v>#N/A</v>
      </c>
      <c r="M46" s="119"/>
    </row>
    <row r="47" spans="2:13" ht="5" customHeight="1">
      <c r="B47" s="5"/>
      <c r="C47" s="15"/>
      <c r="D47" s="15"/>
      <c r="E47" s="15"/>
      <c r="F47" s="15"/>
      <c r="G47" s="15"/>
      <c r="H47" s="15"/>
      <c r="I47" s="15"/>
      <c r="J47" s="6"/>
    </row>
    <row r="48" spans="2:13">
      <c r="B48" s="29" t="s">
        <v>78</v>
      </c>
      <c r="C48" s="41"/>
      <c r="D48" s="15"/>
      <c r="E48" s="15"/>
      <c r="F48" s="15"/>
      <c r="G48" s="15"/>
      <c r="H48" s="15"/>
      <c r="I48" s="15"/>
      <c r="J48" s="114" t="e">
        <f>J44+J46</f>
        <v>#N/A</v>
      </c>
    </row>
    <row r="49" spans="2:13" ht="10" customHeight="1">
      <c r="B49" s="5"/>
      <c r="C49" s="15"/>
      <c r="D49" s="15"/>
      <c r="E49" s="15"/>
      <c r="F49" s="15"/>
      <c r="G49" s="15"/>
      <c r="H49" s="15"/>
      <c r="I49" s="15"/>
      <c r="J49" s="6"/>
    </row>
    <row r="50" spans="2:13">
      <c r="B50" s="5"/>
      <c r="C50" s="15"/>
      <c r="D50" s="15" t="s">
        <v>38</v>
      </c>
      <c r="E50" s="15"/>
      <c r="F50" s="22">
        <f>1-F51</f>
        <v>0.9</v>
      </c>
      <c r="G50" s="49" t="e">
        <f>+J48*F50</f>
        <v>#N/A</v>
      </c>
      <c r="H50" s="15"/>
      <c r="I50" s="15"/>
      <c r="J50" s="6"/>
      <c r="M50" s="115"/>
    </row>
    <row r="51" spans="2:13">
      <c r="B51" s="7"/>
      <c r="C51" s="8"/>
      <c r="D51" s="8" t="s">
        <v>30</v>
      </c>
      <c r="E51" s="8"/>
      <c r="F51" s="23">
        <v>0.1</v>
      </c>
      <c r="G51" s="50" t="e">
        <f>+J48*F51</f>
        <v>#N/A</v>
      </c>
      <c r="H51" s="8"/>
      <c r="I51" s="8"/>
      <c r="J51" s="9"/>
      <c r="M51" s="115"/>
    </row>
    <row r="52" spans="2:13">
      <c r="B52" s="15"/>
      <c r="C52" s="15"/>
      <c r="D52" s="15"/>
      <c r="E52" s="15"/>
      <c r="F52" s="15"/>
      <c r="G52" s="15"/>
      <c r="H52" s="15"/>
      <c r="I52" s="15"/>
      <c r="J52" s="15"/>
    </row>
    <row r="53" spans="2:13">
      <c r="B53" s="15"/>
      <c r="C53" s="15"/>
      <c r="D53" s="15"/>
      <c r="E53" s="15"/>
      <c r="F53" s="15"/>
      <c r="G53" s="15"/>
      <c r="H53" s="15"/>
      <c r="I53" s="15"/>
      <c r="J53" s="15"/>
    </row>
    <row r="68" spans="2:21">
      <c r="M68" s="137"/>
      <c r="N68" s="137"/>
      <c r="O68" s="15"/>
      <c r="P68" s="15"/>
      <c r="Q68" s="15"/>
      <c r="R68" s="15"/>
      <c r="S68" s="15"/>
      <c r="T68" s="15"/>
      <c r="U68" s="58"/>
    </row>
    <row r="69" spans="2:21">
      <c r="M69" s="137"/>
      <c r="N69" s="137"/>
      <c r="O69" s="15"/>
      <c r="P69" s="15"/>
      <c r="Q69" s="15"/>
      <c r="R69" s="15"/>
      <c r="S69" s="15"/>
      <c r="T69" s="15"/>
      <c r="U69" s="58"/>
    </row>
    <row r="70" spans="2:21">
      <c r="M70" s="137"/>
      <c r="N70" s="137"/>
      <c r="O70" s="15"/>
      <c r="P70" s="15"/>
      <c r="Q70" s="15"/>
      <c r="R70" s="15"/>
      <c r="S70" s="15"/>
      <c r="T70" s="15"/>
      <c r="U70" s="58"/>
    </row>
    <row r="71" spans="2:21">
      <c r="M71" s="137"/>
      <c r="N71" s="137"/>
      <c r="O71" s="15"/>
      <c r="P71" s="15"/>
      <c r="Q71" s="15"/>
      <c r="R71" s="15"/>
      <c r="S71" s="15"/>
      <c r="T71" s="15"/>
      <c r="U71" s="58"/>
    </row>
    <row r="74" spans="2:21" ht="18.5">
      <c r="B74" s="216" t="str">
        <f>'Informations film'!C2</f>
        <v xml:space="preserve">FILM </v>
      </c>
      <c r="J74" s="217" t="str">
        <f>TEXT('Informations film'!C9,"jj/mm/aaaa")</f>
        <v>31/12/2022</v>
      </c>
    </row>
    <row r="76" spans="2:21">
      <c r="B76" s="1"/>
      <c r="C76" s="11"/>
      <c r="D76" s="11"/>
      <c r="E76" s="11"/>
      <c r="F76" s="11"/>
      <c r="G76" s="36"/>
      <c r="H76" s="42" t="str">
        <f>+'Décompte général'!H10</f>
        <v>ANTÉRIEUR</v>
      </c>
      <c r="I76" s="35" t="str">
        <f>+'Décompte général'!I10</f>
        <v>PÉRIODE</v>
      </c>
      <c r="J76" s="35" t="str">
        <f>+'Décompte général'!J10</f>
        <v>CUMUL</v>
      </c>
    </row>
    <row r="77" spans="2:21">
      <c r="B77" s="128" t="str">
        <f>+'Décompte général'!B11</f>
        <v>1/ EXPLOITATION CINÉMA FRANCE</v>
      </c>
      <c r="C77" s="101"/>
      <c r="D77" s="101"/>
      <c r="E77" s="101"/>
      <c r="F77" s="101"/>
      <c r="G77" s="101"/>
      <c r="H77" s="103"/>
      <c r="I77" s="103"/>
      <c r="J77" s="103"/>
    </row>
    <row r="78" spans="2:21">
      <c r="B78" s="184"/>
      <c r="C78" s="148" t="str">
        <f>+'Décompte général'!C12</f>
        <v>Nombre d'entrées encaissées</v>
      </c>
      <c r="D78" s="148"/>
      <c r="E78" s="148"/>
      <c r="F78" s="148"/>
      <c r="G78" s="183">
        <f>+'Décompte général'!G12</f>
        <v>0</v>
      </c>
      <c r="H78" s="56"/>
      <c r="I78" s="56"/>
      <c r="J78" s="56"/>
    </row>
    <row r="79" spans="2:21">
      <c r="B79" s="185"/>
      <c r="C79" s="186" t="str">
        <f>+'Décompte général'!C13</f>
        <v>Prix payé par le public (net de TVA et de TSA)</v>
      </c>
      <c r="D79" s="186"/>
      <c r="E79" s="186"/>
      <c r="F79" s="186"/>
      <c r="G79" s="187"/>
      <c r="H79" s="188">
        <f>+'Décompte général'!H13</f>
        <v>0</v>
      </c>
      <c r="I79" s="189">
        <f>+'Décompte général'!I13</f>
        <v>100000</v>
      </c>
      <c r="J79" s="188">
        <f>+H79+I79</f>
        <v>100000</v>
      </c>
    </row>
    <row r="80" spans="2:21">
      <c r="B80" s="205"/>
      <c r="C80" s="206"/>
      <c r="D80" s="206"/>
      <c r="E80" s="206"/>
      <c r="F80" s="206"/>
      <c r="G80" s="74"/>
      <c r="H80" s="46"/>
      <c r="I80" s="146"/>
      <c r="J80" s="46"/>
    </row>
    <row r="81" spans="2:10">
      <c r="B81" s="205"/>
      <c r="C81" s="15" t="str">
        <f>+'Décompte général'!C21</f>
        <v>Recette brute distributeur secteur non commercial</v>
      </c>
      <c r="D81" s="15"/>
      <c r="E81" s="15"/>
      <c r="F81" s="15"/>
      <c r="G81" s="161"/>
      <c r="H81" s="46">
        <f>+'Décompte général'!H21</f>
        <v>0</v>
      </c>
      <c r="I81" s="139">
        <f>+'Décompte général'!I21</f>
        <v>0</v>
      </c>
      <c r="J81" s="46">
        <f t="shared" ref="J81:J83" si="0">+H81+I81</f>
        <v>0</v>
      </c>
    </row>
    <row r="82" spans="2:10">
      <c r="B82" s="205"/>
      <c r="C82" s="15" t="str">
        <f>+'Décompte général'!C22</f>
        <v>Commission de distribution secteur non commercial</v>
      </c>
      <c r="D82" s="15"/>
      <c r="E82" s="15"/>
      <c r="F82" s="15"/>
      <c r="G82" s="162">
        <f>+'Décompte général'!G22</f>
        <v>0.3</v>
      </c>
      <c r="H82" s="46">
        <f>+'Décompte général'!H22</f>
        <v>0</v>
      </c>
      <c r="I82" s="44">
        <f>I81*G82</f>
        <v>0</v>
      </c>
      <c r="J82" s="46">
        <f t="shared" si="0"/>
        <v>0</v>
      </c>
    </row>
    <row r="83" spans="2:10">
      <c r="B83" s="205"/>
      <c r="C83" s="8" t="str">
        <f>+'Décompte général'!C23</f>
        <v>Cotisations et taxes</v>
      </c>
      <c r="D83" s="8"/>
      <c r="E83" s="8"/>
      <c r="F83" s="8"/>
      <c r="G83" s="68"/>
      <c r="H83" s="61">
        <f>+'Décompte général'!H23</f>
        <v>0</v>
      </c>
      <c r="I83" s="142">
        <f>+'Décompte général'!I23</f>
        <v>0</v>
      </c>
      <c r="J83" s="61">
        <f t="shared" si="0"/>
        <v>0</v>
      </c>
    </row>
    <row r="84" spans="2:10">
      <c r="B84" s="205"/>
      <c r="C84" s="40" t="str">
        <f>+'Décompte général'!C24</f>
        <v>Recette nette part producteur cinéma France secteur non commercial</v>
      </c>
      <c r="G84" s="161"/>
      <c r="H84" s="44">
        <f>+'Décompte général'!H24</f>
        <v>0</v>
      </c>
      <c r="I84" s="44">
        <f>I81-SUM(I82-I83)</f>
        <v>0</v>
      </c>
      <c r="J84" s="46">
        <f>+H84+I84</f>
        <v>0</v>
      </c>
    </row>
    <row r="85" spans="2:10">
      <c r="B85" s="205"/>
      <c r="C85" s="206"/>
      <c r="D85" s="206"/>
      <c r="E85" s="206"/>
      <c r="F85" s="206"/>
      <c r="G85" s="74"/>
      <c r="H85" s="46"/>
      <c r="I85" s="146"/>
      <c r="J85" s="46"/>
    </row>
    <row r="86" spans="2:10">
      <c r="B86" s="127" t="str">
        <f>+'Décompte général'!B29</f>
        <v>2/ EXPLOITATION VIDÉO FRANCE</v>
      </c>
      <c r="C86" s="101"/>
      <c r="D86" s="101"/>
      <c r="E86" s="101"/>
      <c r="F86" s="101"/>
      <c r="G86" s="101"/>
      <c r="H86" s="103"/>
      <c r="I86" s="103"/>
      <c r="J86" s="103"/>
    </row>
    <row r="87" spans="2:10">
      <c r="B87" s="184"/>
      <c r="C87" s="148" t="str">
        <f>+'Décompte général'!C30</f>
        <v>Chiffre d'affaires brut éditeur HT</v>
      </c>
      <c r="D87" s="148"/>
      <c r="E87" s="148"/>
      <c r="F87" s="148"/>
      <c r="G87" s="40"/>
      <c r="H87" s="46">
        <f>+'Décompte général'!H30</f>
        <v>0</v>
      </c>
      <c r="I87" s="139">
        <f>+'Décompte général'!I30</f>
        <v>0</v>
      </c>
      <c r="J87" s="46">
        <f>+H87+I87</f>
        <v>0</v>
      </c>
    </row>
    <row r="88" spans="2:10">
      <c r="B88" s="184"/>
      <c r="C88" s="148" t="str">
        <f>+'Décompte général'!C31</f>
        <v xml:space="preserve">Coefficient correcteur (multiplicateur) </v>
      </c>
      <c r="D88" s="148"/>
      <c r="E88" s="148"/>
      <c r="F88" s="148"/>
      <c r="G88" s="202">
        <f>+'Décompte général'!G31</f>
        <v>1.5</v>
      </c>
      <c r="H88" s="80"/>
      <c r="I88" s="46"/>
      <c r="J88" s="46"/>
    </row>
    <row r="89" spans="2:10">
      <c r="B89" s="185"/>
      <c r="C89" s="186" t="str">
        <f>+'Décompte général'!C32</f>
        <v>Base de répartition auteur</v>
      </c>
      <c r="D89" s="203"/>
      <c r="E89" s="203"/>
      <c r="F89" s="203"/>
      <c r="G89" s="204"/>
      <c r="H89" s="188">
        <f>+'Décompte général'!H32</f>
        <v>0</v>
      </c>
      <c r="I89" s="188">
        <f>I87*G88</f>
        <v>0</v>
      </c>
      <c r="J89" s="188">
        <f t="shared" ref="J89" si="1">+H89+I89</f>
        <v>0</v>
      </c>
    </row>
    <row r="90" spans="2:10" ht="4" customHeight="1">
      <c r="B90" s="5"/>
      <c r="C90" s="15"/>
      <c r="D90" s="15"/>
      <c r="E90" s="15"/>
      <c r="F90" s="15"/>
      <c r="G90" s="15"/>
      <c r="H90" s="46"/>
      <c r="I90" s="46"/>
      <c r="J90" s="46"/>
    </row>
    <row r="91" spans="2:10">
      <c r="B91" s="5"/>
      <c r="C91" s="15"/>
      <c r="D91" s="15"/>
      <c r="E91" s="15"/>
      <c r="F91" s="15"/>
      <c r="G91" s="180" t="str">
        <f>+'Décompte général'!G34</f>
        <v>Nombre vente</v>
      </c>
      <c r="H91" s="46"/>
      <c r="I91" s="164"/>
      <c r="J91" s="46"/>
    </row>
    <row r="92" spans="2:10">
      <c r="B92" s="5"/>
      <c r="C92" s="15" t="str">
        <f>+'Décompte général'!C35</f>
        <v>Chiffre d'affaires net éditeur HT - Vente directe</v>
      </c>
      <c r="D92" s="15"/>
      <c r="E92" s="15"/>
      <c r="F92" s="15"/>
      <c r="G92" s="181">
        <f>+'Décompte général'!G35</f>
        <v>0</v>
      </c>
      <c r="H92" s="46">
        <f>+'Décompte général'!H36</f>
        <v>0</v>
      </c>
      <c r="I92" s="139">
        <f>+'Décompte général'!I36</f>
        <v>0</v>
      </c>
      <c r="J92" s="46">
        <f>+H92+I92</f>
        <v>0</v>
      </c>
    </row>
    <row r="93" spans="2:10">
      <c r="B93" s="5"/>
      <c r="C93" s="15" t="str">
        <f>+'Décompte général'!C36</f>
        <v>Chiffre d'affaires net éditeur HT - Location</v>
      </c>
      <c r="D93" s="15"/>
      <c r="E93" s="15"/>
      <c r="F93" s="15"/>
      <c r="G93" s="181">
        <f>+'Décompte général'!G36</f>
        <v>0</v>
      </c>
      <c r="H93" s="46">
        <f>+'Décompte général'!H37</f>
        <v>0</v>
      </c>
      <c r="I93" s="139">
        <f>+'Décompte général'!I37</f>
        <v>0</v>
      </c>
      <c r="J93" s="46">
        <f t="shared" ref="J93:J99" si="2">+H93+I93</f>
        <v>0</v>
      </c>
    </row>
    <row r="94" spans="2:10">
      <c r="B94" s="5"/>
      <c r="C94" s="166" t="str">
        <f>+'Décompte général'!C37</f>
        <v>Chiffre d'affaires net éditeur HT - Autres circuits</v>
      </c>
      <c r="D94" s="166"/>
      <c r="E94" s="166"/>
      <c r="F94" s="166"/>
      <c r="G94" s="182">
        <f>+'Décompte général'!G37</f>
        <v>0</v>
      </c>
      <c r="H94" s="167">
        <f>+'Décompte général'!H38</f>
        <v>0</v>
      </c>
      <c r="I94" s="168">
        <f>+'Décompte général'!I38</f>
        <v>0</v>
      </c>
      <c r="J94" s="167">
        <f t="shared" si="2"/>
        <v>0</v>
      </c>
    </row>
    <row r="95" spans="2:10">
      <c r="B95" s="5"/>
      <c r="C95" s="40" t="str">
        <f>+'Décompte général'!C38</f>
        <v>Royalties - Vente directe</v>
      </c>
      <c r="D95" s="15"/>
      <c r="E95" s="15"/>
      <c r="F95" s="15"/>
      <c r="G95" s="162">
        <f>+'Décompte général'!G38</f>
        <v>0.3</v>
      </c>
      <c r="H95" s="46">
        <f>+'Décompte général'!H39</f>
        <v>0</v>
      </c>
      <c r="I95" s="46">
        <f>I92*G95</f>
        <v>0</v>
      </c>
      <c r="J95" s="46">
        <f t="shared" si="2"/>
        <v>0</v>
      </c>
    </row>
    <row r="96" spans="2:10">
      <c r="B96" s="5"/>
      <c r="C96" s="40" t="str">
        <f>+'Décompte général'!C39</f>
        <v>Royalties - Location</v>
      </c>
      <c r="D96" s="15"/>
      <c r="E96" s="15"/>
      <c r="F96" s="15"/>
      <c r="G96" s="162">
        <f>+'Décompte général'!G39</f>
        <v>0.3</v>
      </c>
      <c r="H96" s="46">
        <f>+'Décompte général'!H40</f>
        <v>0</v>
      </c>
      <c r="I96" s="164">
        <f>I93*G96</f>
        <v>0</v>
      </c>
      <c r="J96" s="46">
        <f t="shared" si="2"/>
        <v>0</v>
      </c>
    </row>
    <row r="97" spans="2:10">
      <c r="B97" s="5"/>
      <c r="C97" s="169" t="str">
        <f>+'Décompte général'!C40</f>
        <v>Royalties - Autres circuits</v>
      </c>
      <c r="D97" s="166"/>
      <c r="E97" s="166"/>
      <c r="F97" s="166"/>
      <c r="G97" s="190">
        <f>+'Décompte général'!G40</f>
        <v>0.3</v>
      </c>
      <c r="H97" s="167">
        <f>+'Décompte général'!H41</f>
        <v>0</v>
      </c>
      <c r="I97" s="171">
        <f>I94*G97</f>
        <v>0</v>
      </c>
      <c r="J97" s="167">
        <f t="shared" si="2"/>
        <v>0</v>
      </c>
    </row>
    <row r="98" spans="2:10">
      <c r="B98" s="5"/>
      <c r="C98" s="40" t="str">
        <f>+'Décompte général'!C41</f>
        <v>Provision pour retour</v>
      </c>
      <c r="D98" s="15"/>
      <c r="E98" s="15"/>
      <c r="F98" s="15"/>
      <c r="G98" s="15"/>
      <c r="H98" s="46">
        <f>+'Décompte général'!H42</f>
        <v>0</v>
      </c>
      <c r="I98" s="139">
        <f>+'Décompte général'!I42</f>
        <v>0</v>
      </c>
      <c r="J98" s="46">
        <f t="shared" si="2"/>
        <v>0</v>
      </c>
    </row>
    <row r="99" spans="2:10">
      <c r="B99" s="5"/>
      <c r="C99" s="40" t="str">
        <f>+'Décompte général'!C42</f>
        <v>Frais de commercialisation</v>
      </c>
      <c r="D99" s="15"/>
      <c r="E99" s="15"/>
      <c r="F99" s="15"/>
      <c r="G99" s="15"/>
      <c r="H99" s="46">
        <f>+'Décompte général'!H43</f>
        <v>0</v>
      </c>
      <c r="I99" s="139">
        <f>+'Décompte général'!I43</f>
        <v>0</v>
      </c>
      <c r="J99" s="46">
        <f t="shared" si="2"/>
        <v>0</v>
      </c>
    </row>
    <row r="100" spans="2:10">
      <c r="B100" s="5"/>
      <c r="C100" s="40" t="str">
        <f>+'Décompte général'!C43</f>
        <v>Cotisations et taxes</v>
      </c>
      <c r="D100" s="15"/>
      <c r="E100" s="15"/>
      <c r="F100" s="15"/>
      <c r="G100" s="15"/>
      <c r="H100" s="46">
        <f>+'Décompte général'!H41</f>
        <v>0</v>
      </c>
      <c r="I100" s="139">
        <f>+'Décompte général'!I41</f>
        <v>0</v>
      </c>
      <c r="J100" s="46">
        <f t="shared" ref="J100:J101" si="3">+H100+I100</f>
        <v>0</v>
      </c>
    </row>
    <row r="101" spans="2:10">
      <c r="B101" s="5"/>
      <c r="C101" s="60" t="str">
        <f>+'Décompte général'!C44</f>
        <v>Minimum garanti</v>
      </c>
      <c r="D101" s="8"/>
      <c r="E101" s="8"/>
      <c r="F101" s="8"/>
      <c r="G101" s="163">
        <f>+'Décompte général'!G44</f>
        <v>0</v>
      </c>
      <c r="H101" s="61">
        <f>+'Décompte général'!H44</f>
        <v>0</v>
      </c>
      <c r="I101" s="142">
        <f>+MIN(I92+I93+I94-I95-I96-I97-I99-I100-I98,G101)</f>
        <v>0</v>
      </c>
      <c r="J101" s="46">
        <f t="shared" si="3"/>
        <v>0</v>
      </c>
    </row>
    <row r="102" spans="2:10">
      <c r="B102" s="5"/>
      <c r="C102" s="41" t="str">
        <f>+'Décompte général'!C45</f>
        <v>Recette nette part producteur vidéo France</v>
      </c>
      <c r="D102" s="41"/>
      <c r="E102" s="41"/>
      <c r="F102" s="41"/>
      <c r="G102" s="41"/>
      <c r="H102" s="59">
        <f>+'Décompte général'!H45</f>
        <v>0</v>
      </c>
      <c r="I102" s="45">
        <f>I95+I96+I97-I99-I100-I98-I101</f>
        <v>0</v>
      </c>
      <c r="J102" s="62">
        <f>+H102+I102</f>
        <v>0</v>
      </c>
    </row>
    <row r="103" spans="2:10">
      <c r="B103" s="5"/>
      <c r="C103" s="54"/>
      <c r="D103" s="41"/>
      <c r="E103" s="41"/>
      <c r="F103" s="41"/>
      <c r="G103" s="53"/>
      <c r="H103" s="46"/>
      <c r="I103" s="46"/>
      <c r="J103" s="46"/>
    </row>
    <row r="104" spans="2:10">
      <c r="B104" s="127" t="str">
        <f>+'Décompte général'!B47</f>
        <v>3/ EXPLOITATION VOD FRANCE</v>
      </c>
      <c r="C104" s="101"/>
      <c r="D104" s="101"/>
      <c r="E104" s="101"/>
      <c r="F104" s="101"/>
      <c r="G104" s="101"/>
      <c r="H104" s="103"/>
      <c r="I104" s="103"/>
      <c r="J104" s="103"/>
    </row>
    <row r="105" spans="2:10">
      <c r="B105" s="185"/>
      <c r="C105" s="186" t="str">
        <f>+'Décompte général'!C48</f>
        <v>Prix HT payé par le public</v>
      </c>
      <c r="D105" s="204"/>
      <c r="E105" s="204"/>
      <c r="F105" s="204"/>
      <c r="G105" s="204"/>
      <c r="H105" s="188">
        <f>+'Décompte général'!H48</f>
        <v>0</v>
      </c>
      <c r="I105" s="189">
        <f>+'Décompte général'!I48</f>
        <v>0</v>
      </c>
      <c r="J105" s="188">
        <f>+H105+I105</f>
        <v>0</v>
      </c>
    </row>
    <row r="106" spans="2:10" ht="4.5" customHeight="1">
      <c r="B106" s="37"/>
      <c r="C106" s="15"/>
      <c r="D106" s="15"/>
      <c r="E106" s="15"/>
      <c r="F106" s="15"/>
      <c r="G106" s="15"/>
      <c r="H106" s="43"/>
      <c r="I106" s="43"/>
      <c r="J106" s="43"/>
    </row>
    <row r="107" spans="2:10">
      <c r="B107" s="37"/>
      <c r="C107" s="15"/>
      <c r="D107" s="15"/>
      <c r="E107" s="15"/>
      <c r="F107" s="15"/>
      <c r="G107" s="180" t="str">
        <f>+'Décompte général'!G50</f>
        <v>Nombre acte</v>
      </c>
      <c r="H107" s="43"/>
      <c r="I107" s="15"/>
      <c r="J107" s="43"/>
    </row>
    <row r="108" spans="2:10">
      <c r="B108" s="5"/>
      <c r="C108" s="15" t="str">
        <f>+'Décompte général'!C51</f>
        <v>Recette brute - VOD locative</v>
      </c>
      <c r="D108" s="15"/>
      <c r="E108" s="15"/>
      <c r="F108" s="15"/>
      <c r="G108" s="181">
        <f>+'Décompte général'!G51</f>
        <v>0</v>
      </c>
      <c r="H108" s="46">
        <f>+'Décompte général'!H51</f>
        <v>0</v>
      </c>
      <c r="I108" s="139">
        <f>+'Décompte général'!I51</f>
        <v>0</v>
      </c>
      <c r="J108" s="44">
        <f>+H108+I108</f>
        <v>0</v>
      </c>
    </row>
    <row r="109" spans="2:10">
      <c r="B109" s="5"/>
      <c r="C109" s="166" t="str">
        <f>+'Décompte général'!C52</f>
        <v>Recette brute - Téléchargement définitif (EST)</v>
      </c>
      <c r="D109" s="166"/>
      <c r="E109" s="166"/>
      <c r="F109" s="166"/>
      <c r="G109" s="182">
        <f>+'Décompte général'!G52</f>
        <v>0</v>
      </c>
      <c r="H109" s="167">
        <f>+'Décompte général'!H52</f>
        <v>0</v>
      </c>
      <c r="I109" s="168">
        <f>+'Décompte général'!I52</f>
        <v>0</v>
      </c>
      <c r="J109" s="167">
        <f>+H109+I109</f>
        <v>0</v>
      </c>
    </row>
    <row r="110" spans="2:10">
      <c r="B110" s="5"/>
      <c r="C110" s="15" t="str">
        <f>+'Décompte général'!C53</f>
        <v>Comission de distribution - VOD locative</v>
      </c>
      <c r="D110" s="15"/>
      <c r="E110" s="15"/>
      <c r="F110" s="15"/>
      <c r="G110" s="162">
        <f>+'Décompte général'!G53</f>
        <v>0.15</v>
      </c>
      <c r="H110" s="44">
        <f>+'Décompte général'!H53</f>
        <v>0</v>
      </c>
      <c r="I110" s="44">
        <f>+I108*G110</f>
        <v>0</v>
      </c>
      <c r="J110" s="44">
        <f t="shared" ref="J110:J114" si="4">+H110+I110</f>
        <v>0</v>
      </c>
    </row>
    <row r="111" spans="2:10">
      <c r="B111" s="5"/>
      <c r="C111" s="166" t="str">
        <f>+'Décompte général'!C54</f>
        <v>Comission de distribution - EST</v>
      </c>
      <c r="D111" s="166"/>
      <c r="E111" s="166"/>
      <c r="F111" s="166"/>
      <c r="G111" s="190">
        <f>+'Décompte général'!G54</f>
        <v>0.15</v>
      </c>
      <c r="H111" s="167">
        <f>+'Décompte général'!H54</f>
        <v>0</v>
      </c>
      <c r="I111" s="168">
        <f>I109*G111</f>
        <v>0</v>
      </c>
      <c r="J111" s="167">
        <f t="shared" ref="J111" si="5">+H111+I111</f>
        <v>0</v>
      </c>
    </row>
    <row r="112" spans="2:10">
      <c r="B112" s="5"/>
      <c r="C112" s="15" t="str">
        <f>+'Décompte général'!C55</f>
        <v>Frais de commercialisation</v>
      </c>
      <c r="D112" s="15"/>
      <c r="E112" s="15"/>
      <c r="F112" s="15"/>
      <c r="G112" s="40"/>
      <c r="H112" s="44">
        <f>+'Décompte général'!H55</f>
        <v>0</v>
      </c>
      <c r="I112" s="139">
        <f>+'Décompte général'!I55</f>
        <v>0</v>
      </c>
      <c r="J112" s="44">
        <f t="shared" si="4"/>
        <v>0</v>
      </c>
    </row>
    <row r="113" spans="2:10">
      <c r="B113" s="5"/>
      <c r="C113" s="40" t="str">
        <f>+'Décompte général'!C56</f>
        <v>Cotisations et taxes</v>
      </c>
      <c r="D113" s="15"/>
      <c r="E113" s="15"/>
      <c r="F113" s="15"/>
      <c r="G113" s="15"/>
      <c r="H113" s="46">
        <f>+'Décompte général'!H56</f>
        <v>0</v>
      </c>
      <c r="I113" s="139">
        <f>+'Décompte général'!I56</f>
        <v>0</v>
      </c>
      <c r="J113" s="46">
        <f t="shared" si="4"/>
        <v>0</v>
      </c>
    </row>
    <row r="114" spans="2:10">
      <c r="B114" s="5"/>
      <c r="C114" s="60" t="str">
        <f>+'Décompte général'!C57</f>
        <v>Minimum garanti</v>
      </c>
      <c r="D114" s="8"/>
      <c r="E114" s="8"/>
      <c r="F114" s="8"/>
      <c r="G114" s="163">
        <f>+'Décompte général'!G57</f>
        <v>0</v>
      </c>
      <c r="H114" s="61">
        <f>+'Décompte général'!H57</f>
        <v>0</v>
      </c>
      <c r="I114" s="142">
        <f>+MIN(I108+I109-I110-I111-I112-I113,G114)</f>
        <v>0</v>
      </c>
      <c r="J114" s="46">
        <f t="shared" si="4"/>
        <v>0</v>
      </c>
    </row>
    <row r="115" spans="2:10">
      <c r="B115" s="5"/>
      <c r="C115" s="41" t="str">
        <f>+'Décompte général'!C58</f>
        <v>Recette nette part producteur VOD France</v>
      </c>
      <c r="D115" s="41"/>
      <c r="E115" s="41"/>
      <c r="F115" s="41"/>
      <c r="G115" s="41"/>
      <c r="H115" s="59">
        <f>+'Décompte général'!H58</f>
        <v>0</v>
      </c>
      <c r="I115" s="45">
        <f>+'Décompte général'!I58</f>
        <v>0</v>
      </c>
      <c r="J115" s="62">
        <f>+H115+I115</f>
        <v>0</v>
      </c>
    </row>
    <row r="116" spans="2:10">
      <c r="B116" s="5"/>
      <c r="C116" s="54"/>
      <c r="D116" s="41"/>
      <c r="E116" s="41"/>
      <c r="F116" s="41"/>
      <c r="G116" s="53"/>
      <c r="H116" s="46"/>
      <c r="I116" s="46"/>
      <c r="J116" s="46"/>
    </row>
    <row r="117" spans="2:10">
      <c r="B117" s="213" t="str">
        <f>+'Décompte général'!B60</f>
        <v>4/ EXPLOITATION TV FRANCE</v>
      </c>
      <c r="C117" s="214"/>
      <c r="D117" s="214"/>
      <c r="E117" s="214"/>
      <c r="F117" s="214"/>
      <c r="G117" s="214"/>
      <c r="H117" s="215"/>
      <c r="I117" s="215"/>
      <c r="J117" s="215"/>
    </row>
    <row r="118" spans="2:10">
      <c r="B118" s="176"/>
      <c r="C118" s="40" t="str">
        <f>+'Décompte général'!C61</f>
        <v>[Chaîne]</v>
      </c>
      <c r="D118" s="40"/>
      <c r="E118" s="40"/>
      <c r="F118" s="40"/>
      <c r="G118" s="40"/>
      <c r="H118" s="46">
        <f>+'Décompte général'!H61</f>
        <v>0</v>
      </c>
      <c r="I118" s="46">
        <f>+'Décompte général'!I61</f>
        <v>0</v>
      </c>
      <c r="J118" s="46">
        <f>+H118+I118</f>
        <v>0</v>
      </c>
    </row>
    <row r="119" spans="2:10">
      <c r="B119" s="185"/>
      <c r="C119" s="204" t="str">
        <f>+'Décompte général'!C62</f>
        <v>Recette brute prévente(s) TV France</v>
      </c>
      <c r="D119" s="204"/>
      <c r="E119" s="204"/>
      <c r="F119" s="204"/>
      <c r="G119" s="204"/>
      <c r="H119" s="188">
        <f>+'Décompte général'!H62</f>
        <v>0</v>
      </c>
      <c r="I119" s="188">
        <f>+'Décompte général'!I62</f>
        <v>0</v>
      </c>
      <c r="J119" s="188">
        <f>+H119+I119</f>
        <v>0</v>
      </c>
    </row>
    <row r="120" spans="2:10">
      <c r="B120" s="37"/>
      <c r="C120" s="15"/>
      <c r="D120" s="15"/>
      <c r="E120" s="15"/>
      <c r="F120" s="15"/>
      <c r="G120" s="15"/>
      <c r="H120" s="43"/>
      <c r="I120" s="43"/>
      <c r="J120" s="43"/>
    </row>
    <row r="121" spans="2:10">
      <c r="B121" s="37"/>
      <c r="C121" s="40" t="str">
        <f>+'Décompte général'!C64</f>
        <v>[Chaîne]</v>
      </c>
      <c r="D121" s="15"/>
      <c r="E121" s="15"/>
      <c r="F121" s="15"/>
      <c r="G121" s="191">
        <f>+'Décompte général'!G64</f>
        <v>0</v>
      </c>
      <c r="H121" s="46">
        <f>+'Décompte général'!H64</f>
        <v>0</v>
      </c>
      <c r="I121" s="139">
        <f>+'Décompte général'!I64</f>
        <v>0</v>
      </c>
      <c r="J121" s="44">
        <f>+H121+I121</f>
        <v>0</v>
      </c>
    </row>
    <row r="122" spans="2:10">
      <c r="B122" s="5"/>
      <c r="C122" s="15" t="str">
        <f>+'Décompte général'!C65</f>
        <v>Recette brute ventes &gt; 50k€</v>
      </c>
      <c r="D122" s="15"/>
      <c r="E122" s="15"/>
      <c r="F122" s="15"/>
      <c r="G122" s="40"/>
      <c r="H122" s="46">
        <f>+'Décompte général'!H65</f>
        <v>0</v>
      </c>
      <c r="I122" s="44">
        <f>+'Décompte général'!I65</f>
        <v>0</v>
      </c>
      <c r="J122" s="44">
        <f>+H122+I122</f>
        <v>0</v>
      </c>
    </row>
    <row r="123" spans="2:10">
      <c r="B123" s="5"/>
      <c r="C123" s="40" t="str">
        <f>+'Décompte général'!C66</f>
        <v>[Chaîne]</v>
      </c>
      <c r="D123" s="15"/>
      <c r="E123" s="15"/>
      <c r="F123" s="15"/>
      <c r="G123" s="191">
        <f>+'Décompte général'!G66</f>
        <v>0</v>
      </c>
      <c r="H123" s="46">
        <f>+'Décompte général'!H66</f>
        <v>0</v>
      </c>
      <c r="I123" s="139">
        <f>+'Décompte général'!I66</f>
        <v>0</v>
      </c>
      <c r="J123" s="44">
        <f>+H123+I123</f>
        <v>0</v>
      </c>
    </row>
    <row r="124" spans="2:10">
      <c r="B124" s="5"/>
      <c r="C124" s="166" t="str">
        <f>+'Décompte général'!C67</f>
        <v>Recette brute ventes &lt; 50k€</v>
      </c>
      <c r="D124" s="166"/>
      <c r="E124" s="166"/>
      <c r="F124" s="166"/>
      <c r="G124" s="166"/>
      <c r="H124" s="167">
        <f>+'Décompte général'!H67</f>
        <v>0</v>
      </c>
      <c r="I124" s="172">
        <f>+'Décompte général'!I67</f>
        <v>0</v>
      </c>
      <c r="J124" s="172">
        <f>+H124+I124</f>
        <v>0</v>
      </c>
    </row>
    <row r="125" spans="2:10">
      <c r="B125" s="5"/>
      <c r="C125" s="15" t="str">
        <f>+'Décompte général'!C68</f>
        <v>Commission de distribution ventes &gt; 50k€</v>
      </c>
      <c r="D125" s="15"/>
      <c r="E125" s="15"/>
      <c r="F125" s="15"/>
      <c r="G125" s="162">
        <f>+'Décompte général'!G68</f>
        <v>0.1</v>
      </c>
      <c r="H125" s="44">
        <f>+'Décompte général'!H68</f>
        <v>0</v>
      </c>
      <c r="I125" s="46">
        <f>I122*G125</f>
        <v>0</v>
      </c>
      <c r="J125" s="44">
        <f>+H125+I125</f>
        <v>0</v>
      </c>
    </row>
    <row r="126" spans="2:10">
      <c r="B126" s="5"/>
      <c r="C126" s="166" t="str">
        <f>+'Décompte général'!C69</f>
        <v>Commission de distribution ventes &lt; 50k€</v>
      </c>
      <c r="D126" s="166"/>
      <c r="E126" s="166"/>
      <c r="F126" s="166"/>
      <c r="G126" s="190">
        <f>+'Décompte général'!G69</f>
        <v>0.15</v>
      </c>
      <c r="H126" s="172">
        <f>+'Décompte général'!H69</f>
        <v>0</v>
      </c>
      <c r="I126" s="167">
        <f>I124*G126</f>
        <v>0</v>
      </c>
      <c r="J126" s="172">
        <f t="shared" ref="J126:J128" si="6">+H126+I126</f>
        <v>0</v>
      </c>
    </row>
    <row r="127" spans="2:10">
      <c r="B127" s="5"/>
      <c r="C127" s="15" t="str">
        <f>+'Décompte général'!C70</f>
        <v>Frais de commercialisation</v>
      </c>
      <c r="D127" s="15"/>
      <c r="E127" s="15"/>
      <c r="F127" s="15"/>
      <c r="G127" s="40"/>
      <c r="H127" s="44">
        <f>+'Décompte général'!H70</f>
        <v>0</v>
      </c>
      <c r="I127" s="139">
        <f>+'Décompte général'!I70</f>
        <v>0</v>
      </c>
      <c r="J127" s="44">
        <f t="shared" si="6"/>
        <v>0</v>
      </c>
    </row>
    <row r="128" spans="2:10">
      <c r="B128" s="5"/>
      <c r="C128" s="60" t="str">
        <f>+'Décompte général'!C71</f>
        <v>Cotisations et taxes</v>
      </c>
      <c r="D128" s="8"/>
      <c r="E128" s="8"/>
      <c r="F128" s="8"/>
      <c r="G128" s="60"/>
      <c r="H128" s="61">
        <f>+'Décompte général'!H71</f>
        <v>0</v>
      </c>
      <c r="I128" s="142">
        <f>+'Décompte général'!I71</f>
        <v>0</v>
      </c>
      <c r="J128" s="46">
        <f t="shared" si="6"/>
        <v>0</v>
      </c>
    </row>
    <row r="129" spans="2:10">
      <c r="B129" s="5"/>
      <c r="C129" s="41" t="str">
        <f>+'Décompte général'!C72</f>
        <v>Recette nette part producteur TV France</v>
      </c>
      <c r="D129" s="41"/>
      <c r="E129" s="41"/>
      <c r="F129" s="41"/>
      <c r="G129" s="41"/>
      <c r="H129" s="59">
        <f>+'Décompte général'!H72</f>
        <v>0</v>
      </c>
      <c r="I129" s="45">
        <f>I122+I124-SUM(I125:I128)</f>
        <v>0</v>
      </c>
      <c r="J129" s="62">
        <f>+H129+I129</f>
        <v>0</v>
      </c>
    </row>
    <row r="130" spans="2:10">
      <c r="B130" s="7"/>
      <c r="C130" s="8"/>
      <c r="D130" s="8"/>
      <c r="E130" s="8"/>
      <c r="F130" s="8"/>
      <c r="G130" s="8"/>
      <c r="H130" s="67"/>
      <c r="I130" s="67"/>
      <c r="J130" s="67"/>
    </row>
    <row r="131" spans="2:10">
      <c r="B131" s="213" t="str">
        <f>+'Décompte général'!B74</f>
        <v>5/ EXPLOITATION SVOD FRANCE</v>
      </c>
      <c r="C131" s="214"/>
      <c r="D131" s="214"/>
      <c r="E131" s="214"/>
      <c r="F131" s="214"/>
      <c r="G131" s="214"/>
      <c r="H131" s="215"/>
      <c r="I131" s="215"/>
      <c r="J131" s="215"/>
    </row>
    <row r="132" spans="2:10">
      <c r="B132" s="176"/>
      <c r="C132" s="40" t="str">
        <f>+'Décompte général'!C75</f>
        <v>[Chaîne]</v>
      </c>
      <c r="D132" s="40"/>
      <c r="E132" s="40"/>
      <c r="F132" s="40"/>
      <c r="G132" s="40"/>
      <c r="H132" s="46">
        <f>+'Décompte général'!H75</f>
        <v>0</v>
      </c>
      <c r="I132" s="46">
        <f>+'Décompte général'!I75</f>
        <v>0</v>
      </c>
      <c r="J132" s="46">
        <f>+H132+I132</f>
        <v>0</v>
      </c>
    </row>
    <row r="133" spans="2:10">
      <c r="B133" s="185"/>
      <c r="C133" s="204" t="str">
        <f>+'Décompte général'!C76</f>
        <v>Recette brute prévente(s) SVOD France</v>
      </c>
      <c r="D133" s="204"/>
      <c r="E133" s="204"/>
      <c r="F133" s="204"/>
      <c r="G133" s="204"/>
      <c r="H133" s="188">
        <f>+'Décompte général'!H76</f>
        <v>0</v>
      </c>
      <c r="I133" s="188">
        <f>+'Décompte général'!I76</f>
        <v>0</v>
      </c>
      <c r="J133" s="188">
        <f>+H133+I133</f>
        <v>0</v>
      </c>
    </row>
    <row r="134" spans="2:10">
      <c r="B134" s="37"/>
      <c r="C134" s="15"/>
      <c r="D134" s="15"/>
      <c r="E134" s="15"/>
      <c r="F134" s="15"/>
      <c r="G134" s="15"/>
      <c r="H134" s="43"/>
      <c r="I134" s="43"/>
      <c r="J134" s="43"/>
    </row>
    <row r="135" spans="2:10">
      <c r="B135" s="37"/>
      <c r="C135" s="15" t="str">
        <f>+'Décompte général'!C78</f>
        <v>[Plateforme]</v>
      </c>
      <c r="D135" s="15"/>
      <c r="E135" s="15"/>
      <c r="F135" s="15"/>
      <c r="G135" s="15"/>
      <c r="H135" s="46">
        <f>+'Décompte général'!H78</f>
        <v>0</v>
      </c>
      <c r="I135" s="139">
        <f>+'Décompte général'!I78</f>
        <v>0</v>
      </c>
      <c r="J135" s="44">
        <f t="shared" ref="J135:J140" si="7">+H135+I135</f>
        <v>0</v>
      </c>
    </row>
    <row r="136" spans="2:10">
      <c r="B136" s="5"/>
      <c r="C136" s="166" t="str">
        <f>+'Décompte général'!C79</f>
        <v xml:space="preserve">Recette brute </v>
      </c>
      <c r="D136" s="166"/>
      <c r="E136" s="166"/>
      <c r="F136" s="166"/>
      <c r="G136" s="166"/>
      <c r="H136" s="167">
        <f>+'Décompte général'!H79</f>
        <v>0</v>
      </c>
      <c r="I136" s="168">
        <f>+'Décompte général'!I79</f>
        <v>0</v>
      </c>
      <c r="J136" s="172">
        <f t="shared" si="7"/>
        <v>0</v>
      </c>
    </row>
    <row r="137" spans="2:10">
      <c r="B137" s="5"/>
      <c r="C137" s="15" t="str">
        <f>+'Décompte général'!C80</f>
        <v xml:space="preserve">Comission de distribution </v>
      </c>
      <c r="D137" s="15"/>
      <c r="E137" s="15"/>
      <c r="F137" s="15"/>
      <c r="G137" s="162">
        <f>+'Décompte général'!G80</f>
        <v>0.3</v>
      </c>
      <c r="H137" s="44">
        <f>+'Décompte général'!H80</f>
        <v>0</v>
      </c>
      <c r="I137" s="46">
        <f>I136*G137</f>
        <v>0</v>
      </c>
      <c r="J137" s="44">
        <f t="shared" si="7"/>
        <v>0</v>
      </c>
    </row>
    <row r="138" spans="2:10">
      <c r="B138" s="5"/>
      <c r="C138" s="15" t="str">
        <f>+'Décompte général'!C81</f>
        <v>Frais de commercialisation</v>
      </c>
      <c r="D138" s="15"/>
      <c r="E138" s="15"/>
      <c r="F138" s="15"/>
      <c r="G138" s="40"/>
      <c r="H138" s="44">
        <f>+'Décompte général'!H81</f>
        <v>0</v>
      </c>
      <c r="I138" s="139">
        <f>+'Décompte général'!I81</f>
        <v>0</v>
      </c>
      <c r="J138" s="44">
        <f t="shared" si="7"/>
        <v>0</v>
      </c>
    </row>
    <row r="139" spans="2:10">
      <c r="B139" s="5"/>
      <c r="C139" s="60" t="str">
        <f>+'Décompte général'!C82</f>
        <v>Cotisations et taxes</v>
      </c>
      <c r="D139" s="8"/>
      <c r="E139" s="8"/>
      <c r="F139" s="8"/>
      <c r="G139" s="65"/>
      <c r="H139" s="63">
        <f>+'Décompte général'!H82</f>
        <v>0</v>
      </c>
      <c r="I139" s="142">
        <f>+'Décompte général'!I82</f>
        <v>0</v>
      </c>
      <c r="J139" s="46">
        <f t="shared" si="7"/>
        <v>0</v>
      </c>
    </row>
    <row r="140" spans="2:10">
      <c r="B140" s="5"/>
      <c r="C140" s="41" t="str">
        <f>+'Décompte général'!C83</f>
        <v>Recette nette part producteur SVOD France</v>
      </c>
      <c r="D140" s="41"/>
      <c r="E140" s="41"/>
      <c r="F140" s="41"/>
      <c r="G140" s="77"/>
      <c r="H140" s="58">
        <f>+'Décompte général'!H83</f>
        <v>0</v>
      </c>
      <c r="I140" s="45">
        <f>I136-SUM(I137:I139)</f>
        <v>0</v>
      </c>
      <c r="J140" s="62">
        <f t="shared" si="7"/>
        <v>0</v>
      </c>
    </row>
    <row r="141" spans="2:10">
      <c r="B141" s="7"/>
      <c r="C141" s="192"/>
      <c r="D141" s="192"/>
      <c r="E141" s="192"/>
      <c r="F141" s="192"/>
      <c r="G141" s="192"/>
      <c r="H141" s="211"/>
      <c r="I141" s="211"/>
      <c r="J141" s="194"/>
    </row>
    <row r="142" spans="2:10">
      <c r="B142" s="15"/>
      <c r="C142" s="41"/>
      <c r="D142" s="41"/>
      <c r="E142" s="41"/>
      <c r="F142" s="41"/>
      <c r="G142" s="41"/>
      <c r="H142" s="58"/>
      <c r="I142" s="58"/>
      <c r="J142" s="58"/>
    </row>
    <row r="143" spans="2:10">
      <c r="B143" s="15"/>
      <c r="C143" s="41"/>
      <c r="D143" s="41"/>
      <c r="E143" s="41"/>
      <c r="F143" s="41"/>
      <c r="G143" s="41"/>
      <c r="H143" s="58"/>
      <c r="I143" s="58"/>
      <c r="J143" s="58"/>
    </row>
    <row r="144" spans="2:10">
      <c r="B144" s="15"/>
      <c r="C144" s="41"/>
      <c r="D144" s="41"/>
      <c r="E144" s="41"/>
      <c r="F144" s="41"/>
      <c r="G144" s="41"/>
      <c r="H144" s="58"/>
      <c r="I144" s="58"/>
      <c r="J144" s="58"/>
    </row>
    <row r="145" spans="2:10">
      <c r="B145" s="15"/>
      <c r="C145" s="41"/>
      <c r="D145" s="41"/>
      <c r="E145" s="41"/>
      <c r="F145" s="41"/>
      <c r="G145" s="41"/>
      <c r="H145" s="58"/>
      <c r="I145" s="58"/>
      <c r="J145" s="58"/>
    </row>
    <row r="146" spans="2:10">
      <c r="B146" s="207" t="str">
        <f>+'Décompte général'!B85</f>
        <v>6/ EXPLOITATION INTERNATIONALE</v>
      </c>
      <c r="C146" s="209"/>
      <c r="D146" s="209"/>
      <c r="E146" s="209"/>
      <c r="F146" s="209"/>
      <c r="G146" s="209"/>
      <c r="H146" s="212"/>
      <c r="I146" s="212"/>
      <c r="J146" s="212"/>
    </row>
    <row r="147" spans="2:10">
      <c r="B147" s="5"/>
      <c r="C147" s="15" t="str">
        <f>+'Décompte général'!C86</f>
        <v xml:space="preserve">Recette brute </v>
      </c>
      <c r="D147" s="15"/>
      <c r="E147" s="15"/>
      <c r="F147" s="15"/>
      <c r="G147" s="15"/>
      <c r="H147" s="46">
        <f>+'Décompte général'!H86</f>
        <v>0</v>
      </c>
      <c r="I147" s="139">
        <f>+'Décompte général'!I86</f>
        <v>0</v>
      </c>
      <c r="J147" s="44">
        <f t="shared" ref="J147:J152" si="8">+H147+I147</f>
        <v>0</v>
      </c>
    </row>
    <row r="148" spans="2:10">
      <c r="B148" s="5"/>
      <c r="C148" s="15" t="str">
        <f>+'Décompte général'!C87</f>
        <v xml:space="preserve">Comission de distribution </v>
      </c>
      <c r="D148" s="15"/>
      <c r="E148" s="15"/>
      <c r="F148" s="15"/>
      <c r="G148" s="162">
        <f>+'Décompte général'!G87</f>
        <v>0.25</v>
      </c>
      <c r="H148" s="44">
        <f>+'Décompte général'!H87</f>
        <v>0</v>
      </c>
      <c r="I148" s="44">
        <f>I147*G148</f>
        <v>0</v>
      </c>
      <c r="J148" s="44">
        <f t="shared" si="8"/>
        <v>0</v>
      </c>
    </row>
    <row r="149" spans="2:10">
      <c r="B149" s="5"/>
      <c r="C149" s="15" t="str">
        <f>+'Décompte général'!C88</f>
        <v>Frais de commercialisation</v>
      </c>
      <c r="D149" s="15"/>
      <c r="E149" s="15"/>
      <c r="F149" s="15"/>
      <c r="G149" s="40"/>
      <c r="H149" s="44">
        <f>+'Décompte général'!H88</f>
        <v>0</v>
      </c>
      <c r="I149" s="146">
        <f>+'Décompte général'!I88</f>
        <v>0</v>
      </c>
      <c r="J149" s="38">
        <f t="shared" si="8"/>
        <v>0</v>
      </c>
    </row>
    <row r="150" spans="2:10">
      <c r="B150" s="5"/>
      <c r="C150" s="15" t="str">
        <f>+'Décompte général'!C89</f>
        <v>Cotisations et taxes</v>
      </c>
      <c r="D150" s="15"/>
      <c r="E150" s="15"/>
      <c r="F150" s="15"/>
      <c r="G150" s="55"/>
      <c r="H150" s="44">
        <f>+'Décompte général'!H89</f>
        <v>0</v>
      </c>
      <c r="I150" s="146">
        <f>+'Décompte général'!I89</f>
        <v>0</v>
      </c>
      <c r="J150" s="38">
        <f t="shared" si="8"/>
        <v>0</v>
      </c>
    </row>
    <row r="151" spans="2:10">
      <c r="B151" s="5"/>
      <c r="C151" s="60" t="str">
        <f>+'Décompte général'!C90</f>
        <v>Minimum garanti</v>
      </c>
      <c r="D151" s="8"/>
      <c r="E151" s="8"/>
      <c r="F151" s="8"/>
      <c r="G151" s="163">
        <f>+'Décompte général'!G90</f>
        <v>0</v>
      </c>
      <c r="H151" s="63">
        <f>+'Décompte général'!H90</f>
        <v>0</v>
      </c>
      <c r="I151" s="142">
        <f>MIN(I147-SUM(I148:I150),G151)</f>
        <v>0</v>
      </c>
      <c r="J151" s="38">
        <f t="shared" si="8"/>
        <v>0</v>
      </c>
    </row>
    <row r="152" spans="2:10">
      <c r="B152" s="5"/>
      <c r="C152" s="41" t="str">
        <f>+'Décompte général'!C91</f>
        <v>Recette nette part producteur internationale</v>
      </c>
      <c r="D152" s="41"/>
      <c r="E152" s="41"/>
      <c r="F152" s="41"/>
      <c r="G152" s="64"/>
      <c r="H152" s="58">
        <f>+'Décompte général'!H91</f>
        <v>0</v>
      </c>
      <c r="I152" s="45">
        <f>I147-SUM(I148:I151)</f>
        <v>0</v>
      </c>
      <c r="J152" s="62">
        <f t="shared" si="8"/>
        <v>0</v>
      </c>
    </row>
    <row r="153" spans="2:10">
      <c r="B153" s="5"/>
      <c r="C153" s="15"/>
      <c r="D153" s="15"/>
      <c r="E153" s="15"/>
      <c r="F153" s="15"/>
      <c r="G153" s="15"/>
      <c r="H153" s="43"/>
      <c r="I153" s="43"/>
      <c r="J153" s="43"/>
    </row>
    <row r="154" spans="2:10">
      <c r="B154" s="127" t="str">
        <f>+'Décompte général'!B93</f>
        <v>7/ AUTRES EXPLOITATIONS</v>
      </c>
      <c r="C154" s="101"/>
      <c r="D154" s="101"/>
      <c r="E154" s="101"/>
      <c r="F154" s="101"/>
      <c r="G154" s="101"/>
      <c r="H154" s="103"/>
      <c r="I154" s="103"/>
      <c r="J154" s="103"/>
    </row>
    <row r="155" spans="2:10">
      <c r="B155" s="5"/>
      <c r="C155" s="15" t="str">
        <f>+'Décompte général'!C94</f>
        <v xml:space="preserve">Recette brute </v>
      </c>
      <c r="D155" s="15"/>
      <c r="E155" s="15"/>
      <c r="F155" s="15"/>
      <c r="G155" s="15"/>
      <c r="H155" s="46">
        <f>+'Décompte général'!H94</f>
        <v>0</v>
      </c>
      <c r="I155" s="139">
        <f>+'Décompte général'!I94</f>
        <v>0</v>
      </c>
      <c r="J155" s="44">
        <f>+H155+I155</f>
        <v>0</v>
      </c>
    </row>
    <row r="156" spans="2:10">
      <c r="B156" s="5"/>
      <c r="C156" s="15" t="str">
        <f>+'Décompte général'!C95</f>
        <v xml:space="preserve">Comission de distribution </v>
      </c>
      <c r="D156" s="15"/>
      <c r="E156" s="15"/>
      <c r="F156" s="15"/>
      <c r="G156" s="162">
        <f>+'Décompte général'!G95</f>
        <v>0.2</v>
      </c>
      <c r="H156" s="44">
        <f>+'Décompte général'!H95</f>
        <v>0</v>
      </c>
      <c r="I156" s="44">
        <f>I155*G156</f>
        <v>0</v>
      </c>
      <c r="J156" s="44">
        <f>+H156+I156</f>
        <v>0</v>
      </c>
    </row>
    <row r="157" spans="2:10">
      <c r="B157" s="5"/>
      <c r="C157" s="60" t="str">
        <f>+'Décompte général'!C96</f>
        <v>Frais de commercialisation</v>
      </c>
      <c r="D157" s="8"/>
      <c r="E157" s="8"/>
      <c r="F157" s="8"/>
      <c r="G157" s="65"/>
      <c r="H157" s="63">
        <f>+'Décompte général'!H96</f>
        <v>0</v>
      </c>
      <c r="I157" s="142">
        <f>+'Décompte général'!I96</f>
        <v>0</v>
      </c>
      <c r="J157" s="46">
        <f>+H157+I157</f>
        <v>0</v>
      </c>
    </row>
    <row r="158" spans="2:10">
      <c r="B158" s="5"/>
      <c r="C158" s="41" t="str">
        <f>+'Décompte général'!C97</f>
        <v>Recette nette part producteur autres exploitations</v>
      </c>
      <c r="D158" s="41"/>
      <c r="E158" s="41"/>
      <c r="F158" s="41"/>
      <c r="G158" s="64"/>
      <c r="H158" s="62">
        <f>+'Décompte général'!H97</f>
        <v>0</v>
      </c>
      <c r="I158" s="66">
        <f>I155-SUM(I156:I157)</f>
        <v>0</v>
      </c>
      <c r="J158" s="62">
        <f>+H158+I158</f>
        <v>0</v>
      </c>
    </row>
    <row r="159" spans="2:10">
      <c r="B159" s="7"/>
      <c r="C159" s="192"/>
      <c r="D159" s="192"/>
      <c r="E159" s="192"/>
      <c r="F159" s="192"/>
      <c r="G159" s="192"/>
      <c r="H159" s="193"/>
      <c r="I159" s="194"/>
      <c r="J159" s="193"/>
    </row>
    <row r="161" spans="2:7">
      <c r="B161" s="207" t="str">
        <f>+'Décompte général'!B105</f>
        <v>AMORTISSEMENT DU COÛT DU FILM</v>
      </c>
      <c r="C161" s="208"/>
      <c r="D161" s="209"/>
      <c r="E161" s="209"/>
      <c r="F161" s="209"/>
      <c r="G161" s="210"/>
    </row>
    <row r="162" spans="2:7">
      <c r="B162" s="195"/>
      <c r="C162" s="196"/>
      <c r="D162" s="196"/>
      <c r="E162" s="196"/>
      <c r="F162" s="196"/>
      <c r="G162" s="197"/>
    </row>
    <row r="163" spans="2:7">
      <c r="B163" s="184" t="str">
        <f>+'Décompte général'!B107</f>
        <v>Coût du film certifié</v>
      </c>
      <c r="C163" s="40"/>
      <c r="D163" s="40"/>
      <c r="E163" s="40"/>
      <c r="F163" s="40"/>
      <c r="G163" s="147">
        <f>+'Décompte général'!G107</f>
        <v>0</v>
      </c>
    </row>
    <row r="164" spans="2:7">
      <c r="B164" s="184"/>
      <c r="C164" s="40" t="str">
        <f>+'Décompte général'!C108</f>
        <v>Recettes nettes parts producteur (y.c. MG et préventes)</v>
      </c>
      <c r="D164" s="40"/>
      <c r="E164" s="40"/>
      <c r="F164" s="40"/>
      <c r="G164" s="80">
        <f>+'Décompte général'!G108</f>
        <v>21375000</v>
      </c>
    </row>
    <row r="165" spans="2:7">
      <c r="B165" s="184"/>
      <c r="C165" s="40" t="str">
        <f>+'Décompte général'!C109</f>
        <v>Fonds de soutien producteur, (75% après 50.000€)</v>
      </c>
      <c r="D165" s="40"/>
      <c r="E165" s="40"/>
      <c r="F165" s="40"/>
      <c r="G165" s="80">
        <f>+'Décompte général'!G109</f>
        <v>0</v>
      </c>
    </row>
    <row r="166" spans="2:7">
      <c r="B166" s="184"/>
      <c r="C166" s="40" t="str">
        <f>+'Décompte général'!C110</f>
        <v>Crédit d'impôt cinéma</v>
      </c>
      <c r="D166" s="40"/>
      <c r="E166" s="40"/>
      <c r="F166" s="40"/>
      <c r="G166" s="191">
        <f>+'Décompte général'!G110</f>
        <v>0</v>
      </c>
    </row>
    <row r="167" spans="2:7">
      <c r="B167" s="184"/>
      <c r="C167" s="40" t="str">
        <f>+'Décompte général'!C111</f>
        <v>Aides non remboursables</v>
      </c>
      <c r="D167" s="40"/>
      <c r="E167" s="40"/>
      <c r="F167" s="40"/>
      <c r="G167" s="191">
        <f>+'Décompte général'!G111</f>
        <v>0</v>
      </c>
    </row>
    <row r="168" spans="2:7">
      <c r="B168" s="184"/>
      <c r="C168" s="60" t="str">
        <f>+'Décompte général'!C112</f>
        <v>Autres (placement de produits, partenariats…)</v>
      </c>
      <c r="D168" s="60"/>
      <c r="E168" s="60"/>
      <c r="F168" s="60"/>
      <c r="G168" s="147">
        <f>+'Décompte général'!G112</f>
        <v>0</v>
      </c>
    </row>
    <row r="169" spans="2:7">
      <c r="B169" s="198"/>
      <c r="C169" s="199" t="str">
        <f>+'Décompte général'!C113</f>
        <v>Reste à amortir</v>
      </c>
      <c r="D169" s="199"/>
      <c r="E169" s="199"/>
      <c r="F169" s="200" t="str">
        <f>IF(G163-(SUM(G164:G168))&gt;0,"FILM AMORTI","FILM NON AMORTI")</f>
        <v>FILM NON AMORTI</v>
      </c>
      <c r="G169" s="201">
        <f>G163-SUM(G164:G168)</f>
        <v>-21375000</v>
      </c>
    </row>
  </sheetData>
  <mergeCells count="7">
    <mergeCell ref="B12:J12"/>
    <mergeCell ref="B13:J13"/>
    <mergeCell ref="B14:J14"/>
    <mergeCell ref="B2:E2"/>
    <mergeCell ref="B3:E3"/>
    <mergeCell ref="B4:E4"/>
    <mergeCell ref="B5:E5"/>
  </mergeCells>
  <conditionalFormatting sqref="G78">
    <cfRule type="expression" dxfId="13" priority="15">
      <formula>J$9&gt;1</formula>
    </cfRule>
  </conditionalFormatting>
  <conditionalFormatting sqref="I79:I80 I87 I105 I138:I139 I147 I149:I150 I155 I157 G137 G148 G156 G151 G163 G166:G168 I135:I136 I85">
    <cfRule type="expression" dxfId="12" priority="16">
      <formula>$J$9&gt;1</formula>
    </cfRule>
  </conditionalFormatting>
  <conditionalFormatting sqref="G88">
    <cfRule type="expression" dxfId="11" priority="17">
      <formula>J73&gt;1</formula>
    </cfRule>
  </conditionalFormatting>
  <conditionalFormatting sqref="G101 I92:I94 I98:I100 G91:G97">
    <cfRule type="expression" dxfId="10" priority="11">
      <formula>$J$9&gt;1</formula>
    </cfRule>
  </conditionalFormatting>
  <conditionalFormatting sqref="I112:I113 G114 I108 G107:G111">
    <cfRule type="expression" dxfId="9" priority="10">
      <formula>$J$9&gt;1</formula>
    </cfRule>
  </conditionalFormatting>
  <conditionalFormatting sqref="I109">
    <cfRule type="expression" dxfId="8" priority="9">
      <formula>$J$9&gt;1</formula>
    </cfRule>
  </conditionalFormatting>
  <conditionalFormatting sqref="I111">
    <cfRule type="expression" dxfId="7" priority="8">
      <formula>$J$9&gt;1</formula>
    </cfRule>
  </conditionalFormatting>
  <conditionalFormatting sqref="I127:I128 G125:G126 I121 I123">
    <cfRule type="expression" dxfId="6" priority="7">
      <formula>$J$9&gt;1</formula>
    </cfRule>
  </conditionalFormatting>
  <conditionalFormatting sqref="G121">
    <cfRule type="expression" dxfId="5" priority="6">
      <formula>$J$9&gt;1</formula>
    </cfRule>
  </conditionalFormatting>
  <conditionalFormatting sqref="G123">
    <cfRule type="expression" dxfId="4" priority="5">
      <formula>$J$9&gt;1</formula>
    </cfRule>
  </conditionalFormatting>
  <conditionalFormatting sqref="I101">
    <cfRule type="expression" dxfId="3" priority="4">
      <formula>$J$9&gt;1</formula>
    </cfRule>
  </conditionalFormatting>
  <conditionalFormatting sqref="I114">
    <cfRule type="expression" dxfId="2" priority="3">
      <formula>$J$9&gt;1</formula>
    </cfRule>
  </conditionalFormatting>
  <conditionalFormatting sqref="I151">
    <cfRule type="expression" dxfId="1" priority="2">
      <formula>$J$9&gt;1</formula>
    </cfRule>
  </conditionalFormatting>
  <conditionalFormatting sqref="I83 I81 G82">
    <cfRule type="expression" dxfId="0" priority="1">
      <formula>$J$9&gt;1</formula>
    </cfRule>
  </conditionalFormatting>
  <pageMargins left="0.7" right="0.7" top="0.75" bottom="0.75" header="0.3" footer="0.3"/>
  <pageSetup paperSize="9" scale="72" fitToHeight="0" orientation="portrait" r:id="rId1"/>
  <headerFooter>
    <oddFooter>&amp;R&amp;P</oddFooter>
  </headerFooter>
  <ignoredErrors>
    <ignoredError sqref="B12:B14 I20:J28 G28 I42 I30:J39 J29 I40:J41 J19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Tableau de bord</vt:lpstr>
      <vt:lpstr>Décompte général</vt:lpstr>
      <vt:lpstr>&gt;&gt;&gt;</vt:lpstr>
      <vt:lpstr>&gt;&gt;&gt;&gt;</vt:lpstr>
      <vt:lpstr>Informations film</vt:lpstr>
      <vt:lpstr>Base de données ayants-droits</vt:lpstr>
      <vt:lpstr>Matrice décompte auteur</vt:lpstr>
      <vt:lpstr>'Matrice décompte auteur'!ADSP</vt:lpstr>
      <vt:lpstr>'Décompte général'!ANTÉRIEUR</vt:lpstr>
      <vt:lpstr>'Matrice décompte auteur'!ANTÉRIEUR</vt:lpstr>
      <vt:lpstr>'Décompte général'!CUMUL</vt:lpstr>
      <vt:lpstr>'Matrice décompte auteur'!CUMUL</vt:lpstr>
      <vt:lpstr>'Matrice décompte auteur'!TAV</vt:lpstr>
      <vt:lpstr>'Tableau de bord'!Tutoriel</vt:lpstr>
      <vt:lpstr>'Décompte général'!Zone_d_impression</vt:lpstr>
      <vt:lpstr>'Matrice décompte auteur'!Zone_d_impression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Laure</dc:creator>
  <cp:lastModifiedBy>Maxime Laure</cp:lastModifiedBy>
  <cp:lastPrinted>2024-01-08T11:46:35Z</cp:lastPrinted>
  <dcterms:created xsi:type="dcterms:W3CDTF">2023-05-02T16:09:24Z</dcterms:created>
  <dcterms:modified xsi:type="dcterms:W3CDTF">2024-01-09T10:50:11Z</dcterms:modified>
</cp:coreProperties>
</file>