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omments1.xml" ContentType="application/vnd.openxmlformats-officedocument.spreadsheetml.comments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204f74bce5f2fcc/Desktop/"/>
    </mc:Choice>
  </mc:AlternateContent>
  <xr:revisionPtr revIDLastSave="7" documentId="8_{8A5C6CA0-81D2-4A85-83D7-1577330F2E07}" xr6:coauthVersionLast="47" xr6:coauthVersionMax="47" xr10:uidLastSave="{5F96519C-CEBB-474A-9D62-ABDA8312F75D}"/>
  <bookViews>
    <workbookView xWindow="13665" yWindow="16080" windowWidth="29040" windowHeight="15720" firstSheet="3" activeTab="12" xr2:uid="{14151E83-8A7C-4E32-B799-8ACB303FAB10}"/>
  </bookViews>
  <sheets>
    <sheet name="Démarrage de chantier" sheetId="2" r:id="rId1"/>
    <sheet name="Plomberie" sheetId="3" r:id="rId2"/>
    <sheet name="Ventilation" sheetId="11" r:id="rId3"/>
    <sheet name="Réfrigération" sheetId="13" r:id="rId4"/>
    <sheet name="Géothermie" sheetId="12" r:id="rId5"/>
    <sheet name="take Off" sheetId="4" r:id="rId6"/>
    <sheet name="Conditions Générales" sheetId="5" r:id="rId7"/>
    <sheet name="Sous traitance" sheetId="7" r:id="rId8"/>
    <sheet name="Coutant-Profit" sheetId="6" r:id="rId9"/>
    <sheet name="# des plans" sheetId="9" r:id="rId10"/>
    <sheet name="Contact" sheetId="8" r:id="rId11"/>
    <sheet name="Calcul" sheetId="10" r:id="rId12"/>
    <sheet name="Données" sheetId="1" r:id="rId13"/>
  </sheets>
  <functionGroups builtInGroupCount="19"/>
  <definedNames>
    <definedName name="uni_geo" localSheetId="4">unité[Unité]</definedName>
    <definedName name="uni_plom">unité[Unité]</definedName>
    <definedName name="uni_ref" localSheetId="3">unité[Unité]</definedName>
    <definedName name="uni_vent" localSheetId="2">unité[Unité]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6" l="1"/>
  <c r="D17" i="6"/>
  <c r="D16" i="6"/>
  <c r="D19" i="6" s="1"/>
  <c r="Q51" i="13"/>
  <c r="I51" i="13"/>
  <c r="Q50" i="13"/>
  <c r="I50" i="13"/>
  <c r="Q49" i="13"/>
  <c r="I49" i="13"/>
  <c r="Q48" i="13"/>
  <c r="I48" i="13"/>
  <c r="Q47" i="13"/>
  <c r="I47" i="13"/>
  <c r="Q46" i="13"/>
  <c r="I46" i="13"/>
  <c r="Q45" i="13"/>
  <c r="I45" i="13"/>
  <c r="Q44" i="13"/>
  <c r="I44" i="13"/>
  <c r="Q43" i="13"/>
  <c r="I43" i="13"/>
  <c r="Q42" i="13"/>
  <c r="I42" i="13"/>
  <c r="Q41" i="13"/>
  <c r="I41" i="13"/>
  <c r="Q40" i="13"/>
  <c r="I40" i="13"/>
  <c r="Q39" i="13"/>
  <c r="I39" i="13"/>
  <c r="Q38" i="13"/>
  <c r="I38" i="13"/>
  <c r="Q37" i="13"/>
  <c r="I37" i="13"/>
  <c r="Q36" i="13"/>
  <c r="I36" i="13"/>
  <c r="Q35" i="13"/>
  <c r="I35" i="13"/>
  <c r="Q34" i="13"/>
  <c r="I34" i="13"/>
  <c r="Q33" i="13"/>
  <c r="I33" i="13"/>
  <c r="Q32" i="13"/>
  <c r="I32" i="13"/>
  <c r="Q31" i="13"/>
  <c r="I31" i="13"/>
  <c r="Q30" i="13"/>
  <c r="I30" i="13"/>
  <c r="Q29" i="13"/>
  <c r="I29" i="13"/>
  <c r="Q28" i="13"/>
  <c r="I28" i="13"/>
  <c r="Q27" i="13"/>
  <c r="I27" i="13"/>
  <c r="Q26" i="13"/>
  <c r="I26" i="13"/>
  <c r="Q25" i="13"/>
  <c r="I25" i="13"/>
  <c r="Q24" i="13"/>
  <c r="I24" i="13"/>
  <c r="Q23" i="13"/>
  <c r="I23" i="13"/>
  <c r="Q22" i="13"/>
  <c r="I22" i="13"/>
  <c r="Q21" i="13"/>
  <c r="I21" i="13"/>
  <c r="Q20" i="13"/>
  <c r="I20" i="13"/>
  <c r="Q19" i="13"/>
  <c r="I19" i="13"/>
  <c r="Q18" i="13"/>
  <c r="I18" i="13"/>
  <c r="Q17" i="13"/>
  <c r="I17" i="13"/>
  <c r="W16" i="13"/>
  <c r="V16" i="13" a="1"/>
  <c r="V16" i="13" s="1"/>
  <c r="Q16" i="13"/>
  <c r="I16" i="13"/>
  <c r="W15" i="13"/>
  <c r="V15" i="13" a="1"/>
  <c r="V15" i="13" s="1"/>
  <c r="Q15" i="13"/>
  <c r="I15" i="13"/>
  <c r="W14" i="13"/>
  <c r="V14" i="13" a="1"/>
  <c r="V14" i="13" s="1"/>
  <c r="Q14" i="13"/>
  <c r="I14" i="13"/>
  <c r="W13" i="13"/>
  <c r="V13" i="13" a="1"/>
  <c r="V13" i="13" s="1"/>
  <c r="Q13" i="13"/>
  <c r="I13" i="13"/>
  <c r="W12" i="13"/>
  <c r="V12" i="13" a="1"/>
  <c r="V12" i="13" s="1"/>
  <c r="Q12" i="13"/>
  <c r="I12" i="13"/>
  <c r="W11" i="13"/>
  <c r="V11" i="13" a="1"/>
  <c r="V11" i="13" s="1"/>
  <c r="Q11" i="13"/>
  <c r="I11" i="13"/>
  <c r="W10" i="13"/>
  <c r="V10" i="13" a="1"/>
  <c r="V10" i="13" s="1"/>
  <c r="Q10" i="13"/>
  <c r="I10" i="13"/>
  <c r="W9" i="13"/>
  <c r="V9" i="13" a="1"/>
  <c r="V9" i="13" s="1"/>
  <c r="Q9" i="13"/>
  <c r="I9" i="13"/>
  <c r="W8" i="13"/>
  <c r="V8" i="13" a="1"/>
  <c r="V8" i="13" s="1"/>
  <c r="Q8" i="13"/>
  <c r="I8" i="13"/>
  <c r="W7" i="13"/>
  <c r="V7" i="13" a="1"/>
  <c r="V7" i="13" s="1"/>
  <c r="Q7" i="13"/>
  <c r="I7" i="13"/>
  <c r="W6" i="13"/>
  <c r="V6" i="13" a="1"/>
  <c r="V6" i="13" s="1"/>
  <c r="Q6" i="13"/>
  <c r="I6" i="13"/>
  <c r="W5" i="13"/>
  <c r="W17" i="13" s="1"/>
  <c r="V5" i="13" a="1"/>
  <c r="V5" i="13" s="1"/>
  <c r="Q5" i="13"/>
  <c r="Q52" i="13" s="1"/>
  <c r="I5" i="13"/>
  <c r="I52" i="13" s="1"/>
  <c r="D1" i="13"/>
  <c r="D23" i="6" l="1"/>
  <c r="D22" i="6"/>
  <c r="D21" i="6"/>
  <c r="D13" i="6"/>
  <c r="D12" i="6"/>
  <c r="D11" i="6"/>
  <c r="Q51" i="12"/>
  <c r="I51" i="12"/>
  <c r="Q50" i="12"/>
  <c r="I50" i="12"/>
  <c r="Q49" i="12"/>
  <c r="I49" i="12"/>
  <c r="Q48" i="12"/>
  <c r="I48" i="12"/>
  <c r="Q47" i="12"/>
  <c r="I47" i="12"/>
  <c r="Q46" i="12"/>
  <c r="I46" i="12"/>
  <c r="Q45" i="12"/>
  <c r="I45" i="12"/>
  <c r="Q44" i="12"/>
  <c r="I44" i="12"/>
  <c r="Q43" i="12"/>
  <c r="I43" i="12"/>
  <c r="Q42" i="12"/>
  <c r="I42" i="12"/>
  <c r="Q41" i="12"/>
  <c r="I41" i="12"/>
  <c r="Q40" i="12"/>
  <c r="I40" i="12"/>
  <c r="Q39" i="12"/>
  <c r="I39" i="12"/>
  <c r="Q38" i="12"/>
  <c r="I38" i="12"/>
  <c r="Q37" i="12"/>
  <c r="I37" i="12"/>
  <c r="Q36" i="12"/>
  <c r="I36" i="12"/>
  <c r="Q35" i="12"/>
  <c r="I35" i="12"/>
  <c r="Q34" i="12"/>
  <c r="I34" i="12"/>
  <c r="Q33" i="12"/>
  <c r="I33" i="12"/>
  <c r="Q32" i="12"/>
  <c r="I32" i="12"/>
  <c r="Q31" i="12"/>
  <c r="I31" i="12"/>
  <c r="Q30" i="12"/>
  <c r="I30" i="12"/>
  <c r="Q29" i="12"/>
  <c r="I29" i="12"/>
  <c r="Q28" i="12"/>
  <c r="I28" i="12"/>
  <c r="Q27" i="12"/>
  <c r="I27" i="12"/>
  <c r="Q26" i="12"/>
  <c r="I26" i="12"/>
  <c r="Q25" i="12"/>
  <c r="I25" i="12"/>
  <c r="Q24" i="12"/>
  <c r="I24" i="12"/>
  <c r="Q23" i="12"/>
  <c r="I23" i="12"/>
  <c r="Q22" i="12"/>
  <c r="I22" i="12"/>
  <c r="Q21" i="12"/>
  <c r="I21" i="12"/>
  <c r="Q20" i="12"/>
  <c r="I20" i="12"/>
  <c r="Q19" i="12"/>
  <c r="I19" i="12"/>
  <c r="Q18" i="12"/>
  <c r="I18" i="12"/>
  <c r="Q17" i="12"/>
  <c r="I17" i="12"/>
  <c r="W16" i="12"/>
  <c r="V16" i="12" a="1"/>
  <c r="V16" i="12" s="1"/>
  <c r="Q16" i="12"/>
  <c r="I16" i="12"/>
  <c r="W15" i="12"/>
  <c r="V15" i="12" a="1"/>
  <c r="V15" i="12" s="1"/>
  <c r="Q15" i="12"/>
  <c r="I15" i="12"/>
  <c r="W14" i="12"/>
  <c r="V14" i="12" a="1"/>
  <c r="V14" i="12" s="1"/>
  <c r="Q14" i="12"/>
  <c r="I14" i="12"/>
  <c r="W13" i="12"/>
  <c r="V13" i="12" a="1"/>
  <c r="V13" i="12" s="1"/>
  <c r="Q13" i="12"/>
  <c r="I13" i="12"/>
  <c r="W12" i="12"/>
  <c r="V12" i="12" a="1"/>
  <c r="V12" i="12" s="1"/>
  <c r="Q12" i="12"/>
  <c r="I12" i="12"/>
  <c r="W11" i="12"/>
  <c r="W17" i="12" s="1"/>
  <c r="V11" i="12" a="1"/>
  <c r="V11" i="12" s="1"/>
  <c r="Q11" i="12"/>
  <c r="I11" i="12"/>
  <c r="W10" i="12"/>
  <c r="V10" i="12" a="1"/>
  <c r="V10" i="12" s="1"/>
  <c r="Q10" i="12"/>
  <c r="I10" i="12"/>
  <c r="W9" i="12"/>
  <c r="V9" i="12" a="1"/>
  <c r="V9" i="12" s="1"/>
  <c r="Q9" i="12"/>
  <c r="I9" i="12"/>
  <c r="W8" i="12"/>
  <c r="V8" i="12" a="1"/>
  <c r="V8" i="12" s="1"/>
  <c r="Q8" i="12"/>
  <c r="I8" i="12"/>
  <c r="W7" i="12"/>
  <c r="V7" i="12" a="1"/>
  <c r="V7" i="12" s="1"/>
  <c r="Q7" i="12"/>
  <c r="Q52" i="12" s="1"/>
  <c r="I7" i="12"/>
  <c r="I52" i="12" s="1"/>
  <c r="W6" i="12"/>
  <c r="V6" i="12" a="1"/>
  <c r="V6" i="12" s="1"/>
  <c r="Q6" i="12"/>
  <c r="I6" i="12"/>
  <c r="W5" i="12"/>
  <c r="V5" i="12" a="1"/>
  <c r="V5" i="12" s="1"/>
  <c r="Q5" i="12"/>
  <c r="I5" i="12"/>
  <c r="D1" i="12"/>
  <c r="V16" i="11" a="1"/>
  <c r="V16" i="11" s="1"/>
  <c r="V15" i="11" a="1"/>
  <c r="V15" i="11" s="1"/>
  <c r="V14" i="11" a="1"/>
  <c r="V14" i="11" s="1"/>
  <c r="V13" i="11" a="1"/>
  <c r="V13" i="11" s="1"/>
  <c r="V12" i="11" a="1"/>
  <c r="V12" i="11" s="1"/>
  <c r="V11" i="11" a="1"/>
  <c r="V11" i="11" s="1"/>
  <c r="V10" i="11" a="1"/>
  <c r="V10" i="11" s="1"/>
  <c r="V9" i="11" a="1"/>
  <c r="V9" i="11" s="1"/>
  <c r="V8" i="11" a="1"/>
  <c r="V8" i="11" s="1"/>
  <c r="V7" i="11" a="1"/>
  <c r="V7" i="11" s="1"/>
  <c r="V6" i="11" a="1"/>
  <c r="V6" i="11" s="1"/>
  <c r="V5" i="11" a="1"/>
  <c r="V5" i="11" s="1"/>
  <c r="I5" i="11"/>
  <c r="Q5" i="11"/>
  <c r="W5" i="11"/>
  <c r="I6" i="11"/>
  <c r="Q6" i="11"/>
  <c r="W6" i="11"/>
  <c r="I7" i="11"/>
  <c r="Q7" i="11"/>
  <c r="Q52" i="11" s="1"/>
  <c r="W7" i="11"/>
  <c r="I8" i="11"/>
  <c r="Q8" i="11"/>
  <c r="W8" i="11"/>
  <c r="W17" i="11" s="1"/>
  <c r="I9" i="11"/>
  <c r="Q9" i="11"/>
  <c r="W9" i="11"/>
  <c r="I10" i="11"/>
  <c r="Q10" i="11"/>
  <c r="W10" i="11"/>
  <c r="I11" i="11"/>
  <c r="Q11" i="11"/>
  <c r="W11" i="11"/>
  <c r="I12" i="11"/>
  <c r="Q12" i="11"/>
  <c r="W12" i="11"/>
  <c r="I13" i="11"/>
  <c r="Q13" i="11"/>
  <c r="W13" i="11"/>
  <c r="I14" i="11"/>
  <c r="Q14" i="11"/>
  <c r="W14" i="11"/>
  <c r="I15" i="11"/>
  <c r="Q15" i="11"/>
  <c r="W15" i="11"/>
  <c r="I16" i="11"/>
  <c r="Q16" i="11"/>
  <c r="W16" i="11"/>
  <c r="I17" i="11"/>
  <c r="Q17" i="11"/>
  <c r="I18" i="11"/>
  <c r="Q18" i="11"/>
  <c r="I19" i="11"/>
  <c r="Q19" i="11"/>
  <c r="I20" i="11"/>
  <c r="Q20" i="11"/>
  <c r="I21" i="11"/>
  <c r="Q21" i="11"/>
  <c r="I22" i="11"/>
  <c r="Q22" i="11"/>
  <c r="I23" i="11"/>
  <c r="Q23" i="11"/>
  <c r="I24" i="11"/>
  <c r="Q24" i="11"/>
  <c r="I25" i="11"/>
  <c r="Q25" i="11"/>
  <c r="I26" i="11"/>
  <c r="Q26" i="11"/>
  <c r="I27" i="11"/>
  <c r="Q27" i="11"/>
  <c r="I28" i="11"/>
  <c r="Q28" i="11"/>
  <c r="I29" i="11"/>
  <c r="Q29" i="11"/>
  <c r="I30" i="11"/>
  <c r="Q30" i="11"/>
  <c r="I31" i="11"/>
  <c r="Q31" i="11"/>
  <c r="I32" i="11"/>
  <c r="Q32" i="11"/>
  <c r="I33" i="11"/>
  <c r="Q33" i="11"/>
  <c r="I34" i="11"/>
  <c r="Q34" i="11"/>
  <c r="I35" i="11"/>
  <c r="Q35" i="11"/>
  <c r="I36" i="11"/>
  <c r="Q36" i="11"/>
  <c r="I37" i="11"/>
  <c r="Q37" i="11"/>
  <c r="I38" i="11"/>
  <c r="Q38" i="11"/>
  <c r="I39" i="11"/>
  <c r="Q39" i="11"/>
  <c r="I40" i="11"/>
  <c r="Q40" i="11"/>
  <c r="I41" i="11"/>
  <c r="Q41" i="11"/>
  <c r="I42" i="11"/>
  <c r="Q42" i="11"/>
  <c r="I43" i="11"/>
  <c r="Q43" i="11"/>
  <c r="I44" i="11"/>
  <c r="Q44" i="11"/>
  <c r="I45" i="11"/>
  <c r="Q45" i="11"/>
  <c r="I46" i="11"/>
  <c r="Q46" i="11"/>
  <c r="I47" i="11"/>
  <c r="Q47" i="11"/>
  <c r="I48" i="11"/>
  <c r="Q48" i="11"/>
  <c r="I49" i="11"/>
  <c r="Q49" i="11"/>
  <c r="I50" i="11"/>
  <c r="Q50" i="11"/>
  <c r="I51" i="11"/>
  <c r="Q51" i="11"/>
  <c r="D1" i="11"/>
  <c r="I52" i="11"/>
  <c r="C20" i="5" a="1"/>
  <c r="C20" i="5" s="1"/>
  <c r="F20" i="5" s="1"/>
  <c r="C21" i="5" a="1"/>
  <c r="C21" i="5" s="1"/>
  <c r="F21" i="5" s="1"/>
  <c r="F5" i="5"/>
  <c r="F6" i="5"/>
  <c r="F7" i="5"/>
  <c r="F8" i="5"/>
  <c r="F9" i="5"/>
  <c r="F10" i="5"/>
  <c r="F11" i="5"/>
  <c r="F12" i="5"/>
  <c r="F13" i="5"/>
  <c r="F14" i="5"/>
  <c r="S9" i="5"/>
  <c r="S10" i="5"/>
  <c r="S11" i="5"/>
  <c r="S12" i="5"/>
  <c r="S13" i="5"/>
  <c r="S36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L30" i="5"/>
  <c r="L31" i="5"/>
  <c r="L32" i="5"/>
  <c r="L33" i="5"/>
  <c r="L34" i="5"/>
  <c r="L35" i="5"/>
  <c r="L36" i="5"/>
  <c r="F30" i="5"/>
  <c r="F31" i="5"/>
  <c r="F32" i="5"/>
  <c r="F33" i="5"/>
  <c r="F34" i="5"/>
  <c r="F35" i="5"/>
  <c r="F36" i="5"/>
  <c r="S16" i="5"/>
  <c r="S17" i="5"/>
  <c r="S18" i="5"/>
  <c r="S19" i="5"/>
  <c r="L12" i="5"/>
  <c r="L13" i="5"/>
  <c r="L14" i="5"/>
  <c r="L24" i="5"/>
  <c r="L25" i="5"/>
  <c r="L26" i="5"/>
  <c r="S5" i="5"/>
  <c r="S6" i="5"/>
  <c r="S7" i="5"/>
  <c r="S8" i="5"/>
  <c r="S14" i="5"/>
  <c r="S15" i="5"/>
  <c r="L18" i="5"/>
  <c r="L19" i="5"/>
  <c r="L20" i="5"/>
  <c r="L21" i="5"/>
  <c r="L22" i="5"/>
  <c r="L23" i="5"/>
  <c r="L5" i="5"/>
  <c r="L6" i="5"/>
  <c r="L7" i="5"/>
  <c r="L8" i="5"/>
  <c r="L9" i="5"/>
  <c r="L10" i="5"/>
  <c r="L11" i="5"/>
  <c r="F18" i="5"/>
  <c r="F19" i="5"/>
  <c r="F22" i="5"/>
  <c r="F23" i="5"/>
  <c r="F24" i="5"/>
  <c r="F25" i="5"/>
  <c r="F26" i="5"/>
  <c r="C2" i="6"/>
  <c r="D1" i="7"/>
  <c r="C1" i="5"/>
  <c r="D14" i="6" l="1"/>
  <c r="D24" i="6"/>
  <c r="L37" i="5"/>
  <c r="F37" i="5"/>
  <c r="S37" i="5"/>
  <c r="F27" i="5"/>
  <c r="L27" i="5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" i="3"/>
  <c r="I23" i="3"/>
  <c r="I24" i="3"/>
  <c r="I25" i="3"/>
  <c r="I26" i="3"/>
  <c r="I27" i="3"/>
  <c r="I28" i="3"/>
  <c r="I29" i="3"/>
  <c r="I30" i="3"/>
  <c r="I31" i="3"/>
  <c r="I6" i="3"/>
  <c r="I5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L15" i="5"/>
  <c r="H29" i="7" l="1"/>
  <c r="D31" i="6" s="1"/>
  <c r="V5" i="3" a="1"/>
  <c r="V5" i="3" s="1"/>
  <c r="V6" i="3" a="1"/>
  <c r="V6" i="3" s="1"/>
  <c r="V7" i="3" a="1"/>
  <c r="V7" i="3" s="1"/>
  <c r="V8" i="3" a="1"/>
  <c r="V8" i="3" s="1"/>
  <c r="V9" i="3" a="1"/>
  <c r="V9" i="3" s="1"/>
  <c r="V10" i="3" a="1"/>
  <c r="V10" i="3" s="1"/>
  <c r="V11" i="3" a="1"/>
  <c r="V11" i="3" s="1"/>
  <c r="V12" i="3" a="1"/>
  <c r="V12" i="3" s="1"/>
  <c r="V13" i="3" a="1"/>
  <c r="V13" i="3" s="1"/>
  <c r="V14" i="3" a="1"/>
  <c r="V14" i="3" s="1"/>
  <c r="V15" i="3" a="1"/>
  <c r="V15" i="3" s="1"/>
  <c r="V16" i="3" a="1"/>
  <c r="V16" i="3" s="1"/>
  <c r="W5" i="3"/>
  <c r="W6" i="3"/>
  <c r="W7" i="3"/>
  <c r="W8" i="3"/>
  <c r="W9" i="3"/>
  <c r="W10" i="3"/>
  <c r="W11" i="3"/>
  <c r="W12" i="3"/>
  <c r="W13" i="3"/>
  <c r="W14" i="3"/>
  <c r="W15" i="3"/>
  <c r="W16" i="3"/>
  <c r="F15" i="5"/>
  <c r="D30" i="6" s="1"/>
  <c r="D1" i="3"/>
  <c r="D32" i="6" l="1"/>
  <c r="D33" i="6" s="1"/>
  <c r="W17" i="3"/>
  <c r="D8" i="6" s="1"/>
  <c r="I52" i="3"/>
  <c r="D6" i="6" s="1"/>
  <c r="Q52" i="3"/>
  <c r="D7" i="6" s="1"/>
  <c r="D9" i="6" l="1"/>
  <c r="D26" i="6" s="1"/>
  <c r="D28" i="6" l="1"/>
  <c r="D29" i="6" s="1"/>
  <c r="D35" i="6" s="1"/>
  <c r="D38" i="6" s="1"/>
  <c r="F38" i="6" a="1"/>
  <c r="F38" i="6" l="1"/>
  <c r="D40" i="6"/>
  <c r="D39" i="6"/>
  <c r="D41" i="6" l="1"/>
  <c r="F41" i="6" a="1"/>
  <c r="F41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Const. Olivier &amp; Lyonnais Inc</author>
    <author>Pascale Bouchard</author>
  </authors>
  <commentList>
    <comment ref="N10" authorId="0" shapeId="0" xr:uid="{59F68988-72F4-4BE2-8B8A-2B4284175233}">
      <text>
        <r>
          <rPr>
            <b/>
            <sz val="8"/>
            <color indexed="81"/>
            <rFont val="Tahoma"/>
            <family val="2"/>
          </rPr>
          <t>prévoir 80.00$ par mois pour le propane</t>
        </r>
      </text>
    </comment>
    <comment ref="C31" authorId="1" shapeId="0" xr:uid="{E084572A-FFB6-4988-A0E0-4B3C1485BFCF}">
      <text>
        <r>
          <rPr>
            <b/>
            <sz val="8"/>
            <color indexed="81"/>
            <rFont val="Tahoma"/>
            <family val="2"/>
          </rPr>
          <t>Dubreuil, augmentation à partir du 7 avril 2003</t>
        </r>
      </text>
    </comment>
    <comment ref="B35" authorId="1" shapeId="0" xr:uid="{B8E96DC3-CB76-431D-B8D7-EA690DDBFCF0}">
      <text>
        <r>
          <rPr>
            <b/>
            <sz val="8"/>
            <color indexed="81"/>
            <rFont val="Tahoma"/>
            <family val="2"/>
          </rPr>
          <t>Prévoir 0,03$ du P²
4,00$ nettoyage fenêtre standard
Analyser le prix finaln à l'heure ( +ou- 22,00$ de l'heure 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<sst xmlns="http://schemas.openxmlformats.org/spreadsheetml/2006/main" count="901" uniqueCount="269">
  <si>
    <t>Nom du projet :</t>
  </si>
  <si>
    <t>Pav. D2, Scientifique</t>
  </si>
  <si>
    <t xml:space="preserve">Adresse du projet : </t>
  </si>
  <si>
    <t>U de S, 2500 Boul. de l'université, Sherbrooke</t>
  </si>
  <si>
    <t>Numéro au BSDQ :</t>
  </si>
  <si>
    <t>S-0109-25</t>
  </si>
  <si>
    <t>Date de dépôt :</t>
  </si>
  <si>
    <t>22 Septembre 2025, 11h00</t>
  </si>
  <si>
    <t>Date des travaux :</t>
  </si>
  <si>
    <t>Entre le 20 Octobre et le 19 décembre 2025</t>
  </si>
  <si>
    <t>Horaire des travaux</t>
  </si>
  <si>
    <t>De 7h30 à 18h30</t>
  </si>
  <si>
    <t>En bas de 25 000,00$ :</t>
  </si>
  <si>
    <t>Oui</t>
  </si>
  <si>
    <t>En haut de 25 000,00$ :</t>
  </si>
  <si>
    <t>Non</t>
  </si>
  <si>
    <t>Ventilation :</t>
  </si>
  <si>
    <t>Plomberie :</t>
  </si>
  <si>
    <t>Réfrigération :</t>
  </si>
  <si>
    <t>Est-ce que l'on fait la soumission :</t>
  </si>
  <si>
    <t xml:space="preserve">Numéro de projet : </t>
  </si>
  <si>
    <t>25,003,048</t>
  </si>
  <si>
    <t>Quart de métier</t>
  </si>
  <si>
    <t>Sous de responsabilité de :</t>
  </si>
  <si>
    <t>Parasismique</t>
  </si>
  <si>
    <t>Groupe CG</t>
  </si>
  <si>
    <t>Calorifugeur / Isolation</t>
  </si>
  <si>
    <t>Entrepreneur général</t>
  </si>
  <si>
    <t>Contrôle</t>
  </si>
  <si>
    <t>Chantier</t>
  </si>
  <si>
    <t>Materiels</t>
  </si>
  <si>
    <t>Main d'œuvre</t>
  </si>
  <si>
    <t>Mobilisation</t>
  </si>
  <si>
    <t>ref</t>
  </si>
  <si>
    <t>materiels # de soumission</t>
  </si>
  <si>
    <t>QTE</t>
  </si>
  <si>
    <t>% de perte</t>
  </si>
  <si>
    <t>.</t>
  </si>
  <si>
    <t xml:space="preserve">Prix </t>
  </si>
  <si>
    <t>Total</t>
  </si>
  <si>
    <t>Description travaux</t>
  </si>
  <si>
    <t>QTE Hrs</t>
  </si>
  <si>
    <t>Qte Ouvriers</t>
  </si>
  <si>
    <t>Type Ouvrier</t>
  </si>
  <si>
    <t>Salaire</t>
  </si>
  <si>
    <t>Transport</t>
  </si>
  <si>
    <t>Distance(Km)</t>
  </si>
  <si>
    <t>$/Km</t>
  </si>
  <si>
    <t>PM-2</t>
  </si>
  <si>
    <t>A</t>
  </si>
  <si>
    <t>001             COPL2X12 - 2  X  12  L  TUYAU  CUIVRE  DUR</t>
  </si>
  <si>
    <t>Démetèlement  et pose de support</t>
  </si>
  <si>
    <t>Plombier</t>
  </si>
  <si>
    <t>002             VPP77042 - 77042  2"X90D  P  CUI  COUDE</t>
  </si>
  <si>
    <t>instalation tuyauterie</t>
  </si>
  <si>
    <t>003             VPP78072 - 78072  2"  P  CUI  RACCORD  A/BUTEE</t>
  </si>
  <si>
    <t>instalation valve et quincaillerie</t>
  </si>
  <si>
    <t>004             FNW7015EC0200 - 2  EPOX  CUI  SUPPORT  ANN  PIV  AJUST</t>
  </si>
  <si>
    <t>B</t>
  </si>
  <si>
    <t>instalation</t>
  </si>
  <si>
    <t>005             COPLKX12 - 1/2  X  12  L  TUYAU  CUIVRE  DUR</t>
  </si>
  <si>
    <t>instalation sescheur d'air micropore</t>
  </si>
  <si>
    <t>006             VPP77317 - 77317  1/2"X90D  P  CUI  COUDE</t>
  </si>
  <si>
    <t>C</t>
  </si>
  <si>
    <t>MD instalation</t>
  </si>
  <si>
    <t>007             VPP78047 - 78047  1/2"  P  CUI  RACCORD  A/BUTEE</t>
  </si>
  <si>
    <t>Filtre 1 micron instalation</t>
  </si>
  <si>
    <t>008             COPLHX12 - 3/8  X  12  L  TUYAU  CUIVRE  DUR</t>
  </si>
  <si>
    <t>Filtre 5 micron instalation</t>
  </si>
  <si>
    <t>009             COF90H - 3/8"  C-C  WROT  90  COUDE  PRESSION</t>
  </si>
  <si>
    <t>Filtre  0.01 micron instalation</t>
  </si>
  <si>
    <t>010            3/8 c-c wrot RACCORD POINCON PRESSION</t>
  </si>
  <si>
    <t>011            NLOMEENMF    - OMG  FL-505  IN-LINE  FLOWMETER</t>
  </si>
  <si>
    <t>012           ARM571110LF342 - CBV100VTCR  CFP  1"  FIL  ROB  EQUIL  CIR</t>
  </si>
  <si>
    <t>013           FNWX410CC - CFP  3/8  LAIT  600#  WOG  FIL  2MX  ROBBIL  PO</t>
  </si>
  <si>
    <t>014          COFADMH - 3/8"  C-MIP  WROT  ADAPT  PRESSION</t>
  </si>
  <si>
    <t>015          FNWX432D - CFP  1/2  LAIT  PRES  ROB  BIL  EAU  PLEINE  OUV</t>
  </si>
  <si>
    <t>016          MASG2E1 - G-2-E  1"  2MX  FIL  SS  #1000  ROB  BILLE</t>
  </si>
  <si>
    <t>017           TRESX9140305 - SX914  0-305  THERM.  INDUS.  -40/300  FC</t>
  </si>
  <si>
    <t>018          TRE34F2 - 3-4F2  DOUILLE/LAITON  P/THERM.TRERICE</t>
  </si>
  <si>
    <t>019           VPP77712 - 77712  1/2"  P  CUI  CAPUCHON</t>
  </si>
  <si>
    <t>021           FNW410ALHKBD - 1/4  -  1/2  410/411A  ENS  POIGNEE  VER</t>
  </si>
  <si>
    <t>022           FNW410ALHKFG - 3/4  -1  410/411A  ENS  POIGNEE  VER</t>
  </si>
  <si>
    <t>023          VPP79330 - 79330  CFP  1"  P  X  FPT  BZ  ADAPTEUR</t>
  </si>
  <si>
    <t>Prix UN</t>
  </si>
  <si>
    <t>FRAIS PROFESSIONNELS</t>
  </si>
  <si>
    <t>ARCHITECTE</t>
  </si>
  <si>
    <t>INGENIEUR STRUCTURE</t>
  </si>
  <si>
    <t>INGENIEUR MÉCANIQUE</t>
  </si>
  <si>
    <t>INGENIEUR ÉLECTRIQUE</t>
  </si>
  <si>
    <t>LABORATOIRE</t>
  </si>
  <si>
    <t>ARPENTEUR - GÉOMÈTRE</t>
  </si>
  <si>
    <t>DECORATEUR</t>
  </si>
  <si>
    <t>PHOTOCOPIE DE PLANS</t>
  </si>
  <si>
    <t>PERSONNEL</t>
  </si>
  <si>
    <t>ADJOINTE GÉRANCE</t>
  </si>
  <si>
    <t>GERANCE CHANTIER</t>
  </si>
  <si>
    <t>Hr</t>
  </si>
  <si>
    <t>Km</t>
  </si>
  <si>
    <t>CONTREMAITRE</t>
  </si>
  <si>
    <t>CORRECTION DÉFICIENCE</t>
  </si>
  <si>
    <t xml:space="preserve">PENSION </t>
  </si>
  <si>
    <t>SECRÉTARIA</t>
  </si>
  <si>
    <t>MISE EN CHANTIER</t>
  </si>
  <si>
    <t>PERMIS DE CONSTRUCTION</t>
  </si>
  <si>
    <t>RACCORD SERVICE MUNICIPAL</t>
  </si>
  <si>
    <t>IMPLANTATION DU BÂTIMENT</t>
  </si>
  <si>
    <t xml:space="preserve">ENSEIGNE CHANTIER </t>
  </si>
  <si>
    <t>CLOTURE TEMPORAIRE ( location )</t>
  </si>
  <si>
    <t>CLOTURE TEMPORAIRE ( installation )</t>
  </si>
  <si>
    <t>ORGANISATION DE CHANTIER</t>
  </si>
  <si>
    <t>ROULOTTE CHANTIER</t>
  </si>
  <si>
    <t>TOILETTE TEMP - LOCATION</t>
  </si>
  <si>
    <t>TELEPHONE FRAIS</t>
  </si>
  <si>
    <t>RACCORD ÉLECTRIQUE ROULOTTE</t>
  </si>
  <si>
    <t>ELECTRICITE CONSTRUCTION</t>
  </si>
  <si>
    <t xml:space="preserve">CHUTE DECHET - LOCATION </t>
  </si>
  <si>
    <t>CHUTE DECHET - installation</t>
  </si>
  <si>
    <t xml:space="preserve">CONTAINER </t>
  </si>
  <si>
    <t>ECHAFAUDAGE</t>
  </si>
  <si>
    <t>PROPANE</t>
  </si>
  <si>
    <t>PLATE-FORME HYDRAULIQUE LOCATION</t>
  </si>
  <si>
    <t>GÉNÉRATRICE</t>
  </si>
  <si>
    <t>VENTILATION TEMPORAIRE</t>
  </si>
  <si>
    <t xml:space="preserve">PROTECTION TEMP TOILE </t>
  </si>
  <si>
    <t>MANUTENTION DE MATERIAUX</t>
  </si>
  <si>
    <t>LIVRAISON MATERIEL</t>
  </si>
  <si>
    <t>LIVRAISON MACHINERIE</t>
  </si>
  <si>
    <t>NETTOYAGE</t>
  </si>
  <si>
    <t>NETTOYAGE DE CHANTIER</t>
  </si>
  <si>
    <t>NETTOYAGE FINAL</t>
  </si>
  <si>
    <t>CONDITIONS D'HIVER</t>
  </si>
  <si>
    <t xml:space="preserve">DENEIGEMENT </t>
  </si>
  <si>
    <t>PAILLE SUR DALLE ( matériel )</t>
  </si>
  <si>
    <t>PAILLE SUR DALLE ( main d'œuvre )</t>
  </si>
  <si>
    <t>CHAUFFAGE TEMPORAIRE</t>
  </si>
  <si>
    <t>TOILE ISOLANTE</t>
  </si>
  <si>
    <t>ref plan</t>
  </si>
  <si>
    <t>type de travaux</t>
  </si>
  <si>
    <t>sous traitant</t>
  </si>
  <si>
    <t>Prix</t>
  </si>
  <si>
    <t>Nom</t>
  </si>
  <si>
    <t>Métier</t>
  </si>
  <si>
    <t>Téléphone</t>
  </si>
  <si>
    <t>Adresse Courriel</t>
  </si>
  <si>
    <t>Emplacement</t>
  </si>
  <si>
    <t>Maxime bergeron</t>
  </si>
  <si>
    <t>418-548-9131 poste 118</t>
  </si>
  <si>
    <t>maximebergeron@servitrol1994.com</t>
  </si>
  <si>
    <t>Trois Rivières</t>
  </si>
  <si>
    <t>Maurice Robert</t>
  </si>
  <si>
    <t>819-536-3332</t>
  </si>
  <si>
    <t>polydex@polydex.ca</t>
  </si>
  <si>
    <t>Sherbrooke</t>
  </si>
  <si>
    <t>Mario Dumoulin</t>
  </si>
  <si>
    <t>Calorifugeur</t>
  </si>
  <si>
    <t>450-278-5839</t>
  </si>
  <si>
    <t>m.dumoulin@dumoulinisolation.ca</t>
  </si>
  <si>
    <t>Drummondville</t>
  </si>
  <si>
    <t>Michel Blouin</t>
  </si>
  <si>
    <t>Danco</t>
  </si>
  <si>
    <t>819-823-2092 poste 229</t>
  </si>
  <si>
    <t>estimation@groupedanco.com</t>
  </si>
  <si>
    <t>Karine St-Germain</t>
  </si>
  <si>
    <t>819-373-0895</t>
  </si>
  <si>
    <t>info@isolationtrifluvienne.com</t>
  </si>
  <si>
    <t>Trois Rivière</t>
  </si>
  <si>
    <t>Yves Vallée</t>
  </si>
  <si>
    <t>819-571-5161</t>
  </si>
  <si>
    <t>estimation@calorifugeagedelestrie.ca</t>
  </si>
  <si>
    <t>Estrie</t>
  </si>
  <si>
    <t>Yvon Labadie</t>
  </si>
  <si>
    <t>418-842-5114 poste 12066</t>
  </si>
  <si>
    <t>ylabadie@regulvar.com</t>
  </si>
  <si>
    <t>Québec</t>
  </si>
  <si>
    <t xml:space="preserve">Aziz El Jaouhari </t>
  </si>
  <si>
    <t>450-973-5105</t>
  </si>
  <si>
    <t>aziz.jouhari@prokontrol.com</t>
  </si>
  <si>
    <t>Philippe Mathieu</t>
  </si>
  <si>
    <t>Électricien</t>
  </si>
  <si>
    <t>819-239-9885</t>
  </si>
  <si>
    <t>mathieuelectrik@hotmail.com</t>
  </si>
  <si>
    <t xml:space="preserve"> Dany Mercier-Moreault</t>
  </si>
  <si>
    <t>Grutier</t>
  </si>
  <si>
    <t>819-212-0380</t>
  </si>
  <si>
    <t>dany.moreault@guay.com</t>
  </si>
  <si>
    <t>Main D'Oeuvre</t>
  </si>
  <si>
    <t>Conditions générales</t>
  </si>
  <si>
    <t>Sous traitance</t>
  </si>
  <si>
    <t>Sous Total</t>
  </si>
  <si>
    <t>Main d'œuvre extra</t>
  </si>
  <si>
    <t xml:space="preserve">Profit </t>
  </si>
  <si>
    <t>TPS</t>
  </si>
  <si>
    <t>TVQ</t>
  </si>
  <si>
    <t>coutant KM</t>
  </si>
  <si>
    <t>Plomberie</t>
  </si>
  <si>
    <t>Livraison</t>
  </si>
  <si>
    <t>Ventilation</t>
  </si>
  <si>
    <t>Ferblantier</t>
  </si>
  <si>
    <t>Chauffage</t>
  </si>
  <si>
    <t>Frigoriste</t>
  </si>
  <si>
    <t>Géothermie</t>
  </si>
  <si>
    <t>Manœuvre</t>
  </si>
  <si>
    <t>Nom enteprise</t>
  </si>
  <si>
    <t>polydex</t>
  </si>
  <si>
    <t>Résumé</t>
  </si>
  <si>
    <t>Pl</t>
  </si>
  <si>
    <t>Unité</t>
  </si>
  <si>
    <t>Ch</t>
  </si>
  <si>
    <t>m. L</t>
  </si>
  <si>
    <t>pied L.</t>
  </si>
  <si>
    <t>m²</t>
  </si>
  <si>
    <t>m³</t>
  </si>
  <si>
    <t>p²</t>
  </si>
  <si>
    <t>p³</t>
  </si>
  <si>
    <t>Condition Générale</t>
  </si>
  <si>
    <t xml:space="preserve">Chantier ;     </t>
  </si>
  <si>
    <t>#</t>
  </si>
  <si>
    <t>plan</t>
  </si>
  <si>
    <t>date</t>
  </si>
  <si>
    <t>devis</t>
  </si>
  <si>
    <t>addenda</t>
  </si>
  <si>
    <t>US-25-D2-1152-00</t>
  </si>
  <si>
    <t>07/07/2025</t>
  </si>
  <si>
    <t>Tn</t>
  </si>
  <si>
    <t>Btu</t>
  </si>
  <si>
    <t>Watt</t>
  </si>
  <si>
    <t>Gestion des # de -plans pour remise au BSDQ</t>
  </si>
  <si>
    <t>Sous traitant</t>
  </si>
  <si>
    <t>CHAUFFAGE</t>
  </si>
  <si>
    <t>LOCATION / INSTALLATION D'ÉQUIPEMENT</t>
  </si>
  <si>
    <t>ESSENCE  GÉRANT DE PROJET</t>
  </si>
  <si>
    <t>ESSENCE  CAMION CONTREMAÎTRE</t>
  </si>
  <si>
    <t>PRÉPARATION DE CHANTIER</t>
  </si>
  <si>
    <t>CLOTURE TEMPORAIRE ( Livraison )</t>
  </si>
  <si>
    <t>Démarrage de chantier</t>
  </si>
  <si>
    <t>Sous total</t>
  </si>
  <si>
    <t>Sou total</t>
  </si>
  <si>
    <t>Réfrigération</t>
  </si>
  <si>
    <t>Toilette</t>
  </si>
  <si>
    <t>Valve</t>
  </si>
  <si>
    <t>Rosace</t>
  </si>
  <si>
    <t>Abs ty 3"</t>
  </si>
  <si>
    <t>Coude 90   3"</t>
  </si>
  <si>
    <t>Bleu superpex    1/2"dia.   3'-0"</t>
  </si>
  <si>
    <t>Lavabo salle de bain</t>
  </si>
  <si>
    <t>Valves</t>
  </si>
  <si>
    <t>Syphon P   1-1/2"</t>
  </si>
  <si>
    <t>Rouge superpex    1/2"dia.   3'-0"</t>
  </si>
  <si>
    <t>Douche</t>
  </si>
  <si>
    <t>Syphon P   2", inclut air clim et echangeur d'air</t>
  </si>
  <si>
    <t>Coude 90   1-1/2"</t>
  </si>
  <si>
    <t>Bain</t>
  </si>
  <si>
    <t>Syphon P    1-1/2"</t>
  </si>
  <si>
    <t>Évier de cuisine</t>
  </si>
  <si>
    <t>valves</t>
  </si>
  <si>
    <t>Syphon de garde d'eau profonde 4''</t>
  </si>
  <si>
    <t>Regard de nettoyage 1-1/2''</t>
  </si>
  <si>
    <t>Lave vaiselle</t>
  </si>
  <si>
    <t>Rouge superpex   1/2"dia.    3'-0"</t>
  </si>
  <si>
    <t>Machine a laver</t>
  </si>
  <si>
    <t>Boite laveuse pex</t>
  </si>
  <si>
    <t>Antibélier</t>
  </si>
  <si>
    <t>toilette</t>
  </si>
  <si>
    <t>materiel princ</t>
  </si>
  <si>
    <t>accessoire</t>
  </si>
  <si>
    <t>salaire</t>
  </si>
  <si>
    <t>temps travaux</t>
  </si>
  <si>
    <t>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</si>
</sst>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&quot;$&quot;#,##0.00;[Red]&quot;$&quot;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ptos Display"/>
      <family val="2"/>
      <scheme val="major"/>
    </font>
    <font>
      <sz val="10"/>
      <name val="Helv"/>
    </font>
    <font>
      <sz val="10"/>
      <name val="MS Sans Serif"/>
    </font>
    <font>
      <b/>
      <sz val="8"/>
      <color indexed="81"/>
      <name val="Tahoma"/>
      <family val="2"/>
    </font>
    <font>
      <b/>
      <sz val="10"/>
      <color indexed="10"/>
      <name val="Aptos Narrow"/>
      <family val="2"/>
      <scheme val="minor"/>
    </font>
    <font>
      <sz val="10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Calibri"/>
      <family val="2"/>
    </font>
    <font>
      <b/>
      <sz val="15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indexed="12"/>
      <name val="Aptos Narrow"/>
      <family val="2"/>
      <scheme val="minor"/>
    </font>
    <font>
      <sz val="15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10" fillId="0" borderId="0" applyNumberFormat="0" applyFill="0" applyBorder="0" applyAlignment="0" applyProtection="0"/>
  </cellStyleXfs>
  <cellXfs count="157"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44" fontId="0" fillId="0" borderId="0" xfId="1" applyFont="1"/>
    <xf numFmtId="1" fontId="7" fillId="0" borderId="0" xfId="3" applyNumberFormat="1" applyFont="1" applyAlignment="1" applyProtection="1">
      <alignment horizontal="left" vertical="center"/>
      <protection locked="0"/>
    </xf>
    <xf numFmtId="0" fontId="8" fillId="0" borderId="0" xfId="3" applyFont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1" fillId="0" borderId="0" xfId="0" applyFont="1"/>
    <xf numFmtId="0" fontId="10" fillId="0" borderId="0" xfId="5" applyFill="1" applyBorder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44" fontId="12" fillId="0" borderId="3" xfId="0" applyNumberFormat="1" applyFont="1" applyBorder="1"/>
    <xf numFmtId="0" fontId="0" fillId="3" borderId="7" xfId="0" applyFill="1" applyBorder="1" applyAlignment="1">
      <alignment horizontal="right"/>
    </xf>
    <xf numFmtId="44" fontId="0" fillId="3" borderId="8" xfId="1" applyFont="1" applyFill="1" applyBorder="1"/>
    <xf numFmtId="0" fontId="0" fillId="0" borderId="7" xfId="0" applyBorder="1" applyAlignment="1">
      <alignment horizontal="right"/>
    </xf>
    <xf numFmtId="44" fontId="0" fillId="0" borderId="8" xfId="1" applyFont="1" applyBorder="1"/>
    <xf numFmtId="0" fontId="0" fillId="6" borderId="10" xfId="0" applyFill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9" xfId="0" applyBorder="1"/>
    <xf numFmtId="15" fontId="0" fillId="0" borderId="9" xfId="0" applyNumberFormat="1" applyBorder="1"/>
    <xf numFmtId="0" fontId="0" fillId="0" borderId="0" xfId="0" applyAlignment="1">
      <alignment wrapText="1"/>
    </xf>
    <xf numFmtId="1" fontId="7" fillId="0" borderId="11" xfId="3" applyNumberFormat="1" applyFont="1" applyBorder="1" applyAlignment="1">
      <alignment horizontal="left" vertical="center"/>
    </xf>
    <xf numFmtId="0" fontId="8" fillId="0" borderId="11" xfId="3" applyFont="1" applyBorder="1" applyAlignment="1">
      <alignment vertical="center"/>
    </xf>
    <xf numFmtId="0" fontId="8" fillId="0" borderId="12" xfId="3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3" applyFont="1" applyBorder="1" applyAlignment="1">
      <alignment vertical="center"/>
    </xf>
    <xf numFmtId="44" fontId="15" fillId="0" borderId="11" xfId="1" applyFont="1" applyFill="1" applyBorder="1" applyAlignment="1">
      <alignment horizontal="center" vertical="center"/>
    </xf>
    <xf numFmtId="1" fontId="7" fillId="0" borderId="16" xfId="3" applyNumberFormat="1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164" fontId="0" fillId="0" borderId="0" xfId="1" applyNumberFormat="1" applyFont="1" applyAlignment="1">
      <alignment vertical="center"/>
    </xf>
    <xf numFmtId="44" fontId="8" fillId="0" borderId="11" xfId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0" fillId="0" borderId="11" xfId="1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44" fontId="8" fillId="0" borderId="0" xfId="1" applyFont="1" applyAlignment="1">
      <alignment vertical="center"/>
    </xf>
    <xf numFmtId="44" fontId="8" fillId="0" borderId="16" xfId="1" applyFont="1" applyFill="1" applyBorder="1" applyAlignment="1">
      <alignment vertical="center"/>
    </xf>
    <xf numFmtId="44" fontId="8" fillId="0" borderId="12" xfId="1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164" fontId="0" fillId="0" borderId="12" xfId="1" applyNumberFormat="1" applyFont="1" applyFill="1" applyBorder="1" applyAlignment="1">
      <alignment vertical="center"/>
    </xf>
    <xf numFmtId="1" fontId="8" fillId="0" borderId="11" xfId="4" applyNumberFormat="1" applyFont="1" applyBorder="1" applyAlignment="1">
      <alignment vertical="center"/>
    </xf>
    <xf numFmtId="44" fontId="8" fillId="0" borderId="0" xfId="0" applyNumberFormat="1" applyFont="1" applyAlignment="1">
      <alignment vertical="center"/>
    </xf>
    <xf numFmtId="0" fontId="0" fillId="0" borderId="13" xfId="0" applyBorder="1" applyAlignment="1">
      <alignment vertical="center"/>
    </xf>
    <xf numFmtId="164" fontId="0" fillId="0" borderId="13" xfId="0" applyNumberFormat="1" applyBorder="1" applyAlignment="1">
      <alignment vertical="center"/>
    </xf>
    <xf numFmtId="0" fontId="13" fillId="0" borderId="0" xfId="0" applyFont="1" applyAlignment="1">
      <alignment vertical="center"/>
    </xf>
    <xf numFmtId="1" fontId="8" fillId="0" borderId="12" xfId="3" applyNumberFormat="1" applyFont="1" applyBorder="1" applyAlignment="1">
      <alignment vertical="center"/>
    </xf>
    <xf numFmtId="164" fontId="1" fillId="0" borderId="13" xfId="0" applyNumberFormat="1" applyFont="1" applyBorder="1" applyAlignment="1">
      <alignment vertical="center"/>
    </xf>
    <xf numFmtId="44" fontId="8" fillId="4" borderId="11" xfId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164" fontId="14" fillId="0" borderId="0" xfId="3" applyNumberFormat="1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44" fontId="2" fillId="0" borderId="0" xfId="1" applyFont="1" applyAlignment="1">
      <alignment horizontal="left" vertical="center"/>
    </xf>
    <xf numFmtId="164" fontId="0" fillId="8" borderId="0" xfId="1" applyNumberFormat="1" applyFont="1" applyFill="1" applyAlignment="1">
      <alignment vertical="center"/>
    </xf>
    <xf numFmtId="164" fontId="0" fillId="0" borderId="0" xfId="1" applyNumberFormat="1" applyFont="1" applyFill="1" applyAlignment="1">
      <alignment vertical="center"/>
    </xf>
    <xf numFmtId="44" fontId="8" fillId="0" borderId="9" xfId="1" applyFont="1" applyFill="1" applyBorder="1" applyAlignment="1">
      <alignment vertical="center"/>
    </xf>
    <xf numFmtId="44" fontId="8" fillId="0" borderId="0" xfId="1" applyFont="1" applyFill="1" applyBorder="1" applyAlignment="1">
      <alignment vertical="center"/>
    </xf>
    <xf numFmtId="44" fontId="8" fillId="0" borderId="0" xfId="1" applyFont="1" applyFill="1" applyAlignment="1">
      <alignment vertical="center"/>
    </xf>
    <xf numFmtId="0" fontId="8" fillId="8" borderId="0" xfId="3" applyFont="1" applyFill="1" applyAlignment="1">
      <alignment vertical="center"/>
    </xf>
    <xf numFmtId="44" fontId="8" fillId="8" borderId="0" xfId="1" applyFont="1" applyFill="1" applyAlignment="1">
      <alignment vertical="center"/>
    </xf>
    <xf numFmtId="0" fontId="0" fillId="8" borderId="0" xfId="0" applyFill="1" applyAlignment="1">
      <alignment vertical="center"/>
    </xf>
    <xf numFmtId="1" fontId="8" fillId="0" borderId="11" xfId="3" applyNumberFormat="1" applyFont="1" applyBorder="1" applyAlignment="1">
      <alignment vertical="center"/>
    </xf>
    <xf numFmtId="44" fontId="8" fillId="9" borderId="11" xfId="1" applyFont="1" applyFill="1" applyBorder="1" applyAlignment="1">
      <alignment vertical="center"/>
    </xf>
    <xf numFmtId="44" fontId="0" fillId="0" borderId="0" xfId="0" applyNumberFormat="1"/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16" fillId="7" borderId="3" xfId="0" applyFont="1" applyFill="1" applyBorder="1" applyAlignment="1">
      <alignment horizontal="center"/>
    </xf>
    <xf numFmtId="0" fontId="0" fillId="0" borderId="8" xfId="0" applyBorder="1"/>
    <xf numFmtId="0" fontId="0" fillId="10" borderId="7" xfId="0" applyFill="1" applyBorder="1"/>
    <xf numFmtId="0" fontId="0" fillId="10" borderId="0" xfId="0" applyFill="1" applyBorder="1"/>
    <xf numFmtId="0" fontId="0" fillId="10" borderId="8" xfId="0" applyFill="1" applyBorder="1"/>
    <xf numFmtId="0" fontId="0" fillId="10" borderId="20" xfId="0" applyFill="1" applyBorder="1"/>
    <xf numFmtId="0" fontId="0" fillId="10" borderId="21" xfId="0" applyFill="1" applyBorder="1"/>
    <xf numFmtId="0" fontId="0" fillId="10" borderId="22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2" fillId="9" borderId="19" xfId="0" applyFont="1" applyFill="1" applyBorder="1" applyAlignment="1">
      <alignment horizontal="center" vertical="center"/>
    </xf>
    <xf numFmtId="0" fontId="12" fillId="11" borderId="19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5" xfId="0" applyFont="1" applyFill="1" applyBorder="1" applyAlignment="1">
      <alignment horizontal="center"/>
    </xf>
    <xf numFmtId="0" fontId="12" fillId="13" borderId="6" xfId="0" applyFont="1" applyFill="1" applyBorder="1" applyAlignment="1">
      <alignment horizontal="center"/>
    </xf>
    <xf numFmtId="44" fontId="2" fillId="0" borderId="17" xfId="0" applyNumberFormat="1" applyFont="1" applyBorder="1"/>
    <xf numFmtId="0" fontId="0" fillId="3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44" fontId="0" fillId="0" borderId="8" xfId="0" applyNumberFormat="1" applyBorder="1"/>
    <xf numFmtId="44" fontId="2" fillId="0" borderId="8" xfId="0" applyNumberFormat="1" applyFont="1" applyBorder="1"/>
    <xf numFmtId="0" fontId="0" fillId="0" borderId="7" xfId="0" applyFont="1" applyBorder="1" applyAlignment="1">
      <alignment horizontal="right"/>
    </xf>
    <xf numFmtId="0" fontId="0" fillId="0" borderId="7" xfId="0" applyFont="1" applyFill="1" applyBorder="1" applyAlignment="1">
      <alignment horizontal="right"/>
    </xf>
    <xf numFmtId="44" fontId="0" fillId="0" borderId="8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44" fontId="2" fillId="0" borderId="17" xfId="0" applyNumberFormat="1" applyFont="1" applyFill="1" applyBorder="1" applyAlignment="1">
      <alignment horizontal="center"/>
    </xf>
    <xf numFmtId="0" fontId="2" fillId="14" borderId="7" xfId="0" applyFont="1" applyFill="1" applyBorder="1" applyAlignment="1">
      <alignment horizontal="center"/>
    </xf>
    <xf numFmtId="0" fontId="0" fillId="15" borderId="7" xfId="0" applyFill="1" applyBorder="1" applyAlignment="1">
      <alignment horizontal="right"/>
    </xf>
    <xf numFmtId="0" fontId="12" fillId="15" borderId="0" xfId="0" applyFont="1" applyFill="1" applyBorder="1" applyAlignment="1">
      <alignment horizontal="center"/>
    </xf>
    <xf numFmtId="44" fontId="0" fillId="15" borderId="8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right"/>
    </xf>
    <xf numFmtId="0" fontId="2" fillId="12" borderId="7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right"/>
    </xf>
    <xf numFmtId="0" fontId="12" fillId="5" borderId="0" xfId="0" applyFont="1" applyFill="1" applyBorder="1" applyAlignment="1">
      <alignment horizontal="center"/>
    </xf>
    <xf numFmtId="44" fontId="0" fillId="5" borderId="8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right"/>
    </xf>
    <xf numFmtId="44" fontId="0" fillId="5" borderId="8" xfId="0" applyNumberFormat="1" applyFont="1" applyFill="1" applyBorder="1"/>
    <xf numFmtId="0" fontId="0" fillId="13" borderId="0" xfId="0" applyFill="1" applyAlignment="1">
      <alignment horizontal="right"/>
    </xf>
    <xf numFmtId="44" fontId="0" fillId="13" borderId="8" xfId="2" applyNumberFormat="1" applyFont="1" applyFill="1" applyBorder="1"/>
    <xf numFmtId="44" fontId="0" fillId="13" borderId="8" xfId="0" applyNumberFormat="1" applyFill="1" applyBorder="1"/>
    <xf numFmtId="44" fontId="0" fillId="0" borderId="8" xfId="0" applyNumberFormat="1" applyFill="1" applyBorder="1"/>
    <xf numFmtId="0" fontId="2" fillId="0" borderId="7" xfId="0" applyFont="1" applyBorder="1" applyAlignment="1">
      <alignment horizontal="right"/>
    </xf>
    <xf numFmtId="9" fontId="0" fillId="0" borderId="0" xfId="2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44" fontId="0" fillId="0" borderId="8" xfId="1" applyFont="1" applyFill="1" applyBorder="1"/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0" xfId="2" applyFont="1" applyBorder="1" applyAlignment="1">
      <alignment horizontal="right"/>
    </xf>
    <xf numFmtId="0" fontId="2" fillId="2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44" fontId="17" fillId="0" borderId="8" xfId="0" applyNumberFormat="1" applyFont="1" applyBorder="1"/>
    <xf numFmtId="9" fontId="0" fillId="4" borderId="17" xfId="2" applyFont="1" applyFill="1" applyBorder="1" applyAlignment="1">
      <alignment horizontal="right"/>
    </xf>
    <xf numFmtId="44" fontId="12" fillId="0" borderId="17" xfId="0" applyNumberFormat="1" applyFont="1" applyBorder="1"/>
    <xf numFmtId="44" fontId="17" fillId="0" borderId="17" xfId="0" applyNumberFormat="1" applyFont="1" applyBorder="1"/>
    <xf numFmtId="44" fontId="12" fillId="0" borderId="17" xfId="0" applyNumberFormat="1" applyFont="1" applyFill="1" applyBorder="1"/>
    <xf numFmtId="0" fontId="12" fillId="16" borderId="19" xfId="0" applyFont="1" applyFill="1" applyBorder="1" applyAlignment="1">
      <alignment horizontal="center" vertical="center"/>
    </xf>
    <xf numFmtId="0" fontId="2" fillId="16" borderId="7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right"/>
    </xf>
    <xf numFmtId="0" fontId="0" fillId="9" borderId="0" xfId="0" applyFill="1" applyBorder="1" applyAlignment="1">
      <alignment horizontal="right"/>
    </xf>
    <xf numFmtId="44" fontId="0" fillId="9" borderId="8" xfId="0" applyNumberFormat="1" applyFill="1" applyBorder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right" vertical="center"/>
    </xf>
    <xf numFmtId="0" fontId="8" fillId="0" borderId="0" xfId="3" applyFont="1" applyFill="1" applyAlignment="1">
      <alignment vertical="center"/>
    </xf>
  </cellXfs>
  <cellStyles count="6">
    <cellStyle name="Hyperlink" xfId="5" xr:uid="{00000000-000B-0000-0000-000008000000}"/>
    <cellStyle name="Monétaire" xfId="1" builtinId="4"/>
    <cellStyle name="Normal" xfId="0" builtinId="0"/>
    <cellStyle name="Normal_KAMCO" xfId="4" xr:uid="{8665D3AF-34D3-4B98-909C-611B8C5066E2}"/>
    <cellStyle name="Pourcentage" xfId="2" builtinId="5"/>
    <cellStyle name="Style 1" xfId="3" xr:uid="{5895607C-350A-4951-834F-E90F88F75E3B}"/>
  </cellStyles>
  <dxfs count="3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Display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</dxf>
    <dxf>
      <border outline="0">
        <left style="medium">
          <color indexed="64"/>
        </left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164" formatCode="&quot;$&quot;#,##0.00;[Red]&quot;$&quot;#,##0.00"/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 * #,##0.00_)\ &quot;$&quot;_ ;_ * \(#,##0.00\)\ &quot;$&quot;_ ;_ * &quot;-&quot;??_)\ &quot;$&quot;_ ;_ @_ "/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numFmt numFmtId="164" formatCode="&quot;$&quot;#,##0.00;[Red]&quot;$&quot;#,##0.00"/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 * #,##0.00_)\ &quot;$&quot;_ ;_ * \(#,##0.00\)\ &quot;$&quot;_ ;_ * &quot;-&quot;??_)\ &quot;$&quot;_ ;_ @_ 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numFmt numFmtId="164" formatCode="&quot;$&quot;#,##0.00;[Red]&quot;$&quot;#,##0.00"/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 * #,##0.00_)\ &quot;$&quot;_ ;_ * \(#,##0.00\)\ &quot;$&quot;_ ;_ * &quot;-&quot;??_)\ &quot;$&quot;_ ;_ @_ "/>
      <fill>
        <patternFill patternType="none">
          <fgColor theme="4" tint="0.79998168889431442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&quot;$&quot;#,##0.00;[Red]&quot;$&quot;#,##0.00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4" formatCode="_ * #,##0.00_)\ &quot;$&quot;_ ;_ * \(#,##0.00\)\ &quot;$&quot;_ ;_ * &quot;-&quot;??_)\ &quot;$&quot;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9D9FDC-EDFA-4EBD-9FDC-F84CF2F3B5E9}" name="tab_mat_plom" displayName="tab_mat_plom" ref="B4:I52" totalsRowCount="1" headerRowDxfId="309" dataDxfId="308" totalsRowDxfId="307">
  <autoFilter ref="B4:I51" xr:uid="{C49D9FDC-EDFA-4EBD-9FDC-F84CF2F3B5E9}"/>
  <tableColumns count="8">
    <tableColumn id="1" xr3:uid="{9F9B2A4E-AF81-4B8B-AD12-B08298506C84}" name="ref plan" dataDxfId="306" totalsRowDxfId="8"/>
    <tableColumn id="9" xr3:uid="{AA50167A-7D1B-43A9-B11F-72D44DD2CD84}" name="ref" dataDxfId="305" totalsRowDxfId="7"/>
    <tableColumn id="2" xr3:uid="{D951AB1E-C209-4228-AE60-FD39D7FA9AC7}" name="materiels # de soumission" dataDxfId="304" totalsRowDxfId="6"/>
    <tableColumn id="3" xr3:uid="{8DD8F099-86A7-4D2A-9A11-AA8CBB0DFD05}" name="QTE" dataDxfId="303" totalsRowDxfId="5"/>
    <tableColumn id="8" xr3:uid="{1E9AEE02-3596-43E1-811B-6056B8A98DE8}" name="." dataDxfId="302" totalsRowDxfId="4"/>
    <tableColumn id="7" xr3:uid="{33C31E06-7564-42B2-B41C-F85C4AE2EFEB}" name="% de perte" dataDxfId="301" totalsRowDxfId="3" dataCellStyle="Pourcentage"/>
    <tableColumn id="4" xr3:uid="{AE85B9CD-8B03-456A-BBCB-CA89D90ED245}" name="Prix " dataDxfId="300" totalsRowDxfId="2" dataCellStyle="Monétaire"/>
    <tableColumn id="6" xr3:uid="{9C9D2FC9-9ACD-4685-81CD-8033912095DE}" name="Total" totalsRowFunction="custom" dataDxfId="299" totalsRowDxfId="1" dataCellStyle="Monétaire">
      <calculatedColumnFormula>(tab_mat_plom[[#This Row],[QTE]]*tab_mat_plom[[#This Row],[Prix ]])+(tab_mat_plom[[#This Row],[QTE]]*tab_mat_plom[[#This Row],[% de perte]])</calculatedColumnFormula>
      <totalsRowFormula>SUM(tab_mat_plom[Total])</totalsRow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82391F-5A73-429A-9D76-0BC0A546BC57}" name="Tab_MD_plom" displayName="Tab_MD_plom" ref="K4:Q52" totalsRowCount="1" headerRowDxfId="298" dataDxfId="297" totalsRowDxfId="296">
  <autoFilter ref="K4:Q51" xr:uid="{9882391F-5A73-429A-9D76-0BC0A546BC57}"/>
  <tableColumns count="7">
    <tableColumn id="7" xr3:uid="{EBB7522B-7A94-4A3A-AAFC-F838FAD44878}" name="ref" dataDxfId="295" totalsRowDxfId="294"/>
    <tableColumn id="6" xr3:uid="{9762BF94-B1B2-47C2-BCAF-14A4969320F0}" name="Description travaux" dataDxfId="293" totalsRowDxfId="292"/>
    <tableColumn id="1" xr3:uid="{0C2ED0A7-7E06-48F0-951B-C98640CBCCE1}" name="QTE Hrs" dataDxfId="291" totalsRowDxfId="290"/>
    <tableColumn id="5" xr3:uid="{0F338887-B3AA-4AFA-87FF-5FFA2FF42807}" name="Qte Ouvriers" dataDxfId="289" totalsRowDxfId="288"/>
    <tableColumn id="4" xr3:uid="{90147C6D-9BB3-4065-AD7C-0BB575C69037}" name="Type Ouvrier" dataDxfId="287" totalsRowDxfId="286"/>
    <tableColumn id="2" xr3:uid="{70362CE5-0EEF-4D2C-9692-BD071495A012}" name="Salaire" dataDxfId="285" totalsRowDxfId="284" dataCellStyle="Monétaire"/>
    <tableColumn id="3" xr3:uid="{F01550A0-B499-47D2-A776-A4BC9FE85104}" name="Total" totalsRowFunction="custom" dataDxfId="283" totalsRowDxfId="282" dataCellStyle="Monétaire">
      <calculatedColumnFormula>Tab_MD_plom[[#This Row],[QTE Hrs]]*Tab_MD_plom[[#This Row],[Salaire]]</calculatedColumnFormula>
      <totalsRowFormula>SUM(Tab_MD_plom[Total])</totalsRow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5EBDA1-8C7B-4638-8CDE-5CB5211410DC}" name="tab_mob_plom" displayName="tab_mob_plom" ref="S4:W17" totalsRowCount="1" headerRowDxfId="281" dataDxfId="280">
  <autoFilter ref="S4:W16" xr:uid="{965EBDA1-8C7B-4638-8CDE-5CB5211410DC}"/>
  <tableColumns count="5">
    <tableColumn id="1" xr3:uid="{9FEC57AE-9D0B-4DF1-8B81-DA206F7362D1}" name="Transport" dataDxfId="279" totalsRowDxfId="278"/>
    <tableColumn id="2" xr3:uid="{9907391B-9BB9-49D2-89DE-FDE12ECFC5E5}" name="QTE" dataDxfId="277" totalsRowDxfId="276"/>
    <tableColumn id="3" xr3:uid="{E2E6309B-488E-4246-80CF-8A0FAEE79C6B}" name="Distance(Km)" dataDxfId="275" totalsRowDxfId="274"/>
    <tableColumn id="4" xr3:uid="{04282225-7507-42C7-A05E-8F2E95F27132}" name="$/Km" dataDxfId="273" totalsRowDxfId="272" dataCellStyle="Monétaire">
      <calculatedColumnFormula array="1">cout_km[coutant KM]</calculatedColumnFormula>
    </tableColumn>
    <tableColumn id="5" xr3:uid="{438504BD-EAB5-4EF6-A8B4-B6DF1C199323}" name="Total" totalsRowFunction="sum" dataDxfId="271" totalsRowDxfId="270" dataCellStyle="Monétaire">
      <calculatedColumnFormula>tab_mob_plom[[#This Row],[QTE]]*tab_mob_plom[[#This Row],[Distance(Km)]]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A4943C4-A3B5-4E4F-B1F6-1A6331108BC3}" name="Tab_mat_vent" displayName="Tab_mat_vent" ref="B4:I52" totalsRowCount="1" headerRowDxfId="157" dataDxfId="155" totalsRowDxfId="156">
  <autoFilter ref="B4:I51" xr:uid="{C49D9FDC-EDFA-4EBD-9FDC-F84CF2F3B5E9}"/>
  <tableColumns count="8">
    <tableColumn id="1" xr3:uid="{4E4866EF-CDEB-4E80-AEAE-415CA72D45F2}" name="ref plan" dataDxfId="153" totalsRowDxfId="154"/>
    <tableColumn id="9" xr3:uid="{FD305522-1EFE-4EBB-A509-48AA73705338}" name="ref" dataDxfId="151" totalsRowDxfId="152"/>
    <tableColumn id="2" xr3:uid="{8C9CDEFB-4447-4C19-81DB-049334300023}" name="materiels # de soumission" dataDxfId="149" totalsRowDxfId="150"/>
    <tableColumn id="3" xr3:uid="{5C324972-BE01-4BAD-8D07-98BCE249B694}" name="QTE" dataDxfId="147" totalsRowDxfId="148"/>
    <tableColumn id="8" xr3:uid="{B1D036D9-84C9-4E73-8622-1652569C6D1E}" name="." dataDxfId="145" totalsRowDxfId="146"/>
    <tableColumn id="7" xr3:uid="{F3BD6B46-746A-413F-81DC-6AE2231A13ED}" name="% de perte" dataDxfId="143" totalsRowDxfId="144" dataCellStyle="Pourcentage"/>
    <tableColumn id="4" xr3:uid="{8E956580-F222-496E-9CC5-1419B516A452}" name="Prix " dataDxfId="141" totalsRowDxfId="142" dataCellStyle="Monétaire"/>
    <tableColumn id="6" xr3:uid="{17338B66-781A-46D5-8E70-272789F4F088}" name="Total" totalsRowFunction="custom" dataDxfId="139" totalsRowDxfId="140" dataCellStyle="Monétaire">
      <calculatedColumnFormula>(Tab_mat_vent[[#This Row],[QTE]]*Tab_mat_vent[[#This Row],[Prix ]])+(Tab_mat_vent[[#This Row],[QTE]]*Tab_mat_vent[[#This Row],[% de perte]])</calculatedColumnFormula>
      <totalsRowFormula>SUM(Tab_mat_vent[Total])</totalsRow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12F0C196-45D4-4FED-82CF-D069EA95FB08}" name="Tab_MD_vent" displayName="Tab_MD_vent" ref="K4:Q52" totalsRowCount="1" headerRowDxfId="138" dataDxfId="136" totalsRowDxfId="137">
  <autoFilter ref="K4:Q51" xr:uid="{9882391F-5A73-429A-9D76-0BC0A546BC57}"/>
  <tableColumns count="7">
    <tableColumn id="7" xr3:uid="{2A38E1FE-C785-4315-AABB-AAFCF495FCF8}" name="ref" dataDxfId="134" totalsRowDxfId="135"/>
    <tableColumn id="6" xr3:uid="{9E3DE255-D2B8-486A-BE8C-4AF262C98B3E}" name="Description travaux" dataDxfId="132" totalsRowDxfId="133"/>
    <tableColumn id="1" xr3:uid="{AA123B37-002C-450E-9B54-E63B247BAF44}" name="QTE Hrs" dataDxfId="130" totalsRowDxfId="131"/>
    <tableColumn id="5" xr3:uid="{93F5F831-F341-4A8E-994D-FFE3546BF0CD}" name="Qte Ouvriers" dataDxfId="128" totalsRowDxfId="129"/>
    <tableColumn id="4" xr3:uid="{2AF96FB9-C57F-4BBC-AB66-A83F279F24EF}" name="Type Ouvrier" dataDxfId="126" totalsRowDxfId="127"/>
    <tableColumn id="2" xr3:uid="{5F2E8108-229E-48B2-871B-C961F3A29355}" name="Salaire" dataDxfId="124" totalsRowDxfId="125" dataCellStyle="Monétaire"/>
    <tableColumn id="3" xr3:uid="{86C21792-6958-40F3-98BE-D9445D32880A}" name="Total" totalsRowFunction="custom" dataDxfId="122" totalsRowDxfId="123" dataCellStyle="Monétaire">
      <calculatedColumnFormula>Tab_MD_vent[[#This Row],[QTE Hrs]]*Tab_MD_vent[[#This Row],[Salaire]]</calculatedColumnFormula>
      <totalsRowFormula>SUM(Tab_MD_vent[Total])</totalsRow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9A9E9223-0563-48AD-847E-8AA84CEFBBF7}" name="tab_mob_vent" displayName="tab_mob_vent" ref="S4:W17" totalsRowCount="1" headerRowDxfId="121" dataDxfId="120">
  <autoFilter ref="S4:W16" xr:uid="{965EBDA1-8C7B-4638-8CDE-5CB5211410DC}"/>
  <tableColumns count="5">
    <tableColumn id="1" xr3:uid="{F2838013-15B3-4055-AF35-FFC54166A56A}" name="Transport" dataDxfId="118" totalsRowDxfId="119"/>
    <tableColumn id="2" xr3:uid="{62DAF430-0BCB-4A0A-B000-2FAA8EAE80F4}" name="QTE" dataDxfId="116" totalsRowDxfId="117"/>
    <tableColumn id="3" xr3:uid="{476A56C9-62CC-467C-A1B7-F937A56DB3F7}" name="Distance(Km)" dataDxfId="114" totalsRowDxfId="115"/>
    <tableColumn id="4" xr3:uid="{4B39201A-0950-41C8-9F71-10405E964219}" name="$/Km" dataDxfId="112" totalsRowDxfId="113" dataCellStyle="Monétaire">
      <calculatedColumnFormula array="1">cout_km[coutant KM]</calculatedColumnFormula>
    </tableColumn>
    <tableColumn id="5" xr3:uid="{5C4843D0-7308-4078-91F0-A66003951A1D}" name="Total" totalsRowFunction="sum" dataDxfId="110" totalsRowDxfId="111" dataCellStyle="Monétaire">
      <calculatedColumnFormula>tab_mob_vent[[#This Row],[QTE]]*tab_mob_vent[[#This Row],[Distance(Km)]]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ED5F864E-EF03-438B-8817-BD2C68C582F7}" name="Tab_mat_ref" displayName="Tab_mat_ref" ref="B4:I52" totalsRowCount="1" headerRowDxfId="61" dataDxfId="60" totalsRowDxfId="59">
  <autoFilter ref="B4:I51" xr:uid="{C49D9FDC-EDFA-4EBD-9FDC-F84CF2F3B5E9}"/>
  <tableColumns count="8">
    <tableColumn id="1" xr3:uid="{01165D55-FDBD-437A-9826-B439739BAACC}" name="ref plan" dataDxfId="57" totalsRowDxfId="58"/>
    <tableColumn id="9" xr3:uid="{20AA2031-C125-451B-96C2-6C5B7499CFA4}" name="ref" dataDxfId="55" totalsRowDxfId="56"/>
    <tableColumn id="2" xr3:uid="{8E804618-895C-4139-B34F-CFC0A67C54D8}" name="materiels # de soumission" dataDxfId="53" totalsRowDxfId="54"/>
    <tableColumn id="3" xr3:uid="{0759B4F1-2AC1-4E35-B902-407C355F26D9}" name="QTE" dataDxfId="51" totalsRowDxfId="52"/>
    <tableColumn id="8" xr3:uid="{3B6BCC2D-657E-4EED-BDF9-F74BF58D6662}" name="." dataDxfId="49" totalsRowDxfId="50"/>
    <tableColumn id="7" xr3:uid="{510C57DC-4F92-4957-9C9A-8D8A0F968A49}" name="% de perte" dataDxfId="47" totalsRowDxfId="48" dataCellStyle="Pourcentage"/>
    <tableColumn id="4" xr3:uid="{E1B18C5D-4461-4E67-BFB1-9C272F183529}" name="Prix " dataDxfId="45" totalsRowDxfId="46" dataCellStyle="Monétaire"/>
    <tableColumn id="6" xr3:uid="{CFC997FD-498D-48A8-9B5E-24439266980E}" name="Total" totalsRowFunction="custom" dataDxfId="43" totalsRowDxfId="44" dataCellStyle="Monétaire">
      <calculatedColumnFormula>(Tab_mat_ref[[#This Row],[QTE]]*Tab_mat_ref[[#This Row],[Prix ]])+(Tab_mat_ref[[#This Row],[QTE]]*Tab_mat_ref[[#This Row],[% de perte]])</calculatedColumnFormula>
      <totalsRowFormula>SUM(Tab_mat_ref[Total])</totalsRow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1F4009F-53DF-47E0-9BE2-E0002DAA0E5E}" name="tab_MD_ref" displayName="tab_MD_ref" ref="K4:Q52" totalsRowCount="1" headerRowDxfId="42" dataDxfId="41" totalsRowDxfId="40">
  <autoFilter ref="K4:Q51" xr:uid="{9882391F-5A73-429A-9D76-0BC0A546BC57}"/>
  <tableColumns count="7">
    <tableColumn id="7" xr3:uid="{E4C0F022-49F9-4FCB-9BFE-E65EA728BE04}" name="ref" dataDxfId="38" totalsRowDxfId="39"/>
    <tableColumn id="6" xr3:uid="{E81D6D76-99FA-4692-8D7B-55B6541CA210}" name="Description travaux" dataDxfId="36" totalsRowDxfId="37"/>
    <tableColumn id="1" xr3:uid="{C24D53AA-8C75-4EA4-86B8-983C49935D87}" name="QTE Hrs" dataDxfId="34" totalsRowDxfId="35"/>
    <tableColumn id="5" xr3:uid="{EC886C4D-E400-4D9E-A1AF-83AA63466E57}" name="Qte Ouvriers" dataDxfId="32" totalsRowDxfId="33"/>
    <tableColumn id="4" xr3:uid="{B0D25BB8-9F8C-401D-869E-58D3B7085C90}" name="Type Ouvrier" dataDxfId="30" totalsRowDxfId="31"/>
    <tableColumn id="2" xr3:uid="{A70456C9-78D2-4348-BE9C-910CE04039DA}" name="Salaire" dataDxfId="28" totalsRowDxfId="29" dataCellStyle="Monétaire"/>
    <tableColumn id="3" xr3:uid="{1C013DE6-5F93-4976-9B97-8022DA3703CD}" name="Total" totalsRowFunction="custom" dataDxfId="26" totalsRowDxfId="27" dataCellStyle="Monétaire">
      <calculatedColumnFormula>tab_MD_ref[[#This Row],[QTE Hrs]]*tab_MD_ref[[#This Row],[Salaire]]</calculatedColumnFormula>
      <totalsRowFormula>SUM(tab_MD_ref[Total])</totalsRow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C86727E7-018D-488A-95B7-BE99DA93A1C8}" name="tab_mob_ref" displayName="tab_mob_ref" ref="S4:W17" totalsRowCount="1" headerRowDxfId="25" dataDxfId="24">
  <autoFilter ref="S4:W16" xr:uid="{965EBDA1-8C7B-4638-8CDE-5CB5211410DC}"/>
  <tableColumns count="5">
    <tableColumn id="1" xr3:uid="{CFB16BCE-375E-44C3-BBD2-5FD9DBAE5E5A}" name="Transport" dataDxfId="22" totalsRowDxfId="23"/>
    <tableColumn id="2" xr3:uid="{35A29285-048F-4CB6-910F-86213698B563}" name="QTE" dataDxfId="20" totalsRowDxfId="21"/>
    <tableColumn id="3" xr3:uid="{71B3B167-FA3C-47C3-8B77-FD7FF3526458}" name="Distance(Km)" dataDxfId="18" totalsRowDxfId="19"/>
    <tableColumn id="4" xr3:uid="{37217A3B-1F9F-4612-8760-3B53EAD9D78A}" name="$/Km" dataDxfId="16" totalsRowDxfId="17" dataCellStyle="Monétaire">
      <calculatedColumnFormula array="1">cout_km[coutant KM]</calculatedColumnFormula>
    </tableColumn>
    <tableColumn id="5" xr3:uid="{36426AB9-4B85-4CBE-8E55-C71C0CFFD106}" name="Total" totalsRowFunction="sum" dataDxfId="14" totalsRowDxfId="15" dataCellStyle="Monétaire">
      <calculatedColumnFormula>tab_mob_ref[[#This Row],[QTE]]*tab_mob_ref[[#This Row],[Distance(Km)]]</calculatedColumnFormula>
    </tableColumn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BBD6C47-CE1C-4C3D-ABF6-B49EFC9BA258}" name="Tab_mat_geo" displayName="Tab_mat_geo" ref="B4:I52" totalsRowCount="1" headerRowDxfId="109" dataDxfId="108" totalsRowDxfId="107">
  <autoFilter ref="B4:I51" xr:uid="{C49D9FDC-EDFA-4EBD-9FDC-F84CF2F3B5E9}"/>
  <tableColumns count="8">
    <tableColumn id="1" xr3:uid="{39CE6A9C-7B3C-4740-BF4F-54800DF3C1A6}" name="ref plan" dataDxfId="106" totalsRowDxfId="69"/>
    <tableColumn id="9" xr3:uid="{1538ABD5-8D4E-4560-A740-3C8AE683A5C8}" name="ref" dataDxfId="105" totalsRowDxfId="68"/>
    <tableColumn id="2" xr3:uid="{B10D6107-26A7-4A9B-A842-E0A2153C5530}" name="materiels # de soumission" dataDxfId="104" totalsRowDxfId="67"/>
    <tableColumn id="3" xr3:uid="{4A230F1F-2950-4D52-93B3-D00E9F1E96E0}" name="QTE" dataDxfId="103" totalsRowDxfId="66"/>
    <tableColumn id="8" xr3:uid="{91F85050-EF19-42DD-BB63-5B4E77BDD58E}" name="." dataDxfId="102" totalsRowDxfId="65"/>
    <tableColumn id="7" xr3:uid="{683B34A3-4788-47D6-A97D-7E6DEC4B834B}" name="% de perte" dataDxfId="101" totalsRowDxfId="64" dataCellStyle="Pourcentage"/>
    <tableColumn id="4" xr3:uid="{E3CC35DF-03BC-4347-9CC6-6F0C7B35B72B}" name="Prix " dataDxfId="100" totalsRowDxfId="63" dataCellStyle="Monétaire"/>
    <tableColumn id="6" xr3:uid="{C28BEEFD-E235-47AB-A0D2-8862E37C4A41}" name="Total" totalsRowFunction="custom" dataDxfId="99" totalsRowDxfId="62" dataCellStyle="Monétaire">
      <calculatedColumnFormula>(Tab_mat_geo[[#This Row],[QTE]]*Tab_mat_geo[[#This Row],[Prix ]])+(Tab_mat_geo[[#This Row],[QTE]]*Tab_mat_geo[[#This Row],[% de perte]])</calculatedColumnFormula>
      <totalsRowFormula>SUM(Tab_mat_geo[Total])</totalsRowFormula>
    </tableColumn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FC0ACE63-D969-4487-BADA-D18FE350266B}" name="Tab_MD_geo" displayName="Tab_MD_geo" ref="K4:Q52" totalsRowCount="1" headerRowDxfId="98" dataDxfId="97" totalsRowDxfId="96">
  <autoFilter ref="K4:Q51" xr:uid="{9882391F-5A73-429A-9D76-0BC0A546BC57}"/>
  <tableColumns count="7">
    <tableColumn id="7" xr3:uid="{1F715BAB-3BAA-41BF-96E0-58D1E6F95B1B}" name="ref" dataDxfId="94" totalsRowDxfId="95"/>
    <tableColumn id="6" xr3:uid="{042C91CB-6341-4600-9D54-4E24F9F974E7}" name="Description travaux" dataDxfId="92" totalsRowDxfId="93"/>
    <tableColumn id="1" xr3:uid="{78F77CDF-BD7B-4760-958B-95905435A6B6}" name="QTE Hrs" dataDxfId="90" totalsRowDxfId="91"/>
    <tableColumn id="5" xr3:uid="{85F7F4FB-07F2-4036-9D5D-13E9C3908600}" name="Qte Ouvriers" dataDxfId="88" totalsRowDxfId="89"/>
    <tableColumn id="4" xr3:uid="{6212B0B3-B310-4BE1-A36F-F98DB59E337F}" name="Type Ouvrier" dataDxfId="86" totalsRowDxfId="87"/>
    <tableColumn id="2" xr3:uid="{17E888F4-C679-46AC-988D-F82F69F6F769}" name="Salaire" dataDxfId="84" totalsRowDxfId="85" dataCellStyle="Monétaire"/>
    <tableColumn id="3" xr3:uid="{10FFFA06-F817-41D4-9DDD-9BDF574E5175}" name="Total" totalsRowFunction="custom" dataDxfId="82" totalsRowDxfId="83" dataCellStyle="Monétaire">
      <calculatedColumnFormula>Tab_MD_geo[[#This Row],[QTE Hrs]]*Tab_MD_geo[[#This Row],[Salaire]]</calculatedColumnFormula>
      <totalsRowFormula>SUM(Tab_MD_geo[Total])</totalsRow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B4353AEF-FFAE-48F4-B4E3-A092249E9646}" name="tab_mob_geo" displayName="tab_mob_geo" ref="S4:W17" totalsRowCount="1" headerRowDxfId="81" dataDxfId="80">
  <autoFilter ref="S4:W16" xr:uid="{965EBDA1-8C7B-4638-8CDE-5CB5211410DC}"/>
  <tableColumns count="5">
    <tableColumn id="1" xr3:uid="{3ABE9682-B78A-4AC5-9320-00746DAD0581}" name="Transport" dataDxfId="78" totalsRowDxfId="79"/>
    <tableColumn id="2" xr3:uid="{13352779-61DA-4FFE-BA19-DEB5CCC63A1A}" name="QTE" dataDxfId="76" totalsRowDxfId="77"/>
    <tableColumn id="3" xr3:uid="{E72BCC36-7CCD-44C6-B161-4DC6BE568712}" name="Distance(Km)" dataDxfId="74" totalsRowDxfId="75"/>
    <tableColumn id="4" xr3:uid="{DB5F9E70-3662-4081-9B5F-FB8858A8BC99}" name="$/Km" dataDxfId="72" totalsRowDxfId="73" dataCellStyle="Monétaire">
      <calculatedColumnFormula array="1">cout_km[coutant KM]</calculatedColumnFormula>
    </tableColumn>
    <tableColumn id="5" xr3:uid="{5EEEF233-B60D-461C-AD4B-98A4A7F50EE7}" name="Total" totalsRowFunction="sum" dataDxfId="70" totalsRowDxfId="71" dataCellStyle="Monétaire">
      <calculatedColumnFormula>tab_mob_geo[[#This Row],[QTE]]*tab_mob_geo[[#This Row],[Distance(Km)]]</calculatedColumnFormula>
    </tableColumn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DC174F-1FE6-4A96-A51B-B4D34D600F01}" name="Cond_gen" displayName="Cond_gen" ref="B4:F15" totalsRowCount="1" headerRowDxfId="269" dataDxfId="268" totalsRowDxfId="267">
  <autoFilter ref="B4:F14" xr:uid="{75DC174F-1FE6-4A96-A51B-B4D34D600F01}"/>
  <tableColumns count="5">
    <tableColumn id="1" xr3:uid="{F3F092E4-C10A-46BB-8A98-7D7503A049D6}" name="FRAIS PROFESSIONNELS" dataDxfId="266" totalsRowDxfId="13" dataCellStyle="Style 1"/>
    <tableColumn id="2" xr3:uid="{103F4C48-4ACC-4452-88AA-4854CB0F9074}" name="Prix UN" dataDxfId="265" totalsRowDxfId="12" dataCellStyle="Monétaire"/>
    <tableColumn id="3" xr3:uid="{79754726-C69B-4A40-882D-A404E2E25A6E}" name="QTE" dataDxfId="264" totalsRowDxfId="11"/>
    <tableColumn id="5" xr3:uid="{025B43A2-87D6-4D9D-887F-36CD89016E23}" name="." dataDxfId="263" totalsRowDxfId="10"/>
    <tableColumn id="4" xr3:uid="{67955532-9B5B-4910-AC54-F1A631A3746E}" name="Total" totalsRowFunction="custom" dataDxfId="262" totalsRowDxfId="9" dataCellStyle="Monétaire">
      <calculatedColumnFormula>Cond_gen[[#This Row],[Prix UN]]*Cond_gen[[#This Row],[QTE]]</calculatedColumnFormula>
      <totalsRowFormula>SUM(Cond_gen[Total])</totalsRowFormula>
    </tableColumn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4E2D62A-90A6-471E-A410-A6B29E60F60D}" name="ogr_chantier" displayName="ogr_chantier" ref="H17:L27" totalsRowCount="1" headerRowDxfId="261" dataDxfId="260" totalsRowDxfId="258" tableBorderDxfId="259">
  <autoFilter ref="H17:L26" xr:uid="{54E2D62A-90A6-471E-A410-A6B29E60F60D}"/>
  <tableColumns count="5">
    <tableColumn id="1" xr3:uid="{260A43D1-6ADC-419E-8286-E11B9753766E}" name="ORGANISATION DE CHANTIER" dataDxfId="257" totalsRowDxfId="256" dataCellStyle="Style 1"/>
    <tableColumn id="2" xr3:uid="{AFAF1647-7D83-43F6-8FF5-8237672A2FF9}" name="Prix UN" dataDxfId="255" totalsRowDxfId="254" dataCellStyle="Monétaire"/>
    <tableColumn id="3" xr3:uid="{B0153C73-F979-4D43-ABB7-A76B3EA6756E}" name="QTE" dataDxfId="253" totalsRowDxfId="252"/>
    <tableColumn id="4" xr3:uid="{567E76DA-CB83-4200-A4D3-ED5E023A2346}" name="." dataDxfId="251" totalsRowDxfId="250"/>
    <tableColumn id="5" xr3:uid="{9350C11B-AC16-4CD9-A86A-5719ECBB26B9}" name="Total" totalsRowFunction="sum" dataDxfId="249" totalsRowDxfId="248" dataCellStyle="Monétaire">
      <calculatedColumnFormula>ogr_chantier[[#This Row],[Prix UN]]*ogr_chantier[[#This Row],[QTE]]</calculatedColumnFormula>
    </tableColumn>
  </tableColumns>
  <tableStyleInfo name="TableStyleLight1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53B2B51-3CA2-48A0-A826-FEA0DC945832}" name="perso_gestion" displayName="perso_gestion" ref="B17:F27" totalsRowCount="1" headerRowDxfId="247" dataDxfId="246" totalsRowDxfId="244" tableBorderDxfId="245">
  <autoFilter ref="B17:F26" xr:uid="{D53B2B51-3CA2-48A0-A826-FEA0DC945832}"/>
  <tableColumns count="5">
    <tableColumn id="1" xr3:uid="{7EC4F439-4D6A-474C-B413-C8D1EB8BB434}" name="PERSONNEL" dataDxfId="243" totalsRowDxfId="242"/>
    <tableColumn id="2" xr3:uid="{0A92B2EE-81EC-49B5-ADF7-78B10F26043D}" name="Prix UN" dataDxfId="241" totalsRowDxfId="240"/>
    <tableColumn id="3" xr3:uid="{93F91705-40A7-465E-BCA0-46D145BFF820}" name="QTE" dataDxfId="239" totalsRowDxfId="238"/>
    <tableColumn id="4" xr3:uid="{BE29F97F-1CA9-4F41-A2C2-9CEC45F8BD59}" name="." dataDxfId="237" totalsRowDxfId="236"/>
    <tableColumn id="5" xr3:uid="{E677DEB4-FD0D-4E68-AA96-870D1353C5FE}" name="Total" totalsRowFunction="sum" dataDxfId="235" totalsRowDxfId="234" dataCellStyle="Monétaire">
      <calculatedColumnFormula>perso_gestion[[#This Row],[Prix UN]]*perso_gestion[[#This Row],[QTE]]</calculatedColumnFormula>
    </tableColumn>
  </tableColumns>
  <tableStyleInfo name="TableStyleLight1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C806C19-933A-4294-BEDB-00B2114AAB59}" name="Mise_chantier" displayName="Mise_chantier" ref="H4:L15" totalsRowCount="1" headerRowDxfId="233" dataDxfId="232" totalsRowDxfId="230" tableBorderDxfId="231">
  <autoFilter ref="H4:L14" xr:uid="{1C806C19-933A-4294-BEDB-00B2114AAB59}"/>
  <tableColumns count="5">
    <tableColumn id="1" xr3:uid="{8BD3BD44-1575-4E27-BD82-BD41F3D95714}" name="MISE EN CHANTIER" dataDxfId="229" totalsRowDxfId="228" dataCellStyle="Style 1"/>
    <tableColumn id="2" xr3:uid="{4C2D835D-4ADB-43CA-B6E2-3C3A4C8BCF9D}" name="Prix UN" dataDxfId="227" totalsRowDxfId="226" dataCellStyle="Monétaire"/>
    <tableColumn id="3" xr3:uid="{70822B9E-02C4-4C50-810F-9664DE43F3D7}" name="QTE" dataDxfId="225" totalsRowDxfId="224"/>
    <tableColumn id="4" xr3:uid="{958E0BB9-4F03-4BF3-8152-4A0931F7D7F8}" name="." dataDxfId="223" totalsRowDxfId="222"/>
    <tableColumn id="5" xr3:uid="{485405EA-EAA6-45A5-8C87-05B50D87790E}" name="Total" totalsRowFunction="sum" dataDxfId="221" totalsRowDxfId="220" dataCellStyle="Monétaire">
      <calculatedColumnFormula>Cond_gen[[#This Row],[Prix UN]]*Cond_gen[[#This Row],[QTE]]</calculatedColumnFormula>
    </tableColumn>
  </tableColumns>
  <tableStyleInfo name="TableStyleLight1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8375448-28C6-49B3-B157-85AD7004DD5B}" name="loca_equipement" displayName="loca_equipement" ref="N4:S37" totalsRowCount="1" headerRowDxfId="219" dataDxfId="218" totalsRowDxfId="216" tableBorderDxfId="217">
  <autoFilter ref="N4:S36" xr:uid="{48375448-28C6-49B3-B157-85AD7004DD5B}"/>
  <tableColumns count="6">
    <tableColumn id="1" xr3:uid="{E66EFEB9-2CB9-4BA5-857B-B6943666ECCC}" name="LOCATION / INSTALLATION D'ÉQUIPEMENT" dataDxfId="215" totalsRowDxfId="214"/>
    <tableColumn id="2" xr3:uid="{15605D8D-70F4-4705-B945-6DA9D6CBCA3B}" name="Prix UN" dataDxfId="213" totalsRowDxfId="212" dataCellStyle="Monétaire"/>
    <tableColumn id="6" xr3:uid="{70C0BB33-0CA1-41CC-A78D-FACD937B8534}" name="Sous traitant" dataDxfId="211" totalsRowDxfId="210" dataCellStyle="Monétaire"/>
    <tableColumn id="3" xr3:uid="{62BA1240-B4B5-4C2C-9F83-0509331D42FA}" name="QTE" dataDxfId="209" totalsRowDxfId="208"/>
    <tableColumn id="4" xr3:uid="{2B8DF7BC-7D48-4122-A0C7-258573995A37}" name="." dataDxfId="207" totalsRowDxfId="206"/>
    <tableColumn id="5" xr3:uid="{118C435A-8467-4F3A-8547-1F0BCBD392C0}" name="Total" totalsRowFunction="sum" dataDxfId="205" totalsRowDxfId="204" dataCellStyle="Monétaire">
      <calculatedColumnFormula>loca_equipement[[#This Row],[Prix UN]]*loca_equipement[[#This Row],[QTE]]</calculatedColumnFormula>
    </tableColumn>
  </tableColumns>
  <tableStyleInfo name="TableStyleLight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21CA90A-0BCF-44CF-9214-9789F688A085}" name="prep_chantier" displayName="prep_chantier" ref="B29:F37" totalsRowCount="1" headerRowDxfId="203" dataDxfId="202" totalsRowDxfId="200" tableBorderDxfId="201">
  <autoFilter ref="B29:F36" xr:uid="{E21CA90A-0BCF-44CF-9214-9789F688A085}"/>
  <tableColumns count="5">
    <tableColumn id="1" xr3:uid="{6F900F2D-8E6F-472D-AA27-42640DC90983}" name="PRÉPARATION DE CHANTIER" dataDxfId="199" totalsRowDxfId="198"/>
    <tableColumn id="2" xr3:uid="{A79AAE87-782F-4CCE-B2C7-6B651E2BED75}" name="Prix UN" dataDxfId="197" totalsRowDxfId="196"/>
    <tableColumn id="3" xr3:uid="{18575E3E-C035-49E8-BC12-501A8C9D58E3}" name="QTE" dataDxfId="195" totalsRowDxfId="194"/>
    <tableColumn id="4" xr3:uid="{D09B36B8-C20A-4CB6-ACA6-018112279CA6}" name="." dataDxfId="193" totalsRowDxfId="192"/>
    <tableColumn id="5" xr3:uid="{648E4B8A-05DD-4453-89E7-8ECEE256FA97}" name="Total" totalsRowFunction="sum" dataDxfId="191" totalsRowDxfId="190" dataCellStyle="Monétaire">
      <calculatedColumnFormula>prep_chantier[[#This Row],[Prix UN]]*prep_chantier[[#This Row],[QTE]]</calculatedColumnFormula>
    </tableColumn>
  </tableColumns>
  <tableStyleInfo name="TableStyleLight1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75579EE-EBB4-41E7-A27B-D8AE79C527AF}" name="cond_hiver" displayName="cond_hiver" ref="H29:L37" totalsRowCount="1" headerRowDxfId="189" dataDxfId="188" totalsRowDxfId="186" tableBorderDxfId="187">
  <autoFilter ref="H29:L36" xr:uid="{E75579EE-EBB4-41E7-A27B-D8AE79C527AF}"/>
  <tableColumns count="5">
    <tableColumn id="1" xr3:uid="{E94A0573-51C1-4AF8-BA48-EC3B3BDE626E}" name="CONDITIONS D'HIVER" dataDxfId="185" totalsRowDxfId="184"/>
    <tableColumn id="2" xr3:uid="{65574DDE-8B8E-4AD2-87A1-BEB8F4488D2F}" name="Prix UN" dataDxfId="183" totalsRowDxfId="182"/>
    <tableColumn id="3" xr3:uid="{AF82E6E5-F56F-4FBD-9761-DBB7E3004BD9}" name="QTE" dataDxfId="181" totalsRowDxfId="180"/>
    <tableColumn id="4" xr3:uid="{70BC9CBB-B0F8-4238-BE2F-25A24A33E75E}" name="." dataDxfId="179" totalsRowDxfId="178"/>
    <tableColumn id="5" xr3:uid="{0496EEF1-E7BD-47E6-9EC2-C9A3136641D2}" name="Total" totalsRowFunction="sum" dataDxfId="177" totalsRowDxfId="176" dataCellStyle="Monétaire">
      <calculatedColumnFormula>cond_hiver[[#This Row],[Prix UN]]*cond_hiver[[#This Row],[QTE]]</calculatedColumnFormula>
    </tableColumn>
  </tableColumns>
  <tableStyleInfo name="TableStyleLight1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F1C3D0-4C6C-4B40-9FF5-2B0773162FF1}" name="sous_traitance" displayName="sous_traitance" ref="B3:H29" totalsRowCount="1">
  <autoFilter ref="B3:H28" xr:uid="{7DF1C3D0-4C6C-4B40-9FF5-2B0773162FF1}"/>
  <tableColumns count="7">
    <tableColumn id="1" xr3:uid="{989BF783-C169-4DC3-8784-3A527C554C88}" name="ref plan"/>
    <tableColumn id="2" xr3:uid="{1F8D01FC-41C1-42EB-88F0-CE7C3AE05AA3}" name="type de travaux"/>
    <tableColumn id="3" xr3:uid="{0173CA55-01C8-48B8-B01A-796BACAC8396}" name="sous traitant"/>
    <tableColumn id="4" xr3:uid="{3E784A70-9C24-4B39-8A44-5F312D63A531}" name="Prix" totalsRowDxfId="175" dataCellStyle="Monétaire"/>
    <tableColumn id="5" xr3:uid="{9EB3EFD0-7EB1-4146-ADE8-8C7B83B5FF73}" name="QTE" dataDxfId="174" totalsRowDxfId="173"/>
    <tableColumn id="7" xr3:uid="{FD054DEE-5485-4736-BE3D-D0DAA61C3C46}" name="." dataDxfId="172" totalsRowDxfId="171"/>
    <tableColumn id="6" xr3:uid="{6E14C9A7-20D8-44F8-BBD4-D6AF638991CF}" name="Total" totalsRowFunction="custom" dataDxfId="170" totalsRowDxfId="169" dataCellStyle="Monétaire">
      <calculatedColumnFormula>sous_traitance[[#This Row],[Prix]]*sous_traitance[[#This Row],[QTE]]</calculatedColumnFormula>
      <totalsRowFormula>SUM(sous_traitance[Total])</totalsRowFormula>
    </tableColumn>
  </tableColumns>
  <tableStyleInfo name="TableStyleLight16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BFF98C6-E90B-40A5-A8E6-388BE5C9AD66}" name="contact" displayName="contact" ref="B2:G12" totalsRowShown="0" headerRowDxfId="168" dataDxfId="167">
  <autoFilter ref="B2:G12" xr:uid="{0BFF98C6-E90B-40A5-A8E6-388BE5C9AD66}"/>
  <tableColumns count="6">
    <tableColumn id="2" xr3:uid="{7AD6312F-6D1C-4BF0-8F65-95232D960246}" name="Métier" dataDxfId="166"/>
    <tableColumn id="1" xr3:uid="{630F38F5-A2A7-401A-8B70-1216DA03F32D}" name="Nom" dataDxfId="165"/>
    <tableColumn id="6" xr3:uid="{CA49E024-8401-42C6-81ED-46F48C0C87D3}" name="Nom enteprise" dataDxfId="164"/>
    <tableColumn id="3" xr3:uid="{D6020912-5532-4A6E-BF3F-7874BFF8AF1F}" name="Téléphone" dataDxfId="163"/>
    <tableColumn id="4" xr3:uid="{8D32D02C-B655-4186-96E7-4AC89BF6373A}" name="Adresse Courriel" dataDxfId="162"/>
    <tableColumn id="5" xr3:uid="{6E91C00B-F379-437A-B8F1-184DADC8538E}" name="Emplacement" dataDxfId="161"/>
  </tableColumns>
  <tableStyleInfo name="TableStyleLight2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462C82-6E38-4B5C-8CFE-1CA4F75C8223}" name="type_travaux" displayName="type_travaux" ref="A1:A6" totalsRowShown="0" headerRowDxfId="160" dataDxfId="159">
  <autoFilter ref="A1:A6" xr:uid="{52462C82-6E38-4B5C-8CFE-1CA4F75C8223}"/>
  <tableColumns count="1">
    <tableColumn id="1" xr3:uid="{A2A5E888-2CD2-485B-B20B-7214BE3AF501}" name="type de travaux" dataDxfId="158"/>
  </tableColumns>
  <tableStyleInfo name="TableStyleLight1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4D813C-CBF7-4797-9170-A0CB1141518B}" name="Type_ouvrier" displayName="Type_ouvrier" ref="C1:D5" totalsRowShown="0">
  <autoFilter ref="C1:D5" xr:uid="{EE4D813C-CBF7-4797-9170-A0CB1141518B}"/>
  <tableColumns count="2">
    <tableColumn id="1" xr3:uid="{4A16FA5E-456D-4D8D-A8CA-6A0A56569836}" name="Type Ouvrier"/>
    <tableColumn id="2" xr3:uid="{EC359A3B-DF38-4A1A-8326-5529814A6856}" name="salaire" dataDxfId="0" dataCellStyle="Monétaire"/>
  </tableColumns>
  <tableStyleInfo name="TableStyleLight17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C00BCA2-FA14-4B13-A454-1BF1754443A1}" name="Transport" displayName="Transport" ref="F1:F3" totalsRowShown="0">
  <autoFilter ref="F1:F3" xr:uid="{AC00BCA2-FA14-4B13-A454-1BF1754443A1}"/>
  <tableColumns count="1">
    <tableColumn id="1" xr3:uid="{2A4E1285-C2B9-4D39-AB4B-37A58A399429}" name="Transport"/>
  </tableColumns>
  <tableStyleInfo name="TableStyleLight17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3BD78FC-F879-46D7-BFD6-639DA12385A7}" name="cout_km" displayName="cout_km" ref="H1:H2" totalsRowShown="0">
  <autoFilter ref="H1:H2" xr:uid="{63BD78FC-F879-46D7-BFD6-639DA12385A7}"/>
  <tableColumns count="1">
    <tableColumn id="1" xr3:uid="{868B9AC8-FB74-4411-A879-A88E875DBA85}" name="coutant KM"/>
  </tableColumns>
  <tableStyleInfo name="TableStyleLight17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56B64DB-71AF-41D2-A0BD-5887AD12DC35}" name="unité" displayName="unité" ref="J1:J13" totalsRowShown="0">
  <autoFilter ref="J1:J13" xr:uid="{B56B64DB-71AF-41D2-A0BD-5887AD12DC35}"/>
  <tableColumns count="1">
    <tableColumn id="1" xr3:uid="{B1C2448A-8778-4425-B626-F075E21CFC09}" name="Unité"/>
  </tableColumns>
  <tableStyleInfo name="TableStyleLight17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5EF4227-6E40-4534-BE0E-24A716726AF3}" name="auto_accessoire" displayName="auto_accessoire" ref="L1:N34" totalsRowShown="0">
  <autoFilter ref="L1:N34" xr:uid="{95EF4227-6E40-4534-BE0E-24A716726AF3}"/>
  <tableColumns count="3">
    <tableColumn id="1" xr3:uid="{A616207C-96AC-48AF-9650-B03E04027F84}" name="materiel princ"/>
    <tableColumn id="3" xr3:uid="{C5F1A613-F000-4189-98CF-752B997785F8}" name="accessoire"/>
    <tableColumn id="2" xr3:uid="{329466CE-3522-4E47-87A6-1155AD05049A}" name="QTE"/>
  </tableColumns>
  <tableStyleInfo name="TableStyleLight17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4A330C3-289C-4402-A7AC-D956F8650C3D}" name="Tableau29" displayName="Tableau29" ref="P1:Q2" totalsRowShown="0">
  <autoFilter ref="P1:Q2" xr:uid="{34A330C3-289C-4402-A7AC-D956F8650C3D}"/>
  <tableColumns count="2">
    <tableColumn id="1" xr3:uid="{6FD8FA21-F3C8-4362-8885-22D874848852}" name="temps travaux"/>
    <tableColumn id="2" xr3:uid="{190E4D6F-5513-46DA-ADD5-1714D5AF9586}" name="Hrs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9.xml"/><Relationship Id="rId3" Type="http://schemas.openxmlformats.org/officeDocument/2006/relationships/table" Target="../tables/table14.xml"/><Relationship Id="rId7" Type="http://schemas.openxmlformats.org/officeDocument/2006/relationships/table" Target="../tables/table18.xml"/><Relationship Id="rId2" Type="http://schemas.openxmlformats.org/officeDocument/2006/relationships/table" Target="../tables/table13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17.xml"/><Relationship Id="rId5" Type="http://schemas.openxmlformats.org/officeDocument/2006/relationships/table" Target="../tables/table16.xml"/><Relationship Id="rId4" Type="http://schemas.openxmlformats.org/officeDocument/2006/relationships/table" Target="../tables/table15.xml"/><Relationship Id="rId9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hyperlink" Target="mailto:m.dumoulin@dumoulinisolation.ca" TargetMode="External"/><Relationship Id="rId7" Type="http://schemas.openxmlformats.org/officeDocument/2006/relationships/hyperlink" Target="mailto:ylabadie@regulvar.com" TargetMode="External"/><Relationship Id="rId2" Type="http://schemas.openxmlformats.org/officeDocument/2006/relationships/hyperlink" Target="mailto:polydex@polydex.ca" TargetMode="External"/><Relationship Id="rId1" Type="http://schemas.openxmlformats.org/officeDocument/2006/relationships/hyperlink" Target="mailto:maximebergeron@servitrol1994.com" TargetMode="External"/><Relationship Id="rId6" Type="http://schemas.openxmlformats.org/officeDocument/2006/relationships/hyperlink" Target="mailto:estimation@calorifugeagedelestrie.ca" TargetMode="External"/><Relationship Id="rId5" Type="http://schemas.openxmlformats.org/officeDocument/2006/relationships/hyperlink" Target="mailto:info@isolationtrifluvienne.com" TargetMode="External"/><Relationship Id="rId4" Type="http://schemas.openxmlformats.org/officeDocument/2006/relationships/hyperlink" Target="mailto:estimation@groupedanco.com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7" Type="http://schemas.openxmlformats.org/officeDocument/2006/relationships/table" Target="../tables/table28.xml"/><Relationship Id="rId2" Type="http://schemas.openxmlformats.org/officeDocument/2006/relationships/table" Target="../tables/table23.xml"/><Relationship Id="rId1" Type="http://schemas.openxmlformats.org/officeDocument/2006/relationships/table" Target="../tables/table22.xml"/><Relationship Id="rId6" Type="http://schemas.openxmlformats.org/officeDocument/2006/relationships/table" Target="../tables/table27.xml"/><Relationship Id="rId5" Type="http://schemas.openxmlformats.org/officeDocument/2006/relationships/table" Target="../tables/table26.xml"/><Relationship Id="rId4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6BF01-0CF5-4303-BA66-161EC97ECED4}">
  <sheetPr codeName="Feuil1"/>
  <dimension ref="B1:D21"/>
  <sheetViews>
    <sheetView workbookViewId="0">
      <selection activeCell="H12" sqref="H12"/>
    </sheetView>
  </sheetViews>
  <sheetFormatPr baseColWidth="10" defaultColWidth="11.42578125" defaultRowHeight="15" x14ac:dyDescent="0.25"/>
  <cols>
    <col min="2" max="2" width="32.85546875" customWidth="1"/>
    <col min="3" max="3" width="2.5703125" customWidth="1"/>
    <col min="4" max="4" width="45.7109375" customWidth="1"/>
  </cols>
  <sheetData>
    <row r="1" spans="2:4" ht="15.75" thickBot="1" x14ac:dyDescent="0.3"/>
    <row r="2" spans="2:4" ht="20.25" thickBot="1" x14ac:dyDescent="0.35">
      <c r="B2" s="80" t="s">
        <v>235</v>
      </c>
      <c r="C2" s="81"/>
      <c r="D2" s="82"/>
    </row>
    <row r="3" spans="2:4" x14ac:dyDescent="0.25">
      <c r="B3" s="87" t="s">
        <v>0</v>
      </c>
      <c r="C3" s="88"/>
      <c r="D3" s="89" t="s">
        <v>1</v>
      </c>
    </row>
    <row r="4" spans="2:4" x14ac:dyDescent="0.25">
      <c r="B4" s="90" t="s">
        <v>2</v>
      </c>
      <c r="C4" s="91"/>
      <c r="D4" s="92" t="s">
        <v>3</v>
      </c>
    </row>
    <row r="5" spans="2:4" x14ac:dyDescent="0.25">
      <c r="B5" s="87" t="s">
        <v>4</v>
      </c>
      <c r="C5" s="88"/>
      <c r="D5" s="89" t="s">
        <v>5</v>
      </c>
    </row>
    <row r="6" spans="2:4" x14ac:dyDescent="0.25">
      <c r="B6" s="90" t="s">
        <v>6</v>
      </c>
      <c r="C6" s="91"/>
      <c r="D6" s="92" t="s">
        <v>7</v>
      </c>
    </row>
    <row r="7" spans="2:4" x14ac:dyDescent="0.25">
      <c r="B7" s="87" t="s">
        <v>8</v>
      </c>
      <c r="C7" s="88"/>
      <c r="D7" s="89" t="s">
        <v>9</v>
      </c>
    </row>
    <row r="8" spans="2:4" x14ac:dyDescent="0.25">
      <c r="B8" s="90" t="s">
        <v>10</v>
      </c>
      <c r="C8" s="91"/>
      <c r="D8" s="92" t="s">
        <v>11</v>
      </c>
    </row>
    <row r="9" spans="2:4" x14ac:dyDescent="0.25">
      <c r="B9" s="87" t="s">
        <v>12</v>
      </c>
      <c r="C9" s="88"/>
      <c r="D9" s="89" t="s">
        <v>13</v>
      </c>
    </row>
    <row r="10" spans="2:4" x14ac:dyDescent="0.25">
      <c r="B10" s="90" t="s">
        <v>14</v>
      </c>
      <c r="C10" s="91"/>
      <c r="D10" s="92" t="s">
        <v>15</v>
      </c>
    </row>
    <row r="11" spans="2:4" x14ac:dyDescent="0.25">
      <c r="B11" s="87" t="s">
        <v>16</v>
      </c>
      <c r="C11" s="88"/>
      <c r="D11" s="89" t="s">
        <v>15</v>
      </c>
    </row>
    <row r="12" spans="2:4" x14ac:dyDescent="0.25">
      <c r="B12" s="90" t="s">
        <v>17</v>
      </c>
      <c r="C12" s="91"/>
      <c r="D12" s="92" t="s">
        <v>13</v>
      </c>
    </row>
    <row r="13" spans="2:4" x14ac:dyDescent="0.25">
      <c r="B13" s="87" t="s">
        <v>18</v>
      </c>
      <c r="C13" s="88"/>
      <c r="D13" s="89" t="s">
        <v>15</v>
      </c>
    </row>
    <row r="14" spans="2:4" x14ac:dyDescent="0.25">
      <c r="B14" s="90" t="s">
        <v>19</v>
      </c>
      <c r="C14" s="91"/>
      <c r="D14" s="92" t="s">
        <v>13</v>
      </c>
    </row>
    <row r="15" spans="2:4" x14ac:dyDescent="0.25">
      <c r="B15" s="87" t="s">
        <v>20</v>
      </c>
      <c r="C15" s="88"/>
      <c r="D15" s="89" t="s">
        <v>21</v>
      </c>
    </row>
    <row r="16" spans="2:4" x14ac:dyDescent="0.25">
      <c r="B16" s="93"/>
      <c r="C16" s="94"/>
      <c r="D16" s="95"/>
    </row>
    <row r="17" spans="2:4" ht="15.75" thickBot="1" x14ac:dyDescent="0.3">
      <c r="B17" s="84"/>
      <c r="C17" s="85"/>
      <c r="D17" s="86"/>
    </row>
    <row r="18" spans="2:4" ht="15.75" thickBot="1" x14ac:dyDescent="0.3">
      <c r="B18" s="96" t="s">
        <v>22</v>
      </c>
      <c r="C18" s="97"/>
      <c r="D18" s="98" t="s">
        <v>23</v>
      </c>
    </row>
    <row r="19" spans="2:4" x14ac:dyDescent="0.25">
      <c r="B19" s="87" t="s">
        <v>24</v>
      </c>
      <c r="C19" s="88"/>
      <c r="D19" s="89" t="s">
        <v>25</v>
      </c>
    </row>
    <row r="20" spans="2:4" x14ac:dyDescent="0.25">
      <c r="B20" s="90" t="s">
        <v>26</v>
      </c>
      <c r="C20" s="91"/>
      <c r="D20" s="92" t="s">
        <v>27</v>
      </c>
    </row>
    <row r="21" spans="2:4" x14ac:dyDescent="0.25">
      <c r="B21" s="87" t="s">
        <v>28</v>
      </c>
      <c r="C21" s="88"/>
      <c r="D21" s="89">
        <v>0</v>
      </c>
    </row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4A79C-C5E8-4837-8A17-197C22D0D53D}">
  <sheetPr codeName="Feuil2">
    <tabColor theme="3" tint="0.499984740745262"/>
  </sheetPr>
  <dimension ref="B1:BN101"/>
  <sheetViews>
    <sheetView workbookViewId="0">
      <selection activeCell="D4" sqref="D4"/>
    </sheetView>
  </sheetViews>
  <sheetFormatPr baseColWidth="10" defaultColWidth="11.42578125" defaultRowHeight="15" x14ac:dyDescent="0.25"/>
  <cols>
    <col min="2" max="2" width="17.85546875" style="8" customWidth="1"/>
    <col min="3" max="3" width="7.7109375" style="8" customWidth="1"/>
    <col min="4" max="4" width="69.7109375" style="6" customWidth="1"/>
    <col min="5" max="5" width="15.42578125" style="8" customWidth="1"/>
    <col min="6" max="6" width="8.42578125" customWidth="1"/>
    <col min="7" max="7" width="12" style="6" customWidth="1"/>
    <col min="9" max="9" width="12.85546875" style="8" customWidth="1"/>
    <col min="10" max="10" width="3.5703125" style="6" customWidth="1"/>
    <col min="11" max="11" width="8.28515625" style="7" customWidth="1"/>
    <col min="12" max="12" width="48.85546875" style="6" customWidth="1"/>
    <col min="13" max="13" width="9.7109375" style="6" customWidth="1"/>
    <col min="14" max="14" width="10.28515625" customWidth="1"/>
    <col min="15" max="15" width="15.140625" style="8" customWidth="1"/>
    <col min="16" max="16" width="9.85546875" customWidth="1"/>
    <col min="17" max="17" width="16.140625" style="6" customWidth="1"/>
    <col min="18" max="18" width="3" style="8" customWidth="1"/>
    <col min="19" max="19" width="17.85546875" style="8" customWidth="1"/>
    <col min="20" max="20" width="12.5703125" style="7" customWidth="1"/>
    <col min="21" max="21" width="14" style="7" customWidth="1"/>
    <col min="22" max="22" width="9.140625" style="6" customWidth="1"/>
    <col min="23" max="23" width="21.85546875" style="6" customWidth="1"/>
    <col min="24" max="24" width="11.42578125" style="6"/>
    <col min="25" max="25" width="15.140625" style="6" customWidth="1"/>
    <col min="26" max="26" width="11.42578125" style="6"/>
    <col min="27" max="27" width="11.42578125" style="7"/>
    <col min="28" max="66" width="11.42578125" style="6"/>
  </cols>
  <sheetData>
    <row r="1" spans="2:66" x14ac:dyDescent="0.25">
      <c r="B1" s="8" t="s">
        <v>29</v>
      </c>
      <c r="D1" s="6" t="str">
        <f>'Démarrage de chantier'!D3</f>
        <v>Pav. D2, Scientifique</v>
      </c>
      <c r="F1" s="8"/>
      <c r="H1" s="6"/>
      <c r="I1" s="7"/>
      <c r="K1" s="6"/>
      <c r="M1" s="8"/>
      <c r="N1" s="8"/>
      <c r="P1" s="7"/>
      <c r="Q1" s="7"/>
      <c r="R1" s="6"/>
      <c r="S1" s="6"/>
      <c r="T1" s="6"/>
      <c r="U1" s="6"/>
      <c r="W1" s="7"/>
      <c r="AA1" s="6"/>
      <c r="BK1"/>
      <c r="BL1"/>
      <c r="BM1"/>
      <c r="BN1"/>
    </row>
    <row r="2" spans="2:66" ht="20.25" thickBot="1" x14ac:dyDescent="0.3">
      <c r="B2" s="99" t="s">
        <v>195</v>
      </c>
      <c r="C2" s="99"/>
      <c r="D2" s="99"/>
      <c r="E2" s="99"/>
      <c r="F2" s="99"/>
      <c r="G2" s="99"/>
      <c r="H2" s="99"/>
      <c r="I2" s="99"/>
      <c r="K2" s="99" t="s">
        <v>195</v>
      </c>
      <c r="L2" s="99"/>
      <c r="M2" s="99"/>
      <c r="N2" s="99"/>
      <c r="O2" s="99"/>
      <c r="P2" s="99"/>
      <c r="Q2" s="99"/>
      <c r="R2" s="6"/>
      <c r="S2" s="99" t="s">
        <v>195</v>
      </c>
      <c r="T2" s="99"/>
      <c r="U2" s="99"/>
      <c r="V2" s="99"/>
      <c r="W2" s="99"/>
      <c r="AA2" s="6"/>
      <c r="BK2"/>
      <c r="BL2"/>
      <c r="BM2"/>
      <c r="BN2"/>
    </row>
    <row r="3" spans="2:66" ht="20.25" thickBot="1" x14ac:dyDescent="0.3">
      <c r="B3" s="70" t="s">
        <v>30</v>
      </c>
      <c r="C3" s="71"/>
      <c r="D3" s="71"/>
      <c r="E3" s="71"/>
      <c r="F3" s="71"/>
      <c r="G3" s="71"/>
      <c r="H3" s="71"/>
      <c r="I3" s="72"/>
      <c r="K3" s="70" t="s">
        <v>31</v>
      </c>
      <c r="L3" s="71"/>
      <c r="M3" s="71"/>
      <c r="N3" s="71"/>
      <c r="O3" s="71"/>
      <c r="P3" s="71"/>
      <c r="Q3" s="72"/>
      <c r="R3" s="6"/>
      <c r="S3" s="70" t="s">
        <v>32</v>
      </c>
      <c r="T3" s="71"/>
      <c r="U3" s="71"/>
      <c r="V3" s="71"/>
      <c r="W3" s="72"/>
      <c r="AA3" s="6"/>
      <c r="BK3"/>
      <c r="BL3"/>
      <c r="BM3"/>
      <c r="BN3"/>
    </row>
    <row r="4" spans="2:66" ht="26.25" customHeight="1" x14ac:dyDescent="0.25">
      <c r="B4" s="8" t="s">
        <v>137</v>
      </c>
      <c r="C4" s="8" t="s">
        <v>33</v>
      </c>
      <c r="D4" s="8" t="s">
        <v>34</v>
      </c>
      <c r="E4" s="8" t="s">
        <v>35</v>
      </c>
      <c r="F4" s="8" t="s">
        <v>37</v>
      </c>
      <c r="G4" s="8" t="s">
        <v>36</v>
      </c>
      <c r="H4" s="8" t="s">
        <v>38</v>
      </c>
      <c r="I4" s="9" t="s">
        <v>39</v>
      </c>
      <c r="K4" s="8" t="s">
        <v>33</v>
      </c>
      <c r="L4" s="8" t="s">
        <v>40</v>
      </c>
      <c r="M4" s="8" t="s">
        <v>41</v>
      </c>
      <c r="N4" s="8" t="s">
        <v>42</v>
      </c>
      <c r="O4" s="8" t="s">
        <v>43</v>
      </c>
      <c r="P4" s="9" t="s">
        <v>44</v>
      </c>
      <c r="Q4" s="9" t="s">
        <v>39</v>
      </c>
      <c r="R4" s="6"/>
      <c r="S4" s="8" t="s">
        <v>45</v>
      </c>
      <c r="T4" s="8" t="s">
        <v>35</v>
      </c>
      <c r="U4" s="8" t="s">
        <v>46</v>
      </c>
      <c r="V4" s="8" t="s">
        <v>47</v>
      </c>
      <c r="W4" s="9" t="s">
        <v>39</v>
      </c>
      <c r="AA4" s="6"/>
      <c r="BK4"/>
      <c r="BL4"/>
      <c r="BM4"/>
      <c r="BN4"/>
    </row>
    <row r="5" spans="2:66" ht="11.25" customHeight="1" x14ac:dyDescent="0.25">
      <c r="B5" s="8" t="s">
        <v>48</v>
      </c>
      <c r="C5" s="8" t="s">
        <v>49</v>
      </c>
      <c r="D5" s="6" t="s">
        <v>50</v>
      </c>
      <c r="E5" s="8">
        <v>324</v>
      </c>
      <c r="F5" s="8" t="s">
        <v>206</v>
      </c>
      <c r="G5" s="10">
        <v>0.1</v>
      </c>
      <c r="H5" s="7">
        <v>33.19</v>
      </c>
      <c r="I5" s="7">
        <f>(tab_mat_plom[[#This Row],[QTE]]*tab_mat_plom[[#This Row],[Prix ]])+(tab_mat_plom[[#This Row],[QTE]]*tab_mat_plom[[#This Row],[% de perte]])</f>
        <v>10785.96</v>
      </c>
      <c r="K5" s="6"/>
      <c r="L5" s="6" t="s">
        <v>51</v>
      </c>
      <c r="M5" s="8">
        <v>3</v>
      </c>
      <c r="N5" s="8">
        <v>2</v>
      </c>
      <c r="O5" s="8" t="s">
        <v>52</v>
      </c>
      <c r="P5" s="7">
        <v>80</v>
      </c>
      <c r="Q5" s="7">
        <f>Tab_MD_plom[[#This Row],[QTE Hrs]]*Tab_MD_plom[[#This Row],[Salaire]]</f>
        <v>240</v>
      </c>
      <c r="R5" s="6"/>
      <c r="S5" s="6" t="s">
        <v>32</v>
      </c>
      <c r="T5" s="6">
        <v>0</v>
      </c>
      <c r="U5" s="6">
        <v>25</v>
      </c>
      <c r="V5" s="7" cm="1">
        <f t="array" ref="V5">cout_km[coutant KM]</f>
        <v>0.57999999999999996</v>
      </c>
      <c r="W5" s="7">
        <f>tab_mob_plom[[#This Row],[QTE]]*tab_mob_plom[[#This Row],[Distance(Km)]]</f>
        <v>0</v>
      </c>
      <c r="AA5" s="6"/>
      <c r="BK5"/>
      <c r="BL5"/>
      <c r="BM5"/>
      <c r="BN5"/>
    </row>
    <row r="6" spans="2:66" ht="11.25" customHeight="1" x14ac:dyDescent="0.25">
      <c r="B6" s="8" t="s">
        <v>48</v>
      </c>
      <c r="C6" s="8" t="s">
        <v>49</v>
      </c>
      <c r="D6" s="6" t="s">
        <v>53</v>
      </c>
      <c r="E6" s="8">
        <v>14</v>
      </c>
      <c r="F6" s="8" t="s">
        <v>208</v>
      </c>
      <c r="G6" s="10">
        <v>0</v>
      </c>
      <c r="H6" s="7">
        <v>73.44</v>
      </c>
      <c r="I6" s="7">
        <f>(tab_mat_plom[[#This Row],[QTE]]*tab_mat_plom[[#This Row],[Prix ]])+(tab_mat_plom[[#This Row],[QTE]]*tab_mat_plom[[#This Row],[% de perte]])</f>
        <v>1028.1599999999999</v>
      </c>
      <c r="K6" s="6" t="s">
        <v>49</v>
      </c>
      <c r="L6" s="6" t="s">
        <v>54</v>
      </c>
      <c r="M6" s="8">
        <v>10</v>
      </c>
      <c r="N6" s="8">
        <v>2</v>
      </c>
      <c r="P6" s="7">
        <v>80</v>
      </c>
      <c r="Q6" s="7">
        <f>Tab_MD_plom[[#This Row],[QTE Hrs]]*Tab_MD_plom[[#This Row],[Salaire]]</f>
        <v>800</v>
      </c>
      <c r="R6" s="6"/>
      <c r="S6" s="6"/>
      <c r="T6" s="6"/>
      <c r="U6" s="6"/>
      <c r="V6" s="7" cm="1">
        <f t="array" ref="V6">cout_km[coutant KM]</f>
        <v>0.57999999999999996</v>
      </c>
      <c r="W6" s="7">
        <f>tab_mob_plom[[#This Row],[QTE]]*tab_mob_plom[[#This Row],[Distance(Km)]]</f>
        <v>0</v>
      </c>
      <c r="AA6" s="6"/>
      <c r="BK6"/>
      <c r="BL6"/>
      <c r="BM6"/>
      <c r="BN6"/>
    </row>
    <row r="7" spans="2:66" ht="11.25" customHeight="1" x14ac:dyDescent="0.25">
      <c r="B7" s="8" t="s">
        <v>48</v>
      </c>
      <c r="C7" s="8" t="s">
        <v>49</v>
      </c>
      <c r="D7" s="6" t="s">
        <v>55</v>
      </c>
      <c r="E7" s="8">
        <v>9</v>
      </c>
      <c r="F7" s="8" t="s">
        <v>208</v>
      </c>
      <c r="G7" s="10">
        <v>0</v>
      </c>
      <c r="H7" s="7">
        <v>31.44</v>
      </c>
      <c r="I7" s="7">
        <f>(tab_mat_plom[[#This Row],[QTE]]*tab_mat_plom[[#This Row],[Prix ]])+(tab_mat_plom[[#This Row],[QTE]]*tab_mat_plom[[#This Row],[% de perte]])</f>
        <v>282.96000000000004</v>
      </c>
      <c r="K7" s="6" t="s">
        <v>49</v>
      </c>
      <c r="L7" s="6" t="s">
        <v>56</v>
      </c>
      <c r="M7" s="8">
        <v>12</v>
      </c>
      <c r="N7" s="8">
        <v>2</v>
      </c>
      <c r="P7" s="7">
        <v>80</v>
      </c>
      <c r="Q7" s="7">
        <f>Tab_MD_plom[[#This Row],[QTE Hrs]]*Tab_MD_plom[[#This Row],[Salaire]]</f>
        <v>960</v>
      </c>
      <c r="R7" s="6"/>
      <c r="S7" s="6"/>
      <c r="T7" s="6"/>
      <c r="U7" s="6"/>
      <c r="V7" s="7" cm="1">
        <f t="array" ref="V7">cout_km[coutant KM]</f>
        <v>0.57999999999999996</v>
      </c>
      <c r="W7" s="7">
        <f>tab_mob_plom[[#This Row],[QTE]]*tab_mob_plom[[#This Row],[Distance(Km)]]</f>
        <v>0</v>
      </c>
      <c r="AA7" s="6"/>
      <c r="BK7"/>
      <c r="BL7"/>
      <c r="BM7"/>
      <c r="BN7"/>
    </row>
    <row r="8" spans="2:66" ht="11.25" customHeight="1" x14ac:dyDescent="0.25">
      <c r="B8" s="8" t="s">
        <v>48</v>
      </c>
      <c r="C8" s="8" t="s">
        <v>49</v>
      </c>
      <c r="D8" s="6" t="s">
        <v>57</v>
      </c>
      <c r="E8" s="8">
        <v>108</v>
      </c>
      <c r="F8" s="8" t="s">
        <v>208</v>
      </c>
      <c r="G8" s="10">
        <v>0</v>
      </c>
      <c r="H8" s="7">
        <v>2.13</v>
      </c>
      <c r="I8" s="7">
        <f>(tab_mat_plom[[#This Row],[QTE]]*tab_mat_plom[[#This Row],[Prix ]])+(tab_mat_plom[[#This Row],[QTE]]*tab_mat_plom[[#This Row],[% de perte]])</f>
        <v>230.04</v>
      </c>
      <c r="K8" s="6" t="s">
        <v>58</v>
      </c>
      <c r="L8" s="6" t="s">
        <v>59</v>
      </c>
      <c r="M8" s="8">
        <v>10</v>
      </c>
      <c r="N8" s="8">
        <v>2</v>
      </c>
      <c r="P8" s="7">
        <v>80</v>
      </c>
      <c r="Q8" s="7">
        <f>Tab_MD_plom[[#This Row],[QTE Hrs]]*Tab_MD_plom[[#This Row],[Salaire]]</f>
        <v>800</v>
      </c>
      <c r="R8" s="6"/>
      <c r="S8" s="6"/>
      <c r="T8" s="6"/>
      <c r="U8" s="6"/>
      <c r="V8" s="7" cm="1">
        <f t="array" ref="V8">cout_km[coutant KM]</f>
        <v>0.57999999999999996</v>
      </c>
      <c r="W8" s="7">
        <f>tab_mob_plom[[#This Row],[QTE]]*tab_mob_plom[[#This Row],[Distance(Km)]]</f>
        <v>0</v>
      </c>
      <c r="AA8" s="6"/>
      <c r="BK8"/>
      <c r="BL8"/>
      <c r="BM8"/>
      <c r="BN8"/>
    </row>
    <row r="9" spans="2:66" ht="11.25" customHeight="1" x14ac:dyDescent="0.25">
      <c r="B9" s="8" t="s">
        <v>48</v>
      </c>
      <c r="C9" s="8" t="s">
        <v>58</v>
      </c>
      <c r="D9" s="6" t="s">
        <v>60</v>
      </c>
      <c r="E9" s="8">
        <v>84</v>
      </c>
      <c r="F9" s="8" t="s">
        <v>206</v>
      </c>
      <c r="G9" s="10">
        <v>0.1</v>
      </c>
      <c r="H9" s="7">
        <v>46.2</v>
      </c>
      <c r="I9" s="7">
        <f>(tab_mat_plom[[#This Row],[QTE]]*tab_mat_plom[[#This Row],[Prix ]])+(tab_mat_plom[[#This Row],[QTE]]*tab_mat_plom[[#This Row],[% de perte]])</f>
        <v>3889.2000000000003</v>
      </c>
      <c r="K9" s="6" t="s">
        <v>58</v>
      </c>
      <c r="L9" s="6" t="s">
        <v>61</v>
      </c>
      <c r="M9" s="8">
        <v>2</v>
      </c>
      <c r="N9" s="8">
        <v>2</v>
      </c>
      <c r="P9" s="7">
        <v>80</v>
      </c>
      <c r="Q9" s="7">
        <f>Tab_MD_plom[[#This Row],[QTE Hrs]]*Tab_MD_plom[[#This Row],[Salaire]]</f>
        <v>160</v>
      </c>
      <c r="R9" s="6"/>
      <c r="S9" s="6"/>
      <c r="T9" s="6"/>
      <c r="U9" s="6"/>
      <c r="V9" s="7" cm="1">
        <f t="array" ref="V9">cout_km[coutant KM]</f>
        <v>0.57999999999999996</v>
      </c>
      <c r="W9" s="7">
        <f>tab_mob_plom[[#This Row],[QTE]]*tab_mob_plom[[#This Row],[Distance(Km)]]</f>
        <v>0</v>
      </c>
      <c r="AA9" s="6"/>
      <c r="BK9"/>
      <c r="BL9"/>
      <c r="BM9"/>
      <c r="BN9"/>
    </row>
    <row r="10" spans="2:66" ht="11.25" customHeight="1" x14ac:dyDescent="0.25">
      <c r="B10" s="8" t="s">
        <v>48</v>
      </c>
      <c r="C10" s="8" t="s">
        <v>58</v>
      </c>
      <c r="D10" s="6" t="s">
        <v>62</v>
      </c>
      <c r="E10" s="8">
        <v>17</v>
      </c>
      <c r="F10" s="8" t="s">
        <v>208</v>
      </c>
      <c r="G10" s="10">
        <v>0</v>
      </c>
      <c r="H10" s="7">
        <v>4.4000000000000004</v>
      </c>
      <c r="I10" s="7">
        <f>(tab_mat_plom[[#This Row],[QTE]]*tab_mat_plom[[#This Row],[Prix ]])+(tab_mat_plom[[#This Row],[QTE]]*tab_mat_plom[[#This Row],[% de perte]])</f>
        <v>74.800000000000011</v>
      </c>
      <c r="K10" s="6" t="s">
        <v>63</v>
      </c>
      <c r="L10" s="6" t="s">
        <v>64</v>
      </c>
      <c r="M10" s="8">
        <v>1.5</v>
      </c>
      <c r="N10" s="8">
        <v>1</v>
      </c>
      <c r="P10" s="7">
        <v>80</v>
      </c>
      <c r="Q10" s="7">
        <f>Tab_MD_plom[[#This Row],[QTE Hrs]]*Tab_MD_plom[[#This Row],[Salaire]]</f>
        <v>120</v>
      </c>
      <c r="R10" s="6"/>
      <c r="S10" s="6"/>
      <c r="T10" s="6"/>
      <c r="U10" s="6"/>
      <c r="V10" s="7" cm="1">
        <f t="array" ref="V10">cout_km[coutant KM]</f>
        <v>0.57999999999999996</v>
      </c>
      <c r="W10" s="7">
        <f>tab_mob_plom[[#This Row],[QTE]]*tab_mob_plom[[#This Row],[Distance(Km)]]</f>
        <v>0</v>
      </c>
      <c r="AA10" s="6"/>
      <c r="BK10"/>
      <c r="BL10"/>
      <c r="BM10"/>
      <c r="BN10"/>
    </row>
    <row r="11" spans="2:66" ht="11.25" customHeight="1" x14ac:dyDescent="0.25">
      <c r="B11" s="8" t="s">
        <v>48</v>
      </c>
      <c r="C11" s="8" t="s">
        <v>58</v>
      </c>
      <c r="D11" s="6" t="s">
        <v>65</v>
      </c>
      <c r="E11" s="8">
        <v>6</v>
      </c>
      <c r="F11" s="8" t="s">
        <v>208</v>
      </c>
      <c r="G11" s="10">
        <v>0</v>
      </c>
      <c r="H11" s="7">
        <v>3.62</v>
      </c>
      <c r="I11" s="7">
        <f>(tab_mat_plom[[#This Row],[QTE]]*tab_mat_plom[[#This Row],[Prix ]])+(tab_mat_plom[[#This Row],[QTE]]*tab_mat_plom[[#This Row],[% de perte]])</f>
        <v>21.72</v>
      </c>
      <c r="K11" s="6"/>
      <c r="L11" s="6" t="s">
        <v>66</v>
      </c>
      <c r="M11" s="8">
        <v>0.25</v>
      </c>
      <c r="N11" s="8">
        <v>1</v>
      </c>
      <c r="P11" s="7">
        <v>80</v>
      </c>
      <c r="Q11" s="7">
        <f>Tab_MD_plom[[#This Row],[QTE Hrs]]*Tab_MD_plom[[#This Row],[Salaire]]</f>
        <v>20</v>
      </c>
      <c r="R11" s="6"/>
      <c r="S11" s="6"/>
      <c r="T11" s="6"/>
      <c r="U11" s="6"/>
      <c r="V11" s="7" cm="1">
        <f t="array" ref="V11">cout_km[coutant KM]</f>
        <v>0.57999999999999996</v>
      </c>
      <c r="W11" s="7">
        <f>tab_mob_plom[[#This Row],[QTE]]*tab_mob_plom[[#This Row],[Distance(Km)]]</f>
        <v>0</v>
      </c>
      <c r="AA11" s="6"/>
      <c r="BK11"/>
      <c r="BL11"/>
      <c r="BM11"/>
      <c r="BN11"/>
    </row>
    <row r="12" spans="2:66" ht="11.25" customHeight="1" x14ac:dyDescent="0.25">
      <c r="B12" s="8" t="s">
        <v>48</v>
      </c>
      <c r="C12" s="8" t="s">
        <v>63</v>
      </c>
      <c r="D12" s="6" t="s">
        <v>67</v>
      </c>
      <c r="E12" s="8">
        <v>12</v>
      </c>
      <c r="F12" s="8" t="s">
        <v>206</v>
      </c>
      <c r="G12" s="10">
        <v>0</v>
      </c>
      <c r="H12" s="7">
        <v>4.1500000000000004</v>
      </c>
      <c r="I12" s="7">
        <f>(tab_mat_plom[[#This Row],[QTE]]*tab_mat_plom[[#This Row],[Prix ]])+(tab_mat_plom[[#This Row],[QTE]]*tab_mat_plom[[#This Row],[% de perte]])</f>
        <v>49.800000000000004</v>
      </c>
      <c r="K12" s="6"/>
      <c r="L12" s="6" t="s">
        <v>68</v>
      </c>
      <c r="M12" s="8">
        <v>0.25</v>
      </c>
      <c r="N12" s="8">
        <v>1</v>
      </c>
      <c r="P12" s="7">
        <v>80</v>
      </c>
      <c r="Q12" s="7">
        <f>Tab_MD_plom[[#This Row],[QTE Hrs]]*Tab_MD_plom[[#This Row],[Salaire]]</f>
        <v>20</v>
      </c>
      <c r="R12" s="6"/>
      <c r="S12" s="6"/>
      <c r="T12" s="6"/>
      <c r="U12" s="6"/>
      <c r="V12" s="7" cm="1">
        <f t="array" ref="V12">cout_km[coutant KM]</f>
        <v>0.57999999999999996</v>
      </c>
      <c r="W12" s="7">
        <f>tab_mob_plom[[#This Row],[QTE]]*tab_mob_plom[[#This Row],[Distance(Km)]]</f>
        <v>0</v>
      </c>
      <c r="AA12" s="6"/>
      <c r="BK12"/>
      <c r="BL12"/>
      <c r="BM12"/>
      <c r="BN12"/>
    </row>
    <row r="13" spans="2:66" ht="11.25" customHeight="1" x14ac:dyDescent="0.25">
      <c r="B13" s="8" t="s">
        <v>48</v>
      </c>
      <c r="C13" s="8" t="s">
        <v>63</v>
      </c>
      <c r="D13" s="6" t="s">
        <v>69</v>
      </c>
      <c r="E13" s="8">
        <v>4</v>
      </c>
      <c r="F13" s="8" t="s">
        <v>208</v>
      </c>
      <c r="G13" s="10">
        <v>0.1</v>
      </c>
      <c r="H13" s="7">
        <v>3.11</v>
      </c>
      <c r="I13" s="7">
        <f>(tab_mat_plom[[#This Row],[QTE]]*tab_mat_plom[[#This Row],[Prix ]])+(tab_mat_plom[[#This Row],[QTE]]*tab_mat_plom[[#This Row],[% de perte]])</f>
        <v>12.84</v>
      </c>
      <c r="K13" s="6"/>
      <c r="L13" s="6" t="s">
        <v>70</v>
      </c>
      <c r="M13" s="8">
        <v>0.25</v>
      </c>
      <c r="N13" s="8">
        <v>1</v>
      </c>
      <c r="P13" s="7">
        <v>80</v>
      </c>
      <c r="Q13" s="7">
        <f>Tab_MD_plom[[#This Row],[QTE Hrs]]*Tab_MD_plom[[#This Row],[Salaire]]</f>
        <v>20</v>
      </c>
      <c r="R13" s="6"/>
      <c r="S13" s="6"/>
      <c r="T13" s="6"/>
      <c r="U13" s="6"/>
      <c r="V13" s="7" cm="1">
        <f t="array" ref="V13">cout_km[coutant KM]</f>
        <v>0.57999999999999996</v>
      </c>
      <c r="W13" s="7">
        <f>tab_mob_plom[[#This Row],[QTE]]*tab_mob_plom[[#This Row],[Distance(Km)]]</f>
        <v>0</v>
      </c>
      <c r="AA13" s="6"/>
      <c r="BK13"/>
      <c r="BL13"/>
      <c r="BM13"/>
      <c r="BN13"/>
    </row>
    <row r="14" spans="2:66" ht="11.25" customHeight="1" x14ac:dyDescent="0.25">
      <c r="B14" s="8" t="s">
        <v>48</v>
      </c>
      <c r="C14" s="8" t="s">
        <v>63</v>
      </c>
      <c r="D14" s="6" t="s">
        <v>71</v>
      </c>
      <c r="E14" s="8">
        <v>2</v>
      </c>
      <c r="F14" s="8" t="s">
        <v>208</v>
      </c>
      <c r="G14" s="10">
        <v>0</v>
      </c>
      <c r="H14" s="7">
        <v>0.98</v>
      </c>
      <c r="I14" s="7">
        <f>(tab_mat_plom[[#This Row],[QTE]]*tab_mat_plom[[#This Row],[Prix ]])+(tab_mat_plom[[#This Row],[QTE]]*tab_mat_plom[[#This Row],[% de perte]])</f>
        <v>1.96</v>
      </c>
      <c r="K14" s="6"/>
      <c r="M14" s="8"/>
      <c r="N14" s="8"/>
      <c r="P14" s="7"/>
      <c r="Q14" s="7">
        <f>Tab_MD_plom[[#This Row],[QTE Hrs]]*Tab_MD_plom[[#This Row],[Salaire]]</f>
        <v>0</v>
      </c>
      <c r="R14" s="6"/>
      <c r="S14" s="6"/>
      <c r="T14" s="6"/>
      <c r="U14" s="6"/>
      <c r="V14" s="7" cm="1">
        <f t="array" ref="V14">cout_km[coutant KM]</f>
        <v>0.57999999999999996</v>
      </c>
      <c r="W14" s="7">
        <f>tab_mob_plom[[#This Row],[QTE]]*tab_mob_plom[[#This Row],[Distance(Km)]]</f>
        <v>0</v>
      </c>
      <c r="AA14" s="6"/>
      <c r="BK14"/>
      <c r="BL14"/>
      <c r="BM14"/>
      <c r="BN14"/>
    </row>
    <row r="15" spans="2:66" ht="11.25" customHeight="1" x14ac:dyDescent="0.25">
      <c r="B15" s="8" t="s">
        <v>48</v>
      </c>
      <c r="C15" s="8" t="s">
        <v>49</v>
      </c>
      <c r="D15" s="6" t="s">
        <v>72</v>
      </c>
      <c r="E15" s="8">
        <v>4</v>
      </c>
      <c r="F15" s="8" t="s">
        <v>208</v>
      </c>
      <c r="G15" s="10">
        <v>0</v>
      </c>
      <c r="H15" s="7">
        <v>592.89</v>
      </c>
      <c r="I15" s="7">
        <f>(tab_mat_plom[[#This Row],[QTE]]*tab_mat_plom[[#This Row],[Prix ]])+(tab_mat_plom[[#This Row],[QTE]]*tab_mat_plom[[#This Row],[% de perte]])</f>
        <v>2371.56</v>
      </c>
      <c r="K15" s="6"/>
      <c r="M15" s="8"/>
      <c r="N15" s="8"/>
      <c r="P15" s="7"/>
      <c r="Q15" s="7">
        <f>Tab_MD_plom[[#This Row],[QTE Hrs]]*Tab_MD_plom[[#This Row],[Salaire]]</f>
        <v>0</v>
      </c>
      <c r="R15" s="6"/>
      <c r="S15" s="6"/>
      <c r="T15" s="6"/>
      <c r="U15" s="6"/>
      <c r="V15" s="7" cm="1">
        <f t="array" ref="V15">cout_km[coutant KM]</f>
        <v>0.57999999999999996</v>
      </c>
      <c r="W15" s="7">
        <f>tab_mob_plom[[#This Row],[QTE]]*tab_mob_plom[[#This Row],[Distance(Km)]]</f>
        <v>0</v>
      </c>
      <c r="AA15" s="6"/>
      <c r="BK15"/>
      <c r="BL15"/>
      <c r="BM15"/>
      <c r="BN15"/>
    </row>
    <row r="16" spans="2:66" ht="11.25" customHeight="1" x14ac:dyDescent="0.25">
      <c r="B16" s="8" t="s">
        <v>48</v>
      </c>
      <c r="C16" s="8" t="s">
        <v>49</v>
      </c>
      <c r="D16" s="12" t="s">
        <v>73</v>
      </c>
      <c r="E16" s="8">
        <v>4</v>
      </c>
      <c r="F16" s="8" t="s">
        <v>208</v>
      </c>
      <c r="G16" s="10">
        <v>0</v>
      </c>
      <c r="H16" s="7">
        <v>115.78</v>
      </c>
      <c r="I16" s="7">
        <f>(tab_mat_plom[[#This Row],[QTE]]*tab_mat_plom[[#This Row],[Prix ]])+(tab_mat_plom[[#This Row],[QTE]]*tab_mat_plom[[#This Row],[% de perte]])</f>
        <v>463.12</v>
      </c>
      <c r="K16" s="6"/>
      <c r="M16" s="8"/>
      <c r="N16" s="8"/>
      <c r="P16" s="7"/>
      <c r="Q16" s="7">
        <f>Tab_MD_plom[[#This Row],[QTE Hrs]]*Tab_MD_plom[[#This Row],[Salaire]]</f>
        <v>0</v>
      </c>
      <c r="R16" s="6"/>
      <c r="S16" s="6"/>
      <c r="T16" s="6"/>
      <c r="U16" s="6"/>
      <c r="V16" s="7" cm="1">
        <f t="array" ref="V16">cout_km[coutant KM]</f>
        <v>0.57999999999999996</v>
      </c>
      <c r="W16" s="7">
        <f>tab_mob_plom[[#This Row],[QTE]]*tab_mob_plom[[#This Row],[Distance(Km)]]</f>
        <v>0</v>
      </c>
      <c r="AA16" s="6"/>
      <c r="BK16"/>
      <c r="BL16"/>
      <c r="BM16"/>
      <c r="BN16"/>
    </row>
    <row r="17" spans="2:66" ht="11.25" customHeight="1" x14ac:dyDescent="0.25">
      <c r="B17" s="8" t="s">
        <v>48</v>
      </c>
      <c r="C17" s="8" t="s">
        <v>49</v>
      </c>
      <c r="D17" s="6" t="s">
        <v>74</v>
      </c>
      <c r="E17" s="8">
        <v>2</v>
      </c>
      <c r="F17" s="8" t="s">
        <v>208</v>
      </c>
      <c r="G17" s="10">
        <v>0</v>
      </c>
      <c r="H17" s="7">
        <v>6.28</v>
      </c>
      <c r="I17" s="7">
        <f>(tab_mat_plom[[#This Row],[QTE]]*tab_mat_plom[[#This Row],[Prix ]])+(tab_mat_plom[[#This Row],[QTE]]*tab_mat_plom[[#This Row],[% de perte]])</f>
        <v>12.56</v>
      </c>
      <c r="K17" s="6"/>
      <c r="M17" s="8"/>
      <c r="N17" s="8"/>
      <c r="P17" s="7"/>
      <c r="Q17" s="7">
        <f>Tab_MD_plom[[#This Row],[QTE Hrs]]*Tab_MD_plom[[#This Row],[Salaire]]</f>
        <v>0</v>
      </c>
      <c r="R17" s="6"/>
      <c r="S17" s="6"/>
      <c r="T17" s="6"/>
      <c r="U17" s="6"/>
      <c r="W17" s="11">
        <f>SUBTOTAL(109,tab_mob_plom[Total])</f>
        <v>0</v>
      </c>
      <c r="AA17" s="6"/>
      <c r="BK17"/>
      <c r="BL17"/>
      <c r="BM17"/>
      <c r="BN17"/>
    </row>
    <row r="18" spans="2:66" ht="11.25" customHeight="1" x14ac:dyDescent="0.25">
      <c r="B18" s="8" t="s">
        <v>48</v>
      </c>
      <c r="C18" s="8" t="s">
        <v>49</v>
      </c>
      <c r="D18" s="6" t="s">
        <v>75</v>
      </c>
      <c r="E18" s="8">
        <v>4</v>
      </c>
      <c r="F18" s="8" t="s">
        <v>208</v>
      </c>
      <c r="G18" s="10">
        <v>0</v>
      </c>
      <c r="H18" s="7">
        <v>10.64</v>
      </c>
      <c r="I18" s="7">
        <f>(tab_mat_plom[[#This Row],[QTE]]*tab_mat_plom[[#This Row],[Prix ]])+(tab_mat_plom[[#This Row],[QTE]]*tab_mat_plom[[#This Row],[% de perte]])</f>
        <v>42.56</v>
      </c>
      <c r="K18" s="6"/>
      <c r="M18" s="8"/>
      <c r="N18" s="8"/>
      <c r="P18" s="7"/>
      <c r="Q18" s="7">
        <f>Tab_MD_plom[[#This Row],[QTE Hrs]]*Tab_MD_plom[[#This Row],[Salaire]]</f>
        <v>0</v>
      </c>
      <c r="R18" s="6"/>
      <c r="S18" s="6"/>
      <c r="T18" s="6"/>
      <c r="U18" s="6"/>
      <c r="W18" s="7"/>
      <c r="AA18" s="6"/>
      <c r="BK18"/>
      <c r="BL18"/>
      <c r="BM18"/>
      <c r="BN18"/>
    </row>
    <row r="19" spans="2:66" ht="11.25" customHeight="1" x14ac:dyDescent="0.25">
      <c r="B19" s="8" t="s">
        <v>48</v>
      </c>
      <c r="C19" s="8" t="s">
        <v>49</v>
      </c>
      <c r="D19" s="6" t="s">
        <v>76</v>
      </c>
      <c r="E19" s="8">
        <v>7</v>
      </c>
      <c r="F19" s="8" t="s">
        <v>208</v>
      </c>
      <c r="G19" s="10">
        <v>0</v>
      </c>
      <c r="H19" s="7">
        <v>13.48</v>
      </c>
      <c r="I19" s="7">
        <f>(tab_mat_plom[[#This Row],[QTE]]*tab_mat_plom[[#This Row],[Prix ]])+(tab_mat_plom[[#This Row],[QTE]]*tab_mat_plom[[#This Row],[% de perte]])</f>
        <v>94.36</v>
      </c>
      <c r="K19" s="6"/>
      <c r="M19" s="8"/>
      <c r="N19" s="8"/>
      <c r="P19" s="7"/>
      <c r="Q19" s="7">
        <f>Tab_MD_plom[[#This Row],[QTE Hrs]]*Tab_MD_plom[[#This Row],[Salaire]]</f>
        <v>0</v>
      </c>
      <c r="R19" s="6"/>
      <c r="S19" s="6"/>
      <c r="T19" s="6"/>
      <c r="U19" s="6"/>
      <c r="W19" s="7"/>
      <c r="AA19" s="6"/>
      <c r="BK19"/>
      <c r="BL19"/>
      <c r="BM19"/>
      <c r="BN19"/>
    </row>
    <row r="20" spans="2:66" ht="11.25" customHeight="1" x14ac:dyDescent="0.25">
      <c r="B20" s="8" t="s">
        <v>48</v>
      </c>
      <c r="C20" s="8" t="s">
        <v>49</v>
      </c>
      <c r="D20" s="6" t="s">
        <v>77</v>
      </c>
      <c r="E20" s="8">
        <v>14</v>
      </c>
      <c r="F20" s="8" t="s">
        <v>208</v>
      </c>
      <c r="G20" s="10">
        <v>0</v>
      </c>
      <c r="H20" s="7">
        <v>47.15</v>
      </c>
      <c r="I20" s="7">
        <f>(tab_mat_plom[[#This Row],[QTE]]*tab_mat_plom[[#This Row],[Prix ]])+(tab_mat_plom[[#This Row],[QTE]]*tab_mat_plom[[#This Row],[% de perte]])</f>
        <v>660.1</v>
      </c>
      <c r="K20" s="6"/>
      <c r="M20" s="8"/>
      <c r="N20" s="8"/>
      <c r="P20" s="7"/>
      <c r="Q20" s="7">
        <f>Tab_MD_plom[[#This Row],[QTE Hrs]]*Tab_MD_plom[[#This Row],[Salaire]]</f>
        <v>0</v>
      </c>
      <c r="R20" s="6"/>
      <c r="S20" s="6"/>
      <c r="T20" s="6"/>
      <c r="U20" s="6"/>
      <c r="W20" s="7"/>
      <c r="AA20" s="6"/>
      <c r="BK20"/>
      <c r="BL20"/>
      <c r="BM20"/>
      <c r="BN20"/>
    </row>
    <row r="21" spans="2:66" ht="11.25" customHeight="1" x14ac:dyDescent="0.25">
      <c r="B21" s="8" t="s">
        <v>48</v>
      </c>
      <c r="C21" s="8" t="s">
        <v>49</v>
      </c>
      <c r="D21" s="6" t="s">
        <v>78</v>
      </c>
      <c r="E21" s="8">
        <v>2</v>
      </c>
      <c r="F21" s="8" t="s">
        <v>208</v>
      </c>
      <c r="G21" s="10">
        <v>0</v>
      </c>
      <c r="H21" s="7">
        <v>160.34</v>
      </c>
      <c r="I21" s="7">
        <f>(tab_mat_plom[[#This Row],[QTE]]*tab_mat_plom[[#This Row],[Prix ]])+(tab_mat_plom[[#This Row],[QTE]]*tab_mat_plom[[#This Row],[% de perte]])</f>
        <v>320.68</v>
      </c>
      <c r="K21" s="6"/>
      <c r="M21" s="8"/>
      <c r="N21" s="8"/>
      <c r="P21" s="7"/>
      <c r="Q21" s="7">
        <f>Tab_MD_plom[[#This Row],[QTE Hrs]]*Tab_MD_plom[[#This Row],[Salaire]]</f>
        <v>0</v>
      </c>
      <c r="R21" s="6"/>
      <c r="S21" s="6"/>
      <c r="T21" s="6"/>
      <c r="U21" s="6"/>
      <c r="W21" s="7"/>
      <c r="AA21" s="6"/>
      <c r="BK21"/>
      <c r="BL21"/>
      <c r="BM21"/>
      <c r="BN21"/>
    </row>
    <row r="22" spans="2:66" ht="11.25" customHeight="1" x14ac:dyDescent="0.25">
      <c r="B22" s="8" t="s">
        <v>48</v>
      </c>
      <c r="C22" s="8" t="s">
        <v>49</v>
      </c>
      <c r="D22" s="6" t="s">
        <v>79</v>
      </c>
      <c r="E22" s="8">
        <v>2</v>
      </c>
      <c r="F22" s="8" t="s">
        <v>208</v>
      </c>
      <c r="G22" s="10">
        <v>0</v>
      </c>
      <c r="H22" s="7">
        <v>18.3</v>
      </c>
      <c r="I22" s="7">
        <f>(tab_mat_plom[[#This Row],[QTE]]*tab_mat_plom[[#This Row],[Prix ]])+(tab_mat_plom[[#This Row],[QTE]]*tab_mat_plom[[#This Row],[% de perte]])</f>
        <v>36.6</v>
      </c>
      <c r="K22" s="6"/>
      <c r="M22" s="8"/>
      <c r="N22" s="8"/>
      <c r="P22" s="7"/>
      <c r="Q22" s="7">
        <f>Tab_MD_plom[[#This Row],[QTE Hrs]]*Tab_MD_plom[[#This Row],[Salaire]]</f>
        <v>0</v>
      </c>
      <c r="R22" s="6"/>
      <c r="S22" s="6"/>
      <c r="T22" s="6"/>
      <c r="U22" s="6"/>
      <c r="W22" s="7"/>
      <c r="AA22" s="6"/>
      <c r="BK22"/>
      <c r="BL22"/>
      <c r="BM22"/>
      <c r="BN22"/>
    </row>
    <row r="23" spans="2:66" ht="11.25" customHeight="1" x14ac:dyDescent="0.25">
      <c r="B23" s="8" t="s">
        <v>48</v>
      </c>
      <c r="C23" s="8" t="s">
        <v>49</v>
      </c>
      <c r="D23" s="6" t="s">
        <v>80</v>
      </c>
      <c r="E23" s="8">
        <v>4</v>
      </c>
      <c r="F23" s="8" t="s">
        <v>208</v>
      </c>
      <c r="G23" s="10">
        <v>0</v>
      </c>
      <c r="H23" s="7">
        <v>7.63</v>
      </c>
      <c r="I23" s="7">
        <f>(tab_mat_plom[[#This Row],[QTE]]*tab_mat_plom[[#This Row],[Prix ]])+(tab_mat_plom[[#This Row],[QTE]]*tab_mat_plom[[#This Row],[% de perte]])</f>
        <v>30.52</v>
      </c>
      <c r="K23" s="6"/>
      <c r="M23" s="8"/>
      <c r="N23" s="8"/>
      <c r="P23" s="7"/>
      <c r="Q23" s="7">
        <f>Tab_MD_plom[[#This Row],[QTE Hrs]]*Tab_MD_plom[[#This Row],[Salaire]]</f>
        <v>0</v>
      </c>
      <c r="R23" s="6"/>
      <c r="S23" s="6"/>
      <c r="T23" s="6"/>
      <c r="U23" s="6"/>
      <c r="W23" s="7"/>
      <c r="AA23" s="6"/>
      <c r="BK23"/>
      <c r="BL23"/>
      <c r="BM23"/>
      <c r="BN23"/>
    </row>
    <row r="24" spans="2:66" ht="11.25" customHeight="1" x14ac:dyDescent="0.25">
      <c r="B24" s="8" t="s">
        <v>48</v>
      </c>
      <c r="C24" s="8" t="s">
        <v>49</v>
      </c>
      <c r="D24" s="6" t="s">
        <v>81</v>
      </c>
      <c r="E24" s="8">
        <v>9</v>
      </c>
      <c r="F24" s="8" t="s">
        <v>208</v>
      </c>
      <c r="G24" s="10">
        <v>0</v>
      </c>
      <c r="H24" s="7">
        <v>4.04</v>
      </c>
      <c r="I24" s="7">
        <f>(tab_mat_plom[[#This Row],[QTE]]*tab_mat_plom[[#This Row],[Prix ]])+(tab_mat_plom[[#This Row],[QTE]]*tab_mat_plom[[#This Row],[% de perte]])</f>
        <v>36.36</v>
      </c>
      <c r="K24" s="6"/>
      <c r="M24" s="8"/>
      <c r="N24" s="8"/>
      <c r="P24" s="7"/>
      <c r="Q24" s="7">
        <f>Tab_MD_plom[[#This Row],[QTE Hrs]]*Tab_MD_plom[[#This Row],[Salaire]]</f>
        <v>0</v>
      </c>
      <c r="R24" s="6"/>
      <c r="S24" s="6"/>
      <c r="T24" s="6"/>
      <c r="U24" s="6"/>
      <c r="W24" s="7"/>
      <c r="AA24" s="6"/>
      <c r="BK24"/>
      <c r="BL24"/>
      <c r="BM24"/>
      <c r="BN24"/>
    </row>
    <row r="25" spans="2:66" ht="11.25" customHeight="1" x14ac:dyDescent="0.25">
      <c r="B25" s="8" t="s">
        <v>48</v>
      </c>
      <c r="C25" s="8" t="s">
        <v>49</v>
      </c>
      <c r="D25" s="6" t="s">
        <v>82</v>
      </c>
      <c r="E25" s="8">
        <v>14</v>
      </c>
      <c r="F25" s="8" t="s">
        <v>208</v>
      </c>
      <c r="G25" s="10">
        <v>0</v>
      </c>
      <c r="H25" s="7">
        <v>5.56</v>
      </c>
      <c r="I25" s="7">
        <f>(tab_mat_plom[[#This Row],[QTE]]*tab_mat_plom[[#This Row],[Prix ]])+(tab_mat_plom[[#This Row],[QTE]]*tab_mat_plom[[#This Row],[% de perte]])</f>
        <v>77.839999999999989</v>
      </c>
      <c r="K25" s="6"/>
      <c r="M25" s="8"/>
      <c r="N25" s="8"/>
      <c r="P25" s="7"/>
      <c r="Q25" s="7">
        <f>Tab_MD_plom[[#This Row],[QTE Hrs]]*Tab_MD_plom[[#This Row],[Salaire]]</f>
        <v>0</v>
      </c>
      <c r="R25" s="6"/>
      <c r="S25" s="6"/>
      <c r="T25" s="6"/>
      <c r="U25" s="6"/>
      <c r="W25" s="7"/>
      <c r="AA25" s="6"/>
      <c r="BK25"/>
      <c r="BL25"/>
      <c r="BM25"/>
      <c r="BN25"/>
    </row>
    <row r="26" spans="2:66" ht="11.25" customHeight="1" x14ac:dyDescent="0.25">
      <c r="B26" s="8" t="s">
        <v>48</v>
      </c>
      <c r="C26" s="8" t="s">
        <v>49</v>
      </c>
      <c r="D26" s="6" t="s">
        <v>83</v>
      </c>
      <c r="E26" s="8">
        <v>14</v>
      </c>
      <c r="F26" s="8" t="s">
        <v>208</v>
      </c>
      <c r="G26" s="10">
        <v>0</v>
      </c>
      <c r="H26" s="7">
        <v>18.760000000000002</v>
      </c>
      <c r="I26" s="7">
        <f>(tab_mat_plom[[#This Row],[QTE]]*tab_mat_plom[[#This Row],[Prix ]])+(tab_mat_plom[[#This Row],[QTE]]*tab_mat_plom[[#This Row],[% de perte]])</f>
        <v>262.64000000000004</v>
      </c>
      <c r="K26" s="6"/>
      <c r="M26" s="8"/>
      <c r="N26" s="8"/>
      <c r="P26" s="7"/>
      <c r="Q26" s="7">
        <f>Tab_MD_plom[[#This Row],[QTE Hrs]]*Tab_MD_plom[[#This Row],[Salaire]]</f>
        <v>0</v>
      </c>
      <c r="R26" s="6"/>
      <c r="S26" s="6"/>
      <c r="T26" s="6"/>
      <c r="U26" s="6"/>
      <c r="W26" s="7"/>
      <c r="AA26" s="6"/>
      <c r="BK26"/>
      <c r="BL26"/>
      <c r="BM26"/>
      <c r="BN26"/>
    </row>
    <row r="27" spans="2:66" ht="11.25" customHeight="1" x14ac:dyDescent="0.25">
      <c r="D27" s="6" t="s">
        <v>263</v>
      </c>
      <c r="E27" s="8">
        <v>1</v>
      </c>
      <c r="F27" s="8"/>
      <c r="G27" s="10">
        <v>0</v>
      </c>
      <c r="H27" s="7"/>
      <c r="I27" s="7">
        <f>(tab_mat_plom[[#This Row],[QTE]]*tab_mat_plom[[#This Row],[Prix ]])+(tab_mat_plom[[#This Row],[QTE]]*tab_mat_plom[[#This Row],[% de perte]])</f>
        <v>0</v>
      </c>
      <c r="K27" s="6"/>
      <c r="M27" s="8"/>
      <c r="N27" s="8"/>
      <c r="P27" s="7"/>
      <c r="Q27" s="7">
        <f>Tab_MD_plom[[#This Row],[QTE Hrs]]*Tab_MD_plom[[#This Row],[Salaire]]</f>
        <v>0</v>
      </c>
      <c r="R27" s="6"/>
      <c r="S27" s="6"/>
      <c r="T27" s="6"/>
      <c r="U27" s="6"/>
      <c r="W27" s="7"/>
      <c r="AA27" s="6"/>
      <c r="BK27"/>
      <c r="BL27"/>
      <c r="BM27"/>
      <c r="BN27"/>
    </row>
    <row r="28" spans="2:66" ht="11.25" customHeight="1" x14ac:dyDescent="0.25">
      <c r="F28" s="8"/>
      <c r="G28" s="10">
        <v>0</v>
      </c>
      <c r="H28" s="7"/>
      <c r="I28" s="7">
        <f>(tab_mat_plom[[#This Row],[QTE]]*tab_mat_plom[[#This Row],[Prix ]])+(tab_mat_plom[[#This Row],[QTE]]*tab_mat_plom[[#This Row],[% de perte]])</f>
        <v>0</v>
      </c>
      <c r="K28" s="6"/>
      <c r="M28" s="8"/>
      <c r="N28" s="8"/>
      <c r="P28" s="7"/>
      <c r="Q28" s="7">
        <f>Tab_MD_plom[[#This Row],[QTE Hrs]]*Tab_MD_plom[[#This Row],[Salaire]]</f>
        <v>0</v>
      </c>
      <c r="R28" s="6"/>
      <c r="S28" s="6"/>
      <c r="T28" s="6"/>
      <c r="U28" s="6"/>
      <c r="W28" s="7"/>
      <c r="AA28" s="6"/>
      <c r="BK28"/>
      <c r="BL28"/>
      <c r="BM28"/>
      <c r="BN28"/>
    </row>
    <row r="29" spans="2:66" ht="11.25" customHeight="1" x14ac:dyDescent="0.25">
      <c r="F29" s="8"/>
      <c r="G29" s="10">
        <v>0</v>
      </c>
      <c r="H29" s="7"/>
      <c r="I29" s="7">
        <f>(tab_mat_plom[[#This Row],[QTE]]*tab_mat_plom[[#This Row],[Prix ]])+(tab_mat_plom[[#This Row],[QTE]]*tab_mat_plom[[#This Row],[% de perte]])</f>
        <v>0</v>
      </c>
      <c r="K29" s="6"/>
      <c r="M29" s="8"/>
      <c r="N29" s="8"/>
      <c r="P29" s="7"/>
      <c r="Q29" s="7">
        <f>Tab_MD_plom[[#This Row],[QTE Hrs]]*Tab_MD_plom[[#This Row],[Salaire]]</f>
        <v>0</v>
      </c>
      <c r="R29" s="6"/>
      <c r="S29" s="6"/>
      <c r="T29" s="6"/>
      <c r="U29" s="6"/>
      <c r="W29" s="7"/>
      <c r="AA29" s="6"/>
      <c r="BK29"/>
      <c r="BL29"/>
      <c r="BM29"/>
      <c r="BN29"/>
    </row>
    <row r="30" spans="2:66" ht="11.25" customHeight="1" x14ac:dyDescent="0.25">
      <c r="F30" s="8"/>
      <c r="G30" s="10">
        <v>0</v>
      </c>
      <c r="H30" s="7"/>
      <c r="I30" s="7">
        <f>(tab_mat_plom[[#This Row],[QTE]]*tab_mat_plom[[#This Row],[Prix ]])+(tab_mat_plom[[#This Row],[QTE]]*tab_mat_plom[[#This Row],[% de perte]])</f>
        <v>0</v>
      </c>
      <c r="K30" s="6"/>
      <c r="M30" s="8"/>
      <c r="N30" s="8"/>
      <c r="P30" s="7"/>
      <c r="Q30" s="7">
        <f>Tab_MD_plom[[#This Row],[QTE Hrs]]*Tab_MD_plom[[#This Row],[Salaire]]</f>
        <v>0</v>
      </c>
      <c r="R30" s="6"/>
      <c r="S30" s="6"/>
      <c r="T30" s="6"/>
      <c r="U30" s="6"/>
      <c r="W30" s="7"/>
      <c r="AA30" s="6"/>
      <c r="BK30"/>
      <c r="BL30"/>
      <c r="BM30"/>
      <c r="BN30"/>
    </row>
    <row r="31" spans="2:66" ht="11.25" customHeight="1" x14ac:dyDescent="0.25">
      <c r="D31" s="12"/>
      <c r="F31" s="8"/>
      <c r="G31" s="10">
        <v>0</v>
      </c>
      <c r="H31" s="7"/>
      <c r="I31" s="7">
        <f>(tab_mat_plom[[#This Row],[QTE]]*tab_mat_plom[[#This Row],[Prix ]])+(tab_mat_plom[[#This Row],[QTE]]*tab_mat_plom[[#This Row],[% de perte]])</f>
        <v>0</v>
      </c>
      <c r="K31" s="6"/>
      <c r="M31" s="8"/>
      <c r="N31" s="8"/>
      <c r="P31" s="7"/>
      <c r="Q31" s="7">
        <f>Tab_MD_plom[[#This Row],[QTE Hrs]]*Tab_MD_plom[[#This Row],[Salaire]]</f>
        <v>0</v>
      </c>
      <c r="R31" s="6"/>
      <c r="S31" s="6"/>
      <c r="T31" s="6"/>
      <c r="U31" s="6"/>
      <c r="W31" s="7"/>
      <c r="AA31" s="6"/>
      <c r="BK31"/>
      <c r="BL31"/>
      <c r="BM31"/>
      <c r="BN31"/>
    </row>
    <row r="32" spans="2:66" ht="11.25" customHeight="1" x14ac:dyDescent="0.25">
      <c r="F32" s="8"/>
      <c r="G32" s="10">
        <v>0</v>
      </c>
      <c r="H32" s="7"/>
      <c r="I32" s="7">
        <f>(tab_mat_plom[[#This Row],[QTE]]*tab_mat_plom[[#This Row],[Prix ]])+(tab_mat_plom[[#This Row],[QTE]]*tab_mat_plom[[#This Row],[% de perte]])</f>
        <v>0</v>
      </c>
      <c r="K32" s="6"/>
      <c r="M32" s="8"/>
      <c r="N32" s="8"/>
      <c r="P32" s="7"/>
      <c r="Q32" s="7">
        <f>Tab_MD_plom[[#This Row],[QTE Hrs]]*Tab_MD_plom[[#This Row],[Salaire]]</f>
        <v>0</v>
      </c>
      <c r="R32" s="6"/>
      <c r="S32" s="6"/>
      <c r="T32" s="6"/>
      <c r="U32" s="6"/>
      <c r="W32" s="7"/>
      <c r="AA32" s="6"/>
      <c r="BK32"/>
      <c r="BL32"/>
      <c r="BM32"/>
      <c r="BN32"/>
    </row>
    <row r="33" spans="6:66" ht="11.25" customHeight="1" x14ac:dyDescent="0.25">
      <c r="F33" s="8"/>
      <c r="G33" s="10">
        <v>0</v>
      </c>
      <c r="H33" s="7"/>
      <c r="I33" s="7">
        <f>(tab_mat_plom[[#This Row],[QTE]]*tab_mat_plom[[#This Row],[Prix ]])+(tab_mat_plom[[#This Row],[QTE]]*tab_mat_plom[[#This Row],[% de perte]])</f>
        <v>0</v>
      </c>
      <c r="K33" s="6"/>
      <c r="M33" s="8"/>
      <c r="N33" s="8"/>
      <c r="P33" s="7"/>
      <c r="Q33" s="7">
        <f>Tab_MD_plom[[#This Row],[QTE Hrs]]*Tab_MD_plom[[#This Row],[Salaire]]</f>
        <v>0</v>
      </c>
      <c r="R33" s="6"/>
      <c r="S33" s="6"/>
      <c r="T33" s="6"/>
      <c r="U33" s="6"/>
      <c r="W33" s="7"/>
      <c r="AA33" s="6"/>
      <c r="BK33"/>
      <c r="BL33"/>
      <c r="BM33"/>
      <c r="BN33"/>
    </row>
    <row r="34" spans="6:66" ht="11.25" customHeight="1" x14ac:dyDescent="0.25">
      <c r="F34" s="8"/>
      <c r="G34" s="10">
        <v>0</v>
      </c>
      <c r="H34" s="7"/>
      <c r="I34" s="7">
        <f>(tab_mat_plom[[#This Row],[QTE]]*tab_mat_plom[[#This Row],[Prix ]])+(tab_mat_plom[[#This Row],[QTE]]*tab_mat_plom[[#This Row],[% de perte]])</f>
        <v>0</v>
      </c>
      <c r="K34" s="6"/>
      <c r="M34" s="8"/>
      <c r="N34" s="8"/>
      <c r="P34" s="7"/>
      <c r="Q34" s="7">
        <f>Tab_MD_plom[[#This Row],[QTE Hrs]]*Tab_MD_plom[[#This Row],[Salaire]]</f>
        <v>0</v>
      </c>
      <c r="R34" s="6"/>
      <c r="S34" s="6"/>
      <c r="T34" s="6"/>
      <c r="U34" s="6"/>
      <c r="W34" s="7"/>
      <c r="AA34" s="6"/>
      <c r="BK34"/>
      <c r="BL34"/>
      <c r="BM34"/>
      <c r="BN34"/>
    </row>
    <row r="35" spans="6:66" ht="11.25" customHeight="1" x14ac:dyDescent="0.25">
      <c r="F35" s="8"/>
      <c r="G35" s="10">
        <v>0</v>
      </c>
      <c r="H35" s="7"/>
      <c r="I35" s="7">
        <f>(tab_mat_plom[[#This Row],[QTE]]*tab_mat_plom[[#This Row],[Prix ]])+(tab_mat_plom[[#This Row],[QTE]]*tab_mat_plom[[#This Row],[% de perte]])</f>
        <v>0</v>
      </c>
      <c r="K35" s="6"/>
      <c r="M35" s="8"/>
      <c r="N35" s="8"/>
      <c r="P35" s="7"/>
      <c r="Q35" s="7">
        <f>Tab_MD_plom[[#This Row],[QTE Hrs]]*Tab_MD_plom[[#This Row],[Salaire]]</f>
        <v>0</v>
      </c>
      <c r="R35" s="6"/>
      <c r="S35" s="6"/>
      <c r="T35" s="6"/>
      <c r="U35" s="6"/>
      <c r="W35" s="7"/>
      <c r="AA35" s="6"/>
      <c r="BK35"/>
      <c r="BL35"/>
      <c r="BM35"/>
      <c r="BN35"/>
    </row>
    <row r="36" spans="6:66" ht="11.25" customHeight="1" x14ac:dyDescent="0.25">
      <c r="F36" s="8"/>
      <c r="G36" s="10">
        <v>0</v>
      </c>
      <c r="H36" s="7"/>
      <c r="I36" s="7">
        <f>(tab_mat_plom[[#This Row],[QTE]]*tab_mat_plom[[#This Row],[Prix ]])+(tab_mat_plom[[#This Row],[QTE]]*tab_mat_plom[[#This Row],[% de perte]])</f>
        <v>0</v>
      </c>
      <c r="K36" s="6"/>
      <c r="M36" s="8"/>
      <c r="N36" s="8"/>
      <c r="P36" s="7"/>
      <c r="Q36" s="7">
        <f>Tab_MD_plom[[#This Row],[QTE Hrs]]*Tab_MD_plom[[#This Row],[Salaire]]</f>
        <v>0</v>
      </c>
      <c r="R36" s="6"/>
      <c r="S36" s="6"/>
      <c r="T36" s="6"/>
      <c r="U36" s="6"/>
      <c r="W36" s="7"/>
      <c r="AA36" s="6"/>
      <c r="BK36"/>
      <c r="BL36"/>
      <c r="BM36"/>
      <c r="BN36"/>
    </row>
    <row r="37" spans="6:66" ht="11.25" customHeight="1" x14ac:dyDescent="0.25">
      <c r="F37" s="8"/>
      <c r="G37" s="10">
        <v>0</v>
      </c>
      <c r="H37" s="7"/>
      <c r="I37" s="7">
        <f>(tab_mat_plom[[#This Row],[QTE]]*tab_mat_plom[[#This Row],[Prix ]])+(tab_mat_plom[[#This Row],[QTE]]*tab_mat_plom[[#This Row],[% de perte]])</f>
        <v>0</v>
      </c>
      <c r="K37" s="6"/>
      <c r="M37" s="8"/>
      <c r="N37" s="8"/>
      <c r="P37" s="7"/>
      <c r="Q37" s="7">
        <f>Tab_MD_plom[[#This Row],[QTE Hrs]]*Tab_MD_plom[[#This Row],[Salaire]]</f>
        <v>0</v>
      </c>
      <c r="R37" s="6"/>
      <c r="S37" s="6"/>
      <c r="T37" s="6"/>
      <c r="U37" s="6"/>
      <c r="W37" s="7"/>
      <c r="AA37" s="6"/>
      <c r="BK37"/>
      <c r="BL37"/>
      <c r="BM37"/>
      <c r="BN37"/>
    </row>
    <row r="38" spans="6:66" ht="11.25" customHeight="1" x14ac:dyDescent="0.25">
      <c r="F38" s="8"/>
      <c r="G38" s="10">
        <v>0</v>
      </c>
      <c r="H38" s="7"/>
      <c r="I38" s="7">
        <f>(tab_mat_plom[[#This Row],[QTE]]*tab_mat_plom[[#This Row],[Prix ]])+(tab_mat_plom[[#This Row],[QTE]]*tab_mat_plom[[#This Row],[% de perte]])</f>
        <v>0</v>
      </c>
      <c r="K38" s="6"/>
      <c r="M38" s="8"/>
      <c r="N38" s="8"/>
      <c r="P38" s="7"/>
      <c r="Q38" s="7">
        <f>Tab_MD_plom[[#This Row],[QTE Hrs]]*Tab_MD_plom[[#This Row],[Salaire]]</f>
        <v>0</v>
      </c>
      <c r="R38" s="6"/>
      <c r="S38" s="6"/>
      <c r="T38" s="6"/>
      <c r="U38" s="6"/>
      <c r="W38" s="7"/>
      <c r="AA38" s="6"/>
      <c r="BK38"/>
      <c r="BL38"/>
      <c r="BM38"/>
      <c r="BN38"/>
    </row>
    <row r="39" spans="6:66" ht="11.25" customHeight="1" x14ac:dyDescent="0.25">
      <c r="F39" s="8"/>
      <c r="G39" s="10">
        <v>0</v>
      </c>
      <c r="H39" s="7"/>
      <c r="I39" s="7">
        <f>(tab_mat_plom[[#This Row],[QTE]]*tab_mat_plom[[#This Row],[Prix ]])+(tab_mat_plom[[#This Row],[QTE]]*tab_mat_plom[[#This Row],[% de perte]])</f>
        <v>0</v>
      </c>
      <c r="K39" s="6"/>
      <c r="M39" s="8"/>
      <c r="N39" s="8"/>
      <c r="P39" s="7"/>
      <c r="Q39" s="7">
        <f>Tab_MD_plom[[#This Row],[QTE Hrs]]*Tab_MD_plom[[#This Row],[Salaire]]</f>
        <v>0</v>
      </c>
      <c r="R39" s="6"/>
      <c r="S39" s="6"/>
      <c r="T39" s="6"/>
      <c r="U39" s="6"/>
      <c r="W39" s="7"/>
      <c r="AA39" s="6"/>
      <c r="BK39"/>
      <c r="BL39"/>
      <c r="BM39"/>
      <c r="BN39"/>
    </row>
    <row r="40" spans="6:66" ht="11.25" customHeight="1" x14ac:dyDescent="0.25">
      <c r="F40" s="8"/>
      <c r="G40" s="10">
        <v>0</v>
      </c>
      <c r="H40" s="7"/>
      <c r="I40" s="7">
        <f>(tab_mat_plom[[#This Row],[QTE]]*tab_mat_plom[[#This Row],[Prix ]])+(tab_mat_plom[[#This Row],[QTE]]*tab_mat_plom[[#This Row],[% de perte]])</f>
        <v>0</v>
      </c>
      <c r="K40" s="6"/>
      <c r="M40" s="8"/>
      <c r="N40" s="8"/>
      <c r="P40" s="7"/>
      <c r="Q40" s="7">
        <f>Tab_MD_plom[[#This Row],[QTE Hrs]]*Tab_MD_plom[[#This Row],[Salaire]]</f>
        <v>0</v>
      </c>
      <c r="R40" s="6"/>
      <c r="S40" s="6"/>
      <c r="T40" s="6"/>
      <c r="U40" s="6"/>
      <c r="W40" s="7"/>
      <c r="AA40" s="6"/>
      <c r="BK40"/>
      <c r="BL40"/>
      <c r="BM40"/>
      <c r="BN40"/>
    </row>
    <row r="41" spans="6:66" ht="11.25" customHeight="1" x14ac:dyDescent="0.25">
      <c r="F41" s="8"/>
      <c r="G41" s="10">
        <v>0</v>
      </c>
      <c r="H41" s="7"/>
      <c r="I41" s="7">
        <f>(tab_mat_plom[[#This Row],[QTE]]*tab_mat_plom[[#This Row],[Prix ]])+(tab_mat_plom[[#This Row],[QTE]]*tab_mat_plom[[#This Row],[% de perte]])</f>
        <v>0</v>
      </c>
      <c r="K41" s="6"/>
      <c r="M41" s="8"/>
      <c r="N41" s="8"/>
      <c r="P41" s="7"/>
      <c r="Q41" s="7">
        <f>Tab_MD_plom[[#This Row],[QTE Hrs]]*Tab_MD_plom[[#This Row],[Salaire]]</f>
        <v>0</v>
      </c>
      <c r="R41" s="6"/>
      <c r="S41" s="6"/>
      <c r="T41" s="6"/>
      <c r="U41" s="6"/>
      <c r="W41" s="7"/>
      <c r="AA41" s="6"/>
      <c r="BK41"/>
      <c r="BL41"/>
      <c r="BM41"/>
      <c r="BN41"/>
    </row>
    <row r="42" spans="6:66" ht="11.25" customHeight="1" x14ac:dyDescent="0.25">
      <c r="F42" s="8"/>
      <c r="G42" s="10">
        <v>0</v>
      </c>
      <c r="H42" s="7"/>
      <c r="I42" s="7">
        <f>(tab_mat_plom[[#This Row],[QTE]]*tab_mat_plom[[#This Row],[Prix ]])+(tab_mat_plom[[#This Row],[QTE]]*tab_mat_plom[[#This Row],[% de perte]])</f>
        <v>0</v>
      </c>
      <c r="K42" s="6"/>
      <c r="M42" s="8"/>
      <c r="N42" s="8"/>
      <c r="P42" s="7"/>
      <c r="Q42" s="7">
        <f>Tab_MD_plom[[#This Row],[QTE Hrs]]*Tab_MD_plom[[#This Row],[Salaire]]</f>
        <v>0</v>
      </c>
      <c r="R42" s="6"/>
      <c r="S42" s="6"/>
      <c r="T42" s="6"/>
      <c r="U42" s="6"/>
      <c r="W42" s="7"/>
      <c r="AA42" s="6"/>
      <c r="BK42"/>
      <c r="BL42"/>
      <c r="BM42"/>
      <c r="BN42"/>
    </row>
    <row r="43" spans="6:66" ht="11.25" customHeight="1" x14ac:dyDescent="0.25">
      <c r="F43" s="8"/>
      <c r="G43" s="10">
        <v>0</v>
      </c>
      <c r="H43" s="7"/>
      <c r="I43" s="7">
        <f>(tab_mat_plom[[#This Row],[QTE]]*tab_mat_plom[[#This Row],[Prix ]])+(tab_mat_plom[[#This Row],[QTE]]*tab_mat_plom[[#This Row],[% de perte]])</f>
        <v>0</v>
      </c>
      <c r="K43" s="6"/>
      <c r="M43" s="8"/>
      <c r="N43" s="8"/>
      <c r="P43" s="7"/>
      <c r="Q43" s="7">
        <f>Tab_MD_plom[[#This Row],[QTE Hrs]]*Tab_MD_plom[[#This Row],[Salaire]]</f>
        <v>0</v>
      </c>
      <c r="R43" s="6"/>
      <c r="S43" s="6"/>
      <c r="T43" s="6"/>
      <c r="U43" s="6"/>
      <c r="W43" s="7"/>
      <c r="AA43" s="6"/>
      <c r="BK43"/>
      <c r="BL43"/>
      <c r="BM43"/>
      <c r="BN43"/>
    </row>
    <row r="44" spans="6:66" ht="11.25" customHeight="1" x14ac:dyDescent="0.25">
      <c r="F44" s="8"/>
      <c r="G44" s="10">
        <v>0</v>
      </c>
      <c r="H44" s="7"/>
      <c r="I44" s="7">
        <f>(tab_mat_plom[[#This Row],[QTE]]*tab_mat_plom[[#This Row],[Prix ]])+(tab_mat_plom[[#This Row],[QTE]]*tab_mat_plom[[#This Row],[% de perte]])</f>
        <v>0</v>
      </c>
      <c r="K44" s="6"/>
      <c r="M44" s="8"/>
      <c r="N44" s="8"/>
      <c r="P44" s="7"/>
      <c r="Q44" s="7">
        <f>Tab_MD_plom[[#This Row],[QTE Hrs]]*Tab_MD_plom[[#This Row],[Salaire]]</f>
        <v>0</v>
      </c>
      <c r="R44" s="6"/>
      <c r="S44" s="6"/>
      <c r="T44" s="6"/>
      <c r="U44" s="6"/>
      <c r="W44" s="7"/>
      <c r="AA44" s="6"/>
      <c r="BK44"/>
      <c r="BL44"/>
      <c r="BM44"/>
      <c r="BN44"/>
    </row>
    <row r="45" spans="6:66" ht="11.25" customHeight="1" x14ac:dyDescent="0.25">
      <c r="F45" s="8"/>
      <c r="G45" s="10">
        <v>0</v>
      </c>
      <c r="H45" s="7"/>
      <c r="I45" s="7">
        <f>(tab_mat_plom[[#This Row],[QTE]]*tab_mat_plom[[#This Row],[Prix ]])+(tab_mat_plom[[#This Row],[QTE]]*tab_mat_plom[[#This Row],[% de perte]])</f>
        <v>0</v>
      </c>
      <c r="K45" s="6"/>
      <c r="M45" s="8"/>
      <c r="N45" s="8"/>
      <c r="P45" s="7"/>
      <c r="Q45" s="7">
        <f>Tab_MD_plom[[#This Row],[QTE Hrs]]*Tab_MD_plom[[#This Row],[Salaire]]</f>
        <v>0</v>
      </c>
      <c r="R45" s="6"/>
      <c r="S45" s="6"/>
      <c r="T45" s="6"/>
      <c r="U45" s="6"/>
      <c r="W45" s="7"/>
      <c r="AA45" s="6"/>
      <c r="BK45"/>
      <c r="BL45"/>
      <c r="BM45"/>
      <c r="BN45"/>
    </row>
    <row r="46" spans="6:66" ht="11.25" customHeight="1" x14ac:dyDescent="0.25">
      <c r="F46" s="8"/>
      <c r="G46" s="10">
        <v>0</v>
      </c>
      <c r="H46" s="7"/>
      <c r="I46" s="7">
        <f>(tab_mat_plom[[#This Row],[QTE]]*tab_mat_plom[[#This Row],[Prix ]])+(tab_mat_plom[[#This Row],[QTE]]*tab_mat_plom[[#This Row],[% de perte]])</f>
        <v>0</v>
      </c>
      <c r="K46" s="6"/>
      <c r="M46" s="8"/>
      <c r="N46" s="8"/>
      <c r="P46" s="7"/>
      <c r="Q46" s="7">
        <f>Tab_MD_plom[[#This Row],[QTE Hrs]]*Tab_MD_plom[[#This Row],[Salaire]]</f>
        <v>0</v>
      </c>
      <c r="R46" s="6"/>
      <c r="S46" s="6"/>
      <c r="T46" s="6"/>
      <c r="U46" s="6"/>
      <c r="W46" s="7"/>
      <c r="AA46" s="6"/>
      <c r="BK46"/>
      <c r="BL46"/>
      <c r="BM46"/>
      <c r="BN46"/>
    </row>
    <row r="47" spans="6:66" ht="11.25" customHeight="1" x14ac:dyDescent="0.25">
      <c r="F47" s="8"/>
      <c r="G47" s="10">
        <v>0</v>
      </c>
      <c r="H47" s="7"/>
      <c r="I47" s="7">
        <f>(tab_mat_plom[[#This Row],[QTE]]*tab_mat_plom[[#This Row],[Prix ]])+(tab_mat_plom[[#This Row],[QTE]]*tab_mat_plom[[#This Row],[% de perte]])</f>
        <v>0</v>
      </c>
      <c r="K47" s="6"/>
      <c r="M47" s="8"/>
      <c r="N47" s="8"/>
      <c r="P47" s="7"/>
      <c r="Q47" s="7">
        <f>Tab_MD_plom[[#This Row],[QTE Hrs]]*Tab_MD_plom[[#This Row],[Salaire]]</f>
        <v>0</v>
      </c>
      <c r="R47" s="6"/>
      <c r="S47" s="6"/>
      <c r="T47" s="6"/>
      <c r="U47" s="6"/>
      <c r="W47" s="7"/>
      <c r="AA47" s="6"/>
      <c r="BK47"/>
      <c r="BL47"/>
      <c r="BM47"/>
      <c r="BN47"/>
    </row>
    <row r="48" spans="6:66" ht="11.25" customHeight="1" x14ac:dyDescent="0.25">
      <c r="F48" s="8"/>
      <c r="G48" s="10">
        <v>0</v>
      </c>
      <c r="H48" s="7"/>
      <c r="I48" s="7">
        <f>(tab_mat_plom[[#This Row],[QTE]]*tab_mat_plom[[#This Row],[Prix ]])+(tab_mat_plom[[#This Row],[QTE]]*tab_mat_plom[[#This Row],[% de perte]])</f>
        <v>0</v>
      </c>
      <c r="K48" s="6"/>
      <c r="M48" s="8"/>
      <c r="N48" s="8"/>
      <c r="P48" s="7"/>
      <c r="Q48" s="7">
        <f>Tab_MD_plom[[#This Row],[QTE Hrs]]*Tab_MD_plom[[#This Row],[Salaire]]</f>
        <v>0</v>
      </c>
      <c r="R48" s="6"/>
      <c r="S48" s="6"/>
      <c r="T48" s="6"/>
      <c r="U48" s="6"/>
      <c r="W48" s="7"/>
      <c r="AA48" s="6"/>
      <c r="BK48"/>
      <c r="BL48"/>
      <c r="BM48"/>
      <c r="BN48"/>
    </row>
    <row r="49" spans="2:66" ht="11.25" customHeight="1" x14ac:dyDescent="0.25">
      <c r="F49" s="8"/>
      <c r="G49" s="10">
        <v>0</v>
      </c>
      <c r="H49" s="7"/>
      <c r="I49" s="7">
        <f>(tab_mat_plom[[#This Row],[QTE]]*tab_mat_plom[[#This Row],[Prix ]])+(tab_mat_plom[[#This Row],[QTE]]*tab_mat_plom[[#This Row],[% de perte]])</f>
        <v>0</v>
      </c>
      <c r="K49" s="6"/>
      <c r="M49" s="8"/>
      <c r="N49" s="8"/>
      <c r="P49" s="7"/>
      <c r="Q49" s="7">
        <f>Tab_MD_plom[[#This Row],[QTE Hrs]]*Tab_MD_plom[[#This Row],[Salaire]]</f>
        <v>0</v>
      </c>
      <c r="R49" s="6"/>
      <c r="S49" s="6"/>
      <c r="T49" s="6"/>
      <c r="U49" s="6"/>
      <c r="W49" s="7"/>
      <c r="AA49" s="6"/>
      <c r="BK49"/>
      <c r="BL49"/>
      <c r="BM49"/>
      <c r="BN49"/>
    </row>
    <row r="50" spans="2:66" ht="11.25" customHeight="1" x14ac:dyDescent="0.25">
      <c r="F50" s="8"/>
      <c r="G50" s="10">
        <v>0</v>
      </c>
      <c r="H50" s="7"/>
      <c r="I50" s="7">
        <f>(tab_mat_plom[[#This Row],[QTE]]*tab_mat_plom[[#This Row],[Prix ]])+(tab_mat_plom[[#This Row],[QTE]]*tab_mat_plom[[#This Row],[% de perte]])</f>
        <v>0</v>
      </c>
      <c r="K50" s="6"/>
      <c r="M50" s="8"/>
      <c r="N50" s="8"/>
      <c r="P50" s="7"/>
      <c r="Q50" s="7">
        <f>Tab_MD_plom[[#This Row],[QTE Hrs]]*Tab_MD_plom[[#This Row],[Salaire]]</f>
        <v>0</v>
      </c>
      <c r="R50" s="6"/>
      <c r="S50" s="6"/>
      <c r="T50" s="6"/>
      <c r="U50" s="6"/>
      <c r="W50" s="7"/>
      <c r="AA50" s="6"/>
      <c r="BK50"/>
      <c r="BL50"/>
      <c r="BM50"/>
      <c r="BN50"/>
    </row>
    <row r="51" spans="2:66" ht="11.25" customHeight="1" x14ac:dyDescent="0.25">
      <c r="F51" s="8"/>
      <c r="G51" s="10">
        <v>0</v>
      </c>
      <c r="H51" s="7"/>
      <c r="I51" s="7">
        <f>(tab_mat_plom[[#This Row],[QTE]]*tab_mat_plom[[#This Row],[Prix ]])+(tab_mat_plom[[#This Row],[QTE]]*tab_mat_plom[[#This Row],[% de perte]])</f>
        <v>0</v>
      </c>
      <c r="K51" s="6"/>
      <c r="M51" s="8"/>
      <c r="N51" s="8"/>
      <c r="P51" s="7"/>
      <c r="Q51" s="7">
        <f>Tab_MD_plom[[#This Row],[QTE Hrs]]*Tab_MD_plom[[#This Row],[Salaire]]</f>
        <v>0</v>
      </c>
      <c r="R51" s="6"/>
      <c r="S51" s="6"/>
      <c r="T51" s="6"/>
      <c r="U51" s="6"/>
      <c r="W51" s="7"/>
      <c r="AA51" s="6"/>
      <c r="BK51"/>
      <c r="BL51"/>
      <c r="BM51"/>
      <c r="BN51"/>
    </row>
    <row r="52" spans="2:66" ht="22.5" customHeight="1" x14ac:dyDescent="0.25">
      <c r="F52" s="8"/>
      <c r="H52" s="6"/>
      <c r="I52" s="11">
        <f>SUM(tab_mat_plom[Total])</f>
        <v>20786.339999999997</v>
      </c>
      <c r="K52" s="6"/>
      <c r="M52" s="8"/>
      <c r="N52" s="8"/>
      <c r="P52" s="11"/>
      <c r="Q52" s="11">
        <f>SUM(Tab_MD_plom[Total])</f>
        <v>3140</v>
      </c>
      <c r="R52" s="6"/>
      <c r="S52" s="6"/>
      <c r="T52" s="6"/>
      <c r="U52" s="6"/>
      <c r="W52" s="7"/>
      <c r="AA52" s="6"/>
      <c r="BK52"/>
      <c r="BL52"/>
      <c r="BM52"/>
      <c r="BN52"/>
    </row>
    <row r="53" spans="2:66" ht="11.25" customHeight="1" x14ac:dyDescent="0.25">
      <c r="T53" s="6"/>
      <c r="U53" s="6"/>
      <c r="X53" s="7"/>
    </row>
    <row r="54" spans="2:66" ht="11.25" customHeight="1" x14ac:dyDescent="0.25">
      <c r="D54" s="8"/>
    </row>
    <row r="55" spans="2:66" ht="11.25" customHeight="1" x14ac:dyDescent="0.25">
      <c r="B55" s="152"/>
      <c r="C55" s="152"/>
      <c r="D55" s="152"/>
      <c r="E55" s="152"/>
      <c r="F55" s="154"/>
    </row>
    <row r="56" spans="2:66" ht="11.25" customHeight="1" x14ac:dyDescent="0.25">
      <c r="B56" s="152"/>
      <c r="C56" s="152"/>
      <c r="D56" s="152"/>
      <c r="E56" s="152"/>
      <c r="F56" s="154"/>
    </row>
    <row r="57" spans="2:66" ht="11.25" customHeight="1" x14ac:dyDescent="0.25">
      <c r="B57" s="152"/>
      <c r="C57" s="152"/>
      <c r="D57" s="155"/>
      <c r="E57" s="152"/>
      <c r="F57" s="154"/>
    </row>
    <row r="58" spans="2:66" ht="11.25" customHeight="1" x14ac:dyDescent="0.25">
      <c r="B58" s="152"/>
      <c r="C58" s="152"/>
      <c r="D58" s="155"/>
      <c r="E58" s="152"/>
      <c r="F58" s="154"/>
    </row>
    <row r="59" spans="2:66" ht="11.25" customHeight="1" x14ac:dyDescent="0.25">
      <c r="B59" s="152"/>
      <c r="C59" s="152"/>
      <c r="D59" s="155"/>
      <c r="E59" s="152"/>
      <c r="F59" s="154"/>
    </row>
    <row r="60" spans="2:66" ht="11.25" customHeight="1" x14ac:dyDescent="0.25">
      <c r="B60" s="152"/>
      <c r="C60" s="152"/>
      <c r="D60" s="155"/>
      <c r="E60" s="152"/>
      <c r="F60" s="154"/>
    </row>
    <row r="61" spans="2:66" ht="11.25" customHeight="1" x14ac:dyDescent="0.25">
      <c r="B61" s="152"/>
      <c r="C61" s="152"/>
      <c r="D61" s="155"/>
      <c r="E61" s="152"/>
      <c r="F61" s="154"/>
    </row>
    <row r="62" spans="2:66" ht="11.25" customHeight="1" x14ac:dyDescent="0.25">
      <c r="B62" s="152"/>
      <c r="C62" s="152"/>
      <c r="D62" s="153"/>
      <c r="E62" s="152"/>
      <c r="F62" s="154"/>
    </row>
    <row r="63" spans="2:66" ht="11.25" customHeight="1" x14ac:dyDescent="0.25">
      <c r="B63" s="152"/>
      <c r="C63" s="152"/>
      <c r="D63" s="152"/>
      <c r="E63" s="152"/>
      <c r="F63" s="154"/>
    </row>
    <row r="64" spans="2:66" ht="11.25" customHeight="1" x14ac:dyDescent="0.25">
      <c r="D64" s="36"/>
    </row>
    <row r="65" spans="4:4" ht="11.25" customHeight="1" x14ac:dyDescent="0.25">
      <c r="D65" s="36"/>
    </row>
    <row r="66" spans="4:4" ht="11.25" customHeight="1" x14ac:dyDescent="0.25">
      <c r="D66" s="36"/>
    </row>
    <row r="67" spans="4:4" ht="11.25" customHeight="1" x14ac:dyDescent="0.25">
      <c r="D67" s="36"/>
    </row>
    <row r="68" spans="4:4" ht="11.25" customHeight="1" x14ac:dyDescent="0.25">
      <c r="D68" s="36"/>
    </row>
    <row r="69" spans="4:4" ht="11.25" customHeight="1" x14ac:dyDescent="0.25">
      <c r="D69" s="36"/>
    </row>
    <row r="70" spans="4:4" ht="11.25" customHeight="1" x14ac:dyDescent="0.25"/>
    <row r="71" spans="4:4" ht="11.25" customHeight="1" x14ac:dyDescent="0.25">
      <c r="D71" s="8"/>
    </row>
    <row r="72" spans="4:4" ht="11.25" customHeight="1" x14ac:dyDescent="0.25">
      <c r="D72" s="36"/>
    </row>
    <row r="73" spans="4:4" ht="11.25" customHeight="1" x14ac:dyDescent="0.25">
      <c r="D73" s="36"/>
    </row>
    <row r="74" spans="4:4" ht="11.25" customHeight="1" x14ac:dyDescent="0.25">
      <c r="D74" s="36"/>
    </row>
    <row r="75" spans="4:4" ht="11.25" customHeight="1" x14ac:dyDescent="0.25">
      <c r="D75" s="36"/>
    </row>
    <row r="76" spans="4:4" ht="11.25" customHeight="1" x14ac:dyDescent="0.25"/>
    <row r="77" spans="4:4" ht="11.25" customHeight="1" x14ac:dyDescent="0.25">
      <c r="D77" s="8"/>
    </row>
    <row r="78" spans="4:4" ht="11.25" customHeight="1" x14ac:dyDescent="0.25">
      <c r="D78" s="36"/>
    </row>
    <row r="79" spans="4:4" ht="11.25" customHeight="1" x14ac:dyDescent="0.25">
      <c r="D79" s="36"/>
    </row>
    <row r="80" spans="4:4" ht="11.25" customHeight="1" x14ac:dyDescent="0.25">
      <c r="D80" s="36"/>
    </row>
    <row r="81" spans="4:4" ht="11.25" customHeight="1" x14ac:dyDescent="0.25">
      <c r="D81" s="36"/>
    </row>
    <row r="82" spans="4:4" ht="11.25" customHeight="1" x14ac:dyDescent="0.25"/>
    <row r="83" spans="4:4" ht="11.25" customHeight="1" x14ac:dyDescent="0.25">
      <c r="D83" s="8"/>
    </row>
    <row r="84" spans="4:4" ht="11.25" customHeight="1" x14ac:dyDescent="0.25">
      <c r="D84" s="36"/>
    </row>
    <row r="85" spans="4:4" ht="11.25" customHeight="1" x14ac:dyDescent="0.25">
      <c r="D85" s="36"/>
    </row>
    <row r="86" spans="4:4" ht="11.25" customHeight="1" x14ac:dyDescent="0.25">
      <c r="D86" s="36"/>
    </row>
    <row r="87" spans="4:4" ht="11.25" customHeight="1" x14ac:dyDescent="0.25">
      <c r="D87" s="36"/>
    </row>
    <row r="88" spans="4:4" ht="11.25" customHeight="1" x14ac:dyDescent="0.25">
      <c r="D88" s="36"/>
    </row>
    <row r="89" spans="4:4" ht="11.25" customHeight="1" x14ac:dyDescent="0.25">
      <c r="D89" s="36"/>
    </row>
    <row r="90" spans="4:4" ht="11.25" customHeight="1" x14ac:dyDescent="0.25"/>
    <row r="91" spans="4:4" ht="11.25" customHeight="1" x14ac:dyDescent="0.25">
      <c r="D91" s="8"/>
    </row>
    <row r="92" spans="4:4" ht="11.25" customHeight="1" x14ac:dyDescent="0.25">
      <c r="D92" s="36"/>
    </row>
    <row r="93" spans="4:4" ht="11.25" customHeight="1" x14ac:dyDescent="0.25">
      <c r="D93" s="36"/>
    </row>
    <row r="94" spans="4:4" ht="11.25" customHeight="1" x14ac:dyDescent="0.25"/>
    <row r="95" spans="4:4" ht="11.25" customHeight="1" x14ac:dyDescent="0.25">
      <c r="D95" s="8"/>
    </row>
    <row r="96" spans="4:4" ht="11.25" customHeight="1" x14ac:dyDescent="0.25">
      <c r="D96" s="36"/>
    </row>
    <row r="97" spans="4:4" ht="11.25" customHeight="1" x14ac:dyDescent="0.25">
      <c r="D97" s="36"/>
    </row>
    <row r="98" spans="4:4" ht="11.25" customHeight="1" x14ac:dyDescent="0.25">
      <c r="D98" s="36"/>
    </row>
    <row r="99" spans="4:4" ht="11.25" customHeight="1" x14ac:dyDescent="0.25">
      <c r="D99" s="36"/>
    </row>
    <row r="100" spans="4:4" ht="11.25" customHeight="1" x14ac:dyDescent="0.25">
      <c r="D100" s="36"/>
    </row>
    <row r="101" spans="4:4" x14ac:dyDescent="0.25">
      <c r="D101" s="36"/>
    </row>
  </sheetData>
  <mergeCells count="6">
    <mergeCell ref="S3:W3"/>
    <mergeCell ref="B3:I3"/>
    <mergeCell ref="K3:Q3"/>
    <mergeCell ref="B2:I2"/>
    <mergeCell ref="K2:Q2"/>
    <mergeCell ref="S2:W2"/>
  </mergeCells>
  <phoneticPr fontId="9" type="noConversion"/>
  <dataValidations count="1">
    <dataValidation type="list" allowBlank="1" showInputMessage="1" showErrorMessage="1" sqref="F5:F51" xr:uid="{DE2A27E0-D56A-4034-96E6-D23448690A35}">
      <formula1>uni_plom</formula1>
    </dataValidation>
  </dataValidation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458CA0F-C2C8-424C-BA53-E9F23A47635F}">
          <x14:formula1>
            <xm:f>Données!$C$2:$C$5</xm:f>
          </x14:formula1>
          <xm:sqref>O5:O51</xm:sqref>
        </x14:dataValidation>
        <x14:dataValidation type="list" allowBlank="1" showInputMessage="1" showErrorMessage="1" xr:uid="{80A9E8C0-F3ED-4351-B833-11C54634B193}">
          <x14:formula1>
            <xm:f>Données!$F$2:$F$3</xm:f>
          </x14:formula1>
          <xm:sqref>S5:S16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BD72B-6F5F-4DCF-AEBE-D59D32CF5D32}">
  <sheetPr codeName="Feuil10">
    <tabColor theme="2" tint="-0.249977111117893"/>
  </sheetPr>
  <dimension ref="B1:BN100"/>
  <sheetViews>
    <sheetView workbookViewId="0">
      <selection activeCell="D1" sqref="D1"/>
    </sheetView>
  </sheetViews>
  <sheetFormatPr baseColWidth="10" defaultColWidth="11.42578125" defaultRowHeight="15" x14ac:dyDescent="0.25"/>
  <cols>
    <col min="2" max="2" width="17.85546875" style="8" customWidth="1"/>
    <col min="3" max="3" width="7.7109375" style="8" customWidth="1"/>
    <col min="4" max="4" width="69.7109375" style="6" customWidth="1"/>
    <col min="5" max="5" width="15.42578125" style="8" customWidth="1"/>
    <col min="6" max="6" width="8.42578125" customWidth="1"/>
    <col min="7" max="7" width="12" style="6" customWidth="1"/>
    <col min="9" max="9" width="12.85546875" style="8" customWidth="1"/>
    <col min="10" max="10" width="3.5703125" style="6" customWidth="1"/>
    <col min="11" max="11" width="8.28515625" style="7" customWidth="1"/>
    <col min="12" max="12" width="48.85546875" style="6" customWidth="1"/>
    <col min="13" max="13" width="9.7109375" style="6" customWidth="1"/>
    <col min="14" max="14" width="10.28515625" customWidth="1"/>
    <col min="15" max="15" width="15.140625" style="8" customWidth="1"/>
    <col min="16" max="16" width="9.85546875" customWidth="1"/>
    <col min="17" max="17" width="16.140625" style="6" customWidth="1"/>
    <col min="18" max="18" width="3" style="8" customWidth="1"/>
    <col min="19" max="19" width="17.85546875" style="8" customWidth="1"/>
    <col min="20" max="20" width="12.5703125" style="7" customWidth="1"/>
    <col min="21" max="21" width="11.42578125" style="7" bestFit="1"/>
    <col min="22" max="22" width="2.85546875" style="6" customWidth="1"/>
    <col min="23" max="23" width="21.85546875" style="6" customWidth="1"/>
    <col min="24" max="24" width="11.42578125" style="6" bestFit="1"/>
    <col min="25" max="25" width="15.140625" style="6" customWidth="1"/>
    <col min="26" max="26" width="11.42578125" style="6"/>
    <col min="27" max="27" width="11.42578125" style="7"/>
    <col min="28" max="66" width="11.42578125" style="6"/>
  </cols>
  <sheetData>
    <row r="1" spans="2:66" x14ac:dyDescent="0.25">
      <c r="B1" s="8" t="s">
        <v>29</v>
      </c>
      <c r="D1" s="6" t="str">
        <f>'Démarrage de chantier'!D3</f>
        <v>Pav. D2, Scientifique</v>
      </c>
      <c r="F1" s="8"/>
      <c r="H1" s="6"/>
      <c r="I1" s="7"/>
      <c r="K1" s="6"/>
      <c r="M1" s="8"/>
      <c r="N1" s="8"/>
      <c r="P1" s="7"/>
      <c r="Q1" s="7"/>
      <c r="R1" s="6"/>
      <c r="S1" s="6"/>
      <c r="T1" s="6"/>
      <c r="U1" s="6"/>
      <c r="W1" s="7"/>
      <c r="AA1" s="6"/>
      <c r="BK1"/>
      <c r="BL1"/>
      <c r="BM1"/>
      <c r="BN1"/>
    </row>
    <row r="2" spans="2:66" ht="20.25" thickBot="1" x14ac:dyDescent="0.3">
      <c r="B2" s="100" t="s">
        <v>197</v>
      </c>
      <c r="C2" s="100"/>
      <c r="D2" s="100"/>
      <c r="E2" s="100"/>
      <c r="F2" s="100"/>
      <c r="G2" s="100"/>
      <c r="H2" s="100"/>
      <c r="I2" s="100"/>
      <c r="K2" s="100" t="s">
        <v>197</v>
      </c>
      <c r="L2" s="100"/>
      <c r="M2" s="100"/>
      <c r="N2" s="100"/>
      <c r="O2" s="100"/>
      <c r="P2" s="100"/>
      <c r="Q2" s="100"/>
      <c r="R2" s="6"/>
      <c r="S2" s="100" t="s">
        <v>197</v>
      </c>
      <c r="T2" s="100"/>
      <c r="U2" s="100"/>
      <c r="V2" s="100"/>
      <c r="W2" s="100"/>
      <c r="AA2" s="6"/>
      <c r="BK2"/>
      <c r="BL2"/>
      <c r="BM2"/>
      <c r="BN2"/>
    </row>
    <row r="3" spans="2:66" ht="20.25" thickBot="1" x14ac:dyDescent="0.3">
      <c r="B3" s="70" t="s">
        <v>30</v>
      </c>
      <c r="C3" s="71"/>
      <c r="D3" s="71"/>
      <c r="E3" s="71"/>
      <c r="F3" s="71"/>
      <c r="G3" s="71"/>
      <c r="H3" s="71"/>
      <c r="I3" s="72"/>
      <c r="K3" s="70" t="s">
        <v>31</v>
      </c>
      <c r="L3" s="71"/>
      <c r="M3" s="71"/>
      <c r="N3" s="71"/>
      <c r="O3" s="71"/>
      <c r="P3" s="71"/>
      <c r="Q3" s="72"/>
      <c r="R3" s="6"/>
      <c r="S3" s="70" t="s">
        <v>32</v>
      </c>
      <c r="T3" s="71"/>
      <c r="U3" s="71"/>
      <c r="V3" s="71"/>
      <c r="W3" s="72"/>
      <c r="AA3" s="6"/>
      <c r="BK3"/>
      <c r="BL3"/>
      <c r="BM3"/>
      <c r="BN3"/>
    </row>
    <row r="4" spans="2:66" ht="26.25" customHeight="1" x14ac:dyDescent="0.25">
      <c r="B4" s="8" t="s">
        <v>137</v>
      </c>
      <c r="C4" s="8" t="s">
        <v>33</v>
      </c>
      <c r="D4" s="8" t="s">
        <v>34</v>
      </c>
      <c r="E4" s="8" t="s">
        <v>35</v>
      </c>
      <c r="F4" s="8" t="s">
        <v>37</v>
      </c>
      <c r="G4" s="8" t="s">
        <v>36</v>
      </c>
      <c r="H4" s="8" t="s">
        <v>38</v>
      </c>
      <c r="I4" s="9" t="s">
        <v>39</v>
      </c>
      <c r="K4" s="8" t="s">
        <v>33</v>
      </c>
      <c r="L4" s="8" t="s">
        <v>40</v>
      </c>
      <c r="M4" s="8" t="s">
        <v>41</v>
      </c>
      <c r="N4" s="8" t="s">
        <v>42</v>
      </c>
      <c r="O4" s="8" t="s">
        <v>43</v>
      </c>
      <c r="P4" s="9" t="s">
        <v>44</v>
      </c>
      <c r="Q4" s="9" t="s">
        <v>39</v>
      </c>
      <c r="R4" s="6"/>
      <c r="S4" s="8" t="s">
        <v>45</v>
      </c>
      <c r="T4" s="8" t="s">
        <v>35</v>
      </c>
      <c r="U4" s="8" t="s">
        <v>46</v>
      </c>
      <c r="V4" s="8" t="s">
        <v>47</v>
      </c>
      <c r="W4" s="9" t="s">
        <v>39</v>
      </c>
      <c r="AA4" s="6"/>
      <c r="BK4"/>
      <c r="BL4"/>
      <c r="BM4"/>
      <c r="BN4"/>
    </row>
    <row r="5" spans="2:66" ht="11.25" customHeight="1" x14ac:dyDescent="0.25">
      <c r="B5" s="8" t="s">
        <v>48</v>
      </c>
      <c r="C5" s="8" t="s">
        <v>49</v>
      </c>
      <c r="D5" s="6" t="s">
        <v>50</v>
      </c>
      <c r="E5" s="8">
        <v>324</v>
      </c>
      <c r="F5" s="8" t="s">
        <v>206</v>
      </c>
      <c r="G5" s="10">
        <v>0.1</v>
      </c>
      <c r="H5" s="7">
        <v>33.19</v>
      </c>
      <c r="I5" s="7">
        <f>(Tab_mat_vent[[#This Row],[QTE]]*Tab_mat_vent[[#This Row],[Prix ]])+(Tab_mat_vent[[#This Row],[QTE]]*Tab_mat_vent[[#This Row],[% de perte]])</f>
        <v>10785.96</v>
      </c>
      <c r="K5" s="6"/>
      <c r="L5" s="6" t="s">
        <v>51</v>
      </c>
      <c r="M5" s="8">
        <v>3</v>
      </c>
      <c r="N5" s="8">
        <v>2</v>
      </c>
      <c r="O5" s="8" t="s">
        <v>52</v>
      </c>
      <c r="P5" s="7">
        <v>80</v>
      </c>
      <c r="Q5" s="7">
        <f>Tab_MD_vent[[#This Row],[QTE Hrs]]*Tab_MD_vent[[#This Row],[Salaire]]</f>
        <v>240</v>
      </c>
      <c r="R5" s="6"/>
      <c r="S5" s="6" t="s">
        <v>32</v>
      </c>
      <c r="T5" s="6">
        <v>0</v>
      </c>
      <c r="U5" s="6">
        <v>25</v>
      </c>
      <c r="V5" s="7" cm="1">
        <f t="array" ref="V5">cout_km[coutant KM]</f>
        <v>0.57999999999999996</v>
      </c>
      <c r="W5" s="7">
        <f>tab_mob_vent[[#This Row],[QTE]]*tab_mob_vent[[#This Row],[Distance(Km)]]</f>
        <v>0</v>
      </c>
      <c r="AA5" s="6"/>
      <c r="BK5"/>
      <c r="BL5"/>
      <c r="BM5"/>
      <c r="BN5"/>
    </row>
    <row r="6" spans="2:66" ht="11.25" customHeight="1" x14ac:dyDescent="0.25">
      <c r="B6" s="8" t="s">
        <v>48</v>
      </c>
      <c r="C6" s="8" t="s">
        <v>49</v>
      </c>
      <c r="D6" s="6" t="s">
        <v>53</v>
      </c>
      <c r="E6" s="8">
        <v>14</v>
      </c>
      <c r="F6" s="8" t="s">
        <v>206</v>
      </c>
      <c r="G6" s="10">
        <v>0</v>
      </c>
      <c r="H6" s="7">
        <v>73.44</v>
      </c>
      <c r="I6" s="7">
        <f>(Tab_mat_vent[[#This Row],[QTE]]*Tab_mat_vent[[#This Row],[Prix ]])+(Tab_mat_vent[[#This Row],[QTE]]*Tab_mat_vent[[#This Row],[% de perte]])</f>
        <v>1028.1599999999999</v>
      </c>
      <c r="K6" s="6" t="s">
        <v>49</v>
      </c>
      <c r="L6" s="6" t="s">
        <v>54</v>
      </c>
      <c r="M6" s="8">
        <v>10</v>
      </c>
      <c r="N6" s="8">
        <v>2</v>
      </c>
      <c r="P6" s="7">
        <v>80</v>
      </c>
      <c r="Q6" s="7">
        <f>Tab_MD_vent[[#This Row],[QTE Hrs]]*Tab_MD_vent[[#This Row],[Salaire]]</f>
        <v>800</v>
      </c>
      <c r="R6" s="6"/>
      <c r="S6" s="6"/>
      <c r="T6" s="6"/>
      <c r="U6" s="6"/>
      <c r="V6" s="7" cm="1">
        <f t="array" ref="V6">cout_km[coutant KM]</f>
        <v>0.57999999999999996</v>
      </c>
      <c r="W6" s="7">
        <f>tab_mob_vent[[#This Row],[QTE]]*tab_mob_vent[[#This Row],[Distance(Km)]]</f>
        <v>0</v>
      </c>
      <c r="AA6" s="6"/>
      <c r="BK6"/>
      <c r="BL6"/>
      <c r="BM6"/>
      <c r="BN6"/>
    </row>
    <row r="7" spans="2:66" ht="11.25" customHeight="1" x14ac:dyDescent="0.25">
      <c r="B7" s="8" t="s">
        <v>48</v>
      </c>
      <c r="C7" s="8" t="s">
        <v>49</v>
      </c>
      <c r="D7" s="6" t="s">
        <v>55</v>
      </c>
      <c r="E7" s="8">
        <v>9</v>
      </c>
      <c r="F7" s="8" t="s">
        <v>206</v>
      </c>
      <c r="G7" s="10">
        <v>0</v>
      </c>
      <c r="H7" s="7">
        <v>31.44</v>
      </c>
      <c r="I7" s="7">
        <f>(Tab_mat_vent[[#This Row],[QTE]]*Tab_mat_vent[[#This Row],[Prix ]])+(Tab_mat_vent[[#This Row],[QTE]]*Tab_mat_vent[[#This Row],[% de perte]])</f>
        <v>282.96000000000004</v>
      </c>
      <c r="K7" s="6" t="s">
        <v>49</v>
      </c>
      <c r="L7" s="6" t="s">
        <v>56</v>
      </c>
      <c r="M7" s="8">
        <v>12</v>
      </c>
      <c r="N7" s="8">
        <v>2</v>
      </c>
      <c r="P7" s="7">
        <v>80</v>
      </c>
      <c r="Q7" s="7">
        <f>Tab_MD_vent[[#This Row],[QTE Hrs]]*Tab_MD_vent[[#This Row],[Salaire]]</f>
        <v>960</v>
      </c>
      <c r="R7" s="6"/>
      <c r="S7" s="6"/>
      <c r="T7" s="6"/>
      <c r="U7" s="6"/>
      <c r="V7" s="7" cm="1">
        <f t="array" ref="V7">cout_km[coutant KM]</f>
        <v>0.57999999999999996</v>
      </c>
      <c r="W7" s="7">
        <f>tab_mob_vent[[#This Row],[QTE]]*tab_mob_vent[[#This Row],[Distance(Km)]]</f>
        <v>0</v>
      </c>
      <c r="AA7" s="6"/>
      <c r="BK7"/>
      <c r="BL7"/>
      <c r="BM7"/>
      <c r="BN7"/>
    </row>
    <row r="8" spans="2:66" ht="11.25" customHeight="1" x14ac:dyDescent="0.25">
      <c r="B8" s="8" t="s">
        <v>48</v>
      </c>
      <c r="C8" s="8" t="s">
        <v>49</v>
      </c>
      <c r="D8" s="6" t="s">
        <v>57</v>
      </c>
      <c r="E8" s="8">
        <v>108</v>
      </c>
      <c r="F8" s="8" t="s">
        <v>206</v>
      </c>
      <c r="G8" s="10">
        <v>0</v>
      </c>
      <c r="H8" s="7">
        <v>2.13</v>
      </c>
      <c r="I8" s="7">
        <f>(Tab_mat_vent[[#This Row],[QTE]]*Tab_mat_vent[[#This Row],[Prix ]])+(Tab_mat_vent[[#This Row],[QTE]]*Tab_mat_vent[[#This Row],[% de perte]])</f>
        <v>230.04</v>
      </c>
      <c r="K8" s="6" t="s">
        <v>58</v>
      </c>
      <c r="L8" s="6" t="s">
        <v>59</v>
      </c>
      <c r="M8" s="8">
        <v>10</v>
      </c>
      <c r="N8" s="8">
        <v>2</v>
      </c>
      <c r="P8" s="7">
        <v>80</v>
      </c>
      <c r="Q8" s="7">
        <f>Tab_MD_vent[[#This Row],[QTE Hrs]]*Tab_MD_vent[[#This Row],[Salaire]]</f>
        <v>800</v>
      </c>
      <c r="R8" s="6"/>
      <c r="S8" s="6"/>
      <c r="T8" s="6"/>
      <c r="U8" s="6"/>
      <c r="V8" s="7" cm="1">
        <f t="array" ref="V8">cout_km[coutant KM]</f>
        <v>0.57999999999999996</v>
      </c>
      <c r="W8" s="7">
        <f>tab_mob_vent[[#This Row],[QTE]]*tab_mob_vent[[#This Row],[Distance(Km)]]</f>
        <v>0</v>
      </c>
      <c r="AA8" s="6"/>
      <c r="BK8"/>
      <c r="BL8"/>
      <c r="BM8"/>
      <c r="BN8"/>
    </row>
    <row r="9" spans="2:66" ht="11.25" customHeight="1" x14ac:dyDescent="0.25">
      <c r="B9" s="8" t="s">
        <v>48</v>
      </c>
      <c r="C9" s="8" t="s">
        <v>58</v>
      </c>
      <c r="D9" s="6" t="s">
        <v>60</v>
      </c>
      <c r="E9" s="8">
        <v>84</v>
      </c>
      <c r="F9" s="8" t="s">
        <v>206</v>
      </c>
      <c r="G9" s="10">
        <v>0.1</v>
      </c>
      <c r="H9" s="7">
        <v>46.2</v>
      </c>
      <c r="I9" s="7">
        <f>(Tab_mat_vent[[#This Row],[QTE]]*Tab_mat_vent[[#This Row],[Prix ]])+(Tab_mat_vent[[#This Row],[QTE]]*Tab_mat_vent[[#This Row],[% de perte]])</f>
        <v>3889.2000000000003</v>
      </c>
      <c r="K9" s="6" t="s">
        <v>58</v>
      </c>
      <c r="L9" s="6" t="s">
        <v>61</v>
      </c>
      <c r="M9" s="8">
        <v>2</v>
      </c>
      <c r="N9" s="8">
        <v>2</v>
      </c>
      <c r="P9" s="7">
        <v>80</v>
      </c>
      <c r="Q9" s="7">
        <f>Tab_MD_vent[[#This Row],[QTE Hrs]]*Tab_MD_vent[[#This Row],[Salaire]]</f>
        <v>160</v>
      </c>
      <c r="R9" s="6"/>
      <c r="S9" s="6"/>
      <c r="T9" s="6"/>
      <c r="U9" s="6"/>
      <c r="V9" s="7" cm="1">
        <f t="array" ref="V9">cout_km[coutant KM]</f>
        <v>0.57999999999999996</v>
      </c>
      <c r="W9" s="7">
        <f>tab_mob_vent[[#This Row],[QTE]]*tab_mob_vent[[#This Row],[Distance(Km)]]</f>
        <v>0</v>
      </c>
      <c r="AA9" s="6"/>
      <c r="BK9"/>
      <c r="BL9"/>
      <c r="BM9"/>
      <c r="BN9"/>
    </row>
    <row r="10" spans="2:66" ht="11.25" customHeight="1" x14ac:dyDescent="0.25">
      <c r="B10" s="8" t="s">
        <v>48</v>
      </c>
      <c r="C10" s="8" t="s">
        <v>58</v>
      </c>
      <c r="D10" s="6" t="s">
        <v>62</v>
      </c>
      <c r="E10" s="8">
        <v>17</v>
      </c>
      <c r="F10" s="8" t="s">
        <v>206</v>
      </c>
      <c r="G10" s="10">
        <v>0</v>
      </c>
      <c r="H10" s="7">
        <v>4.4000000000000004</v>
      </c>
      <c r="I10" s="7">
        <f>(Tab_mat_vent[[#This Row],[QTE]]*Tab_mat_vent[[#This Row],[Prix ]])+(Tab_mat_vent[[#This Row],[QTE]]*Tab_mat_vent[[#This Row],[% de perte]])</f>
        <v>74.800000000000011</v>
      </c>
      <c r="K10" s="6" t="s">
        <v>63</v>
      </c>
      <c r="L10" s="6" t="s">
        <v>64</v>
      </c>
      <c r="M10" s="8">
        <v>1.5</v>
      </c>
      <c r="N10" s="8">
        <v>1</v>
      </c>
      <c r="P10" s="7">
        <v>80</v>
      </c>
      <c r="Q10" s="7">
        <f>Tab_MD_vent[[#This Row],[QTE Hrs]]*Tab_MD_vent[[#This Row],[Salaire]]</f>
        <v>120</v>
      </c>
      <c r="R10" s="6"/>
      <c r="S10" s="6"/>
      <c r="T10" s="6"/>
      <c r="U10" s="6"/>
      <c r="V10" s="7" cm="1">
        <f t="array" ref="V10">cout_km[coutant KM]</f>
        <v>0.57999999999999996</v>
      </c>
      <c r="W10" s="7">
        <f>tab_mob_vent[[#This Row],[QTE]]*tab_mob_vent[[#This Row],[Distance(Km)]]</f>
        <v>0</v>
      </c>
      <c r="AA10" s="6"/>
      <c r="BK10"/>
      <c r="BL10"/>
      <c r="BM10"/>
      <c r="BN10"/>
    </row>
    <row r="11" spans="2:66" ht="11.25" customHeight="1" x14ac:dyDescent="0.25">
      <c r="B11" s="8" t="s">
        <v>48</v>
      </c>
      <c r="C11" s="8" t="s">
        <v>58</v>
      </c>
      <c r="D11" s="6" t="s">
        <v>65</v>
      </c>
      <c r="E11" s="8">
        <v>6</v>
      </c>
      <c r="F11" s="8" t="s">
        <v>206</v>
      </c>
      <c r="G11" s="10">
        <v>0</v>
      </c>
      <c r="H11" s="7">
        <v>3.62</v>
      </c>
      <c r="I11" s="7">
        <f>(Tab_mat_vent[[#This Row],[QTE]]*Tab_mat_vent[[#This Row],[Prix ]])+(Tab_mat_vent[[#This Row],[QTE]]*Tab_mat_vent[[#This Row],[% de perte]])</f>
        <v>21.72</v>
      </c>
      <c r="K11" s="6"/>
      <c r="L11" s="6" t="s">
        <v>66</v>
      </c>
      <c r="M11" s="8">
        <v>0.25</v>
      </c>
      <c r="N11" s="8">
        <v>1</v>
      </c>
      <c r="P11" s="7">
        <v>80</v>
      </c>
      <c r="Q11" s="7">
        <f>Tab_MD_vent[[#This Row],[QTE Hrs]]*Tab_MD_vent[[#This Row],[Salaire]]</f>
        <v>20</v>
      </c>
      <c r="R11" s="6"/>
      <c r="S11" s="6"/>
      <c r="T11" s="6"/>
      <c r="U11" s="6"/>
      <c r="V11" s="7" cm="1">
        <f t="array" ref="V11">cout_km[coutant KM]</f>
        <v>0.57999999999999996</v>
      </c>
      <c r="W11" s="7">
        <f>tab_mob_vent[[#This Row],[QTE]]*tab_mob_vent[[#This Row],[Distance(Km)]]</f>
        <v>0</v>
      </c>
      <c r="AA11" s="6"/>
      <c r="BK11"/>
      <c r="BL11"/>
      <c r="BM11"/>
      <c r="BN11"/>
    </row>
    <row r="12" spans="2:66" ht="11.25" customHeight="1" x14ac:dyDescent="0.25">
      <c r="B12" s="8" t="s">
        <v>48</v>
      </c>
      <c r="C12" s="8" t="s">
        <v>63</v>
      </c>
      <c r="D12" s="6" t="s">
        <v>67</v>
      </c>
      <c r="E12" s="8">
        <v>12</v>
      </c>
      <c r="F12" s="8" t="s">
        <v>206</v>
      </c>
      <c r="G12" s="10">
        <v>0</v>
      </c>
      <c r="H12" s="7">
        <v>4.1500000000000004</v>
      </c>
      <c r="I12" s="7">
        <f>(Tab_mat_vent[[#This Row],[QTE]]*Tab_mat_vent[[#This Row],[Prix ]])+(Tab_mat_vent[[#This Row],[QTE]]*Tab_mat_vent[[#This Row],[% de perte]])</f>
        <v>49.800000000000004</v>
      </c>
      <c r="K12" s="6"/>
      <c r="L12" s="6" t="s">
        <v>68</v>
      </c>
      <c r="M12" s="8">
        <v>0.25</v>
      </c>
      <c r="N12" s="8">
        <v>1</v>
      </c>
      <c r="P12" s="7">
        <v>80</v>
      </c>
      <c r="Q12" s="7">
        <f>Tab_MD_vent[[#This Row],[QTE Hrs]]*Tab_MD_vent[[#This Row],[Salaire]]</f>
        <v>20</v>
      </c>
      <c r="R12" s="6"/>
      <c r="S12" s="6"/>
      <c r="T12" s="6"/>
      <c r="U12" s="6"/>
      <c r="V12" s="7" cm="1">
        <f t="array" ref="V12">cout_km[coutant KM]</f>
        <v>0.57999999999999996</v>
      </c>
      <c r="W12" s="7">
        <f>tab_mob_vent[[#This Row],[QTE]]*tab_mob_vent[[#This Row],[Distance(Km)]]</f>
        <v>0</v>
      </c>
      <c r="AA12" s="6"/>
      <c r="BK12"/>
      <c r="BL12"/>
      <c r="BM12"/>
      <c r="BN12"/>
    </row>
    <row r="13" spans="2:66" ht="11.25" customHeight="1" x14ac:dyDescent="0.25">
      <c r="B13" s="8" t="s">
        <v>48</v>
      </c>
      <c r="C13" s="8" t="s">
        <v>63</v>
      </c>
      <c r="D13" s="6" t="s">
        <v>69</v>
      </c>
      <c r="E13" s="8">
        <v>4</v>
      </c>
      <c r="F13" s="8" t="s">
        <v>206</v>
      </c>
      <c r="G13" s="10">
        <v>0.1</v>
      </c>
      <c r="H13" s="7">
        <v>3.11</v>
      </c>
      <c r="I13" s="7">
        <f>(Tab_mat_vent[[#This Row],[QTE]]*Tab_mat_vent[[#This Row],[Prix ]])+(Tab_mat_vent[[#This Row],[QTE]]*Tab_mat_vent[[#This Row],[% de perte]])</f>
        <v>12.84</v>
      </c>
      <c r="K13" s="6"/>
      <c r="L13" s="6" t="s">
        <v>70</v>
      </c>
      <c r="M13" s="8">
        <v>0.25</v>
      </c>
      <c r="N13" s="8">
        <v>1</v>
      </c>
      <c r="P13" s="7">
        <v>80</v>
      </c>
      <c r="Q13" s="7">
        <f>Tab_MD_vent[[#This Row],[QTE Hrs]]*Tab_MD_vent[[#This Row],[Salaire]]</f>
        <v>20</v>
      </c>
      <c r="R13" s="6"/>
      <c r="S13" s="6"/>
      <c r="T13" s="6"/>
      <c r="U13" s="6"/>
      <c r="V13" s="7" cm="1">
        <f t="array" ref="V13">cout_km[coutant KM]</f>
        <v>0.57999999999999996</v>
      </c>
      <c r="W13" s="7">
        <f>tab_mob_vent[[#This Row],[QTE]]*tab_mob_vent[[#This Row],[Distance(Km)]]</f>
        <v>0</v>
      </c>
      <c r="AA13" s="6"/>
      <c r="BK13"/>
      <c r="BL13"/>
      <c r="BM13"/>
      <c r="BN13"/>
    </row>
    <row r="14" spans="2:66" ht="11.25" customHeight="1" x14ac:dyDescent="0.25">
      <c r="B14" s="8" t="s">
        <v>48</v>
      </c>
      <c r="C14" s="8" t="s">
        <v>63</v>
      </c>
      <c r="D14" s="6" t="s">
        <v>71</v>
      </c>
      <c r="E14" s="8">
        <v>2</v>
      </c>
      <c r="F14" s="8" t="s">
        <v>206</v>
      </c>
      <c r="G14" s="10">
        <v>0</v>
      </c>
      <c r="H14" s="7">
        <v>0.98</v>
      </c>
      <c r="I14" s="7">
        <f>(Tab_mat_vent[[#This Row],[QTE]]*Tab_mat_vent[[#This Row],[Prix ]])+(Tab_mat_vent[[#This Row],[QTE]]*Tab_mat_vent[[#This Row],[% de perte]])</f>
        <v>1.96</v>
      </c>
      <c r="K14" s="6"/>
      <c r="M14" s="8"/>
      <c r="N14" s="8"/>
      <c r="P14" s="7"/>
      <c r="Q14" s="7">
        <f>Tab_MD_vent[[#This Row],[QTE Hrs]]*Tab_MD_vent[[#This Row],[Salaire]]</f>
        <v>0</v>
      </c>
      <c r="R14" s="6"/>
      <c r="S14" s="6"/>
      <c r="T14" s="6"/>
      <c r="U14" s="6"/>
      <c r="V14" s="7" cm="1">
        <f t="array" ref="V14">cout_km[coutant KM]</f>
        <v>0.57999999999999996</v>
      </c>
      <c r="W14" s="7">
        <f>tab_mob_vent[[#This Row],[QTE]]*tab_mob_vent[[#This Row],[Distance(Km)]]</f>
        <v>0</v>
      </c>
      <c r="AA14" s="6"/>
      <c r="BK14"/>
      <c r="BL14"/>
      <c r="BM14"/>
      <c r="BN14"/>
    </row>
    <row r="15" spans="2:66" ht="11.25" customHeight="1" x14ac:dyDescent="0.25">
      <c r="B15" s="8" t="s">
        <v>48</v>
      </c>
      <c r="C15" s="8" t="s">
        <v>49</v>
      </c>
      <c r="D15" s="6" t="s">
        <v>72</v>
      </c>
      <c r="E15" s="8">
        <v>4</v>
      </c>
      <c r="F15" s="8" t="s">
        <v>206</v>
      </c>
      <c r="G15" s="10">
        <v>0</v>
      </c>
      <c r="H15" s="7">
        <v>592.89</v>
      </c>
      <c r="I15" s="7">
        <f>(Tab_mat_vent[[#This Row],[QTE]]*Tab_mat_vent[[#This Row],[Prix ]])+(Tab_mat_vent[[#This Row],[QTE]]*Tab_mat_vent[[#This Row],[% de perte]])</f>
        <v>2371.56</v>
      </c>
      <c r="K15" s="6"/>
      <c r="M15" s="8"/>
      <c r="N15" s="8"/>
      <c r="P15" s="7"/>
      <c r="Q15" s="7">
        <f>Tab_MD_vent[[#This Row],[QTE Hrs]]*Tab_MD_vent[[#This Row],[Salaire]]</f>
        <v>0</v>
      </c>
      <c r="R15" s="6"/>
      <c r="S15" s="6"/>
      <c r="T15" s="6"/>
      <c r="U15" s="6"/>
      <c r="V15" s="7" cm="1">
        <f t="array" ref="V15">cout_km[coutant KM]</f>
        <v>0.57999999999999996</v>
      </c>
      <c r="W15" s="7">
        <f>tab_mob_vent[[#This Row],[QTE]]*tab_mob_vent[[#This Row],[Distance(Km)]]</f>
        <v>0</v>
      </c>
      <c r="AA15" s="6"/>
      <c r="BK15"/>
      <c r="BL15"/>
      <c r="BM15"/>
      <c r="BN15"/>
    </row>
    <row r="16" spans="2:66" ht="11.25" customHeight="1" x14ac:dyDescent="0.25">
      <c r="B16" s="8" t="s">
        <v>48</v>
      </c>
      <c r="C16" s="8" t="s">
        <v>49</v>
      </c>
      <c r="D16" s="12" t="s">
        <v>73</v>
      </c>
      <c r="E16" s="8">
        <v>4</v>
      </c>
      <c r="F16" s="8" t="s">
        <v>206</v>
      </c>
      <c r="G16" s="10">
        <v>0</v>
      </c>
      <c r="H16" s="7">
        <v>115.78</v>
      </c>
      <c r="I16" s="7">
        <f>(Tab_mat_vent[[#This Row],[QTE]]*Tab_mat_vent[[#This Row],[Prix ]])+(Tab_mat_vent[[#This Row],[QTE]]*Tab_mat_vent[[#This Row],[% de perte]])</f>
        <v>463.12</v>
      </c>
      <c r="K16" s="6"/>
      <c r="M16" s="8"/>
      <c r="N16" s="8"/>
      <c r="P16" s="7"/>
      <c r="Q16" s="7">
        <f>Tab_MD_vent[[#This Row],[QTE Hrs]]*Tab_MD_vent[[#This Row],[Salaire]]</f>
        <v>0</v>
      </c>
      <c r="R16" s="6"/>
      <c r="S16" s="6"/>
      <c r="T16" s="6"/>
      <c r="U16" s="6"/>
      <c r="V16" s="7" cm="1">
        <f t="array" ref="V16">cout_km[coutant KM]</f>
        <v>0.57999999999999996</v>
      </c>
      <c r="W16" s="7">
        <f>tab_mob_vent[[#This Row],[QTE]]*tab_mob_vent[[#This Row],[Distance(Km)]]</f>
        <v>0</v>
      </c>
      <c r="AA16" s="6"/>
      <c r="BK16"/>
      <c r="BL16"/>
      <c r="BM16"/>
      <c r="BN16"/>
    </row>
    <row r="17" spans="2:66" ht="11.25" customHeight="1" x14ac:dyDescent="0.25">
      <c r="B17" s="8" t="s">
        <v>48</v>
      </c>
      <c r="C17" s="8" t="s">
        <v>49</v>
      </c>
      <c r="D17" s="6" t="s">
        <v>74</v>
      </c>
      <c r="E17" s="8">
        <v>2</v>
      </c>
      <c r="F17" s="8" t="s">
        <v>206</v>
      </c>
      <c r="G17" s="10">
        <v>0</v>
      </c>
      <c r="H17" s="7">
        <v>6.28</v>
      </c>
      <c r="I17" s="7">
        <f>(Tab_mat_vent[[#This Row],[QTE]]*Tab_mat_vent[[#This Row],[Prix ]])+(Tab_mat_vent[[#This Row],[QTE]]*Tab_mat_vent[[#This Row],[% de perte]])</f>
        <v>12.56</v>
      </c>
      <c r="K17" s="6"/>
      <c r="M17" s="8"/>
      <c r="N17" s="8"/>
      <c r="P17" s="7"/>
      <c r="Q17" s="7">
        <f>Tab_MD_vent[[#This Row],[QTE Hrs]]*Tab_MD_vent[[#This Row],[Salaire]]</f>
        <v>0</v>
      </c>
      <c r="R17" s="6"/>
      <c r="S17" s="6"/>
      <c r="T17" s="6"/>
      <c r="U17" s="6"/>
      <c r="W17" s="11">
        <f>SUBTOTAL(109,tab_mob_vent[Total])</f>
        <v>0</v>
      </c>
      <c r="AA17" s="6"/>
      <c r="BK17"/>
      <c r="BL17"/>
      <c r="BM17"/>
      <c r="BN17"/>
    </row>
    <row r="18" spans="2:66" ht="11.25" customHeight="1" x14ac:dyDescent="0.25">
      <c r="B18" s="8" t="s">
        <v>48</v>
      </c>
      <c r="C18" s="8" t="s">
        <v>49</v>
      </c>
      <c r="D18" s="6" t="s">
        <v>75</v>
      </c>
      <c r="E18" s="8">
        <v>4</v>
      </c>
      <c r="F18" s="8" t="s">
        <v>206</v>
      </c>
      <c r="G18" s="10">
        <v>0</v>
      </c>
      <c r="H18" s="7">
        <v>10.64</v>
      </c>
      <c r="I18" s="7">
        <f>(Tab_mat_vent[[#This Row],[QTE]]*Tab_mat_vent[[#This Row],[Prix ]])+(Tab_mat_vent[[#This Row],[QTE]]*Tab_mat_vent[[#This Row],[% de perte]])</f>
        <v>42.56</v>
      </c>
      <c r="K18" s="6"/>
      <c r="M18" s="8"/>
      <c r="N18" s="8"/>
      <c r="P18" s="7"/>
      <c r="Q18" s="7">
        <f>Tab_MD_vent[[#This Row],[QTE Hrs]]*Tab_MD_vent[[#This Row],[Salaire]]</f>
        <v>0</v>
      </c>
      <c r="R18" s="6"/>
      <c r="S18" s="6"/>
      <c r="T18" s="6"/>
      <c r="U18" s="6"/>
      <c r="W18" s="7"/>
      <c r="AA18" s="6"/>
      <c r="BK18"/>
      <c r="BL18"/>
      <c r="BM18"/>
      <c r="BN18"/>
    </row>
    <row r="19" spans="2:66" ht="11.25" customHeight="1" x14ac:dyDescent="0.25">
      <c r="B19" s="8" t="s">
        <v>48</v>
      </c>
      <c r="C19" s="8" t="s">
        <v>49</v>
      </c>
      <c r="D19" s="6" t="s">
        <v>76</v>
      </c>
      <c r="E19" s="8">
        <v>7</v>
      </c>
      <c r="F19" s="8" t="s">
        <v>206</v>
      </c>
      <c r="G19" s="10">
        <v>0</v>
      </c>
      <c r="H19" s="7">
        <v>13.48</v>
      </c>
      <c r="I19" s="7">
        <f>(Tab_mat_vent[[#This Row],[QTE]]*Tab_mat_vent[[#This Row],[Prix ]])+(Tab_mat_vent[[#This Row],[QTE]]*Tab_mat_vent[[#This Row],[% de perte]])</f>
        <v>94.36</v>
      </c>
      <c r="K19" s="6"/>
      <c r="M19" s="8"/>
      <c r="N19" s="8"/>
      <c r="P19" s="7"/>
      <c r="Q19" s="7">
        <f>Tab_MD_vent[[#This Row],[QTE Hrs]]*Tab_MD_vent[[#This Row],[Salaire]]</f>
        <v>0</v>
      </c>
      <c r="R19" s="6"/>
      <c r="S19" s="6"/>
      <c r="T19" s="6"/>
      <c r="U19" s="6"/>
      <c r="W19" s="7"/>
      <c r="AA19" s="6"/>
      <c r="BK19"/>
      <c r="BL19"/>
      <c r="BM19"/>
      <c r="BN19"/>
    </row>
    <row r="20" spans="2:66" ht="11.25" customHeight="1" x14ac:dyDescent="0.25">
      <c r="B20" s="8" t="s">
        <v>48</v>
      </c>
      <c r="C20" s="8" t="s">
        <v>49</v>
      </c>
      <c r="D20" s="6" t="s">
        <v>77</v>
      </c>
      <c r="E20" s="8">
        <v>14</v>
      </c>
      <c r="F20" s="8" t="s">
        <v>206</v>
      </c>
      <c r="G20" s="10">
        <v>0</v>
      </c>
      <c r="H20" s="7">
        <v>47.15</v>
      </c>
      <c r="I20" s="7">
        <f>(Tab_mat_vent[[#This Row],[QTE]]*Tab_mat_vent[[#This Row],[Prix ]])+(Tab_mat_vent[[#This Row],[QTE]]*Tab_mat_vent[[#This Row],[% de perte]])</f>
        <v>660.1</v>
      </c>
      <c r="K20" s="6"/>
      <c r="M20" s="8"/>
      <c r="N20" s="8"/>
      <c r="P20" s="7"/>
      <c r="Q20" s="7">
        <f>Tab_MD_vent[[#This Row],[QTE Hrs]]*Tab_MD_vent[[#This Row],[Salaire]]</f>
        <v>0</v>
      </c>
      <c r="R20" s="6"/>
      <c r="S20" s="6"/>
      <c r="T20" s="6"/>
      <c r="U20" s="6"/>
      <c r="W20" s="7"/>
      <c r="AA20" s="6"/>
      <c r="BK20"/>
      <c r="BL20"/>
      <c r="BM20"/>
      <c r="BN20"/>
    </row>
    <row r="21" spans="2:66" ht="11.25" customHeight="1" x14ac:dyDescent="0.25">
      <c r="B21" s="8" t="s">
        <v>48</v>
      </c>
      <c r="C21" s="8" t="s">
        <v>49</v>
      </c>
      <c r="D21" s="6" t="s">
        <v>78</v>
      </c>
      <c r="E21" s="8">
        <v>2</v>
      </c>
      <c r="F21" s="8" t="s">
        <v>206</v>
      </c>
      <c r="G21" s="10">
        <v>0</v>
      </c>
      <c r="H21" s="7">
        <v>160.34</v>
      </c>
      <c r="I21" s="7">
        <f>(Tab_mat_vent[[#This Row],[QTE]]*Tab_mat_vent[[#This Row],[Prix ]])+(Tab_mat_vent[[#This Row],[QTE]]*Tab_mat_vent[[#This Row],[% de perte]])</f>
        <v>320.68</v>
      </c>
      <c r="K21" s="6"/>
      <c r="M21" s="8"/>
      <c r="N21" s="8"/>
      <c r="P21" s="7"/>
      <c r="Q21" s="7">
        <f>Tab_MD_vent[[#This Row],[QTE Hrs]]*Tab_MD_vent[[#This Row],[Salaire]]</f>
        <v>0</v>
      </c>
      <c r="R21" s="6"/>
      <c r="S21" s="6"/>
      <c r="T21" s="6"/>
      <c r="U21" s="6"/>
      <c r="W21" s="7"/>
      <c r="AA21" s="6"/>
      <c r="BK21"/>
      <c r="BL21"/>
      <c r="BM21"/>
      <c r="BN21"/>
    </row>
    <row r="22" spans="2:66" ht="11.25" customHeight="1" x14ac:dyDescent="0.25">
      <c r="B22" s="8" t="s">
        <v>48</v>
      </c>
      <c r="C22" s="8" t="s">
        <v>49</v>
      </c>
      <c r="D22" s="6" t="s">
        <v>79</v>
      </c>
      <c r="E22" s="8">
        <v>2</v>
      </c>
      <c r="F22" s="8" t="s">
        <v>206</v>
      </c>
      <c r="G22" s="10">
        <v>0</v>
      </c>
      <c r="H22" s="7">
        <v>18.3</v>
      </c>
      <c r="I22" s="7">
        <f>(Tab_mat_vent[[#This Row],[QTE]]*Tab_mat_vent[[#This Row],[Prix ]])+(Tab_mat_vent[[#This Row],[QTE]]*Tab_mat_vent[[#This Row],[% de perte]])</f>
        <v>36.6</v>
      </c>
      <c r="K22" s="6"/>
      <c r="M22" s="8"/>
      <c r="N22" s="8"/>
      <c r="P22" s="7"/>
      <c r="Q22" s="7">
        <f>Tab_MD_vent[[#This Row],[QTE Hrs]]*Tab_MD_vent[[#This Row],[Salaire]]</f>
        <v>0</v>
      </c>
      <c r="R22" s="6"/>
      <c r="S22" s="6"/>
      <c r="T22" s="6"/>
      <c r="U22" s="6"/>
      <c r="W22" s="7"/>
      <c r="AA22" s="6"/>
      <c r="BK22"/>
      <c r="BL22"/>
      <c r="BM22"/>
      <c r="BN22"/>
    </row>
    <row r="23" spans="2:66" ht="11.25" customHeight="1" x14ac:dyDescent="0.25">
      <c r="B23" s="8" t="s">
        <v>48</v>
      </c>
      <c r="C23" s="8" t="s">
        <v>49</v>
      </c>
      <c r="D23" s="6" t="s">
        <v>80</v>
      </c>
      <c r="E23" s="8">
        <v>4</v>
      </c>
      <c r="F23" s="8" t="s">
        <v>206</v>
      </c>
      <c r="G23" s="10">
        <v>0</v>
      </c>
      <c r="H23" s="7">
        <v>7.63</v>
      </c>
      <c r="I23" s="7">
        <f>(Tab_mat_vent[[#This Row],[QTE]]*Tab_mat_vent[[#This Row],[Prix ]])+(Tab_mat_vent[[#This Row],[QTE]]*Tab_mat_vent[[#This Row],[% de perte]])</f>
        <v>30.52</v>
      </c>
      <c r="K23" s="6"/>
      <c r="M23" s="8"/>
      <c r="N23" s="8"/>
      <c r="P23" s="7"/>
      <c r="Q23" s="7">
        <f>Tab_MD_vent[[#This Row],[QTE Hrs]]*Tab_MD_vent[[#This Row],[Salaire]]</f>
        <v>0</v>
      </c>
      <c r="R23" s="6"/>
      <c r="S23" s="6"/>
      <c r="T23" s="6"/>
      <c r="U23" s="6"/>
      <c r="W23" s="7"/>
      <c r="AA23" s="6"/>
      <c r="BK23"/>
      <c r="BL23"/>
      <c r="BM23"/>
      <c r="BN23"/>
    </row>
    <row r="24" spans="2:66" ht="11.25" customHeight="1" x14ac:dyDescent="0.25">
      <c r="B24" s="8" t="s">
        <v>48</v>
      </c>
      <c r="C24" s="8" t="s">
        <v>49</v>
      </c>
      <c r="D24" s="6" t="s">
        <v>81</v>
      </c>
      <c r="E24" s="8">
        <v>9</v>
      </c>
      <c r="F24" s="8" t="s">
        <v>206</v>
      </c>
      <c r="G24" s="10">
        <v>0</v>
      </c>
      <c r="H24" s="7">
        <v>4.04</v>
      </c>
      <c r="I24" s="7">
        <f>(Tab_mat_vent[[#This Row],[QTE]]*Tab_mat_vent[[#This Row],[Prix ]])+(Tab_mat_vent[[#This Row],[QTE]]*Tab_mat_vent[[#This Row],[% de perte]])</f>
        <v>36.36</v>
      </c>
      <c r="K24" s="6"/>
      <c r="M24" s="8"/>
      <c r="N24" s="8"/>
      <c r="P24" s="7"/>
      <c r="Q24" s="7">
        <f>Tab_MD_vent[[#This Row],[QTE Hrs]]*Tab_MD_vent[[#This Row],[Salaire]]</f>
        <v>0</v>
      </c>
      <c r="R24" s="6"/>
      <c r="S24" s="6"/>
      <c r="T24" s="6"/>
      <c r="U24" s="6"/>
      <c r="W24" s="7"/>
      <c r="AA24" s="6"/>
      <c r="BK24"/>
      <c r="BL24"/>
      <c r="BM24"/>
      <c r="BN24"/>
    </row>
    <row r="25" spans="2:66" ht="11.25" customHeight="1" x14ac:dyDescent="0.25">
      <c r="B25" s="8" t="s">
        <v>48</v>
      </c>
      <c r="C25" s="8" t="s">
        <v>49</v>
      </c>
      <c r="D25" s="6" t="s">
        <v>82</v>
      </c>
      <c r="E25" s="8">
        <v>14</v>
      </c>
      <c r="F25" s="8" t="s">
        <v>206</v>
      </c>
      <c r="G25" s="10">
        <v>0</v>
      </c>
      <c r="H25" s="7">
        <v>5.56</v>
      </c>
      <c r="I25" s="7">
        <f>(Tab_mat_vent[[#This Row],[QTE]]*Tab_mat_vent[[#This Row],[Prix ]])+(Tab_mat_vent[[#This Row],[QTE]]*Tab_mat_vent[[#This Row],[% de perte]])</f>
        <v>77.839999999999989</v>
      </c>
      <c r="K25" s="6"/>
      <c r="M25" s="8"/>
      <c r="N25" s="8"/>
      <c r="P25" s="7"/>
      <c r="Q25" s="7">
        <f>Tab_MD_vent[[#This Row],[QTE Hrs]]*Tab_MD_vent[[#This Row],[Salaire]]</f>
        <v>0</v>
      </c>
      <c r="R25" s="6"/>
      <c r="S25" s="6"/>
      <c r="T25" s="6"/>
      <c r="U25" s="6"/>
      <c r="W25" s="7"/>
      <c r="AA25" s="6"/>
      <c r="BK25"/>
      <c r="BL25"/>
      <c r="BM25"/>
      <c r="BN25"/>
    </row>
    <row r="26" spans="2:66" ht="11.25" customHeight="1" x14ac:dyDescent="0.25">
      <c r="B26" s="8" t="s">
        <v>48</v>
      </c>
      <c r="C26" s="8" t="s">
        <v>49</v>
      </c>
      <c r="D26" s="6" t="s">
        <v>83</v>
      </c>
      <c r="E26" s="8">
        <v>14</v>
      </c>
      <c r="F26" s="8" t="s">
        <v>206</v>
      </c>
      <c r="G26" s="10">
        <v>0</v>
      </c>
      <c r="H26" s="7">
        <v>18.760000000000002</v>
      </c>
      <c r="I26" s="7">
        <f>(Tab_mat_vent[[#This Row],[QTE]]*Tab_mat_vent[[#This Row],[Prix ]])+(Tab_mat_vent[[#This Row],[QTE]]*Tab_mat_vent[[#This Row],[% de perte]])</f>
        <v>262.64000000000004</v>
      </c>
      <c r="K26" s="6"/>
      <c r="M26" s="8"/>
      <c r="N26" s="8"/>
      <c r="P26" s="7"/>
      <c r="Q26" s="7">
        <f>Tab_MD_vent[[#This Row],[QTE Hrs]]*Tab_MD_vent[[#This Row],[Salaire]]</f>
        <v>0</v>
      </c>
      <c r="R26" s="6"/>
      <c r="S26" s="6"/>
      <c r="T26" s="6"/>
      <c r="U26" s="6"/>
      <c r="W26" s="7"/>
      <c r="AA26" s="6"/>
      <c r="BK26"/>
      <c r="BL26"/>
      <c r="BM26"/>
      <c r="BN26"/>
    </row>
    <row r="27" spans="2:66" ht="11.25" customHeight="1" x14ac:dyDescent="0.25">
      <c r="F27" s="8" t="s">
        <v>206</v>
      </c>
      <c r="G27" s="10">
        <v>0</v>
      </c>
      <c r="H27" s="7"/>
      <c r="I27" s="7">
        <f>(Tab_mat_vent[[#This Row],[QTE]]*Tab_mat_vent[[#This Row],[Prix ]])+(Tab_mat_vent[[#This Row],[QTE]]*Tab_mat_vent[[#This Row],[% de perte]])</f>
        <v>0</v>
      </c>
      <c r="K27" s="6"/>
      <c r="M27" s="8"/>
      <c r="N27" s="8"/>
      <c r="P27" s="7"/>
      <c r="Q27" s="7">
        <f>Tab_MD_vent[[#This Row],[QTE Hrs]]*Tab_MD_vent[[#This Row],[Salaire]]</f>
        <v>0</v>
      </c>
      <c r="R27" s="6"/>
      <c r="S27" s="6"/>
      <c r="T27" s="6"/>
      <c r="U27" s="6"/>
      <c r="W27" s="7"/>
      <c r="AA27" s="6"/>
      <c r="BK27"/>
      <c r="BL27"/>
      <c r="BM27"/>
      <c r="BN27"/>
    </row>
    <row r="28" spans="2:66" ht="11.25" customHeight="1" x14ac:dyDescent="0.25">
      <c r="F28" s="8" t="s">
        <v>206</v>
      </c>
      <c r="G28" s="10">
        <v>0</v>
      </c>
      <c r="H28" s="7"/>
      <c r="I28" s="7">
        <f>(Tab_mat_vent[[#This Row],[QTE]]*Tab_mat_vent[[#This Row],[Prix ]])+(Tab_mat_vent[[#This Row],[QTE]]*Tab_mat_vent[[#This Row],[% de perte]])</f>
        <v>0</v>
      </c>
      <c r="K28" s="6"/>
      <c r="M28" s="8"/>
      <c r="N28" s="8"/>
      <c r="P28" s="7"/>
      <c r="Q28" s="7">
        <f>Tab_MD_vent[[#This Row],[QTE Hrs]]*Tab_MD_vent[[#This Row],[Salaire]]</f>
        <v>0</v>
      </c>
      <c r="R28" s="6"/>
      <c r="S28" s="6"/>
      <c r="T28" s="6"/>
      <c r="U28" s="6"/>
      <c r="W28" s="7"/>
      <c r="AA28" s="6"/>
      <c r="BK28"/>
      <c r="BL28"/>
      <c r="BM28"/>
      <c r="BN28"/>
    </row>
    <row r="29" spans="2:66" ht="11.25" customHeight="1" x14ac:dyDescent="0.25">
      <c r="F29" s="8" t="s">
        <v>206</v>
      </c>
      <c r="G29" s="10">
        <v>0</v>
      </c>
      <c r="H29" s="7"/>
      <c r="I29" s="7">
        <f>(Tab_mat_vent[[#This Row],[QTE]]*Tab_mat_vent[[#This Row],[Prix ]])+(Tab_mat_vent[[#This Row],[QTE]]*Tab_mat_vent[[#This Row],[% de perte]])</f>
        <v>0</v>
      </c>
      <c r="K29" s="6"/>
      <c r="M29" s="8"/>
      <c r="N29" s="8"/>
      <c r="P29" s="7"/>
      <c r="Q29" s="7">
        <f>Tab_MD_vent[[#This Row],[QTE Hrs]]*Tab_MD_vent[[#This Row],[Salaire]]</f>
        <v>0</v>
      </c>
      <c r="R29" s="6"/>
      <c r="S29" s="6"/>
      <c r="T29" s="6"/>
      <c r="U29" s="6"/>
      <c r="W29" s="7"/>
      <c r="AA29" s="6"/>
      <c r="BK29"/>
      <c r="BL29"/>
      <c r="BM29"/>
      <c r="BN29"/>
    </row>
    <row r="30" spans="2:66" ht="11.25" customHeight="1" x14ac:dyDescent="0.25">
      <c r="F30" s="8" t="s">
        <v>206</v>
      </c>
      <c r="G30" s="10">
        <v>0</v>
      </c>
      <c r="H30" s="7"/>
      <c r="I30" s="7">
        <f>(Tab_mat_vent[[#This Row],[QTE]]*Tab_mat_vent[[#This Row],[Prix ]])+(Tab_mat_vent[[#This Row],[QTE]]*Tab_mat_vent[[#This Row],[% de perte]])</f>
        <v>0</v>
      </c>
      <c r="K30" s="6"/>
      <c r="M30" s="8"/>
      <c r="N30" s="8"/>
      <c r="P30" s="7"/>
      <c r="Q30" s="7">
        <f>Tab_MD_vent[[#This Row],[QTE Hrs]]*Tab_MD_vent[[#This Row],[Salaire]]</f>
        <v>0</v>
      </c>
      <c r="R30" s="6"/>
      <c r="S30" s="6"/>
      <c r="T30" s="6"/>
      <c r="U30" s="6"/>
      <c r="W30" s="7"/>
      <c r="AA30" s="6"/>
      <c r="BK30"/>
      <c r="BL30"/>
      <c r="BM30"/>
      <c r="BN30"/>
    </row>
    <row r="31" spans="2:66" ht="11.25" customHeight="1" x14ac:dyDescent="0.25">
      <c r="D31" s="12"/>
      <c r="F31" s="8" t="s">
        <v>206</v>
      </c>
      <c r="G31" s="10">
        <v>0</v>
      </c>
      <c r="H31" s="7"/>
      <c r="I31" s="7">
        <f>(Tab_mat_vent[[#This Row],[QTE]]*Tab_mat_vent[[#This Row],[Prix ]])+(Tab_mat_vent[[#This Row],[QTE]]*Tab_mat_vent[[#This Row],[% de perte]])</f>
        <v>0</v>
      </c>
      <c r="K31" s="6"/>
      <c r="M31" s="8"/>
      <c r="N31" s="8"/>
      <c r="P31" s="7"/>
      <c r="Q31" s="7">
        <f>Tab_MD_vent[[#This Row],[QTE Hrs]]*Tab_MD_vent[[#This Row],[Salaire]]</f>
        <v>0</v>
      </c>
      <c r="R31" s="6"/>
      <c r="S31" s="6"/>
      <c r="T31" s="6"/>
      <c r="U31" s="6"/>
      <c r="W31" s="7"/>
      <c r="AA31" s="6"/>
      <c r="BK31"/>
      <c r="BL31"/>
      <c r="BM31"/>
      <c r="BN31"/>
    </row>
    <row r="32" spans="2:66" ht="11.25" customHeight="1" x14ac:dyDescent="0.25">
      <c r="F32" s="8" t="s">
        <v>206</v>
      </c>
      <c r="G32" s="10">
        <v>0</v>
      </c>
      <c r="H32" s="7"/>
      <c r="I32" s="7">
        <f>(Tab_mat_vent[[#This Row],[QTE]]*Tab_mat_vent[[#This Row],[Prix ]])+(Tab_mat_vent[[#This Row],[QTE]]*Tab_mat_vent[[#This Row],[% de perte]])</f>
        <v>0</v>
      </c>
      <c r="K32" s="6"/>
      <c r="M32" s="8"/>
      <c r="N32" s="8"/>
      <c r="P32" s="7"/>
      <c r="Q32" s="7">
        <f>Tab_MD_vent[[#This Row],[QTE Hrs]]*Tab_MD_vent[[#This Row],[Salaire]]</f>
        <v>0</v>
      </c>
      <c r="R32" s="6"/>
      <c r="S32" s="6"/>
      <c r="T32" s="6"/>
      <c r="U32" s="6"/>
      <c r="W32" s="7"/>
      <c r="AA32" s="6"/>
      <c r="BK32"/>
      <c r="BL32"/>
      <c r="BM32"/>
      <c r="BN32"/>
    </row>
    <row r="33" spans="6:66" ht="11.25" customHeight="1" x14ac:dyDescent="0.25">
      <c r="F33" s="8" t="s">
        <v>206</v>
      </c>
      <c r="G33" s="10">
        <v>0</v>
      </c>
      <c r="H33" s="7"/>
      <c r="I33" s="7">
        <f>(Tab_mat_vent[[#This Row],[QTE]]*Tab_mat_vent[[#This Row],[Prix ]])+(Tab_mat_vent[[#This Row],[QTE]]*Tab_mat_vent[[#This Row],[% de perte]])</f>
        <v>0</v>
      </c>
      <c r="K33" s="6"/>
      <c r="M33" s="8"/>
      <c r="N33" s="8"/>
      <c r="P33" s="7"/>
      <c r="Q33" s="7">
        <f>Tab_MD_vent[[#This Row],[QTE Hrs]]*Tab_MD_vent[[#This Row],[Salaire]]</f>
        <v>0</v>
      </c>
      <c r="R33" s="6"/>
      <c r="S33" s="6"/>
      <c r="T33" s="6"/>
      <c r="U33" s="6"/>
      <c r="W33" s="7"/>
      <c r="AA33" s="6"/>
      <c r="BK33"/>
      <c r="BL33"/>
      <c r="BM33"/>
      <c r="BN33"/>
    </row>
    <row r="34" spans="6:66" ht="11.25" customHeight="1" x14ac:dyDescent="0.25">
      <c r="F34" s="8" t="s">
        <v>206</v>
      </c>
      <c r="G34" s="10">
        <v>0</v>
      </c>
      <c r="H34" s="7"/>
      <c r="I34" s="7">
        <f>(Tab_mat_vent[[#This Row],[QTE]]*Tab_mat_vent[[#This Row],[Prix ]])+(Tab_mat_vent[[#This Row],[QTE]]*Tab_mat_vent[[#This Row],[% de perte]])</f>
        <v>0</v>
      </c>
      <c r="K34" s="6"/>
      <c r="M34" s="8"/>
      <c r="N34" s="8"/>
      <c r="P34" s="7"/>
      <c r="Q34" s="7">
        <f>Tab_MD_vent[[#This Row],[QTE Hrs]]*Tab_MD_vent[[#This Row],[Salaire]]</f>
        <v>0</v>
      </c>
      <c r="R34" s="6"/>
      <c r="S34" s="6"/>
      <c r="T34" s="6"/>
      <c r="U34" s="6"/>
      <c r="W34" s="7"/>
      <c r="AA34" s="6"/>
      <c r="BK34"/>
      <c r="BL34"/>
      <c r="BM34"/>
      <c r="BN34"/>
    </row>
    <row r="35" spans="6:66" ht="11.25" customHeight="1" x14ac:dyDescent="0.25">
      <c r="F35" s="8" t="s">
        <v>206</v>
      </c>
      <c r="G35" s="10">
        <v>0</v>
      </c>
      <c r="H35" s="7"/>
      <c r="I35" s="7">
        <f>(Tab_mat_vent[[#This Row],[QTE]]*Tab_mat_vent[[#This Row],[Prix ]])+(Tab_mat_vent[[#This Row],[QTE]]*Tab_mat_vent[[#This Row],[% de perte]])</f>
        <v>0</v>
      </c>
      <c r="K35" s="6"/>
      <c r="M35" s="8"/>
      <c r="N35" s="8"/>
      <c r="P35" s="7"/>
      <c r="Q35" s="7">
        <f>Tab_MD_vent[[#This Row],[QTE Hrs]]*Tab_MD_vent[[#This Row],[Salaire]]</f>
        <v>0</v>
      </c>
      <c r="R35" s="6"/>
      <c r="S35" s="6"/>
      <c r="T35" s="6"/>
      <c r="U35" s="6"/>
      <c r="W35" s="7"/>
      <c r="AA35" s="6"/>
      <c r="BK35"/>
      <c r="BL35"/>
      <c r="BM35"/>
      <c r="BN35"/>
    </row>
    <row r="36" spans="6:66" ht="11.25" customHeight="1" x14ac:dyDescent="0.25">
      <c r="F36" s="8" t="s">
        <v>206</v>
      </c>
      <c r="G36" s="10">
        <v>0</v>
      </c>
      <c r="H36" s="7"/>
      <c r="I36" s="7">
        <f>(Tab_mat_vent[[#This Row],[QTE]]*Tab_mat_vent[[#This Row],[Prix ]])+(Tab_mat_vent[[#This Row],[QTE]]*Tab_mat_vent[[#This Row],[% de perte]])</f>
        <v>0</v>
      </c>
      <c r="K36" s="6"/>
      <c r="M36" s="8"/>
      <c r="N36" s="8"/>
      <c r="P36" s="7"/>
      <c r="Q36" s="7">
        <f>Tab_MD_vent[[#This Row],[QTE Hrs]]*Tab_MD_vent[[#This Row],[Salaire]]</f>
        <v>0</v>
      </c>
      <c r="R36" s="6"/>
      <c r="S36" s="6"/>
      <c r="T36" s="6"/>
      <c r="U36" s="6"/>
      <c r="W36" s="7"/>
      <c r="AA36" s="6"/>
      <c r="BK36"/>
      <c r="BL36"/>
      <c r="BM36"/>
      <c r="BN36"/>
    </row>
    <row r="37" spans="6:66" ht="11.25" customHeight="1" x14ac:dyDescent="0.25">
      <c r="F37" s="8" t="s">
        <v>206</v>
      </c>
      <c r="G37" s="10">
        <v>0</v>
      </c>
      <c r="H37" s="7"/>
      <c r="I37" s="7">
        <f>(Tab_mat_vent[[#This Row],[QTE]]*Tab_mat_vent[[#This Row],[Prix ]])+(Tab_mat_vent[[#This Row],[QTE]]*Tab_mat_vent[[#This Row],[% de perte]])</f>
        <v>0</v>
      </c>
      <c r="K37" s="6"/>
      <c r="M37" s="8"/>
      <c r="N37" s="8"/>
      <c r="P37" s="7"/>
      <c r="Q37" s="7">
        <f>Tab_MD_vent[[#This Row],[QTE Hrs]]*Tab_MD_vent[[#This Row],[Salaire]]</f>
        <v>0</v>
      </c>
      <c r="R37" s="6"/>
      <c r="S37" s="6"/>
      <c r="T37" s="6"/>
      <c r="U37" s="6"/>
      <c r="W37" s="7"/>
      <c r="AA37" s="6"/>
      <c r="BK37"/>
      <c r="BL37"/>
      <c r="BM37"/>
      <c r="BN37"/>
    </row>
    <row r="38" spans="6:66" ht="11.25" customHeight="1" x14ac:dyDescent="0.25">
      <c r="F38" s="8" t="s">
        <v>206</v>
      </c>
      <c r="G38" s="10">
        <v>0</v>
      </c>
      <c r="H38" s="7"/>
      <c r="I38" s="7">
        <f>(Tab_mat_vent[[#This Row],[QTE]]*Tab_mat_vent[[#This Row],[Prix ]])+(Tab_mat_vent[[#This Row],[QTE]]*Tab_mat_vent[[#This Row],[% de perte]])</f>
        <v>0</v>
      </c>
      <c r="K38" s="6"/>
      <c r="M38" s="8"/>
      <c r="N38" s="8"/>
      <c r="P38" s="7"/>
      <c r="Q38" s="7">
        <f>Tab_MD_vent[[#This Row],[QTE Hrs]]*Tab_MD_vent[[#This Row],[Salaire]]</f>
        <v>0</v>
      </c>
      <c r="R38" s="6"/>
      <c r="S38" s="6"/>
      <c r="T38" s="6"/>
      <c r="U38" s="6"/>
      <c r="W38" s="7"/>
      <c r="AA38" s="6"/>
      <c r="BK38"/>
      <c r="BL38"/>
      <c r="BM38"/>
      <c r="BN38"/>
    </row>
    <row r="39" spans="6:66" ht="11.25" customHeight="1" x14ac:dyDescent="0.25">
      <c r="F39" s="8" t="s">
        <v>206</v>
      </c>
      <c r="G39" s="10">
        <v>0</v>
      </c>
      <c r="H39" s="7"/>
      <c r="I39" s="7">
        <f>(Tab_mat_vent[[#This Row],[QTE]]*Tab_mat_vent[[#This Row],[Prix ]])+(Tab_mat_vent[[#This Row],[QTE]]*Tab_mat_vent[[#This Row],[% de perte]])</f>
        <v>0</v>
      </c>
      <c r="K39" s="6"/>
      <c r="M39" s="8"/>
      <c r="N39" s="8"/>
      <c r="P39" s="7"/>
      <c r="Q39" s="7">
        <f>Tab_MD_vent[[#This Row],[QTE Hrs]]*Tab_MD_vent[[#This Row],[Salaire]]</f>
        <v>0</v>
      </c>
      <c r="R39" s="6"/>
      <c r="S39" s="6"/>
      <c r="T39" s="6"/>
      <c r="U39" s="6"/>
      <c r="W39" s="7"/>
      <c r="AA39" s="6"/>
      <c r="BK39"/>
      <c r="BL39"/>
      <c r="BM39"/>
      <c r="BN39"/>
    </row>
    <row r="40" spans="6:66" ht="11.25" customHeight="1" x14ac:dyDescent="0.25">
      <c r="F40" s="8" t="s">
        <v>206</v>
      </c>
      <c r="G40" s="10">
        <v>0</v>
      </c>
      <c r="H40" s="7"/>
      <c r="I40" s="7">
        <f>(Tab_mat_vent[[#This Row],[QTE]]*Tab_mat_vent[[#This Row],[Prix ]])+(Tab_mat_vent[[#This Row],[QTE]]*Tab_mat_vent[[#This Row],[% de perte]])</f>
        <v>0</v>
      </c>
      <c r="K40" s="6"/>
      <c r="M40" s="8"/>
      <c r="N40" s="8"/>
      <c r="P40" s="7"/>
      <c r="Q40" s="7">
        <f>Tab_MD_vent[[#This Row],[QTE Hrs]]*Tab_MD_vent[[#This Row],[Salaire]]</f>
        <v>0</v>
      </c>
      <c r="R40" s="6"/>
      <c r="S40" s="6"/>
      <c r="T40" s="6"/>
      <c r="U40" s="6"/>
      <c r="W40" s="7"/>
      <c r="AA40" s="6"/>
      <c r="BK40"/>
      <c r="BL40"/>
      <c r="BM40"/>
      <c r="BN40"/>
    </row>
    <row r="41" spans="6:66" ht="11.25" customHeight="1" x14ac:dyDescent="0.25">
      <c r="F41" s="8" t="s">
        <v>206</v>
      </c>
      <c r="G41" s="10">
        <v>0</v>
      </c>
      <c r="H41" s="7"/>
      <c r="I41" s="7">
        <f>(Tab_mat_vent[[#This Row],[QTE]]*Tab_mat_vent[[#This Row],[Prix ]])+(Tab_mat_vent[[#This Row],[QTE]]*Tab_mat_vent[[#This Row],[% de perte]])</f>
        <v>0</v>
      </c>
      <c r="K41" s="6"/>
      <c r="M41" s="8"/>
      <c r="N41" s="8"/>
      <c r="P41" s="7"/>
      <c r="Q41" s="7">
        <f>Tab_MD_vent[[#This Row],[QTE Hrs]]*Tab_MD_vent[[#This Row],[Salaire]]</f>
        <v>0</v>
      </c>
      <c r="R41" s="6"/>
      <c r="S41" s="6"/>
      <c r="T41" s="6"/>
      <c r="U41" s="6"/>
      <c r="W41" s="7"/>
      <c r="AA41" s="6"/>
      <c r="BK41"/>
      <c r="BL41"/>
      <c r="BM41"/>
      <c r="BN41"/>
    </row>
    <row r="42" spans="6:66" ht="11.25" customHeight="1" x14ac:dyDescent="0.25">
      <c r="F42" s="8" t="s">
        <v>206</v>
      </c>
      <c r="G42" s="10">
        <v>0</v>
      </c>
      <c r="H42" s="7"/>
      <c r="I42" s="7">
        <f>(Tab_mat_vent[[#This Row],[QTE]]*Tab_mat_vent[[#This Row],[Prix ]])+(Tab_mat_vent[[#This Row],[QTE]]*Tab_mat_vent[[#This Row],[% de perte]])</f>
        <v>0</v>
      </c>
      <c r="K42" s="6"/>
      <c r="M42" s="8"/>
      <c r="N42" s="8"/>
      <c r="P42" s="7"/>
      <c r="Q42" s="7">
        <f>Tab_MD_vent[[#This Row],[QTE Hrs]]*Tab_MD_vent[[#This Row],[Salaire]]</f>
        <v>0</v>
      </c>
      <c r="R42" s="6"/>
      <c r="S42" s="6"/>
      <c r="T42" s="6"/>
      <c r="U42" s="6"/>
      <c r="W42" s="7"/>
      <c r="AA42" s="6"/>
      <c r="BK42"/>
      <c r="BL42"/>
      <c r="BM42"/>
      <c r="BN42"/>
    </row>
    <row r="43" spans="6:66" ht="11.25" customHeight="1" x14ac:dyDescent="0.25">
      <c r="F43" s="8" t="s">
        <v>206</v>
      </c>
      <c r="G43" s="10">
        <v>0</v>
      </c>
      <c r="H43" s="7"/>
      <c r="I43" s="7">
        <f>(Tab_mat_vent[[#This Row],[QTE]]*Tab_mat_vent[[#This Row],[Prix ]])+(Tab_mat_vent[[#This Row],[QTE]]*Tab_mat_vent[[#This Row],[% de perte]])</f>
        <v>0</v>
      </c>
      <c r="K43" s="6"/>
      <c r="M43" s="8"/>
      <c r="N43" s="8"/>
      <c r="P43" s="7"/>
      <c r="Q43" s="7">
        <f>Tab_MD_vent[[#This Row],[QTE Hrs]]*Tab_MD_vent[[#This Row],[Salaire]]</f>
        <v>0</v>
      </c>
      <c r="R43" s="6"/>
      <c r="S43" s="6"/>
      <c r="T43" s="6"/>
      <c r="U43" s="6"/>
      <c r="W43" s="7"/>
      <c r="AA43" s="6"/>
      <c r="BK43"/>
      <c r="BL43"/>
      <c r="BM43"/>
      <c r="BN43"/>
    </row>
    <row r="44" spans="6:66" ht="11.25" customHeight="1" x14ac:dyDescent="0.25">
      <c r="F44" s="8" t="s">
        <v>206</v>
      </c>
      <c r="G44" s="10">
        <v>0</v>
      </c>
      <c r="H44" s="7"/>
      <c r="I44" s="7">
        <f>(Tab_mat_vent[[#This Row],[QTE]]*Tab_mat_vent[[#This Row],[Prix ]])+(Tab_mat_vent[[#This Row],[QTE]]*Tab_mat_vent[[#This Row],[% de perte]])</f>
        <v>0</v>
      </c>
      <c r="K44" s="6"/>
      <c r="M44" s="8"/>
      <c r="N44" s="8"/>
      <c r="P44" s="7"/>
      <c r="Q44" s="7">
        <f>Tab_MD_vent[[#This Row],[QTE Hrs]]*Tab_MD_vent[[#This Row],[Salaire]]</f>
        <v>0</v>
      </c>
      <c r="R44" s="6"/>
      <c r="S44" s="6"/>
      <c r="T44" s="6"/>
      <c r="U44" s="6"/>
      <c r="W44" s="7"/>
      <c r="AA44" s="6"/>
      <c r="BK44"/>
      <c r="BL44"/>
      <c r="BM44"/>
      <c r="BN44"/>
    </row>
    <row r="45" spans="6:66" ht="11.25" customHeight="1" x14ac:dyDescent="0.25">
      <c r="F45" s="8" t="s">
        <v>206</v>
      </c>
      <c r="G45" s="10">
        <v>0</v>
      </c>
      <c r="H45" s="7"/>
      <c r="I45" s="7">
        <f>(Tab_mat_vent[[#This Row],[QTE]]*Tab_mat_vent[[#This Row],[Prix ]])+(Tab_mat_vent[[#This Row],[QTE]]*Tab_mat_vent[[#This Row],[% de perte]])</f>
        <v>0</v>
      </c>
      <c r="K45" s="6"/>
      <c r="M45" s="8"/>
      <c r="N45" s="8"/>
      <c r="P45" s="7"/>
      <c r="Q45" s="7">
        <f>Tab_MD_vent[[#This Row],[QTE Hrs]]*Tab_MD_vent[[#This Row],[Salaire]]</f>
        <v>0</v>
      </c>
      <c r="R45" s="6"/>
      <c r="S45" s="6"/>
      <c r="T45" s="6"/>
      <c r="U45" s="6"/>
      <c r="W45" s="7"/>
      <c r="AA45" s="6"/>
      <c r="BK45"/>
      <c r="BL45"/>
      <c r="BM45"/>
      <c r="BN45"/>
    </row>
    <row r="46" spans="6:66" ht="11.25" customHeight="1" x14ac:dyDescent="0.25">
      <c r="F46" s="8" t="s">
        <v>206</v>
      </c>
      <c r="G46" s="10">
        <v>0</v>
      </c>
      <c r="H46" s="7"/>
      <c r="I46" s="7">
        <f>(Tab_mat_vent[[#This Row],[QTE]]*Tab_mat_vent[[#This Row],[Prix ]])+(Tab_mat_vent[[#This Row],[QTE]]*Tab_mat_vent[[#This Row],[% de perte]])</f>
        <v>0</v>
      </c>
      <c r="K46" s="6"/>
      <c r="M46" s="8"/>
      <c r="N46" s="8"/>
      <c r="P46" s="7"/>
      <c r="Q46" s="7">
        <f>Tab_MD_vent[[#This Row],[QTE Hrs]]*Tab_MD_vent[[#This Row],[Salaire]]</f>
        <v>0</v>
      </c>
      <c r="R46" s="6"/>
      <c r="S46" s="6"/>
      <c r="T46" s="6"/>
      <c r="U46" s="6"/>
      <c r="W46" s="7"/>
      <c r="AA46" s="6"/>
      <c r="BK46"/>
      <c r="BL46"/>
      <c r="BM46"/>
      <c r="BN46"/>
    </row>
    <row r="47" spans="6:66" ht="11.25" customHeight="1" x14ac:dyDescent="0.25">
      <c r="F47" s="8" t="s">
        <v>206</v>
      </c>
      <c r="G47" s="10">
        <v>0</v>
      </c>
      <c r="H47" s="7"/>
      <c r="I47" s="7">
        <f>(Tab_mat_vent[[#This Row],[QTE]]*Tab_mat_vent[[#This Row],[Prix ]])+(Tab_mat_vent[[#This Row],[QTE]]*Tab_mat_vent[[#This Row],[% de perte]])</f>
        <v>0</v>
      </c>
      <c r="K47" s="6"/>
      <c r="M47" s="8"/>
      <c r="N47" s="8"/>
      <c r="P47" s="7"/>
      <c r="Q47" s="7">
        <f>Tab_MD_vent[[#This Row],[QTE Hrs]]*Tab_MD_vent[[#This Row],[Salaire]]</f>
        <v>0</v>
      </c>
      <c r="R47" s="6"/>
      <c r="S47" s="6"/>
      <c r="T47" s="6"/>
      <c r="U47" s="6"/>
      <c r="W47" s="7"/>
      <c r="AA47" s="6"/>
      <c r="BK47"/>
      <c r="BL47"/>
      <c r="BM47"/>
      <c r="BN47"/>
    </row>
    <row r="48" spans="6:66" ht="11.25" customHeight="1" x14ac:dyDescent="0.25">
      <c r="F48" s="8" t="s">
        <v>206</v>
      </c>
      <c r="G48" s="10">
        <v>0</v>
      </c>
      <c r="H48" s="7"/>
      <c r="I48" s="7">
        <f>(Tab_mat_vent[[#This Row],[QTE]]*Tab_mat_vent[[#This Row],[Prix ]])+(Tab_mat_vent[[#This Row],[QTE]]*Tab_mat_vent[[#This Row],[% de perte]])</f>
        <v>0</v>
      </c>
      <c r="K48" s="6"/>
      <c r="M48" s="8"/>
      <c r="N48" s="8"/>
      <c r="P48" s="7"/>
      <c r="Q48" s="7">
        <f>Tab_MD_vent[[#This Row],[QTE Hrs]]*Tab_MD_vent[[#This Row],[Salaire]]</f>
        <v>0</v>
      </c>
      <c r="R48" s="6"/>
      <c r="S48" s="6"/>
      <c r="T48" s="6"/>
      <c r="U48" s="6"/>
      <c r="W48" s="7"/>
      <c r="AA48" s="6"/>
      <c r="BK48"/>
      <c r="BL48"/>
      <c r="BM48"/>
      <c r="BN48"/>
    </row>
    <row r="49" spans="6:66" ht="11.25" customHeight="1" x14ac:dyDescent="0.25">
      <c r="F49" s="8" t="s">
        <v>206</v>
      </c>
      <c r="G49" s="10">
        <v>0</v>
      </c>
      <c r="H49" s="7"/>
      <c r="I49" s="7">
        <f>(Tab_mat_vent[[#This Row],[QTE]]*Tab_mat_vent[[#This Row],[Prix ]])+(Tab_mat_vent[[#This Row],[QTE]]*Tab_mat_vent[[#This Row],[% de perte]])</f>
        <v>0</v>
      </c>
      <c r="K49" s="6"/>
      <c r="M49" s="8"/>
      <c r="N49" s="8"/>
      <c r="P49" s="7"/>
      <c r="Q49" s="7">
        <f>Tab_MD_vent[[#This Row],[QTE Hrs]]*Tab_MD_vent[[#This Row],[Salaire]]</f>
        <v>0</v>
      </c>
      <c r="R49" s="6"/>
      <c r="S49" s="6"/>
      <c r="T49" s="6"/>
      <c r="U49" s="6"/>
      <c r="W49" s="7"/>
      <c r="AA49" s="6"/>
      <c r="BK49"/>
      <c r="BL49"/>
      <c r="BM49"/>
      <c r="BN49"/>
    </row>
    <row r="50" spans="6:66" ht="11.25" customHeight="1" x14ac:dyDescent="0.25">
      <c r="F50" s="8" t="s">
        <v>206</v>
      </c>
      <c r="G50" s="10">
        <v>0</v>
      </c>
      <c r="H50" s="7"/>
      <c r="I50" s="7">
        <f>(Tab_mat_vent[[#This Row],[QTE]]*Tab_mat_vent[[#This Row],[Prix ]])+(Tab_mat_vent[[#This Row],[QTE]]*Tab_mat_vent[[#This Row],[% de perte]])</f>
        <v>0</v>
      </c>
      <c r="K50" s="6"/>
      <c r="M50" s="8"/>
      <c r="N50" s="8"/>
      <c r="P50" s="7"/>
      <c r="Q50" s="7">
        <f>Tab_MD_vent[[#This Row],[QTE Hrs]]*Tab_MD_vent[[#This Row],[Salaire]]</f>
        <v>0</v>
      </c>
      <c r="R50" s="6"/>
      <c r="S50" s="6"/>
      <c r="T50" s="6"/>
      <c r="U50" s="6"/>
      <c r="W50" s="7"/>
      <c r="AA50" s="6"/>
      <c r="BK50"/>
      <c r="BL50"/>
      <c r="BM50"/>
      <c r="BN50"/>
    </row>
    <row r="51" spans="6:66" ht="11.25" customHeight="1" x14ac:dyDescent="0.25">
      <c r="F51" s="8" t="s">
        <v>206</v>
      </c>
      <c r="G51" s="10">
        <v>0</v>
      </c>
      <c r="H51" s="7"/>
      <c r="I51" s="7">
        <f>(Tab_mat_vent[[#This Row],[QTE]]*Tab_mat_vent[[#This Row],[Prix ]])+(Tab_mat_vent[[#This Row],[QTE]]*Tab_mat_vent[[#This Row],[% de perte]])</f>
        <v>0</v>
      </c>
      <c r="K51" s="6"/>
      <c r="M51" s="8"/>
      <c r="N51" s="8"/>
      <c r="P51" s="7"/>
      <c r="Q51" s="7">
        <f>Tab_MD_vent[[#This Row],[QTE Hrs]]*Tab_MD_vent[[#This Row],[Salaire]]</f>
        <v>0</v>
      </c>
      <c r="R51" s="6"/>
      <c r="S51" s="6"/>
      <c r="T51" s="6"/>
      <c r="U51" s="6"/>
      <c r="W51" s="7"/>
      <c r="AA51" s="6"/>
      <c r="BK51"/>
      <c r="BL51"/>
      <c r="BM51"/>
      <c r="BN51"/>
    </row>
    <row r="52" spans="6:66" ht="22.5" customHeight="1" x14ac:dyDescent="0.25">
      <c r="F52" s="8"/>
      <c r="H52" s="6"/>
      <c r="I52" s="11">
        <f>SUM(Tab_mat_vent[Total])</f>
        <v>20786.339999999997</v>
      </c>
      <c r="K52" s="6"/>
      <c r="M52" s="8"/>
      <c r="N52" s="8"/>
      <c r="P52" s="11"/>
      <c r="Q52" s="11">
        <f>SUM(Tab_MD_vent[Total])</f>
        <v>3140</v>
      </c>
      <c r="R52" s="6"/>
      <c r="S52" s="6"/>
      <c r="T52" s="6"/>
      <c r="U52" s="6"/>
      <c r="W52" s="7"/>
      <c r="AA52" s="6"/>
      <c r="BK52"/>
      <c r="BL52"/>
      <c r="BM52"/>
      <c r="BN52"/>
    </row>
    <row r="53" spans="6:66" ht="11.25" customHeight="1" x14ac:dyDescent="0.25">
      <c r="T53" s="6"/>
      <c r="U53" s="6"/>
      <c r="X53" s="7"/>
    </row>
    <row r="54" spans="6:66" ht="11.25" customHeight="1" x14ac:dyDescent="0.25"/>
    <row r="55" spans="6:66" ht="11.25" customHeight="1" x14ac:dyDescent="0.25"/>
    <row r="56" spans="6:66" ht="11.25" customHeight="1" x14ac:dyDescent="0.25"/>
    <row r="57" spans="6:66" ht="11.25" customHeight="1" x14ac:dyDescent="0.25"/>
    <row r="58" spans="6:66" ht="11.25" customHeight="1" x14ac:dyDescent="0.25"/>
    <row r="59" spans="6:66" ht="11.25" customHeight="1" x14ac:dyDescent="0.25"/>
    <row r="60" spans="6:66" ht="11.25" customHeight="1" x14ac:dyDescent="0.25"/>
    <row r="61" spans="6:66" ht="11.25" customHeight="1" x14ac:dyDescent="0.25"/>
    <row r="62" spans="6:66" ht="11.25" customHeight="1" x14ac:dyDescent="0.25"/>
    <row r="63" spans="6:66" ht="11.25" customHeight="1" x14ac:dyDescent="0.25"/>
    <row r="64" spans="6:66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</sheetData>
  <mergeCells count="6">
    <mergeCell ref="B3:I3"/>
    <mergeCell ref="K3:Q3"/>
    <mergeCell ref="S3:W3"/>
    <mergeCell ref="B2:I2"/>
    <mergeCell ref="K2:Q2"/>
    <mergeCell ref="S2:W2"/>
  </mergeCells>
  <dataValidations count="1">
    <dataValidation type="list" allowBlank="1" showInputMessage="1" showErrorMessage="1" sqref="F5:F51" xr:uid="{E87A1F47-FDF6-4A1C-9918-4154FE120FF3}">
      <formula1>uni_vent</formula1>
    </dataValidation>
  </dataValidation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113B12-79E9-4E60-984A-6D6D8678BED9}">
          <x14:formula1>
            <xm:f>Données!$F$2:$F$3</xm:f>
          </x14:formula1>
          <xm:sqref>S5:S16</xm:sqref>
        </x14:dataValidation>
        <x14:dataValidation type="list" allowBlank="1" showInputMessage="1" showErrorMessage="1" xr:uid="{44474FC5-3262-42E4-8CC4-B654C80BB60B}">
          <x14:formula1>
            <xm:f>Données!$C$2:$C$5</xm:f>
          </x14:formula1>
          <xm:sqref>O5:O51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9F27-0583-4374-A81C-A9AE15512E7F}">
  <sheetPr codeName="Feuil12">
    <tabColor theme="8" tint="-0.249977111117893"/>
  </sheetPr>
  <dimension ref="B1:BN100"/>
  <sheetViews>
    <sheetView topLeftCell="E13" workbookViewId="0">
      <selection activeCell="J20" sqref="J20"/>
    </sheetView>
  </sheetViews>
  <sheetFormatPr baseColWidth="10" defaultColWidth="11.42578125" defaultRowHeight="15" x14ac:dyDescent="0.25"/>
  <cols>
    <col min="2" max="2" width="17.85546875" style="8" customWidth="1"/>
    <col min="3" max="3" width="7.7109375" style="8" customWidth="1"/>
    <col min="4" max="4" width="69.7109375" style="6" customWidth="1"/>
    <col min="5" max="5" width="15.42578125" style="8" customWidth="1"/>
    <col min="6" max="6" width="8.42578125" customWidth="1"/>
    <col min="7" max="7" width="12" style="6" customWidth="1"/>
    <col min="9" max="9" width="12.85546875" style="8" customWidth="1"/>
    <col min="10" max="10" width="3.5703125" style="6" customWidth="1"/>
    <col min="11" max="11" width="8.28515625" style="7" customWidth="1"/>
    <col min="12" max="12" width="48.85546875" style="6" customWidth="1"/>
    <col min="13" max="13" width="9.7109375" style="6" customWidth="1"/>
    <col min="14" max="14" width="10.28515625" customWidth="1"/>
    <col min="15" max="15" width="15.140625" style="8" customWidth="1"/>
    <col min="16" max="16" width="9.85546875" customWidth="1"/>
    <col min="17" max="17" width="16.140625" style="6" customWidth="1"/>
    <col min="18" max="18" width="3" style="8" customWidth="1"/>
    <col min="19" max="19" width="17.85546875" style="8" customWidth="1"/>
    <col min="20" max="20" width="12.5703125" style="7" customWidth="1"/>
    <col min="21" max="21" width="11.42578125" style="7"/>
    <col min="22" max="22" width="2.85546875" style="6" customWidth="1"/>
    <col min="23" max="23" width="21.85546875" style="6" customWidth="1"/>
    <col min="24" max="24" width="11.42578125" style="6"/>
    <col min="25" max="25" width="15.140625" style="6" customWidth="1"/>
    <col min="26" max="26" width="11.42578125" style="6"/>
    <col min="27" max="27" width="11.42578125" style="7"/>
    <col min="28" max="66" width="11.42578125" style="6"/>
  </cols>
  <sheetData>
    <row r="1" spans="2:66" x14ac:dyDescent="0.25">
      <c r="B1" s="8" t="s">
        <v>29</v>
      </c>
      <c r="D1" s="6" t="str">
        <f>'Démarrage de chantier'!D3</f>
        <v>Pav. D2, Scientifique</v>
      </c>
      <c r="F1" s="8"/>
      <c r="H1" s="6"/>
      <c r="I1" s="7"/>
      <c r="K1" s="6"/>
      <c r="M1" s="8"/>
      <c r="N1" s="8"/>
      <c r="P1" s="7"/>
      <c r="Q1" s="7"/>
      <c r="R1" s="6"/>
      <c r="S1" s="6"/>
      <c r="T1" s="6"/>
      <c r="U1" s="6"/>
      <c r="W1" s="7"/>
      <c r="AA1" s="6"/>
      <c r="BK1"/>
      <c r="BL1"/>
      <c r="BM1"/>
      <c r="BN1"/>
    </row>
    <row r="2" spans="2:66" ht="20.25" thickBot="1" x14ac:dyDescent="0.3">
      <c r="B2" s="147" t="s">
        <v>238</v>
      </c>
      <c r="C2" s="147"/>
      <c r="D2" s="147"/>
      <c r="E2" s="147"/>
      <c r="F2" s="147"/>
      <c r="G2" s="147"/>
      <c r="H2" s="147"/>
      <c r="I2" s="147"/>
      <c r="K2" s="147" t="s">
        <v>238</v>
      </c>
      <c r="L2" s="147"/>
      <c r="M2" s="147"/>
      <c r="N2" s="147"/>
      <c r="O2" s="147"/>
      <c r="P2" s="147"/>
      <c r="Q2" s="147"/>
      <c r="R2" s="6"/>
      <c r="S2" s="147" t="s">
        <v>238</v>
      </c>
      <c r="T2" s="147"/>
      <c r="U2" s="147"/>
      <c r="V2" s="147"/>
      <c r="W2" s="147"/>
      <c r="AA2" s="6"/>
      <c r="BK2"/>
      <c r="BL2"/>
      <c r="BM2"/>
      <c r="BN2"/>
    </row>
    <row r="3" spans="2:66" ht="20.25" thickBot="1" x14ac:dyDescent="0.3">
      <c r="B3" s="70" t="s">
        <v>30</v>
      </c>
      <c r="C3" s="71"/>
      <c r="D3" s="71"/>
      <c r="E3" s="71"/>
      <c r="F3" s="71"/>
      <c r="G3" s="71"/>
      <c r="H3" s="71"/>
      <c r="I3" s="72"/>
      <c r="K3" s="70" t="s">
        <v>31</v>
      </c>
      <c r="L3" s="71"/>
      <c r="M3" s="71"/>
      <c r="N3" s="71"/>
      <c r="O3" s="71"/>
      <c r="P3" s="71"/>
      <c r="Q3" s="72"/>
      <c r="R3" s="6"/>
      <c r="S3" s="70" t="s">
        <v>32</v>
      </c>
      <c r="T3" s="71"/>
      <c r="U3" s="71"/>
      <c r="V3" s="71"/>
      <c r="W3" s="72"/>
      <c r="AA3" s="6"/>
      <c r="BK3"/>
      <c r="BL3"/>
      <c r="BM3"/>
      <c r="BN3"/>
    </row>
    <row r="4" spans="2:66" ht="26.25" customHeight="1" x14ac:dyDescent="0.25">
      <c r="B4" s="8" t="s">
        <v>137</v>
      </c>
      <c r="C4" s="8" t="s">
        <v>33</v>
      </c>
      <c r="D4" s="8" t="s">
        <v>34</v>
      </c>
      <c r="E4" s="8" t="s">
        <v>35</v>
      </c>
      <c r="F4" s="8" t="s">
        <v>37</v>
      </c>
      <c r="G4" s="8" t="s">
        <v>36</v>
      </c>
      <c r="H4" s="8" t="s">
        <v>38</v>
      </c>
      <c r="I4" s="9" t="s">
        <v>39</v>
      </c>
      <c r="K4" s="8" t="s">
        <v>33</v>
      </c>
      <c r="L4" s="8" t="s">
        <v>40</v>
      </c>
      <c r="M4" s="8" t="s">
        <v>41</v>
      </c>
      <c r="N4" s="8" t="s">
        <v>42</v>
      </c>
      <c r="O4" s="8" t="s">
        <v>43</v>
      </c>
      <c r="P4" s="9" t="s">
        <v>44</v>
      </c>
      <c r="Q4" s="9" t="s">
        <v>39</v>
      </c>
      <c r="R4" s="6"/>
      <c r="S4" s="8" t="s">
        <v>45</v>
      </c>
      <c r="T4" s="8" t="s">
        <v>35</v>
      </c>
      <c r="U4" s="8" t="s">
        <v>46</v>
      </c>
      <c r="V4" s="8" t="s">
        <v>47</v>
      </c>
      <c r="W4" s="9" t="s">
        <v>39</v>
      </c>
      <c r="AA4" s="6"/>
      <c r="BK4"/>
      <c r="BL4"/>
      <c r="BM4"/>
      <c r="BN4"/>
    </row>
    <row r="5" spans="2:66" ht="11.25" customHeight="1" x14ac:dyDescent="0.25">
      <c r="B5" s="8" t="s">
        <v>48</v>
      </c>
      <c r="C5" s="8" t="s">
        <v>49</v>
      </c>
      <c r="D5" s="6" t="s">
        <v>50</v>
      </c>
      <c r="E5" s="8">
        <v>324</v>
      </c>
      <c r="F5" s="8" t="s">
        <v>210</v>
      </c>
      <c r="G5" s="10">
        <v>0.1</v>
      </c>
      <c r="H5" s="7">
        <v>33.19</v>
      </c>
      <c r="I5" s="7">
        <f>(Tab_mat_ref[[#This Row],[QTE]]*Tab_mat_ref[[#This Row],[Prix ]])+(Tab_mat_ref[[#This Row],[QTE]]*Tab_mat_ref[[#This Row],[% de perte]])</f>
        <v>10785.96</v>
      </c>
      <c r="K5" s="6"/>
      <c r="L5" s="6" t="s">
        <v>51</v>
      </c>
      <c r="M5" s="8">
        <v>3</v>
      </c>
      <c r="N5" s="8">
        <v>2</v>
      </c>
      <c r="O5" s="8" t="s">
        <v>52</v>
      </c>
      <c r="P5" s="7">
        <v>80</v>
      </c>
      <c r="Q5" s="7">
        <f>tab_MD_ref[[#This Row],[QTE Hrs]]*tab_MD_ref[[#This Row],[Salaire]]</f>
        <v>240</v>
      </c>
      <c r="R5" s="6"/>
      <c r="S5" s="6" t="s">
        <v>32</v>
      </c>
      <c r="T5" s="6">
        <v>0</v>
      </c>
      <c r="U5" s="6">
        <v>25</v>
      </c>
      <c r="V5" s="7" cm="1">
        <f t="array" ref="V5">cout_km[coutant KM]</f>
        <v>0.57999999999999996</v>
      </c>
      <c r="W5" s="7">
        <f>tab_mob_ref[[#This Row],[QTE]]*tab_mob_ref[[#This Row],[Distance(Km)]]</f>
        <v>0</v>
      </c>
      <c r="AA5" s="6"/>
      <c r="BK5"/>
      <c r="BL5"/>
      <c r="BM5"/>
      <c r="BN5"/>
    </row>
    <row r="6" spans="2:66" ht="11.25" customHeight="1" x14ac:dyDescent="0.25">
      <c r="B6" s="8" t="s">
        <v>48</v>
      </c>
      <c r="C6" s="8" t="s">
        <v>49</v>
      </c>
      <c r="D6" s="6" t="s">
        <v>53</v>
      </c>
      <c r="E6" s="8">
        <v>14</v>
      </c>
      <c r="F6" s="8" t="s">
        <v>210</v>
      </c>
      <c r="G6" s="10">
        <v>0</v>
      </c>
      <c r="H6" s="7">
        <v>73.44</v>
      </c>
      <c r="I6" s="7">
        <f>(Tab_mat_ref[[#This Row],[QTE]]*Tab_mat_ref[[#This Row],[Prix ]])+(Tab_mat_ref[[#This Row],[QTE]]*Tab_mat_ref[[#This Row],[% de perte]])</f>
        <v>1028.1599999999999</v>
      </c>
      <c r="K6" s="6" t="s">
        <v>49</v>
      </c>
      <c r="L6" s="6" t="s">
        <v>54</v>
      </c>
      <c r="M6" s="8">
        <v>10</v>
      </c>
      <c r="N6" s="8">
        <v>2</v>
      </c>
      <c r="P6" s="7">
        <v>80</v>
      </c>
      <c r="Q6" s="7">
        <f>tab_MD_ref[[#This Row],[QTE Hrs]]*tab_MD_ref[[#This Row],[Salaire]]</f>
        <v>800</v>
      </c>
      <c r="R6" s="6"/>
      <c r="S6" s="6"/>
      <c r="T6" s="6"/>
      <c r="U6" s="6"/>
      <c r="V6" s="7" cm="1">
        <f t="array" ref="V6">cout_km[coutant KM]</f>
        <v>0.57999999999999996</v>
      </c>
      <c r="W6" s="7">
        <f>tab_mob_ref[[#This Row],[QTE]]*tab_mob_ref[[#This Row],[Distance(Km)]]</f>
        <v>0</v>
      </c>
      <c r="AA6" s="6"/>
      <c r="BK6"/>
      <c r="BL6"/>
      <c r="BM6"/>
      <c r="BN6"/>
    </row>
    <row r="7" spans="2:66" ht="11.25" customHeight="1" x14ac:dyDescent="0.25">
      <c r="B7" s="8" t="s">
        <v>48</v>
      </c>
      <c r="C7" s="8" t="s">
        <v>49</v>
      </c>
      <c r="D7" s="6" t="s">
        <v>55</v>
      </c>
      <c r="E7" s="8">
        <v>9</v>
      </c>
      <c r="F7" s="8" t="s">
        <v>210</v>
      </c>
      <c r="G7" s="10">
        <v>0</v>
      </c>
      <c r="H7" s="7">
        <v>31.44</v>
      </c>
      <c r="I7" s="7">
        <f>(Tab_mat_ref[[#This Row],[QTE]]*Tab_mat_ref[[#This Row],[Prix ]])+(Tab_mat_ref[[#This Row],[QTE]]*Tab_mat_ref[[#This Row],[% de perte]])</f>
        <v>282.96000000000004</v>
      </c>
      <c r="K7" s="6" t="s">
        <v>49</v>
      </c>
      <c r="L7" s="6" t="s">
        <v>56</v>
      </c>
      <c r="M7" s="8">
        <v>12</v>
      </c>
      <c r="N7" s="8">
        <v>2</v>
      </c>
      <c r="P7" s="7">
        <v>80</v>
      </c>
      <c r="Q7" s="7">
        <f>tab_MD_ref[[#This Row],[QTE Hrs]]*tab_MD_ref[[#This Row],[Salaire]]</f>
        <v>960</v>
      </c>
      <c r="R7" s="6"/>
      <c r="S7" s="6"/>
      <c r="T7" s="6"/>
      <c r="U7" s="6"/>
      <c r="V7" s="7" cm="1">
        <f t="array" ref="V7">cout_km[coutant KM]</f>
        <v>0.57999999999999996</v>
      </c>
      <c r="W7" s="7">
        <f>tab_mob_ref[[#This Row],[QTE]]*tab_mob_ref[[#This Row],[Distance(Km)]]</f>
        <v>0</v>
      </c>
      <c r="AA7" s="6"/>
      <c r="BK7"/>
      <c r="BL7"/>
      <c r="BM7"/>
      <c r="BN7"/>
    </row>
    <row r="8" spans="2:66" ht="11.25" customHeight="1" x14ac:dyDescent="0.25">
      <c r="B8" s="8" t="s">
        <v>48</v>
      </c>
      <c r="C8" s="8" t="s">
        <v>49</v>
      </c>
      <c r="D8" s="6" t="s">
        <v>57</v>
      </c>
      <c r="E8" s="8">
        <v>108</v>
      </c>
      <c r="F8" s="8" t="s">
        <v>210</v>
      </c>
      <c r="G8" s="10">
        <v>0</v>
      </c>
      <c r="H8" s="7">
        <v>2.13</v>
      </c>
      <c r="I8" s="7">
        <f>(Tab_mat_ref[[#This Row],[QTE]]*Tab_mat_ref[[#This Row],[Prix ]])+(Tab_mat_ref[[#This Row],[QTE]]*Tab_mat_ref[[#This Row],[% de perte]])</f>
        <v>230.04</v>
      </c>
      <c r="K8" s="6" t="s">
        <v>58</v>
      </c>
      <c r="L8" s="6" t="s">
        <v>59</v>
      </c>
      <c r="M8" s="8">
        <v>10</v>
      </c>
      <c r="N8" s="8">
        <v>2</v>
      </c>
      <c r="P8" s="7">
        <v>80</v>
      </c>
      <c r="Q8" s="7">
        <f>tab_MD_ref[[#This Row],[QTE Hrs]]*tab_MD_ref[[#This Row],[Salaire]]</f>
        <v>800</v>
      </c>
      <c r="R8" s="6"/>
      <c r="S8" s="6"/>
      <c r="T8" s="6"/>
      <c r="U8" s="6"/>
      <c r="V8" s="7" cm="1">
        <f t="array" ref="V8">cout_km[coutant KM]</f>
        <v>0.57999999999999996</v>
      </c>
      <c r="W8" s="7">
        <f>tab_mob_ref[[#This Row],[QTE]]*tab_mob_ref[[#This Row],[Distance(Km)]]</f>
        <v>0</v>
      </c>
      <c r="AA8" s="6"/>
      <c r="BK8"/>
      <c r="BL8"/>
      <c r="BM8"/>
      <c r="BN8"/>
    </row>
    <row r="9" spans="2:66" ht="11.25" customHeight="1" x14ac:dyDescent="0.25">
      <c r="B9" s="8" t="s">
        <v>48</v>
      </c>
      <c r="C9" s="8" t="s">
        <v>58</v>
      </c>
      <c r="D9" s="6" t="s">
        <v>60</v>
      </c>
      <c r="E9" s="8">
        <v>84</v>
      </c>
      <c r="F9" s="8" t="s">
        <v>210</v>
      </c>
      <c r="G9" s="10">
        <v>0.1</v>
      </c>
      <c r="H9" s="7">
        <v>46.2</v>
      </c>
      <c r="I9" s="7">
        <f>(Tab_mat_ref[[#This Row],[QTE]]*Tab_mat_ref[[#This Row],[Prix ]])+(Tab_mat_ref[[#This Row],[QTE]]*Tab_mat_ref[[#This Row],[% de perte]])</f>
        <v>3889.2000000000003</v>
      </c>
      <c r="K9" s="6" t="s">
        <v>58</v>
      </c>
      <c r="L9" s="6" t="s">
        <v>61</v>
      </c>
      <c r="M9" s="8">
        <v>2</v>
      </c>
      <c r="N9" s="8">
        <v>2</v>
      </c>
      <c r="P9" s="7">
        <v>80</v>
      </c>
      <c r="Q9" s="7">
        <f>tab_MD_ref[[#This Row],[QTE Hrs]]*tab_MD_ref[[#This Row],[Salaire]]</f>
        <v>160</v>
      </c>
      <c r="R9" s="6"/>
      <c r="S9" s="6"/>
      <c r="T9" s="6"/>
      <c r="U9" s="6"/>
      <c r="V9" s="7" cm="1">
        <f t="array" ref="V9">cout_km[coutant KM]</f>
        <v>0.57999999999999996</v>
      </c>
      <c r="W9" s="7">
        <f>tab_mob_ref[[#This Row],[QTE]]*tab_mob_ref[[#This Row],[Distance(Km)]]</f>
        <v>0</v>
      </c>
      <c r="AA9" s="6"/>
      <c r="BK9"/>
      <c r="BL9"/>
      <c r="BM9"/>
      <c r="BN9"/>
    </row>
    <row r="10" spans="2:66" ht="11.25" customHeight="1" x14ac:dyDescent="0.25">
      <c r="B10" s="8" t="s">
        <v>48</v>
      </c>
      <c r="C10" s="8" t="s">
        <v>58</v>
      </c>
      <c r="D10" s="6" t="s">
        <v>62</v>
      </c>
      <c r="E10" s="8">
        <v>17</v>
      </c>
      <c r="F10" s="8" t="s">
        <v>210</v>
      </c>
      <c r="G10" s="10">
        <v>0</v>
      </c>
      <c r="H10" s="7">
        <v>4.4000000000000004</v>
      </c>
      <c r="I10" s="7">
        <f>(Tab_mat_ref[[#This Row],[QTE]]*Tab_mat_ref[[#This Row],[Prix ]])+(Tab_mat_ref[[#This Row],[QTE]]*Tab_mat_ref[[#This Row],[% de perte]])</f>
        <v>74.800000000000011</v>
      </c>
      <c r="K10" s="6" t="s">
        <v>63</v>
      </c>
      <c r="L10" s="6" t="s">
        <v>64</v>
      </c>
      <c r="M10" s="8">
        <v>1.5</v>
      </c>
      <c r="N10" s="8">
        <v>1</v>
      </c>
      <c r="P10" s="7">
        <v>80</v>
      </c>
      <c r="Q10" s="7">
        <f>tab_MD_ref[[#This Row],[QTE Hrs]]*tab_MD_ref[[#This Row],[Salaire]]</f>
        <v>120</v>
      </c>
      <c r="R10" s="6"/>
      <c r="S10" s="6"/>
      <c r="T10" s="6"/>
      <c r="U10" s="6"/>
      <c r="V10" s="7" cm="1">
        <f t="array" ref="V10">cout_km[coutant KM]</f>
        <v>0.57999999999999996</v>
      </c>
      <c r="W10" s="7">
        <f>tab_mob_ref[[#This Row],[QTE]]*tab_mob_ref[[#This Row],[Distance(Km)]]</f>
        <v>0</v>
      </c>
      <c r="AA10" s="6"/>
      <c r="BK10"/>
      <c r="BL10"/>
      <c r="BM10"/>
      <c r="BN10"/>
    </row>
    <row r="11" spans="2:66" ht="11.25" customHeight="1" x14ac:dyDescent="0.25">
      <c r="B11" s="8" t="s">
        <v>48</v>
      </c>
      <c r="C11" s="8" t="s">
        <v>58</v>
      </c>
      <c r="D11" s="6" t="s">
        <v>65</v>
      </c>
      <c r="E11" s="8">
        <v>6</v>
      </c>
      <c r="F11" s="8" t="s">
        <v>210</v>
      </c>
      <c r="G11" s="10">
        <v>0</v>
      </c>
      <c r="H11" s="7">
        <v>3.62</v>
      </c>
      <c r="I11" s="7">
        <f>(Tab_mat_ref[[#This Row],[QTE]]*Tab_mat_ref[[#This Row],[Prix ]])+(Tab_mat_ref[[#This Row],[QTE]]*Tab_mat_ref[[#This Row],[% de perte]])</f>
        <v>21.72</v>
      </c>
      <c r="K11" s="6"/>
      <c r="L11" s="6" t="s">
        <v>66</v>
      </c>
      <c r="M11" s="8">
        <v>0.25</v>
      </c>
      <c r="N11" s="8">
        <v>1</v>
      </c>
      <c r="P11" s="7">
        <v>80</v>
      </c>
      <c r="Q11" s="7">
        <f>tab_MD_ref[[#This Row],[QTE Hrs]]*tab_MD_ref[[#This Row],[Salaire]]</f>
        <v>20</v>
      </c>
      <c r="R11" s="6"/>
      <c r="S11" s="6"/>
      <c r="T11" s="6"/>
      <c r="U11" s="6"/>
      <c r="V11" s="7" cm="1">
        <f t="array" ref="V11">cout_km[coutant KM]</f>
        <v>0.57999999999999996</v>
      </c>
      <c r="W11" s="7">
        <f>tab_mob_ref[[#This Row],[QTE]]*tab_mob_ref[[#This Row],[Distance(Km)]]</f>
        <v>0</v>
      </c>
      <c r="AA11" s="6"/>
      <c r="BK11"/>
      <c r="BL11"/>
      <c r="BM11"/>
      <c r="BN11"/>
    </row>
    <row r="12" spans="2:66" ht="11.25" customHeight="1" x14ac:dyDescent="0.25">
      <c r="B12" s="8" t="s">
        <v>48</v>
      </c>
      <c r="C12" s="8" t="s">
        <v>63</v>
      </c>
      <c r="D12" s="6" t="s">
        <v>67</v>
      </c>
      <c r="E12" s="8">
        <v>12</v>
      </c>
      <c r="F12" s="8" t="s">
        <v>210</v>
      </c>
      <c r="G12" s="10">
        <v>0</v>
      </c>
      <c r="H12" s="7">
        <v>4.1500000000000004</v>
      </c>
      <c r="I12" s="7">
        <f>(Tab_mat_ref[[#This Row],[QTE]]*Tab_mat_ref[[#This Row],[Prix ]])+(Tab_mat_ref[[#This Row],[QTE]]*Tab_mat_ref[[#This Row],[% de perte]])</f>
        <v>49.800000000000004</v>
      </c>
      <c r="K12" s="6"/>
      <c r="L12" s="6" t="s">
        <v>68</v>
      </c>
      <c r="M12" s="8">
        <v>0.25</v>
      </c>
      <c r="N12" s="8">
        <v>1</v>
      </c>
      <c r="P12" s="7">
        <v>80</v>
      </c>
      <c r="Q12" s="7">
        <f>tab_MD_ref[[#This Row],[QTE Hrs]]*tab_MD_ref[[#This Row],[Salaire]]</f>
        <v>20</v>
      </c>
      <c r="R12" s="6"/>
      <c r="S12" s="6"/>
      <c r="T12" s="6"/>
      <c r="U12" s="6"/>
      <c r="V12" s="7" cm="1">
        <f t="array" ref="V12">cout_km[coutant KM]</f>
        <v>0.57999999999999996</v>
      </c>
      <c r="W12" s="7">
        <f>tab_mob_ref[[#This Row],[QTE]]*tab_mob_ref[[#This Row],[Distance(Km)]]</f>
        <v>0</v>
      </c>
      <c r="AA12" s="6"/>
      <c r="BK12"/>
      <c r="BL12"/>
      <c r="BM12"/>
      <c r="BN12"/>
    </row>
    <row r="13" spans="2:66" ht="11.25" customHeight="1" x14ac:dyDescent="0.25">
      <c r="B13" s="8" t="s">
        <v>48</v>
      </c>
      <c r="C13" s="8" t="s">
        <v>63</v>
      </c>
      <c r="D13" s="6" t="s">
        <v>69</v>
      </c>
      <c r="E13" s="8">
        <v>4</v>
      </c>
      <c r="F13" s="8" t="s">
        <v>210</v>
      </c>
      <c r="G13" s="10">
        <v>0.1</v>
      </c>
      <c r="H13" s="7">
        <v>3.11</v>
      </c>
      <c r="I13" s="7">
        <f>(Tab_mat_ref[[#This Row],[QTE]]*Tab_mat_ref[[#This Row],[Prix ]])+(Tab_mat_ref[[#This Row],[QTE]]*Tab_mat_ref[[#This Row],[% de perte]])</f>
        <v>12.84</v>
      </c>
      <c r="K13" s="6"/>
      <c r="L13" s="6" t="s">
        <v>70</v>
      </c>
      <c r="M13" s="8">
        <v>0.25</v>
      </c>
      <c r="N13" s="8">
        <v>1</v>
      </c>
      <c r="P13" s="7">
        <v>80</v>
      </c>
      <c r="Q13" s="7">
        <f>tab_MD_ref[[#This Row],[QTE Hrs]]*tab_MD_ref[[#This Row],[Salaire]]</f>
        <v>20</v>
      </c>
      <c r="R13" s="6"/>
      <c r="S13" s="6"/>
      <c r="T13" s="6"/>
      <c r="U13" s="6"/>
      <c r="V13" s="7" cm="1">
        <f t="array" ref="V13">cout_km[coutant KM]</f>
        <v>0.57999999999999996</v>
      </c>
      <c r="W13" s="7">
        <f>tab_mob_ref[[#This Row],[QTE]]*tab_mob_ref[[#This Row],[Distance(Km)]]</f>
        <v>0</v>
      </c>
      <c r="AA13" s="6"/>
      <c r="BK13"/>
      <c r="BL13"/>
      <c r="BM13"/>
      <c r="BN13"/>
    </row>
    <row r="14" spans="2:66" ht="11.25" customHeight="1" x14ac:dyDescent="0.25">
      <c r="B14" s="8" t="s">
        <v>48</v>
      </c>
      <c r="C14" s="8" t="s">
        <v>63</v>
      </c>
      <c r="D14" s="6" t="s">
        <v>71</v>
      </c>
      <c r="E14" s="8">
        <v>2</v>
      </c>
      <c r="F14" s="8" t="s">
        <v>210</v>
      </c>
      <c r="G14" s="10">
        <v>0</v>
      </c>
      <c r="H14" s="7">
        <v>0.98</v>
      </c>
      <c r="I14" s="7">
        <f>(Tab_mat_ref[[#This Row],[QTE]]*Tab_mat_ref[[#This Row],[Prix ]])+(Tab_mat_ref[[#This Row],[QTE]]*Tab_mat_ref[[#This Row],[% de perte]])</f>
        <v>1.96</v>
      </c>
      <c r="K14" s="6"/>
      <c r="M14" s="8"/>
      <c r="N14" s="8"/>
      <c r="P14" s="7"/>
      <c r="Q14" s="7">
        <f>tab_MD_ref[[#This Row],[QTE Hrs]]*tab_MD_ref[[#This Row],[Salaire]]</f>
        <v>0</v>
      </c>
      <c r="R14" s="6"/>
      <c r="S14" s="6"/>
      <c r="T14" s="6"/>
      <c r="U14" s="6"/>
      <c r="V14" s="7" cm="1">
        <f t="array" ref="V14">cout_km[coutant KM]</f>
        <v>0.57999999999999996</v>
      </c>
      <c r="W14" s="7">
        <f>tab_mob_ref[[#This Row],[QTE]]*tab_mob_ref[[#This Row],[Distance(Km)]]</f>
        <v>0</v>
      </c>
      <c r="AA14" s="6"/>
      <c r="BK14"/>
      <c r="BL14"/>
      <c r="BM14"/>
      <c r="BN14"/>
    </row>
    <row r="15" spans="2:66" ht="11.25" customHeight="1" x14ac:dyDescent="0.25">
      <c r="B15" s="8" t="s">
        <v>48</v>
      </c>
      <c r="C15" s="8" t="s">
        <v>49</v>
      </c>
      <c r="D15" s="6" t="s">
        <v>72</v>
      </c>
      <c r="E15" s="8">
        <v>4</v>
      </c>
      <c r="F15" s="8" t="s">
        <v>210</v>
      </c>
      <c r="G15" s="10">
        <v>0</v>
      </c>
      <c r="H15" s="7">
        <v>592.89</v>
      </c>
      <c r="I15" s="7">
        <f>(Tab_mat_ref[[#This Row],[QTE]]*Tab_mat_ref[[#This Row],[Prix ]])+(Tab_mat_ref[[#This Row],[QTE]]*Tab_mat_ref[[#This Row],[% de perte]])</f>
        <v>2371.56</v>
      </c>
      <c r="K15" s="6"/>
      <c r="M15" s="8"/>
      <c r="N15" s="8"/>
      <c r="P15" s="7"/>
      <c r="Q15" s="7">
        <f>tab_MD_ref[[#This Row],[QTE Hrs]]*tab_MD_ref[[#This Row],[Salaire]]</f>
        <v>0</v>
      </c>
      <c r="R15" s="6"/>
      <c r="S15" s="6"/>
      <c r="T15" s="6"/>
      <c r="U15" s="6"/>
      <c r="V15" s="7" cm="1">
        <f t="array" ref="V15">cout_km[coutant KM]</f>
        <v>0.57999999999999996</v>
      </c>
      <c r="W15" s="7">
        <f>tab_mob_ref[[#This Row],[QTE]]*tab_mob_ref[[#This Row],[Distance(Km)]]</f>
        <v>0</v>
      </c>
      <c r="AA15" s="6"/>
      <c r="BK15"/>
      <c r="BL15"/>
      <c r="BM15"/>
      <c r="BN15"/>
    </row>
    <row r="16" spans="2:66" ht="11.25" customHeight="1" x14ac:dyDescent="0.25">
      <c r="B16" s="8" t="s">
        <v>48</v>
      </c>
      <c r="C16" s="8" t="s">
        <v>49</v>
      </c>
      <c r="D16" s="12" t="s">
        <v>73</v>
      </c>
      <c r="E16" s="8">
        <v>4</v>
      </c>
      <c r="F16" s="8" t="s">
        <v>210</v>
      </c>
      <c r="G16" s="10">
        <v>0</v>
      </c>
      <c r="H16" s="7">
        <v>115.78</v>
      </c>
      <c r="I16" s="7">
        <f>(Tab_mat_ref[[#This Row],[QTE]]*Tab_mat_ref[[#This Row],[Prix ]])+(Tab_mat_ref[[#This Row],[QTE]]*Tab_mat_ref[[#This Row],[% de perte]])</f>
        <v>463.12</v>
      </c>
      <c r="K16" s="6"/>
      <c r="M16" s="8"/>
      <c r="N16" s="8"/>
      <c r="P16" s="7"/>
      <c r="Q16" s="7">
        <f>tab_MD_ref[[#This Row],[QTE Hrs]]*tab_MD_ref[[#This Row],[Salaire]]</f>
        <v>0</v>
      </c>
      <c r="R16" s="6"/>
      <c r="S16" s="6"/>
      <c r="T16" s="6"/>
      <c r="U16" s="6"/>
      <c r="V16" s="7" cm="1">
        <f t="array" ref="V16">cout_km[coutant KM]</f>
        <v>0.57999999999999996</v>
      </c>
      <c r="W16" s="7">
        <f>tab_mob_ref[[#This Row],[QTE]]*tab_mob_ref[[#This Row],[Distance(Km)]]</f>
        <v>0</v>
      </c>
      <c r="AA16" s="6"/>
      <c r="BK16"/>
      <c r="BL16"/>
      <c r="BM16"/>
      <c r="BN16"/>
    </row>
    <row r="17" spans="2:66" ht="11.25" customHeight="1" x14ac:dyDescent="0.25">
      <c r="B17" s="8" t="s">
        <v>48</v>
      </c>
      <c r="C17" s="8" t="s">
        <v>49</v>
      </c>
      <c r="D17" s="6" t="s">
        <v>74</v>
      </c>
      <c r="E17" s="8">
        <v>2</v>
      </c>
      <c r="F17" s="8" t="s">
        <v>210</v>
      </c>
      <c r="G17" s="10">
        <v>0</v>
      </c>
      <c r="H17" s="7">
        <v>6.28</v>
      </c>
      <c r="I17" s="7">
        <f>(Tab_mat_ref[[#This Row],[QTE]]*Tab_mat_ref[[#This Row],[Prix ]])+(Tab_mat_ref[[#This Row],[QTE]]*Tab_mat_ref[[#This Row],[% de perte]])</f>
        <v>12.56</v>
      </c>
      <c r="K17" s="6"/>
      <c r="M17" s="8"/>
      <c r="N17" s="8"/>
      <c r="P17" s="7"/>
      <c r="Q17" s="7">
        <f>tab_MD_ref[[#This Row],[QTE Hrs]]*tab_MD_ref[[#This Row],[Salaire]]</f>
        <v>0</v>
      </c>
      <c r="R17" s="6"/>
      <c r="S17" s="6"/>
      <c r="T17" s="6"/>
      <c r="U17" s="6"/>
      <c r="W17" s="11">
        <f>SUBTOTAL(109,tab_mob_ref[Total])</f>
        <v>0</v>
      </c>
      <c r="AA17" s="6"/>
      <c r="BK17"/>
      <c r="BL17"/>
      <c r="BM17"/>
      <c r="BN17"/>
    </row>
    <row r="18" spans="2:66" ht="11.25" customHeight="1" x14ac:dyDescent="0.25">
      <c r="B18" s="8" t="s">
        <v>48</v>
      </c>
      <c r="C18" s="8" t="s">
        <v>49</v>
      </c>
      <c r="D18" s="6" t="s">
        <v>75</v>
      </c>
      <c r="E18" s="8">
        <v>4</v>
      </c>
      <c r="F18" s="8" t="s">
        <v>210</v>
      </c>
      <c r="G18" s="10">
        <v>0</v>
      </c>
      <c r="H18" s="7">
        <v>10.64</v>
      </c>
      <c r="I18" s="7">
        <f>(Tab_mat_ref[[#This Row],[QTE]]*Tab_mat_ref[[#This Row],[Prix ]])+(Tab_mat_ref[[#This Row],[QTE]]*Tab_mat_ref[[#This Row],[% de perte]])</f>
        <v>42.56</v>
      </c>
      <c r="K18" s="6"/>
      <c r="M18" s="8"/>
      <c r="N18" s="8"/>
      <c r="P18" s="7"/>
      <c r="Q18" s="7">
        <f>tab_MD_ref[[#This Row],[QTE Hrs]]*tab_MD_ref[[#This Row],[Salaire]]</f>
        <v>0</v>
      </c>
      <c r="R18" s="6"/>
      <c r="S18" s="6"/>
      <c r="T18" s="6"/>
      <c r="U18" s="6"/>
      <c r="W18" s="7"/>
      <c r="AA18" s="6"/>
      <c r="BK18"/>
      <c r="BL18"/>
      <c r="BM18"/>
      <c r="BN18"/>
    </row>
    <row r="19" spans="2:66" ht="11.25" customHeight="1" x14ac:dyDescent="0.25">
      <c r="B19" s="8" t="s">
        <v>48</v>
      </c>
      <c r="C19" s="8" t="s">
        <v>49</v>
      </c>
      <c r="D19" s="6" t="s">
        <v>76</v>
      </c>
      <c r="E19" s="8">
        <v>7</v>
      </c>
      <c r="F19" s="8" t="s">
        <v>210</v>
      </c>
      <c r="G19" s="10">
        <v>0</v>
      </c>
      <c r="H19" s="7">
        <v>13.48</v>
      </c>
      <c r="I19" s="7">
        <f>(Tab_mat_ref[[#This Row],[QTE]]*Tab_mat_ref[[#This Row],[Prix ]])+(Tab_mat_ref[[#This Row],[QTE]]*Tab_mat_ref[[#This Row],[% de perte]])</f>
        <v>94.36</v>
      </c>
      <c r="K19" s="6"/>
      <c r="M19" s="8"/>
      <c r="N19" s="8"/>
      <c r="P19" s="7"/>
      <c r="Q19" s="7">
        <f>tab_MD_ref[[#This Row],[QTE Hrs]]*tab_MD_ref[[#This Row],[Salaire]]</f>
        <v>0</v>
      </c>
      <c r="R19" s="6"/>
      <c r="S19" s="6"/>
      <c r="T19" s="6"/>
      <c r="U19" s="6"/>
      <c r="W19" s="7"/>
      <c r="AA19" s="6"/>
      <c r="BK19"/>
      <c r="BL19"/>
      <c r="BM19"/>
      <c r="BN19"/>
    </row>
    <row r="20" spans="2:66" ht="11.25" customHeight="1" x14ac:dyDescent="0.25">
      <c r="B20" s="8" t="s">
        <v>48</v>
      </c>
      <c r="C20" s="8" t="s">
        <v>49</v>
      </c>
      <c r="D20" s="6" t="s">
        <v>77</v>
      </c>
      <c r="E20" s="8">
        <v>14</v>
      </c>
      <c r="F20" s="8" t="s">
        <v>210</v>
      </c>
      <c r="G20" s="10">
        <v>0</v>
      </c>
      <c r="H20" s="7">
        <v>47.15</v>
      </c>
      <c r="I20" s="7">
        <f>(Tab_mat_ref[[#This Row],[QTE]]*Tab_mat_ref[[#This Row],[Prix ]])+(Tab_mat_ref[[#This Row],[QTE]]*Tab_mat_ref[[#This Row],[% de perte]])</f>
        <v>660.1</v>
      </c>
      <c r="K20" s="6"/>
      <c r="M20" s="8"/>
      <c r="N20" s="8"/>
      <c r="P20" s="7"/>
      <c r="Q20" s="7">
        <f>tab_MD_ref[[#This Row],[QTE Hrs]]*tab_MD_ref[[#This Row],[Salaire]]</f>
        <v>0</v>
      </c>
      <c r="R20" s="6"/>
      <c r="S20" s="6"/>
      <c r="T20" s="6"/>
      <c r="U20" s="6"/>
      <c r="W20" s="7"/>
      <c r="AA20" s="6"/>
      <c r="BK20"/>
      <c r="BL20"/>
      <c r="BM20"/>
      <c r="BN20"/>
    </row>
    <row r="21" spans="2:66" ht="11.25" customHeight="1" x14ac:dyDescent="0.25">
      <c r="B21" s="8" t="s">
        <v>48</v>
      </c>
      <c r="C21" s="8" t="s">
        <v>49</v>
      </c>
      <c r="D21" s="6" t="s">
        <v>78</v>
      </c>
      <c r="E21" s="8">
        <v>2</v>
      </c>
      <c r="F21" s="8" t="s">
        <v>210</v>
      </c>
      <c r="G21" s="10">
        <v>0</v>
      </c>
      <c r="H21" s="7">
        <v>160.34</v>
      </c>
      <c r="I21" s="7">
        <f>(Tab_mat_ref[[#This Row],[QTE]]*Tab_mat_ref[[#This Row],[Prix ]])+(Tab_mat_ref[[#This Row],[QTE]]*Tab_mat_ref[[#This Row],[% de perte]])</f>
        <v>320.68</v>
      </c>
      <c r="K21" s="6"/>
      <c r="M21" s="8"/>
      <c r="N21" s="8"/>
      <c r="P21" s="7"/>
      <c r="Q21" s="7">
        <f>tab_MD_ref[[#This Row],[QTE Hrs]]*tab_MD_ref[[#This Row],[Salaire]]</f>
        <v>0</v>
      </c>
      <c r="R21" s="6"/>
      <c r="S21" s="6"/>
      <c r="T21" s="6"/>
      <c r="U21" s="6"/>
      <c r="W21" s="7"/>
      <c r="AA21" s="6"/>
      <c r="BK21"/>
      <c r="BL21"/>
      <c r="BM21"/>
      <c r="BN21"/>
    </row>
    <row r="22" spans="2:66" ht="11.25" customHeight="1" x14ac:dyDescent="0.25">
      <c r="B22" s="8" t="s">
        <v>48</v>
      </c>
      <c r="C22" s="8" t="s">
        <v>49</v>
      </c>
      <c r="D22" s="6" t="s">
        <v>79</v>
      </c>
      <c r="E22" s="8">
        <v>2</v>
      </c>
      <c r="F22" s="8" t="s">
        <v>210</v>
      </c>
      <c r="G22" s="10">
        <v>0</v>
      </c>
      <c r="H22" s="7">
        <v>18.3</v>
      </c>
      <c r="I22" s="7">
        <f>(Tab_mat_ref[[#This Row],[QTE]]*Tab_mat_ref[[#This Row],[Prix ]])+(Tab_mat_ref[[#This Row],[QTE]]*Tab_mat_ref[[#This Row],[% de perte]])</f>
        <v>36.6</v>
      </c>
      <c r="K22" s="6"/>
      <c r="M22" s="8"/>
      <c r="N22" s="8"/>
      <c r="P22" s="7"/>
      <c r="Q22" s="7">
        <f>tab_MD_ref[[#This Row],[QTE Hrs]]*tab_MD_ref[[#This Row],[Salaire]]</f>
        <v>0</v>
      </c>
      <c r="R22" s="6"/>
      <c r="S22" s="6"/>
      <c r="T22" s="6"/>
      <c r="U22" s="6"/>
      <c r="W22" s="7"/>
      <c r="AA22" s="6"/>
      <c r="BK22"/>
      <c r="BL22"/>
      <c r="BM22"/>
      <c r="BN22"/>
    </row>
    <row r="23" spans="2:66" ht="11.25" customHeight="1" x14ac:dyDescent="0.25">
      <c r="B23" s="8" t="s">
        <v>48</v>
      </c>
      <c r="C23" s="8" t="s">
        <v>49</v>
      </c>
      <c r="D23" s="6" t="s">
        <v>80</v>
      </c>
      <c r="E23" s="8">
        <v>4</v>
      </c>
      <c r="F23" s="8" t="s">
        <v>210</v>
      </c>
      <c r="G23" s="10">
        <v>0</v>
      </c>
      <c r="H23" s="7">
        <v>7.63</v>
      </c>
      <c r="I23" s="7">
        <f>(Tab_mat_ref[[#This Row],[QTE]]*Tab_mat_ref[[#This Row],[Prix ]])+(Tab_mat_ref[[#This Row],[QTE]]*Tab_mat_ref[[#This Row],[% de perte]])</f>
        <v>30.52</v>
      </c>
      <c r="K23" s="6"/>
      <c r="M23" s="8"/>
      <c r="N23" s="8"/>
      <c r="P23" s="7"/>
      <c r="Q23" s="7">
        <f>tab_MD_ref[[#This Row],[QTE Hrs]]*tab_MD_ref[[#This Row],[Salaire]]</f>
        <v>0</v>
      </c>
      <c r="R23" s="6"/>
      <c r="S23" s="6"/>
      <c r="T23" s="6"/>
      <c r="U23" s="6"/>
      <c r="W23" s="7"/>
      <c r="AA23" s="6"/>
      <c r="BK23"/>
      <c r="BL23"/>
      <c r="BM23"/>
      <c r="BN23"/>
    </row>
    <row r="24" spans="2:66" ht="11.25" customHeight="1" x14ac:dyDescent="0.25">
      <c r="B24" s="8" t="s">
        <v>48</v>
      </c>
      <c r="C24" s="8" t="s">
        <v>49</v>
      </c>
      <c r="D24" s="6" t="s">
        <v>81</v>
      </c>
      <c r="E24" s="8">
        <v>9</v>
      </c>
      <c r="F24" s="8" t="s">
        <v>210</v>
      </c>
      <c r="G24" s="10">
        <v>0</v>
      </c>
      <c r="H24" s="7">
        <v>4.04</v>
      </c>
      <c r="I24" s="7">
        <f>(Tab_mat_ref[[#This Row],[QTE]]*Tab_mat_ref[[#This Row],[Prix ]])+(Tab_mat_ref[[#This Row],[QTE]]*Tab_mat_ref[[#This Row],[% de perte]])</f>
        <v>36.36</v>
      </c>
      <c r="K24" s="6"/>
      <c r="M24" s="8"/>
      <c r="N24" s="8"/>
      <c r="P24" s="7"/>
      <c r="Q24" s="7">
        <f>tab_MD_ref[[#This Row],[QTE Hrs]]*tab_MD_ref[[#This Row],[Salaire]]</f>
        <v>0</v>
      </c>
      <c r="R24" s="6"/>
      <c r="S24" s="6"/>
      <c r="T24" s="6"/>
      <c r="U24" s="6"/>
      <c r="W24" s="7"/>
      <c r="AA24" s="6"/>
      <c r="BK24"/>
      <c r="BL24"/>
      <c r="BM24"/>
      <c r="BN24"/>
    </row>
    <row r="25" spans="2:66" ht="11.25" customHeight="1" x14ac:dyDescent="0.25">
      <c r="B25" s="8" t="s">
        <v>48</v>
      </c>
      <c r="C25" s="8" t="s">
        <v>49</v>
      </c>
      <c r="D25" s="6" t="s">
        <v>82</v>
      </c>
      <c r="E25" s="8">
        <v>14</v>
      </c>
      <c r="F25" s="8" t="s">
        <v>210</v>
      </c>
      <c r="G25" s="10">
        <v>0</v>
      </c>
      <c r="H25" s="7">
        <v>5.56</v>
      </c>
      <c r="I25" s="7">
        <f>(Tab_mat_ref[[#This Row],[QTE]]*Tab_mat_ref[[#This Row],[Prix ]])+(Tab_mat_ref[[#This Row],[QTE]]*Tab_mat_ref[[#This Row],[% de perte]])</f>
        <v>77.839999999999989</v>
      </c>
      <c r="K25" s="6"/>
      <c r="M25" s="8"/>
      <c r="N25" s="8"/>
      <c r="P25" s="7"/>
      <c r="Q25" s="7">
        <f>tab_MD_ref[[#This Row],[QTE Hrs]]*tab_MD_ref[[#This Row],[Salaire]]</f>
        <v>0</v>
      </c>
      <c r="R25" s="6"/>
      <c r="S25" s="6"/>
      <c r="T25" s="6"/>
      <c r="U25" s="6"/>
      <c r="W25" s="7"/>
      <c r="AA25" s="6"/>
      <c r="BK25"/>
      <c r="BL25"/>
      <c r="BM25"/>
      <c r="BN25"/>
    </row>
    <row r="26" spans="2:66" ht="11.25" customHeight="1" x14ac:dyDescent="0.25">
      <c r="B26" s="8" t="s">
        <v>48</v>
      </c>
      <c r="C26" s="8" t="s">
        <v>49</v>
      </c>
      <c r="D26" s="6" t="s">
        <v>83</v>
      </c>
      <c r="E26" s="8">
        <v>14</v>
      </c>
      <c r="F26" s="8" t="s">
        <v>210</v>
      </c>
      <c r="G26" s="10">
        <v>0</v>
      </c>
      <c r="H26" s="7">
        <v>18.760000000000002</v>
      </c>
      <c r="I26" s="7">
        <f>(Tab_mat_ref[[#This Row],[QTE]]*Tab_mat_ref[[#This Row],[Prix ]])+(Tab_mat_ref[[#This Row],[QTE]]*Tab_mat_ref[[#This Row],[% de perte]])</f>
        <v>262.64000000000004</v>
      </c>
      <c r="K26" s="6"/>
      <c r="M26" s="8"/>
      <c r="N26" s="8"/>
      <c r="P26" s="7"/>
      <c r="Q26" s="7">
        <f>tab_MD_ref[[#This Row],[QTE Hrs]]*tab_MD_ref[[#This Row],[Salaire]]</f>
        <v>0</v>
      </c>
      <c r="R26" s="6"/>
      <c r="S26" s="6"/>
      <c r="T26" s="6"/>
      <c r="U26" s="6"/>
      <c r="W26" s="7"/>
      <c r="AA26" s="6"/>
      <c r="BK26"/>
      <c r="BL26"/>
      <c r="BM26"/>
      <c r="BN26"/>
    </row>
    <row r="27" spans="2:66" ht="11.25" customHeight="1" x14ac:dyDescent="0.25">
      <c r="F27" s="8"/>
      <c r="G27" s="10">
        <v>0</v>
      </c>
      <c r="H27" s="7"/>
      <c r="I27" s="7">
        <f>(Tab_mat_ref[[#This Row],[QTE]]*Tab_mat_ref[[#This Row],[Prix ]])+(Tab_mat_ref[[#This Row],[QTE]]*Tab_mat_ref[[#This Row],[% de perte]])</f>
        <v>0</v>
      </c>
      <c r="K27" s="6"/>
      <c r="M27" s="8"/>
      <c r="N27" s="8"/>
      <c r="P27" s="7"/>
      <c r="Q27" s="7">
        <f>tab_MD_ref[[#This Row],[QTE Hrs]]*tab_MD_ref[[#This Row],[Salaire]]</f>
        <v>0</v>
      </c>
      <c r="R27" s="6"/>
      <c r="S27" s="6"/>
      <c r="T27" s="6"/>
      <c r="U27" s="6"/>
      <c r="W27" s="7"/>
      <c r="AA27" s="6"/>
      <c r="BK27"/>
      <c r="BL27"/>
      <c r="BM27"/>
      <c r="BN27"/>
    </row>
    <row r="28" spans="2:66" ht="11.25" customHeight="1" x14ac:dyDescent="0.25">
      <c r="F28" s="8"/>
      <c r="G28" s="10">
        <v>0</v>
      </c>
      <c r="H28" s="7"/>
      <c r="I28" s="7">
        <f>(Tab_mat_ref[[#This Row],[QTE]]*Tab_mat_ref[[#This Row],[Prix ]])+(Tab_mat_ref[[#This Row],[QTE]]*Tab_mat_ref[[#This Row],[% de perte]])</f>
        <v>0</v>
      </c>
      <c r="K28" s="6"/>
      <c r="M28" s="8"/>
      <c r="N28" s="8"/>
      <c r="P28" s="7"/>
      <c r="Q28" s="7">
        <f>tab_MD_ref[[#This Row],[QTE Hrs]]*tab_MD_ref[[#This Row],[Salaire]]</f>
        <v>0</v>
      </c>
      <c r="R28" s="6"/>
      <c r="S28" s="6"/>
      <c r="T28" s="6"/>
      <c r="U28" s="6"/>
      <c r="W28" s="7"/>
      <c r="AA28" s="6"/>
      <c r="BK28"/>
      <c r="BL28"/>
      <c r="BM28"/>
      <c r="BN28"/>
    </row>
    <row r="29" spans="2:66" ht="11.25" customHeight="1" x14ac:dyDescent="0.25">
      <c r="F29" s="8"/>
      <c r="G29" s="10">
        <v>0</v>
      </c>
      <c r="H29" s="7"/>
      <c r="I29" s="7">
        <f>(Tab_mat_ref[[#This Row],[QTE]]*Tab_mat_ref[[#This Row],[Prix ]])+(Tab_mat_ref[[#This Row],[QTE]]*Tab_mat_ref[[#This Row],[% de perte]])</f>
        <v>0</v>
      </c>
      <c r="K29" s="6"/>
      <c r="M29" s="8"/>
      <c r="N29" s="8"/>
      <c r="P29" s="7"/>
      <c r="Q29" s="7">
        <f>tab_MD_ref[[#This Row],[QTE Hrs]]*tab_MD_ref[[#This Row],[Salaire]]</f>
        <v>0</v>
      </c>
      <c r="R29" s="6"/>
      <c r="S29" s="6"/>
      <c r="T29" s="6"/>
      <c r="U29" s="6"/>
      <c r="W29" s="7"/>
      <c r="AA29" s="6"/>
      <c r="BK29"/>
      <c r="BL29"/>
      <c r="BM29"/>
      <c r="BN29"/>
    </row>
    <row r="30" spans="2:66" ht="11.25" customHeight="1" x14ac:dyDescent="0.25">
      <c r="F30" s="8"/>
      <c r="G30" s="10">
        <v>0</v>
      </c>
      <c r="H30" s="7"/>
      <c r="I30" s="7">
        <f>(Tab_mat_ref[[#This Row],[QTE]]*Tab_mat_ref[[#This Row],[Prix ]])+(Tab_mat_ref[[#This Row],[QTE]]*Tab_mat_ref[[#This Row],[% de perte]])</f>
        <v>0</v>
      </c>
      <c r="K30" s="6"/>
      <c r="M30" s="8"/>
      <c r="N30" s="8"/>
      <c r="P30" s="7"/>
      <c r="Q30" s="7">
        <f>tab_MD_ref[[#This Row],[QTE Hrs]]*tab_MD_ref[[#This Row],[Salaire]]</f>
        <v>0</v>
      </c>
      <c r="R30" s="6"/>
      <c r="S30" s="6"/>
      <c r="T30" s="6"/>
      <c r="U30" s="6"/>
      <c r="W30" s="7"/>
      <c r="AA30" s="6"/>
      <c r="BK30"/>
      <c r="BL30"/>
      <c r="BM30"/>
      <c r="BN30"/>
    </row>
    <row r="31" spans="2:66" ht="11.25" customHeight="1" x14ac:dyDescent="0.25">
      <c r="D31" s="12"/>
      <c r="F31" s="8"/>
      <c r="G31" s="10">
        <v>0</v>
      </c>
      <c r="H31" s="7"/>
      <c r="I31" s="7">
        <f>(Tab_mat_ref[[#This Row],[QTE]]*Tab_mat_ref[[#This Row],[Prix ]])+(Tab_mat_ref[[#This Row],[QTE]]*Tab_mat_ref[[#This Row],[% de perte]])</f>
        <v>0</v>
      </c>
      <c r="K31" s="6"/>
      <c r="M31" s="8"/>
      <c r="N31" s="8"/>
      <c r="P31" s="7"/>
      <c r="Q31" s="7">
        <f>tab_MD_ref[[#This Row],[QTE Hrs]]*tab_MD_ref[[#This Row],[Salaire]]</f>
        <v>0</v>
      </c>
      <c r="R31" s="6"/>
      <c r="S31" s="6"/>
      <c r="T31" s="6"/>
      <c r="U31" s="6"/>
      <c r="W31" s="7"/>
      <c r="AA31" s="6"/>
      <c r="BK31"/>
      <c r="BL31"/>
      <c r="BM31"/>
      <c r="BN31"/>
    </row>
    <row r="32" spans="2:66" ht="11.25" customHeight="1" x14ac:dyDescent="0.25">
      <c r="F32" s="8"/>
      <c r="G32" s="10">
        <v>0</v>
      </c>
      <c r="H32" s="7"/>
      <c r="I32" s="7">
        <f>(Tab_mat_ref[[#This Row],[QTE]]*Tab_mat_ref[[#This Row],[Prix ]])+(Tab_mat_ref[[#This Row],[QTE]]*Tab_mat_ref[[#This Row],[% de perte]])</f>
        <v>0</v>
      </c>
      <c r="K32" s="6"/>
      <c r="M32" s="8"/>
      <c r="N32" s="8"/>
      <c r="P32" s="7"/>
      <c r="Q32" s="7">
        <f>tab_MD_ref[[#This Row],[QTE Hrs]]*tab_MD_ref[[#This Row],[Salaire]]</f>
        <v>0</v>
      </c>
      <c r="R32" s="6"/>
      <c r="S32" s="6"/>
      <c r="T32" s="6"/>
      <c r="U32" s="6"/>
      <c r="W32" s="7"/>
      <c r="AA32" s="6"/>
      <c r="BK32"/>
      <c r="BL32"/>
      <c r="BM32"/>
      <c r="BN32"/>
    </row>
    <row r="33" spans="6:66" ht="11.25" customHeight="1" x14ac:dyDescent="0.25">
      <c r="F33" s="8"/>
      <c r="G33" s="10">
        <v>0</v>
      </c>
      <c r="H33" s="7"/>
      <c r="I33" s="7">
        <f>(Tab_mat_ref[[#This Row],[QTE]]*Tab_mat_ref[[#This Row],[Prix ]])+(Tab_mat_ref[[#This Row],[QTE]]*Tab_mat_ref[[#This Row],[% de perte]])</f>
        <v>0</v>
      </c>
      <c r="K33" s="6"/>
      <c r="M33" s="8"/>
      <c r="N33" s="8"/>
      <c r="P33" s="7"/>
      <c r="Q33" s="7">
        <f>tab_MD_ref[[#This Row],[QTE Hrs]]*tab_MD_ref[[#This Row],[Salaire]]</f>
        <v>0</v>
      </c>
      <c r="R33" s="6"/>
      <c r="S33" s="6"/>
      <c r="T33" s="6"/>
      <c r="U33" s="6"/>
      <c r="W33" s="7"/>
      <c r="AA33" s="6"/>
      <c r="BK33"/>
      <c r="BL33"/>
      <c r="BM33"/>
      <c r="BN33"/>
    </row>
    <row r="34" spans="6:66" ht="11.25" customHeight="1" x14ac:dyDescent="0.25">
      <c r="F34" s="8"/>
      <c r="G34" s="10">
        <v>0</v>
      </c>
      <c r="H34" s="7"/>
      <c r="I34" s="7">
        <f>(Tab_mat_ref[[#This Row],[QTE]]*Tab_mat_ref[[#This Row],[Prix ]])+(Tab_mat_ref[[#This Row],[QTE]]*Tab_mat_ref[[#This Row],[% de perte]])</f>
        <v>0</v>
      </c>
      <c r="K34" s="6"/>
      <c r="M34" s="8"/>
      <c r="N34" s="8"/>
      <c r="P34" s="7"/>
      <c r="Q34" s="7">
        <f>tab_MD_ref[[#This Row],[QTE Hrs]]*tab_MD_ref[[#This Row],[Salaire]]</f>
        <v>0</v>
      </c>
      <c r="R34" s="6"/>
      <c r="S34" s="6"/>
      <c r="T34" s="6"/>
      <c r="U34" s="6"/>
      <c r="W34" s="7"/>
      <c r="AA34" s="6"/>
      <c r="BK34"/>
      <c r="BL34"/>
      <c r="BM34"/>
      <c r="BN34"/>
    </row>
    <row r="35" spans="6:66" ht="11.25" customHeight="1" x14ac:dyDescent="0.25">
      <c r="F35" s="8"/>
      <c r="G35" s="10">
        <v>0</v>
      </c>
      <c r="H35" s="7"/>
      <c r="I35" s="7">
        <f>(Tab_mat_ref[[#This Row],[QTE]]*Tab_mat_ref[[#This Row],[Prix ]])+(Tab_mat_ref[[#This Row],[QTE]]*Tab_mat_ref[[#This Row],[% de perte]])</f>
        <v>0</v>
      </c>
      <c r="K35" s="6"/>
      <c r="M35" s="8"/>
      <c r="N35" s="8"/>
      <c r="P35" s="7"/>
      <c r="Q35" s="7">
        <f>tab_MD_ref[[#This Row],[QTE Hrs]]*tab_MD_ref[[#This Row],[Salaire]]</f>
        <v>0</v>
      </c>
      <c r="R35" s="6"/>
      <c r="S35" s="6"/>
      <c r="T35" s="6"/>
      <c r="U35" s="6"/>
      <c r="W35" s="7"/>
      <c r="AA35" s="6"/>
      <c r="BK35"/>
      <c r="BL35"/>
      <c r="BM35"/>
      <c r="BN35"/>
    </row>
    <row r="36" spans="6:66" ht="11.25" customHeight="1" x14ac:dyDescent="0.25">
      <c r="F36" s="8"/>
      <c r="G36" s="10">
        <v>0</v>
      </c>
      <c r="H36" s="7"/>
      <c r="I36" s="7">
        <f>(Tab_mat_ref[[#This Row],[QTE]]*Tab_mat_ref[[#This Row],[Prix ]])+(Tab_mat_ref[[#This Row],[QTE]]*Tab_mat_ref[[#This Row],[% de perte]])</f>
        <v>0</v>
      </c>
      <c r="K36" s="6"/>
      <c r="M36" s="8"/>
      <c r="N36" s="8"/>
      <c r="P36" s="7"/>
      <c r="Q36" s="7">
        <f>tab_MD_ref[[#This Row],[QTE Hrs]]*tab_MD_ref[[#This Row],[Salaire]]</f>
        <v>0</v>
      </c>
      <c r="R36" s="6"/>
      <c r="S36" s="6"/>
      <c r="T36" s="6"/>
      <c r="U36" s="6"/>
      <c r="W36" s="7"/>
      <c r="AA36" s="6"/>
      <c r="BK36"/>
      <c r="BL36"/>
      <c r="BM36"/>
      <c r="BN36"/>
    </row>
    <row r="37" spans="6:66" ht="11.25" customHeight="1" x14ac:dyDescent="0.25">
      <c r="F37" s="8"/>
      <c r="G37" s="10">
        <v>0</v>
      </c>
      <c r="H37" s="7"/>
      <c r="I37" s="7">
        <f>(Tab_mat_ref[[#This Row],[QTE]]*Tab_mat_ref[[#This Row],[Prix ]])+(Tab_mat_ref[[#This Row],[QTE]]*Tab_mat_ref[[#This Row],[% de perte]])</f>
        <v>0</v>
      </c>
      <c r="K37" s="6"/>
      <c r="M37" s="8"/>
      <c r="N37" s="8"/>
      <c r="P37" s="7"/>
      <c r="Q37" s="7">
        <f>tab_MD_ref[[#This Row],[QTE Hrs]]*tab_MD_ref[[#This Row],[Salaire]]</f>
        <v>0</v>
      </c>
      <c r="R37" s="6"/>
      <c r="S37" s="6"/>
      <c r="T37" s="6"/>
      <c r="U37" s="6"/>
      <c r="W37" s="7"/>
      <c r="AA37" s="6"/>
      <c r="BK37"/>
      <c r="BL37"/>
      <c r="BM37"/>
      <c r="BN37"/>
    </row>
    <row r="38" spans="6:66" ht="11.25" customHeight="1" x14ac:dyDescent="0.25">
      <c r="F38" s="8"/>
      <c r="G38" s="10">
        <v>0</v>
      </c>
      <c r="H38" s="7"/>
      <c r="I38" s="7">
        <f>(Tab_mat_ref[[#This Row],[QTE]]*Tab_mat_ref[[#This Row],[Prix ]])+(Tab_mat_ref[[#This Row],[QTE]]*Tab_mat_ref[[#This Row],[% de perte]])</f>
        <v>0</v>
      </c>
      <c r="K38" s="6"/>
      <c r="M38" s="8"/>
      <c r="N38" s="8"/>
      <c r="P38" s="7"/>
      <c r="Q38" s="7">
        <f>tab_MD_ref[[#This Row],[QTE Hrs]]*tab_MD_ref[[#This Row],[Salaire]]</f>
        <v>0</v>
      </c>
      <c r="R38" s="6"/>
      <c r="S38" s="6"/>
      <c r="T38" s="6"/>
      <c r="U38" s="6"/>
      <c r="W38" s="7"/>
      <c r="AA38" s="6"/>
      <c r="BK38"/>
      <c r="BL38"/>
      <c r="BM38"/>
      <c r="BN38"/>
    </row>
    <row r="39" spans="6:66" ht="11.25" customHeight="1" x14ac:dyDescent="0.25">
      <c r="F39" s="8"/>
      <c r="G39" s="10">
        <v>0</v>
      </c>
      <c r="H39" s="7"/>
      <c r="I39" s="7">
        <f>(Tab_mat_ref[[#This Row],[QTE]]*Tab_mat_ref[[#This Row],[Prix ]])+(Tab_mat_ref[[#This Row],[QTE]]*Tab_mat_ref[[#This Row],[% de perte]])</f>
        <v>0</v>
      </c>
      <c r="K39" s="6"/>
      <c r="M39" s="8"/>
      <c r="N39" s="8"/>
      <c r="P39" s="7"/>
      <c r="Q39" s="7">
        <f>tab_MD_ref[[#This Row],[QTE Hrs]]*tab_MD_ref[[#This Row],[Salaire]]</f>
        <v>0</v>
      </c>
      <c r="R39" s="6"/>
      <c r="S39" s="6"/>
      <c r="T39" s="6"/>
      <c r="U39" s="6"/>
      <c r="W39" s="7"/>
      <c r="AA39" s="6"/>
      <c r="BK39"/>
      <c r="BL39"/>
      <c r="BM39"/>
      <c r="BN39"/>
    </row>
    <row r="40" spans="6:66" ht="11.25" customHeight="1" x14ac:dyDescent="0.25">
      <c r="F40" s="8"/>
      <c r="G40" s="10">
        <v>0</v>
      </c>
      <c r="H40" s="7"/>
      <c r="I40" s="7">
        <f>(Tab_mat_ref[[#This Row],[QTE]]*Tab_mat_ref[[#This Row],[Prix ]])+(Tab_mat_ref[[#This Row],[QTE]]*Tab_mat_ref[[#This Row],[% de perte]])</f>
        <v>0</v>
      </c>
      <c r="K40" s="6"/>
      <c r="M40" s="8"/>
      <c r="N40" s="8"/>
      <c r="P40" s="7"/>
      <c r="Q40" s="7">
        <f>tab_MD_ref[[#This Row],[QTE Hrs]]*tab_MD_ref[[#This Row],[Salaire]]</f>
        <v>0</v>
      </c>
      <c r="R40" s="6"/>
      <c r="S40" s="6"/>
      <c r="T40" s="6"/>
      <c r="U40" s="6"/>
      <c r="W40" s="7"/>
      <c r="AA40" s="6"/>
      <c r="BK40"/>
      <c r="BL40"/>
      <c r="BM40"/>
      <c r="BN40"/>
    </row>
    <row r="41" spans="6:66" ht="11.25" customHeight="1" x14ac:dyDescent="0.25">
      <c r="F41" s="8"/>
      <c r="G41" s="10">
        <v>0</v>
      </c>
      <c r="H41" s="7"/>
      <c r="I41" s="7">
        <f>(Tab_mat_ref[[#This Row],[QTE]]*Tab_mat_ref[[#This Row],[Prix ]])+(Tab_mat_ref[[#This Row],[QTE]]*Tab_mat_ref[[#This Row],[% de perte]])</f>
        <v>0</v>
      </c>
      <c r="K41" s="6"/>
      <c r="M41" s="8"/>
      <c r="N41" s="8"/>
      <c r="P41" s="7"/>
      <c r="Q41" s="7">
        <f>tab_MD_ref[[#This Row],[QTE Hrs]]*tab_MD_ref[[#This Row],[Salaire]]</f>
        <v>0</v>
      </c>
      <c r="R41" s="6"/>
      <c r="S41" s="6"/>
      <c r="T41" s="6"/>
      <c r="U41" s="6"/>
      <c r="W41" s="7"/>
      <c r="AA41" s="6"/>
      <c r="BK41"/>
      <c r="BL41"/>
      <c r="BM41"/>
      <c r="BN41"/>
    </row>
    <row r="42" spans="6:66" ht="11.25" customHeight="1" x14ac:dyDescent="0.25">
      <c r="F42" s="8"/>
      <c r="G42" s="10">
        <v>0</v>
      </c>
      <c r="H42" s="7"/>
      <c r="I42" s="7">
        <f>(Tab_mat_ref[[#This Row],[QTE]]*Tab_mat_ref[[#This Row],[Prix ]])+(Tab_mat_ref[[#This Row],[QTE]]*Tab_mat_ref[[#This Row],[% de perte]])</f>
        <v>0</v>
      </c>
      <c r="K42" s="6"/>
      <c r="M42" s="8"/>
      <c r="N42" s="8"/>
      <c r="P42" s="7"/>
      <c r="Q42" s="7">
        <f>tab_MD_ref[[#This Row],[QTE Hrs]]*tab_MD_ref[[#This Row],[Salaire]]</f>
        <v>0</v>
      </c>
      <c r="R42" s="6"/>
      <c r="S42" s="6"/>
      <c r="T42" s="6"/>
      <c r="U42" s="6"/>
      <c r="W42" s="7"/>
      <c r="AA42" s="6"/>
      <c r="BK42"/>
      <c r="BL42"/>
      <c r="BM42"/>
      <c r="BN42"/>
    </row>
    <row r="43" spans="6:66" ht="11.25" customHeight="1" x14ac:dyDescent="0.25">
      <c r="F43" s="8"/>
      <c r="G43" s="10">
        <v>0</v>
      </c>
      <c r="H43" s="7"/>
      <c r="I43" s="7">
        <f>(Tab_mat_ref[[#This Row],[QTE]]*Tab_mat_ref[[#This Row],[Prix ]])+(Tab_mat_ref[[#This Row],[QTE]]*Tab_mat_ref[[#This Row],[% de perte]])</f>
        <v>0</v>
      </c>
      <c r="K43" s="6"/>
      <c r="M43" s="8"/>
      <c r="N43" s="8"/>
      <c r="P43" s="7"/>
      <c r="Q43" s="7">
        <f>tab_MD_ref[[#This Row],[QTE Hrs]]*tab_MD_ref[[#This Row],[Salaire]]</f>
        <v>0</v>
      </c>
      <c r="R43" s="6"/>
      <c r="S43" s="6"/>
      <c r="T43" s="6"/>
      <c r="U43" s="6"/>
      <c r="W43" s="7"/>
      <c r="AA43" s="6"/>
      <c r="BK43"/>
      <c r="BL43"/>
      <c r="BM43"/>
      <c r="BN43"/>
    </row>
    <row r="44" spans="6:66" ht="11.25" customHeight="1" x14ac:dyDescent="0.25">
      <c r="F44" s="8"/>
      <c r="G44" s="10">
        <v>0</v>
      </c>
      <c r="H44" s="7"/>
      <c r="I44" s="7">
        <f>(Tab_mat_ref[[#This Row],[QTE]]*Tab_mat_ref[[#This Row],[Prix ]])+(Tab_mat_ref[[#This Row],[QTE]]*Tab_mat_ref[[#This Row],[% de perte]])</f>
        <v>0</v>
      </c>
      <c r="K44" s="6"/>
      <c r="M44" s="8"/>
      <c r="N44" s="8"/>
      <c r="P44" s="7"/>
      <c r="Q44" s="7">
        <f>tab_MD_ref[[#This Row],[QTE Hrs]]*tab_MD_ref[[#This Row],[Salaire]]</f>
        <v>0</v>
      </c>
      <c r="R44" s="6"/>
      <c r="S44" s="6"/>
      <c r="T44" s="6"/>
      <c r="U44" s="6"/>
      <c r="W44" s="7"/>
      <c r="AA44" s="6"/>
      <c r="BK44"/>
      <c r="BL44"/>
      <c r="BM44"/>
      <c r="BN44"/>
    </row>
    <row r="45" spans="6:66" ht="11.25" customHeight="1" x14ac:dyDescent="0.25">
      <c r="F45" s="8"/>
      <c r="G45" s="10">
        <v>0</v>
      </c>
      <c r="H45" s="7"/>
      <c r="I45" s="7">
        <f>(Tab_mat_ref[[#This Row],[QTE]]*Tab_mat_ref[[#This Row],[Prix ]])+(Tab_mat_ref[[#This Row],[QTE]]*Tab_mat_ref[[#This Row],[% de perte]])</f>
        <v>0</v>
      </c>
      <c r="K45" s="6"/>
      <c r="M45" s="8"/>
      <c r="N45" s="8"/>
      <c r="P45" s="7"/>
      <c r="Q45" s="7">
        <f>tab_MD_ref[[#This Row],[QTE Hrs]]*tab_MD_ref[[#This Row],[Salaire]]</f>
        <v>0</v>
      </c>
      <c r="R45" s="6"/>
      <c r="S45" s="6"/>
      <c r="T45" s="6"/>
      <c r="U45" s="6"/>
      <c r="W45" s="7"/>
      <c r="AA45" s="6"/>
      <c r="BK45"/>
      <c r="BL45"/>
      <c r="BM45"/>
      <c r="BN45"/>
    </row>
    <row r="46" spans="6:66" ht="11.25" customHeight="1" x14ac:dyDescent="0.25">
      <c r="F46" s="8"/>
      <c r="G46" s="10">
        <v>0</v>
      </c>
      <c r="H46" s="7"/>
      <c r="I46" s="7">
        <f>(Tab_mat_ref[[#This Row],[QTE]]*Tab_mat_ref[[#This Row],[Prix ]])+(Tab_mat_ref[[#This Row],[QTE]]*Tab_mat_ref[[#This Row],[% de perte]])</f>
        <v>0</v>
      </c>
      <c r="K46" s="6"/>
      <c r="M46" s="8"/>
      <c r="N46" s="8"/>
      <c r="P46" s="7"/>
      <c r="Q46" s="7">
        <f>tab_MD_ref[[#This Row],[QTE Hrs]]*tab_MD_ref[[#This Row],[Salaire]]</f>
        <v>0</v>
      </c>
      <c r="R46" s="6"/>
      <c r="S46" s="6"/>
      <c r="T46" s="6"/>
      <c r="U46" s="6"/>
      <c r="W46" s="7"/>
      <c r="AA46" s="6"/>
      <c r="BK46"/>
      <c r="BL46"/>
      <c r="BM46"/>
      <c r="BN46"/>
    </row>
    <row r="47" spans="6:66" ht="11.25" customHeight="1" x14ac:dyDescent="0.25">
      <c r="F47" s="8"/>
      <c r="G47" s="10">
        <v>0</v>
      </c>
      <c r="H47" s="7"/>
      <c r="I47" s="7">
        <f>(Tab_mat_ref[[#This Row],[QTE]]*Tab_mat_ref[[#This Row],[Prix ]])+(Tab_mat_ref[[#This Row],[QTE]]*Tab_mat_ref[[#This Row],[% de perte]])</f>
        <v>0</v>
      </c>
      <c r="K47" s="6"/>
      <c r="M47" s="8"/>
      <c r="N47" s="8"/>
      <c r="P47" s="7"/>
      <c r="Q47" s="7">
        <f>tab_MD_ref[[#This Row],[QTE Hrs]]*tab_MD_ref[[#This Row],[Salaire]]</f>
        <v>0</v>
      </c>
      <c r="R47" s="6"/>
      <c r="S47" s="6"/>
      <c r="T47" s="6"/>
      <c r="U47" s="6"/>
      <c r="W47" s="7"/>
      <c r="AA47" s="6"/>
      <c r="BK47"/>
      <c r="BL47"/>
      <c r="BM47"/>
      <c r="BN47"/>
    </row>
    <row r="48" spans="6:66" ht="11.25" customHeight="1" x14ac:dyDescent="0.25">
      <c r="F48" s="8"/>
      <c r="G48" s="10">
        <v>0</v>
      </c>
      <c r="H48" s="7"/>
      <c r="I48" s="7">
        <f>(Tab_mat_ref[[#This Row],[QTE]]*Tab_mat_ref[[#This Row],[Prix ]])+(Tab_mat_ref[[#This Row],[QTE]]*Tab_mat_ref[[#This Row],[% de perte]])</f>
        <v>0</v>
      </c>
      <c r="K48" s="6"/>
      <c r="M48" s="8"/>
      <c r="N48" s="8"/>
      <c r="P48" s="7"/>
      <c r="Q48" s="7">
        <f>tab_MD_ref[[#This Row],[QTE Hrs]]*tab_MD_ref[[#This Row],[Salaire]]</f>
        <v>0</v>
      </c>
      <c r="R48" s="6"/>
      <c r="S48" s="6"/>
      <c r="T48" s="6"/>
      <c r="U48" s="6"/>
      <c r="W48" s="7"/>
      <c r="AA48" s="6"/>
      <c r="BK48"/>
      <c r="BL48"/>
      <c r="BM48"/>
      <c r="BN48"/>
    </row>
    <row r="49" spans="6:66" ht="11.25" customHeight="1" x14ac:dyDescent="0.25">
      <c r="F49" s="8"/>
      <c r="G49" s="10">
        <v>0</v>
      </c>
      <c r="H49" s="7"/>
      <c r="I49" s="7">
        <f>(Tab_mat_ref[[#This Row],[QTE]]*Tab_mat_ref[[#This Row],[Prix ]])+(Tab_mat_ref[[#This Row],[QTE]]*Tab_mat_ref[[#This Row],[% de perte]])</f>
        <v>0</v>
      </c>
      <c r="K49" s="6"/>
      <c r="M49" s="8"/>
      <c r="N49" s="8"/>
      <c r="P49" s="7"/>
      <c r="Q49" s="7">
        <f>tab_MD_ref[[#This Row],[QTE Hrs]]*tab_MD_ref[[#This Row],[Salaire]]</f>
        <v>0</v>
      </c>
      <c r="R49" s="6"/>
      <c r="S49" s="6"/>
      <c r="T49" s="6"/>
      <c r="U49" s="6"/>
      <c r="W49" s="7"/>
      <c r="AA49" s="6"/>
      <c r="BK49"/>
      <c r="BL49"/>
      <c r="BM49"/>
      <c r="BN49"/>
    </row>
    <row r="50" spans="6:66" ht="11.25" customHeight="1" x14ac:dyDescent="0.25">
      <c r="F50" s="8"/>
      <c r="G50" s="10">
        <v>0</v>
      </c>
      <c r="H50" s="7"/>
      <c r="I50" s="7">
        <f>(Tab_mat_ref[[#This Row],[QTE]]*Tab_mat_ref[[#This Row],[Prix ]])+(Tab_mat_ref[[#This Row],[QTE]]*Tab_mat_ref[[#This Row],[% de perte]])</f>
        <v>0</v>
      </c>
      <c r="K50" s="6"/>
      <c r="M50" s="8"/>
      <c r="N50" s="8"/>
      <c r="P50" s="7"/>
      <c r="Q50" s="7">
        <f>tab_MD_ref[[#This Row],[QTE Hrs]]*tab_MD_ref[[#This Row],[Salaire]]</f>
        <v>0</v>
      </c>
      <c r="R50" s="6"/>
      <c r="S50" s="6"/>
      <c r="T50" s="6"/>
      <c r="U50" s="6"/>
      <c r="W50" s="7"/>
      <c r="AA50" s="6"/>
      <c r="BK50"/>
      <c r="BL50"/>
      <c r="BM50"/>
      <c r="BN50"/>
    </row>
    <row r="51" spans="6:66" ht="11.25" customHeight="1" x14ac:dyDescent="0.25">
      <c r="F51" s="8"/>
      <c r="G51" s="10">
        <v>0</v>
      </c>
      <c r="H51" s="7"/>
      <c r="I51" s="7">
        <f>(Tab_mat_ref[[#This Row],[QTE]]*Tab_mat_ref[[#This Row],[Prix ]])+(Tab_mat_ref[[#This Row],[QTE]]*Tab_mat_ref[[#This Row],[% de perte]])</f>
        <v>0</v>
      </c>
      <c r="K51" s="6"/>
      <c r="M51" s="8"/>
      <c r="N51" s="8"/>
      <c r="P51" s="7"/>
      <c r="Q51" s="7">
        <f>tab_MD_ref[[#This Row],[QTE Hrs]]*tab_MD_ref[[#This Row],[Salaire]]</f>
        <v>0</v>
      </c>
      <c r="R51" s="6"/>
      <c r="S51" s="6"/>
      <c r="T51" s="6"/>
      <c r="U51" s="6"/>
      <c r="W51" s="7"/>
      <c r="AA51" s="6"/>
      <c r="BK51"/>
      <c r="BL51"/>
      <c r="BM51"/>
      <c r="BN51"/>
    </row>
    <row r="52" spans="6:66" ht="22.5" customHeight="1" x14ac:dyDescent="0.25">
      <c r="F52" s="8"/>
      <c r="H52" s="6"/>
      <c r="I52" s="11">
        <f>SUM(Tab_mat_ref[Total])</f>
        <v>20786.339999999997</v>
      </c>
      <c r="K52" s="6"/>
      <c r="M52" s="8"/>
      <c r="N52" s="8"/>
      <c r="P52" s="11"/>
      <c r="Q52" s="11">
        <f>SUM(tab_MD_ref[Total])</f>
        <v>3140</v>
      </c>
      <c r="R52" s="6"/>
      <c r="S52" s="6"/>
      <c r="T52" s="6"/>
      <c r="U52" s="6"/>
      <c r="W52" s="7"/>
      <c r="AA52" s="6"/>
      <c r="BK52"/>
      <c r="BL52"/>
      <c r="BM52"/>
      <c r="BN52"/>
    </row>
    <row r="53" spans="6:66" ht="11.25" customHeight="1" x14ac:dyDescent="0.25">
      <c r="T53" s="6"/>
      <c r="U53" s="6"/>
      <c r="X53" s="7"/>
    </row>
    <row r="54" spans="6:66" ht="11.25" customHeight="1" x14ac:dyDescent="0.25"/>
    <row r="55" spans="6:66" ht="11.25" customHeight="1" x14ac:dyDescent="0.25"/>
    <row r="56" spans="6:66" ht="11.25" customHeight="1" x14ac:dyDescent="0.25"/>
    <row r="57" spans="6:66" ht="11.25" customHeight="1" x14ac:dyDescent="0.25"/>
    <row r="58" spans="6:66" ht="11.25" customHeight="1" x14ac:dyDescent="0.25"/>
    <row r="59" spans="6:66" ht="11.25" customHeight="1" x14ac:dyDescent="0.25"/>
    <row r="60" spans="6:66" ht="11.25" customHeight="1" x14ac:dyDescent="0.25"/>
    <row r="61" spans="6:66" ht="11.25" customHeight="1" x14ac:dyDescent="0.25"/>
    <row r="62" spans="6:66" ht="11.25" customHeight="1" x14ac:dyDescent="0.25"/>
    <row r="63" spans="6:66" ht="11.25" customHeight="1" x14ac:dyDescent="0.25"/>
    <row r="64" spans="6:66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</sheetData>
  <mergeCells count="6">
    <mergeCell ref="B2:I2"/>
    <mergeCell ref="K2:Q2"/>
    <mergeCell ref="S2:W2"/>
    <mergeCell ref="B3:I3"/>
    <mergeCell ref="K3:Q3"/>
    <mergeCell ref="S3:W3"/>
  </mergeCells>
  <dataValidations count="1">
    <dataValidation type="list" allowBlank="1" showInputMessage="1" showErrorMessage="1" sqref="F5:F51" xr:uid="{BEC1EAC3-D894-4B80-AF43-ECE88AF903D0}">
      <formula1>uni_ref</formula1>
    </dataValidation>
  </dataValidation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D7A3F32-1216-4C9B-8758-136BBCC59801}">
          <x14:formula1>
            <xm:f>Données!$F$2:$F$3</xm:f>
          </x14:formula1>
          <xm:sqref>S5:S16</xm:sqref>
        </x14:dataValidation>
        <x14:dataValidation type="list" allowBlank="1" showInputMessage="1" showErrorMessage="1" xr:uid="{ABD07F0A-05AE-464C-8B61-AB86CF34889D}">
          <x14:formula1>
            <xm:f>Données!$C$2:$C$5</xm:f>
          </x14:formula1>
          <xm:sqref>O5:O51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E9110-6AD8-4249-B234-C1F0FB02EF59}">
  <sheetPr codeName="Feuil11">
    <tabColor theme="5" tint="-0.249977111117893"/>
  </sheetPr>
  <dimension ref="B1:BN100"/>
  <sheetViews>
    <sheetView topLeftCell="E3" workbookViewId="0">
      <selection activeCell="D21" sqref="D21"/>
    </sheetView>
  </sheetViews>
  <sheetFormatPr baseColWidth="10" defaultColWidth="11.42578125" defaultRowHeight="15" x14ac:dyDescent="0.25"/>
  <cols>
    <col min="2" max="2" width="17.85546875" style="8" customWidth="1"/>
    <col min="3" max="3" width="7.7109375" style="8" customWidth="1"/>
    <col min="4" max="4" width="69.7109375" style="6" customWidth="1"/>
    <col min="5" max="5" width="15.42578125" style="8" customWidth="1"/>
    <col min="6" max="6" width="8.42578125" customWidth="1"/>
    <col min="7" max="7" width="12" style="6" customWidth="1"/>
    <col min="9" max="9" width="12.85546875" style="8" customWidth="1"/>
    <col min="10" max="10" width="3.5703125" style="6" customWidth="1"/>
    <col min="11" max="11" width="8.28515625" style="7" customWidth="1"/>
    <col min="12" max="12" width="48.85546875" style="6" customWidth="1"/>
    <col min="13" max="13" width="9.7109375" style="6" customWidth="1"/>
    <col min="14" max="14" width="10.28515625" customWidth="1"/>
    <col min="15" max="15" width="15.140625" style="8" customWidth="1"/>
    <col min="16" max="16" width="9.85546875" customWidth="1"/>
    <col min="17" max="17" width="16.140625" style="6" customWidth="1"/>
    <col min="18" max="18" width="3" style="8" customWidth="1"/>
    <col min="19" max="19" width="17.85546875" style="8" customWidth="1"/>
    <col min="20" max="20" width="12.5703125" style="7" customWidth="1"/>
    <col min="21" max="21" width="11.42578125" style="7"/>
    <col min="22" max="22" width="2.85546875" style="6" customWidth="1"/>
    <col min="23" max="23" width="21.85546875" style="6" customWidth="1"/>
    <col min="24" max="24" width="11.42578125" style="6"/>
    <col min="25" max="25" width="15.140625" style="6" customWidth="1"/>
    <col min="26" max="26" width="11.42578125" style="6"/>
    <col min="27" max="27" width="11.42578125" style="7"/>
    <col min="28" max="66" width="11.42578125" style="6"/>
  </cols>
  <sheetData>
    <row r="1" spans="2:66" x14ac:dyDescent="0.25">
      <c r="B1" s="8" t="s">
        <v>29</v>
      </c>
      <c r="D1" s="6" t="str">
        <f>'Démarrage de chantier'!D3</f>
        <v>Pav. D2, Scientifique</v>
      </c>
      <c r="F1" s="8"/>
      <c r="H1" s="6"/>
      <c r="I1" s="7"/>
      <c r="K1" s="6"/>
      <c r="M1" s="8"/>
      <c r="N1" s="8"/>
      <c r="P1" s="7"/>
      <c r="Q1" s="7"/>
      <c r="R1" s="6"/>
      <c r="S1" s="6"/>
      <c r="T1" s="6"/>
      <c r="U1" s="6"/>
      <c r="W1" s="7"/>
      <c r="AA1" s="6"/>
      <c r="BK1"/>
      <c r="BL1"/>
      <c r="BM1"/>
      <c r="BN1"/>
    </row>
    <row r="2" spans="2:66" ht="20.25" thickBot="1" x14ac:dyDescent="0.3">
      <c r="B2" s="101" t="s">
        <v>201</v>
      </c>
      <c r="C2" s="101"/>
      <c r="D2" s="101"/>
      <c r="E2" s="101"/>
      <c r="F2" s="101"/>
      <c r="G2" s="101"/>
      <c r="H2" s="101"/>
      <c r="I2" s="101"/>
      <c r="K2" s="101" t="s">
        <v>201</v>
      </c>
      <c r="L2" s="101"/>
      <c r="M2" s="101"/>
      <c r="N2" s="101"/>
      <c r="O2" s="101"/>
      <c r="P2" s="101"/>
      <c r="Q2" s="101"/>
      <c r="R2" s="6"/>
      <c r="S2" s="101" t="s">
        <v>201</v>
      </c>
      <c r="T2" s="101"/>
      <c r="U2" s="101"/>
      <c r="V2" s="101"/>
      <c r="W2" s="101"/>
      <c r="AA2" s="6"/>
      <c r="BK2"/>
      <c r="BL2"/>
      <c r="BM2"/>
      <c r="BN2"/>
    </row>
    <row r="3" spans="2:66" ht="20.25" thickBot="1" x14ac:dyDescent="0.3">
      <c r="B3" s="70" t="s">
        <v>30</v>
      </c>
      <c r="C3" s="71"/>
      <c r="D3" s="71"/>
      <c r="E3" s="71"/>
      <c r="F3" s="71"/>
      <c r="G3" s="71"/>
      <c r="H3" s="71"/>
      <c r="I3" s="72"/>
      <c r="K3" s="70" t="s">
        <v>31</v>
      </c>
      <c r="L3" s="71"/>
      <c r="M3" s="71"/>
      <c r="N3" s="71"/>
      <c r="O3" s="71"/>
      <c r="P3" s="71"/>
      <c r="Q3" s="72"/>
      <c r="R3" s="6"/>
      <c r="S3" s="70" t="s">
        <v>32</v>
      </c>
      <c r="T3" s="71"/>
      <c r="U3" s="71"/>
      <c r="V3" s="71"/>
      <c r="W3" s="72"/>
      <c r="AA3" s="6"/>
      <c r="BK3"/>
      <c r="BL3"/>
      <c r="BM3"/>
      <c r="BN3"/>
    </row>
    <row r="4" spans="2:66" ht="26.25" customHeight="1" x14ac:dyDescent="0.25">
      <c r="B4" s="8" t="s">
        <v>137</v>
      </c>
      <c r="C4" s="8" t="s">
        <v>33</v>
      </c>
      <c r="D4" s="8" t="s">
        <v>34</v>
      </c>
      <c r="E4" s="8" t="s">
        <v>35</v>
      </c>
      <c r="F4" s="8" t="s">
        <v>37</v>
      </c>
      <c r="G4" s="8" t="s">
        <v>36</v>
      </c>
      <c r="H4" s="8" t="s">
        <v>38</v>
      </c>
      <c r="I4" s="9" t="s">
        <v>39</v>
      </c>
      <c r="K4" s="8" t="s">
        <v>33</v>
      </c>
      <c r="L4" s="8" t="s">
        <v>40</v>
      </c>
      <c r="M4" s="8" t="s">
        <v>41</v>
      </c>
      <c r="N4" s="8" t="s">
        <v>42</v>
      </c>
      <c r="O4" s="8" t="s">
        <v>43</v>
      </c>
      <c r="P4" s="9" t="s">
        <v>44</v>
      </c>
      <c r="Q4" s="9" t="s">
        <v>39</v>
      </c>
      <c r="R4" s="6"/>
      <c r="S4" s="8" t="s">
        <v>45</v>
      </c>
      <c r="T4" s="8" t="s">
        <v>35</v>
      </c>
      <c r="U4" s="8" t="s">
        <v>46</v>
      </c>
      <c r="V4" s="8" t="s">
        <v>47</v>
      </c>
      <c r="W4" s="9" t="s">
        <v>39</v>
      </c>
      <c r="AA4" s="6"/>
      <c r="BK4"/>
      <c r="BL4"/>
      <c r="BM4"/>
      <c r="BN4"/>
    </row>
    <row r="5" spans="2:66" ht="11.25" customHeight="1" x14ac:dyDescent="0.25">
      <c r="B5" s="8" t="s">
        <v>48</v>
      </c>
      <c r="C5" s="8" t="s">
        <v>49</v>
      </c>
      <c r="D5" s="6" t="s">
        <v>50</v>
      </c>
      <c r="E5" s="8">
        <v>324</v>
      </c>
      <c r="F5" s="8" t="s">
        <v>210</v>
      </c>
      <c r="G5" s="10">
        <v>0.1</v>
      </c>
      <c r="H5" s="7">
        <v>33.19</v>
      </c>
      <c r="I5" s="7">
        <f>(Tab_mat_geo[[#This Row],[QTE]]*Tab_mat_geo[[#This Row],[Prix ]])+(Tab_mat_geo[[#This Row],[QTE]]*Tab_mat_geo[[#This Row],[% de perte]])</f>
        <v>10785.96</v>
      </c>
      <c r="K5" s="6"/>
      <c r="L5" s="6" t="s">
        <v>51</v>
      </c>
      <c r="M5" s="8">
        <v>3</v>
      </c>
      <c r="N5" s="8">
        <v>2</v>
      </c>
      <c r="O5" s="8" t="s">
        <v>52</v>
      </c>
      <c r="P5" s="7">
        <v>80</v>
      </c>
      <c r="Q5" s="7">
        <f>Tab_MD_geo[[#This Row],[QTE Hrs]]*Tab_MD_geo[[#This Row],[Salaire]]</f>
        <v>240</v>
      </c>
      <c r="R5" s="6"/>
      <c r="S5" s="6" t="s">
        <v>32</v>
      </c>
      <c r="T5" s="6">
        <v>0</v>
      </c>
      <c r="U5" s="6">
        <v>25</v>
      </c>
      <c r="V5" s="7" cm="1">
        <f t="array" ref="V5">cout_km[coutant KM]</f>
        <v>0.57999999999999996</v>
      </c>
      <c r="W5" s="7">
        <f>tab_mob_geo[[#This Row],[QTE]]*tab_mob_geo[[#This Row],[Distance(Km)]]</f>
        <v>0</v>
      </c>
      <c r="AA5" s="6"/>
      <c r="BK5"/>
      <c r="BL5"/>
      <c r="BM5"/>
      <c r="BN5"/>
    </row>
    <row r="6" spans="2:66" ht="11.25" customHeight="1" x14ac:dyDescent="0.25">
      <c r="B6" s="8" t="s">
        <v>48</v>
      </c>
      <c r="C6" s="8" t="s">
        <v>49</v>
      </c>
      <c r="D6" s="6" t="s">
        <v>53</v>
      </c>
      <c r="E6" s="8">
        <v>14</v>
      </c>
      <c r="F6" s="8" t="s">
        <v>210</v>
      </c>
      <c r="G6" s="10">
        <v>0</v>
      </c>
      <c r="H6" s="7">
        <v>73.44</v>
      </c>
      <c r="I6" s="7">
        <f>(Tab_mat_geo[[#This Row],[QTE]]*Tab_mat_geo[[#This Row],[Prix ]])+(Tab_mat_geo[[#This Row],[QTE]]*Tab_mat_geo[[#This Row],[% de perte]])</f>
        <v>1028.1599999999999</v>
      </c>
      <c r="K6" s="6" t="s">
        <v>49</v>
      </c>
      <c r="L6" s="6" t="s">
        <v>54</v>
      </c>
      <c r="M6" s="8">
        <v>10</v>
      </c>
      <c r="N6" s="8">
        <v>2</v>
      </c>
      <c r="P6" s="7">
        <v>80</v>
      </c>
      <c r="Q6" s="7">
        <f>Tab_MD_geo[[#This Row],[QTE Hrs]]*Tab_MD_geo[[#This Row],[Salaire]]</f>
        <v>800</v>
      </c>
      <c r="R6" s="6"/>
      <c r="S6" s="6"/>
      <c r="T6" s="6"/>
      <c r="U6" s="6"/>
      <c r="V6" s="7" cm="1">
        <f t="array" ref="V6">cout_km[coutant KM]</f>
        <v>0.57999999999999996</v>
      </c>
      <c r="W6" s="7">
        <f>tab_mob_geo[[#This Row],[QTE]]*tab_mob_geo[[#This Row],[Distance(Km)]]</f>
        <v>0</v>
      </c>
      <c r="AA6" s="6"/>
      <c r="BK6"/>
      <c r="BL6"/>
      <c r="BM6"/>
      <c r="BN6"/>
    </row>
    <row r="7" spans="2:66" ht="11.25" customHeight="1" x14ac:dyDescent="0.25">
      <c r="B7" s="8" t="s">
        <v>48</v>
      </c>
      <c r="C7" s="8" t="s">
        <v>49</v>
      </c>
      <c r="D7" s="6" t="s">
        <v>55</v>
      </c>
      <c r="E7" s="8">
        <v>9</v>
      </c>
      <c r="F7" s="8" t="s">
        <v>210</v>
      </c>
      <c r="G7" s="10">
        <v>0</v>
      </c>
      <c r="H7" s="7">
        <v>31.44</v>
      </c>
      <c r="I7" s="7">
        <f>(Tab_mat_geo[[#This Row],[QTE]]*Tab_mat_geo[[#This Row],[Prix ]])+(Tab_mat_geo[[#This Row],[QTE]]*Tab_mat_geo[[#This Row],[% de perte]])</f>
        <v>282.96000000000004</v>
      </c>
      <c r="K7" s="6" t="s">
        <v>49</v>
      </c>
      <c r="L7" s="6" t="s">
        <v>56</v>
      </c>
      <c r="M7" s="8">
        <v>12</v>
      </c>
      <c r="N7" s="8">
        <v>2</v>
      </c>
      <c r="P7" s="7">
        <v>80</v>
      </c>
      <c r="Q7" s="7">
        <f>Tab_MD_geo[[#This Row],[QTE Hrs]]*Tab_MD_geo[[#This Row],[Salaire]]</f>
        <v>960</v>
      </c>
      <c r="R7" s="6"/>
      <c r="S7" s="6"/>
      <c r="T7" s="6"/>
      <c r="U7" s="6"/>
      <c r="V7" s="7" cm="1">
        <f t="array" ref="V7">cout_km[coutant KM]</f>
        <v>0.57999999999999996</v>
      </c>
      <c r="W7" s="7">
        <f>tab_mob_geo[[#This Row],[QTE]]*tab_mob_geo[[#This Row],[Distance(Km)]]</f>
        <v>0</v>
      </c>
      <c r="AA7" s="6"/>
      <c r="BK7"/>
      <c r="BL7"/>
      <c r="BM7"/>
      <c r="BN7"/>
    </row>
    <row r="8" spans="2:66" ht="11.25" customHeight="1" x14ac:dyDescent="0.25">
      <c r="B8" s="8" t="s">
        <v>48</v>
      </c>
      <c r="C8" s="8" t="s">
        <v>49</v>
      </c>
      <c r="D8" s="6" t="s">
        <v>57</v>
      </c>
      <c r="E8" s="8">
        <v>108</v>
      </c>
      <c r="F8" s="8" t="s">
        <v>210</v>
      </c>
      <c r="G8" s="10">
        <v>0</v>
      </c>
      <c r="H8" s="7">
        <v>2.13</v>
      </c>
      <c r="I8" s="7">
        <f>(Tab_mat_geo[[#This Row],[QTE]]*Tab_mat_geo[[#This Row],[Prix ]])+(Tab_mat_geo[[#This Row],[QTE]]*Tab_mat_geo[[#This Row],[% de perte]])</f>
        <v>230.04</v>
      </c>
      <c r="K8" s="6" t="s">
        <v>58</v>
      </c>
      <c r="L8" s="6" t="s">
        <v>59</v>
      </c>
      <c r="M8" s="8">
        <v>10</v>
      </c>
      <c r="N8" s="8">
        <v>2</v>
      </c>
      <c r="P8" s="7">
        <v>80</v>
      </c>
      <c r="Q8" s="7">
        <f>Tab_MD_geo[[#This Row],[QTE Hrs]]*Tab_MD_geo[[#This Row],[Salaire]]</f>
        <v>800</v>
      </c>
      <c r="R8" s="6"/>
      <c r="S8" s="6"/>
      <c r="T8" s="6"/>
      <c r="U8" s="6"/>
      <c r="V8" s="7" cm="1">
        <f t="array" ref="V8">cout_km[coutant KM]</f>
        <v>0.57999999999999996</v>
      </c>
      <c r="W8" s="7">
        <f>tab_mob_geo[[#This Row],[QTE]]*tab_mob_geo[[#This Row],[Distance(Km)]]</f>
        <v>0</v>
      </c>
      <c r="AA8" s="6"/>
      <c r="BK8"/>
      <c r="BL8"/>
      <c r="BM8"/>
      <c r="BN8"/>
    </row>
    <row r="9" spans="2:66" ht="11.25" customHeight="1" x14ac:dyDescent="0.25">
      <c r="B9" s="8" t="s">
        <v>48</v>
      </c>
      <c r="C9" s="8" t="s">
        <v>58</v>
      </c>
      <c r="D9" s="6" t="s">
        <v>60</v>
      </c>
      <c r="E9" s="8">
        <v>84</v>
      </c>
      <c r="F9" s="8" t="s">
        <v>210</v>
      </c>
      <c r="G9" s="10">
        <v>0.1</v>
      </c>
      <c r="H9" s="7">
        <v>46.2</v>
      </c>
      <c r="I9" s="7">
        <f>(Tab_mat_geo[[#This Row],[QTE]]*Tab_mat_geo[[#This Row],[Prix ]])+(Tab_mat_geo[[#This Row],[QTE]]*Tab_mat_geo[[#This Row],[% de perte]])</f>
        <v>3889.2000000000003</v>
      </c>
      <c r="K9" s="6" t="s">
        <v>58</v>
      </c>
      <c r="L9" s="6" t="s">
        <v>61</v>
      </c>
      <c r="M9" s="8">
        <v>2</v>
      </c>
      <c r="N9" s="8">
        <v>2</v>
      </c>
      <c r="P9" s="7">
        <v>80</v>
      </c>
      <c r="Q9" s="7">
        <f>Tab_MD_geo[[#This Row],[QTE Hrs]]*Tab_MD_geo[[#This Row],[Salaire]]</f>
        <v>160</v>
      </c>
      <c r="R9" s="6"/>
      <c r="S9" s="6"/>
      <c r="T9" s="6"/>
      <c r="U9" s="6"/>
      <c r="V9" s="7" cm="1">
        <f t="array" ref="V9">cout_km[coutant KM]</f>
        <v>0.57999999999999996</v>
      </c>
      <c r="W9" s="7">
        <f>tab_mob_geo[[#This Row],[QTE]]*tab_mob_geo[[#This Row],[Distance(Km)]]</f>
        <v>0</v>
      </c>
      <c r="AA9" s="6"/>
      <c r="BK9"/>
      <c r="BL9"/>
      <c r="BM9"/>
      <c r="BN9"/>
    </row>
    <row r="10" spans="2:66" ht="11.25" customHeight="1" x14ac:dyDescent="0.25">
      <c r="B10" s="8" t="s">
        <v>48</v>
      </c>
      <c r="C10" s="8" t="s">
        <v>58</v>
      </c>
      <c r="D10" s="6" t="s">
        <v>62</v>
      </c>
      <c r="E10" s="8">
        <v>17</v>
      </c>
      <c r="F10" s="8" t="s">
        <v>210</v>
      </c>
      <c r="G10" s="10">
        <v>0</v>
      </c>
      <c r="H10" s="7">
        <v>4.4000000000000004</v>
      </c>
      <c r="I10" s="7">
        <f>(Tab_mat_geo[[#This Row],[QTE]]*Tab_mat_geo[[#This Row],[Prix ]])+(Tab_mat_geo[[#This Row],[QTE]]*Tab_mat_geo[[#This Row],[% de perte]])</f>
        <v>74.800000000000011</v>
      </c>
      <c r="K10" s="6" t="s">
        <v>63</v>
      </c>
      <c r="L10" s="6" t="s">
        <v>64</v>
      </c>
      <c r="M10" s="8">
        <v>1.5</v>
      </c>
      <c r="N10" s="8">
        <v>1</v>
      </c>
      <c r="P10" s="7">
        <v>80</v>
      </c>
      <c r="Q10" s="7">
        <f>Tab_MD_geo[[#This Row],[QTE Hrs]]*Tab_MD_geo[[#This Row],[Salaire]]</f>
        <v>120</v>
      </c>
      <c r="R10" s="6"/>
      <c r="S10" s="6"/>
      <c r="T10" s="6"/>
      <c r="U10" s="6"/>
      <c r="V10" s="7" cm="1">
        <f t="array" ref="V10">cout_km[coutant KM]</f>
        <v>0.57999999999999996</v>
      </c>
      <c r="W10" s="7">
        <f>tab_mob_geo[[#This Row],[QTE]]*tab_mob_geo[[#This Row],[Distance(Km)]]</f>
        <v>0</v>
      </c>
      <c r="AA10" s="6"/>
      <c r="BK10"/>
      <c r="BL10"/>
      <c r="BM10"/>
      <c r="BN10"/>
    </row>
    <row r="11" spans="2:66" ht="11.25" customHeight="1" x14ac:dyDescent="0.25">
      <c r="B11" s="8" t="s">
        <v>48</v>
      </c>
      <c r="C11" s="8" t="s">
        <v>58</v>
      </c>
      <c r="D11" s="6" t="s">
        <v>65</v>
      </c>
      <c r="E11" s="8">
        <v>6</v>
      </c>
      <c r="F11" s="8" t="s">
        <v>210</v>
      </c>
      <c r="G11" s="10">
        <v>0</v>
      </c>
      <c r="H11" s="7">
        <v>3.62</v>
      </c>
      <c r="I11" s="7">
        <f>(Tab_mat_geo[[#This Row],[QTE]]*Tab_mat_geo[[#This Row],[Prix ]])+(Tab_mat_geo[[#This Row],[QTE]]*Tab_mat_geo[[#This Row],[% de perte]])</f>
        <v>21.72</v>
      </c>
      <c r="K11" s="6"/>
      <c r="L11" s="6" t="s">
        <v>66</v>
      </c>
      <c r="M11" s="8">
        <v>0.25</v>
      </c>
      <c r="N11" s="8">
        <v>1</v>
      </c>
      <c r="P11" s="7">
        <v>80</v>
      </c>
      <c r="Q11" s="7">
        <f>Tab_MD_geo[[#This Row],[QTE Hrs]]*Tab_MD_geo[[#This Row],[Salaire]]</f>
        <v>20</v>
      </c>
      <c r="R11" s="6"/>
      <c r="S11" s="6"/>
      <c r="T11" s="6"/>
      <c r="U11" s="6"/>
      <c r="V11" s="7" cm="1">
        <f t="array" ref="V11">cout_km[coutant KM]</f>
        <v>0.57999999999999996</v>
      </c>
      <c r="W11" s="7">
        <f>tab_mob_geo[[#This Row],[QTE]]*tab_mob_geo[[#This Row],[Distance(Km)]]</f>
        <v>0</v>
      </c>
      <c r="AA11" s="6"/>
      <c r="BK11"/>
      <c r="BL11"/>
      <c r="BM11"/>
      <c r="BN11"/>
    </row>
    <row r="12" spans="2:66" ht="11.25" customHeight="1" x14ac:dyDescent="0.25">
      <c r="B12" s="8" t="s">
        <v>48</v>
      </c>
      <c r="C12" s="8" t="s">
        <v>63</v>
      </c>
      <c r="D12" s="6" t="s">
        <v>67</v>
      </c>
      <c r="E12" s="8">
        <v>12</v>
      </c>
      <c r="F12" s="8" t="s">
        <v>210</v>
      </c>
      <c r="G12" s="10">
        <v>0</v>
      </c>
      <c r="H12" s="7">
        <v>4.1500000000000004</v>
      </c>
      <c r="I12" s="7">
        <f>(Tab_mat_geo[[#This Row],[QTE]]*Tab_mat_geo[[#This Row],[Prix ]])+(Tab_mat_geo[[#This Row],[QTE]]*Tab_mat_geo[[#This Row],[% de perte]])</f>
        <v>49.800000000000004</v>
      </c>
      <c r="K12" s="6"/>
      <c r="L12" s="6" t="s">
        <v>68</v>
      </c>
      <c r="M12" s="8">
        <v>0.25</v>
      </c>
      <c r="N12" s="8">
        <v>1</v>
      </c>
      <c r="P12" s="7">
        <v>80</v>
      </c>
      <c r="Q12" s="7">
        <f>Tab_MD_geo[[#This Row],[QTE Hrs]]*Tab_MD_geo[[#This Row],[Salaire]]</f>
        <v>20</v>
      </c>
      <c r="R12" s="6"/>
      <c r="S12" s="6"/>
      <c r="T12" s="6"/>
      <c r="U12" s="6"/>
      <c r="V12" s="7" cm="1">
        <f t="array" ref="V12">cout_km[coutant KM]</f>
        <v>0.57999999999999996</v>
      </c>
      <c r="W12" s="7">
        <f>tab_mob_geo[[#This Row],[QTE]]*tab_mob_geo[[#This Row],[Distance(Km)]]</f>
        <v>0</v>
      </c>
      <c r="AA12" s="6"/>
      <c r="BK12"/>
      <c r="BL12"/>
      <c r="BM12"/>
      <c r="BN12"/>
    </row>
    <row r="13" spans="2:66" ht="11.25" customHeight="1" x14ac:dyDescent="0.25">
      <c r="B13" s="8" t="s">
        <v>48</v>
      </c>
      <c r="C13" s="8" t="s">
        <v>63</v>
      </c>
      <c r="D13" s="6" t="s">
        <v>69</v>
      </c>
      <c r="E13" s="8">
        <v>4</v>
      </c>
      <c r="F13" s="8" t="s">
        <v>210</v>
      </c>
      <c r="G13" s="10">
        <v>0.1</v>
      </c>
      <c r="H13" s="7">
        <v>3.11</v>
      </c>
      <c r="I13" s="7">
        <f>(Tab_mat_geo[[#This Row],[QTE]]*Tab_mat_geo[[#This Row],[Prix ]])+(Tab_mat_geo[[#This Row],[QTE]]*Tab_mat_geo[[#This Row],[% de perte]])</f>
        <v>12.84</v>
      </c>
      <c r="K13" s="6"/>
      <c r="L13" s="6" t="s">
        <v>70</v>
      </c>
      <c r="M13" s="8">
        <v>0.25</v>
      </c>
      <c r="N13" s="8">
        <v>1</v>
      </c>
      <c r="P13" s="7">
        <v>80</v>
      </c>
      <c r="Q13" s="7">
        <f>Tab_MD_geo[[#This Row],[QTE Hrs]]*Tab_MD_geo[[#This Row],[Salaire]]</f>
        <v>20</v>
      </c>
      <c r="R13" s="6"/>
      <c r="S13" s="6"/>
      <c r="T13" s="6"/>
      <c r="U13" s="6"/>
      <c r="V13" s="7" cm="1">
        <f t="array" ref="V13">cout_km[coutant KM]</f>
        <v>0.57999999999999996</v>
      </c>
      <c r="W13" s="7">
        <f>tab_mob_geo[[#This Row],[QTE]]*tab_mob_geo[[#This Row],[Distance(Km)]]</f>
        <v>0</v>
      </c>
      <c r="AA13" s="6"/>
      <c r="BK13"/>
      <c r="BL13"/>
      <c r="BM13"/>
      <c r="BN13"/>
    </row>
    <row r="14" spans="2:66" ht="11.25" customHeight="1" x14ac:dyDescent="0.25">
      <c r="B14" s="8" t="s">
        <v>48</v>
      </c>
      <c r="C14" s="8" t="s">
        <v>63</v>
      </c>
      <c r="D14" s="6" t="s">
        <v>71</v>
      </c>
      <c r="E14" s="8">
        <v>2</v>
      </c>
      <c r="F14" s="8" t="s">
        <v>210</v>
      </c>
      <c r="G14" s="10">
        <v>0</v>
      </c>
      <c r="H14" s="7">
        <v>0.98</v>
      </c>
      <c r="I14" s="7">
        <f>(Tab_mat_geo[[#This Row],[QTE]]*Tab_mat_geo[[#This Row],[Prix ]])+(Tab_mat_geo[[#This Row],[QTE]]*Tab_mat_geo[[#This Row],[% de perte]])</f>
        <v>1.96</v>
      </c>
      <c r="K14" s="6"/>
      <c r="M14" s="8"/>
      <c r="N14" s="8"/>
      <c r="P14" s="7"/>
      <c r="Q14" s="7">
        <f>Tab_MD_geo[[#This Row],[QTE Hrs]]*Tab_MD_geo[[#This Row],[Salaire]]</f>
        <v>0</v>
      </c>
      <c r="R14" s="6"/>
      <c r="S14" s="6"/>
      <c r="T14" s="6"/>
      <c r="U14" s="6"/>
      <c r="V14" s="7" cm="1">
        <f t="array" ref="V14">cout_km[coutant KM]</f>
        <v>0.57999999999999996</v>
      </c>
      <c r="W14" s="7">
        <f>tab_mob_geo[[#This Row],[QTE]]*tab_mob_geo[[#This Row],[Distance(Km)]]</f>
        <v>0</v>
      </c>
      <c r="AA14" s="6"/>
      <c r="BK14"/>
      <c r="BL14"/>
      <c r="BM14"/>
      <c r="BN14"/>
    </row>
    <row r="15" spans="2:66" ht="11.25" customHeight="1" x14ac:dyDescent="0.25">
      <c r="B15" s="8" t="s">
        <v>48</v>
      </c>
      <c r="C15" s="8" t="s">
        <v>49</v>
      </c>
      <c r="D15" s="6" t="s">
        <v>72</v>
      </c>
      <c r="E15" s="8">
        <v>4</v>
      </c>
      <c r="F15" s="8" t="s">
        <v>210</v>
      </c>
      <c r="G15" s="10">
        <v>0</v>
      </c>
      <c r="H15" s="7">
        <v>592.89</v>
      </c>
      <c r="I15" s="7">
        <f>(Tab_mat_geo[[#This Row],[QTE]]*Tab_mat_geo[[#This Row],[Prix ]])+(Tab_mat_geo[[#This Row],[QTE]]*Tab_mat_geo[[#This Row],[% de perte]])</f>
        <v>2371.56</v>
      </c>
      <c r="K15" s="6"/>
      <c r="M15" s="8"/>
      <c r="N15" s="8"/>
      <c r="P15" s="7"/>
      <c r="Q15" s="7">
        <f>Tab_MD_geo[[#This Row],[QTE Hrs]]*Tab_MD_geo[[#This Row],[Salaire]]</f>
        <v>0</v>
      </c>
      <c r="R15" s="6"/>
      <c r="S15" s="6"/>
      <c r="T15" s="6"/>
      <c r="U15" s="6"/>
      <c r="V15" s="7" cm="1">
        <f t="array" ref="V15">cout_km[coutant KM]</f>
        <v>0.57999999999999996</v>
      </c>
      <c r="W15" s="7">
        <f>tab_mob_geo[[#This Row],[QTE]]*tab_mob_geo[[#This Row],[Distance(Km)]]</f>
        <v>0</v>
      </c>
      <c r="AA15" s="6"/>
      <c r="BK15"/>
      <c r="BL15"/>
      <c r="BM15"/>
      <c r="BN15"/>
    </row>
    <row r="16" spans="2:66" ht="11.25" customHeight="1" x14ac:dyDescent="0.25">
      <c r="B16" s="8" t="s">
        <v>48</v>
      </c>
      <c r="C16" s="8" t="s">
        <v>49</v>
      </c>
      <c r="D16" s="12" t="s">
        <v>73</v>
      </c>
      <c r="E16" s="8">
        <v>4</v>
      </c>
      <c r="F16" s="8" t="s">
        <v>210</v>
      </c>
      <c r="G16" s="10">
        <v>0</v>
      </c>
      <c r="H16" s="7">
        <v>115.78</v>
      </c>
      <c r="I16" s="7">
        <f>(Tab_mat_geo[[#This Row],[QTE]]*Tab_mat_geo[[#This Row],[Prix ]])+(Tab_mat_geo[[#This Row],[QTE]]*Tab_mat_geo[[#This Row],[% de perte]])</f>
        <v>463.12</v>
      </c>
      <c r="K16" s="6"/>
      <c r="M16" s="8"/>
      <c r="N16" s="8"/>
      <c r="P16" s="7"/>
      <c r="Q16" s="7">
        <f>Tab_MD_geo[[#This Row],[QTE Hrs]]*Tab_MD_geo[[#This Row],[Salaire]]</f>
        <v>0</v>
      </c>
      <c r="R16" s="6"/>
      <c r="S16" s="6"/>
      <c r="T16" s="6"/>
      <c r="U16" s="6"/>
      <c r="V16" s="7" cm="1">
        <f t="array" ref="V16">cout_km[coutant KM]</f>
        <v>0.57999999999999996</v>
      </c>
      <c r="W16" s="7">
        <f>tab_mob_geo[[#This Row],[QTE]]*tab_mob_geo[[#This Row],[Distance(Km)]]</f>
        <v>0</v>
      </c>
      <c r="AA16" s="6"/>
      <c r="BK16"/>
      <c r="BL16"/>
      <c r="BM16"/>
      <c r="BN16"/>
    </row>
    <row r="17" spans="2:66" ht="11.25" customHeight="1" x14ac:dyDescent="0.25">
      <c r="B17" s="8" t="s">
        <v>48</v>
      </c>
      <c r="C17" s="8" t="s">
        <v>49</v>
      </c>
      <c r="D17" s="6" t="s">
        <v>74</v>
      </c>
      <c r="E17" s="8">
        <v>2</v>
      </c>
      <c r="F17" s="8" t="s">
        <v>210</v>
      </c>
      <c r="G17" s="10">
        <v>0</v>
      </c>
      <c r="H17" s="7">
        <v>6.28</v>
      </c>
      <c r="I17" s="7">
        <f>(Tab_mat_geo[[#This Row],[QTE]]*Tab_mat_geo[[#This Row],[Prix ]])+(Tab_mat_geo[[#This Row],[QTE]]*Tab_mat_geo[[#This Row],[% de perte]])</f>
        <v>12.56</v>
      </c>
      <c r="K17" s="6"/>
      <c r="M17" s="8"/>
      <c r="N17" s="8"/>
      <c r="P17" s="7"/>
      <c r="Q17" s="7">
        <f>Tab_MD_geo[[#This Row],[QTE Hrs]]*Tab_MD_geo[[#This Row],[Salaire]]</f>
        <v>0</v>
      </c>
      <c r="R17" s="6"/>
      <c r="S17" s="6"/>
      <c r="T17" s="6"/>
      <c r="U17" s="6"/>
      <c r="W17" s="11">
        <f>SUBTOTAL(109,tab_mob_geo[Total])</f>
        <v>0</v>
      </c>
      <c r="AA17" s="6"/>
      <c r="BK17"/>
      <c r="BL17"/>
      <c r="BM17"/>
      <c r="BN17"/>
    </row>
    <row r="18" spans="2:66" ht="11.25" customHeight="1" x14ac:dyDescent="0.25">
      <c r="B18" s="8" t="s">
        <v>48</v>
      </c>
      <c r="C18" s="8" t="s">
        <v>49</v>
      </c>
      <c r="D18" s="6" t="s">
        <v>75</v>
      </c>
      <c r="E18" s="8">
        <v>4</v>
      </c>
      <c r="F18" s="8" t="s">
        <v>210</v>
      </c>
      <c r="G18" s="10">
        <v>0</v>
      </c>
      <c r="H18" s="7">
        <v>10.64</v>
      </c>
      <c r="I18" s="7">
        <f>(Tab_mat_geo[[#This Row],[QTE]]*Tab_mat_geo[[#This Row],[Prix ]])+(Tab_mat_geo[[#This Row],[QTE]]*Tab_mat_geo[[#This Row],[% de perte]])</f>
        <v>42.56</v>
      </c>
      <c r="K18" s="6"/>
      <c r="M18" s="8"/>
      <c r="N18" s="8"/>
      <c r="P18" s="7"/>
      <c r="Q18" s="7">
        <f>Tab_MD_geo[[#This Row],[QTE Hrs]]*Tab_MD_geo[[#This Row],[Salaire]]</f>
        <v>0</v>
      </c>
      <c r="R18" s="6"/>
      <c r="S18" s="6"/>
      <c r="T18" s="6"/>
      <c r="U18" s="6"/>
      <c r="W18" s="7"/>
      <c r="AA18" s="6"/>
      <c r="BK18"/>
      <c r="BL18"/>
      <c r="BM18"/>
      <c r="BN18"/>
    </row>
    <row r="19" spans="2:66" ht="11.25" customHeight="1" x14ac:dyDescent="0.25">
      <c r="B19" s="8" t="s">
        <v>48</v>
      </c>
      <c r="C19" s="8" t="s">
        <v>49</v>
      </c>
      <c r="D19" s="6" t="s">
        <v>76</v>
      </c>
      <c r="E19" s="8">
        <v>7</v>
      </c>
      <c r="F19" s="8" t="s">
        <v>210</v>
      </c>
      <c r="G19" s="10">
        <v>0</v>
      </c>
      <c r="H19" s="7">
        <v>13.48</v>
      </c>
      <c r="I19" s="7">
        <f>(Tab_mat_geo[[#This Row],[QTE]]*Tab_mat_geo[[#This Row],[Prix ]])+(Tab_mat_geo[[#This Row],[QTE]]*Tab_mat_geo[[#This Row],[% de perte]])</f>
        <v>94.36</v>
      </c>
      <c r="K19" s="6"/>
      <c r="M19" s="8"/>
      <c r="N19" s="8"/>
      <c r="P19" s="7"/>
      <c r="Q19" s="7">
        <f>Tab_MD_geo[[#This Row],[QTE Hrs]]*Tab_MD_geo[[#This Row],[Salaire]]</f>
        <v>0</v>
      </c>
      <c r="R19" s="6"/>
      <c r="S19" s="6"/>
      <c r="T19" s="6"/>
      <c r="U19" s="6"/>
      <c r="W19" s="7"/>
      <c r="AA19" s="6"/>
      <c r="BK19"/>
      <c r="BL19"/>
      <c r="BM19"/>
      <c r="BN19"/>
    </row>
    <row r="20" spans="2:66" ht="11.25" customHeight="1" x14ac:dyDescent="0.25">
      <c r="B20" s="8" t="s">
        <v>48</v>
      </c>
      <c r="C20" s="8" t="s">
        <v>49</v>
      </c>
      <c r="D20" s="6" t="s">
        <v>77</v>
      </c>
      <c r="E20" s="8">
        <v>14</v>
      </c>
      <c r="F20" s="8" t="s">
        <v>210</v>
      </c>
      <c r="G20" s="10">
        <v>0</v>
      </c>
      <c r="H20" s="7">
        <v>47.15</v>
      </c>
      <c r="I20" s="7">
        <f>(Tab_mat_geo[[#This Row],[QTE]]*Tab_mat_geo[[#This Row],[Prix ]])+(Tab_mat_geo[[#This Row],[QTE]]*Tab_mat_geo[[#This Row],[% de perte]])</f>
        <v>660.1</v>
      </c>
      <c r="K20" s="6"/>
      <c r="M20" s="8"/>
      <c r="N20" s="8"/>
      <c r="P20" s="7"/>
      <c r="Q20" s="7">
        <f>Tab_MD_geo[[#This Row],[QTE Hrs]]*Tab_MD_geo[[#This Row],[Salaire]]</f>
        <v>0</v>
      </c>
      <c r="R20" s="6"/>
      <c r="S20" s="6"/>
      <c r="T20" s="6"/>
      <c r="U20" s="6"/>
      <c r="W20" s="7"/>
      <c r="AA20" s="6"/>
      <c r="BK20"/>
      <c r="BL20"/>
      <c r="BM20"/>
      <c r="BN20"/>
    </row>
    <row r="21" spans="2:66" ht="11.25" customHeight="1" x14ac:dyDescent="0.25">
      <c r="B21" s="8" t="s">
        <v>48</v>
      </c>
      <c r="C21" s="8" t="s">
        <v>49</v>
      </c>
      <c r="D21" s="6" t="s">
        <v>78</v>
      </c>
      <c r="E21" s="8">
        <v>2</v>
      </c>
      <c r="F21" s="8" t="s">
        <v>210</v>
      </c>
      <c r="G21" s="10">
        <v>0</v>
      </c>
      <c r="H21" s="7">
        <v>160.34</v>
      </c>
      <c r="I21" s="7">
        <f>(Tab_mat_geo[[#This Row],[QTE]]*Tab_mat_geo[[#This Row],[Prix ]])+(Tab_mat_geo[[#This Row],[QTE]]*Tab_mat_geo[[#This Row],[% de perte]])</f>
        <v>320.68</v>
      </c>
      <c r="K21" s="6"/>
      <c r="M21" s="8"/>
      <c r="N21" s="8"/>
      <c r="P21" s="7"/>
      <c r="Q21" s="7">
        <f>Tab_MD_geo[[#This Row],[QTE Hrs]]*Tab_MD_geo[[#This Row],[Salaire]]</f>
        <v>0</v>
      </c>
      <c r="R21" s="6"/>
      <c r="S21" s="6"/>
      <c r="T21" s="6"/>
      <c r="U21" s="6"/>
      <c r="W21" s="7"/>
      <c r="AA21" s="6"/>
      <c r="BK21"/>
      <c r="BL21"/>
      <c r="BM21"/>
      <c r="BN21"/>
    </row>
    <row r="22" spans="2:66" ht="11.25" customHeight="1" x14ac:dyDescent="0.25">
      <c r="B22" s="8" t="s">
        <v>48</v>
      </c>
      <c r="C22" s="8" t="s">
        <v>49</v>
      </c>
      <c r="D22" s="6" t="s">
        <v>79</v>
      </c>
      <c r="E22" s="8">
        <v>2</v>
      </c>
      <c r="F22" s="8" t="s">
        <v>210</v>
      </c>
      <c r="G22" s="10">
        <v>0</v>
      </c>
      <c r="H22" s="7">
        <v>18.3</v>
      </c>
      <c r="I22" s="7">
        <f>(Tab_mat_geo[[#This Row],[QTE]]*Tab_mat_geo[[#This Row],[Prix ]])+(Tab_mat_geo[[#This Row],[QTE]]*Tab_mat_geo[[#This Row],[% de perte]])</f>
        <v>36.6</v>
      </c>
      <c r="K22" s="6"/>
      <c r="M22" s="8"/>
      <c r="N22" s="8"/>
      <c r="P22" s="7"/>
      <c r="Q22" s="7">
        <f>Tab_MD_geo[[#This Row],[QTE Hrs]]*Tab_MD_geo[[#This Row],[Salaire]]</f>
        <v>0</v>
      </c>
      <c r="R22" s="6"/>
      <c r="S22" s="6"/>
      <c r="T22" s="6"/>
      <c r="U22" s="6"/>
      <c r="W22" s="7"/>
      <c r="AA22" s="6"/>
      <c r="BK22"/>
      <c r="BL22"/>
      <c r="BM22"/>
      <c r="BN22"/>
    </row>
    <row r="23" spans="2:66" ht="11.25" customHeight="1" x14ac:dyDescent="0.25">
      <c r="B23" s="8" t="s">
        <v>48</v>
      </c>
      <c r="C23" s="8" t="s">
        <v>49</v>
      </c>
      <c r="D23" s="6" t="s">
        <v>80</v>
      </c>
      <c r="E23" s="8">
        <v>4</v>
      </c>
      <c r="F23" s="8" t="s">
        <v>210</v>
      </c>
      <c r="G23" s="10">
        <v>0</v>
      </c>
      <c r="H23" s="7">
        <v>7.63</v>
      </c>
      <c r="I23" s="7">
        <f>(Tab_mat_geo[[#This Row],[QTE]]*Tab_mat_geo[[#This Row],[Prix ]])+(Tab_mat_geo[[#This Row],[QTE]]*Tab_mat_geo[[#This Row],[% de perte]])</f>
        <v>30.52</v>
      </c>
      <c r="K23" s="6"/>
      <c r="M23" s="8"/>
      <c r="N23" s="8"/>
      <c r="P23" s="7"/>
      <c r="Q23" s="7">
        <f>Tab_MD_geo[[#This Row],[QTE Hrs]]*Tab_MD_geo[[#This Row],[Salaire]]</f>
        <v>0</v>
      </c>
      <c r="R23" s="6"/>
      <c r="S23" s="6"/>
      <c r="T23" s="6"/>
      <c r="U23" s="6"/>
      <c r="W23" s="7"/>
      <c r="AA23" s="6"/>
      <c r="BK23"/>
      <c r="BL23"/>
      <c r="BM23"/>
      <c r="BN23"/>
    </row>
    <row r="24" spans="2:66" ht="11.25" customHeight="1" x14ac:dyDescent="0.25">
      <c r="B24" s="8" t="s">
        <v>48</v>
      </c>
      <c r="C24" s="8" t="s">
        <v>49</v>
      </c>
      <c r="D24" s="6" t="s">
        <v>81</v>
      </c>
      <c r="E24" s="8">
        <v>9</v>
      </c>
      <c r="F24" s="8" t="s">
        <v>210</v>
      </c>
      <c r="G24" s="10">
        <v>0</v>
      </c>
      <c r="H24" s="7">
        <v>4.04</v>
      </c>
      <c r="I24" s="7">
        <f>(Tab_mat_geo[[#This Row],[QTE]]*Tab_mat_geo[[#This Row],[Prix ]])+(Tab_mat_geo[[#This Row],[QTE]]*Tab_mat_geo[[#This Row],[% de perte]])</f>
        <v>36.36</v>
      </c>
      <c r="K24" s="6"/>
      <c r="M24" s="8"/>
      <c r="N24" s="8"/>
      <c r="P24" s="7"/>
      <c r="Q24" s="7">
        <f>Tab_MD_geo[[#This Row],[QTE Hrs]]*Tab_MD_geo[[#This Row],[Salaire]]</f>
        <v>0</v>
      </c>
      <c r="R24" s="6"/>
      <c r="S24" s="6"/>
      <c r="T24" s="6"/>
      <c r="U24" s="6"/>
      <c r="W24" s="7"/>
      <c r="AA24" s="6"/>
      <c r="BK24"/>
      <c r="BL24"/>
      <c r="BM24"/>
      <c r="BN24"/>
    </row>
    <row r="25" spans="2:66" ht="11.25" customHeight="1" x14ac:dyDescent="0.25">
      <c r="B25" s="8" t="s">
        <v>48</v>
      </c>
      <c r="C25" s="8" t="s">
        <v>49</v>
      </c>
      <c r="D25" s="6" t="s">
        <v>82</v>
      </c>
      <c r="E25" s="8">
        <v>14</v>
      </c>
      <c r="F25" s="8" t="s">
        <v>210</v>
      </c>
      <c r="G25" s="10">
        <v>0</v>
      </c>
      <c r="H25" s="7">
        <v>5.56</v>
      </c>
      <c r="I25" s="7">
        <f>(Tab_mat_geo[[#This Row],[QTE]]*Tab_mat_geo[[#This Row],[Prix ]])+(Tab_mat_geo[[#This Row],[QTE]]*Tab_mat_geo[[#This Row],[% de perte]])</f>
        <v>77.839999999999989</v>
      </c>
      <c r="K25" s="6"/>
      <c r="M25" s="8"/>
      <c r="N25" s="8"/>
      <c r="P25" s="7"/>
      <c r="Q25" s="7">
        <f>Tab_MD_geo[[#This Row],[QTE Hrs]]*Tab_MD_geo[[#This Row],[Salaire]]</f>
        <v>0</v>
      </c>
      <c r="R25" s="6"/>
      <c r="S25" s="6"/>
      <c r="T25" s="6"/>
      <c r="U25" s="6"/>
      <c r="W25" s="7"/>
      <c r="AA25" s="6"/>
      <c r="BK25"/>
      <c r="BL25"/>
      <c r="BM25"/>
      <c r="BN25"/>
    </row>
    <row r="26" spans="2:66" ht="11.25" customHeight="1" x14ac:dyDescent="0.25">
      <c r="B26" s="8" t="s">
        <v>48</v>
      </c>
      <c r="C26" s="8" t="s">
        <v>49</v>
      </c>
      <c r="D26" s="6" t="s">
        <v>83</v>
      </c>
      <c r="E26" s="8">
        <v>14</v>
      </c>
      <c r="F26" s="8" t="s">
        <v>210</v>
      </c>
      <c r="G26" s="10">
        <v>0</v>
      </c>
      <c r="H26" s="7">
        <v>18.760000000000002</v>
      </c>
      <c r="I26" s="7">
        <f>(Tab_mat_geo[[#This Row],[QTE]]*Tab_mat_geo[[#This Row],[Prix ]])+(Tab_mat_geo[[#This Row],[QTE]]*Tab_mat_geo[[#This Row],[% de perte]])</f>
        <v>262.64000000000004</v>
      </c>
      <c r="K26" s="6"/>
      <c r="M26" s="8"/>
      <c r="N26" s="8"/>
      <c r="P26" s="7"/>
      <c r="Q26" s="7">
        <f>Tab_MD_geo[[#This Row],[QTE Hrs]]*Tab_MD_geo[[#This Row],[Salaire]]</f>
        <v>0</v>
      </c>
      <c r="R26" s="6"/>
      <c r="S26" s="6"/>
      <c r="T26" s="6"/>
      <c r="U26" s="6"/>
      <c r="W26" s="7"/>
      <c r="AA26" s="6"/>
      <c r="BK26"/>
      <c r="BL26"/>
      <c r="BM26"/>
      <c r="BN26"/>
    </row>
    <row r="27" spans="2:66" ht="11.25" customHeight="1" x14ac:dyDescent="0.25">
      <c r="F27" s="8"/>
      <c r="G27" s="10">
        <v>0</v>
      </c>
      <c r="H27" s="7"/>
      <c r="I27" s="7">
        <f>(Tab_mat_geo[[#This Row],[QTE]]*Tab_mat_geo[[#This Row],[Prix ]])+(Tab_mat_geo[[#This Row],[QTE]]*Tab_mat_geo[[#This Row],[% de perte]])</f>
        <v>0</v>
      </c>
      <c r="K27" s="6"/>
      <c r="M27" s="8"/>
      <c r="N27" s="8"/>
      <c r="P27" s="7"/>
      <c r="Q27" s="7">
        <f>Tab_MD_geo[[#This Row],[QTE Hrs]]*Tab_MD_geo[[#This Row],[Salaire]]</f>
        <v>0</v>
      </c>
      <c r="R27" s="6"/>
      <c r="S27" s="6"/>
      <c r="T27" s="6"/>
      <c r="U27" s="6"/>
      <c r="W27" s="7"/>
      <c r="AA27" s="6"/>
      <c r="BK27"/>
      <c r="BL27"/>
      <c r="BM27"/>
      <c r="BN27"/>
    </row>
    <row r="28" spans="2:66" ht="11.25" customHeight="1" x14ac:dyDescent="0.25">
      <c r="F28" s="8"/>
      <c r="G28" s="10">
        <v>0</v>
      </c>
      <c r="H28" s="7"/>
      <c r="I28" s="7">
        <f>(Tab_mat_geo[[#This Row],[QTE]]*Tab_mat_geo[[#This Row],[Prix ]])+(Tab_mat_geo[[#This Row],[QTE]]*Tab_mat_geo[[#This Row],[% de perte]])</f>
        <v>0</v>
      </c>
      <c r="K28" s="6"/>
      <c r="M28" s="8"/>
      <c r="N28" s="8"/>
      <c r="P28" s="7"/>
      <c r="Q28" s="7">
        <f>Tab_MD_geo[[#This Row],[QTE Hrs]]*Tab_MD_geo[[#This Row],[Salaire]]</f>
        <v>0</v>
      </c>
      <c r="R28" s="6"/>
      <c r="S28" s="6"/>
      <c r="T28" s="6"/>
      <c r="U28" s="6"/>
      <c r="W28" s="7"/>
      <c r="AA28" s="6"/>
      <c r="BK28"/>
      <c r="BL28"/>
      <c r="BM28"/>
      <c r="BN28"/>
    </row>
    <row r="29" spans="2:66" ht="11.25" customHeight="1" x14ac:dyDescent="0.25">
      <c r="F29" s="8"/>
      <c r="G29" s="10">
        <v>0</v>
      </c>
      <c r="H29" s="7"/>
      <c r="I29" s="7">
        <f>(Tab_mat_geo[[#This Row],[QTE]]*Tab_mat_geo[[#This Row],[Prix ]])+(Tab_mat_geo[[#This Row],[QTE]]*Tab_mat_geo[[#This Row],[% de perte]])</f>
        <v>0</v>
      </c>
      <c r="K29" s="6"/>
      <c r="M29" s="8"/>
      <c r="N29" s="8"/>
      <c r="P29" s="7"/>
      <c r="Q29" s="7">
        <f>Tab_MD_geo[[#This Row],[QTE Hrs]]*Tab_MD_geo[[#This Row],[Salaire]]</f>
        <v>0</v>
      </c>
      <c r="R29" s="6"/>
      <c r="S29" s="6"/>
      <c r="T29" s="6"/>
      <c r="U29" s="6"/>
      <c r="W29" s="7"/>
      <c r="AA29" s="6"/>
      <c r="BK29"/>
      <c r="BL29"/>
      <c r="BM29"/>
      <c r="BN29"/>
    </row>
    <row r="30" spans="2:66" ht="11.25" customHeight="1" x14ac:dyDescent="0.25">
      <c r="F30" s="8"/>
      <c r="G30" s="10">
        <v>0</v>
      </c>
      <c r="H30" s="7"/>
      <c r="I30" s="7">
        <f>(Tab_mat_geo[[#This Row],[QTE]]*Tab_mat_geo[[#This Row],[Prix ]])+(Tab_mat_geo[[#This Row],[QTE]]*Tab_mat_geo[[#This Row],[% de perte]])</f>
        <v>0</v>
      </c>
      <c r="K30" s="6"/>
      <c r="M30" s="8"/>
      <c r="N30" s="8"/>
      <c r="P30" s="7"/>
      <c r="Q30" s="7">
        <f>Tab_MD_geo[[#This Row],[QTE Hrs]]*Tab_MD_geo[[#This Row],[Salaire]]</f>
        <v>0</v>
      </c>
      <c r="R30" s="6"/>
      <c r="S30" s="6"/>
      <c r="T30" s="6"/>
      <c r="U30" s="6"/>
      <c r="W30" s="7"/>
      <c r="AA30" s="6"/>
      <c r="BK30"/>
      <c r="BL30"/>
      <c r="BM30"/>
      <c r="BN30"/>
    </row>
    <row r="31" spans="2:66" ht="11.25" customHeight="1" x14ac:dyDescent="0.25">
      <c r="D31" s="12"/>
      <c r="F31" s="8"/>
      <c r="G31" s="10">
        <v>0</v>
      </c>
      <c r="H31" s="7"/>
      <c r="I31" s="7">
        <f>(Tab_mat_geo[[#This Row],[QTE]]*Tab_mat_geo[[#This Row],[Prix ]])+(Tab_mat_geo[[#This Row],[QTE]]*Tab_mat_geo[[#This Row],[% de perte]])</f>
        <v>0</v>
      </c>
      <c r="K31" s="6"/>
      <c r="M31" s="8"/>
      <c r="N31" s="8"/>
      <c r="P31" s="7"/>
      <c r="Q31" s="7">
        <f>Tab_MD_geo[[#This Row],[QTE Hrs]]*Tab_MD_geo[[#This Row],[Salaire]]</f>
        <v>0</v>
      </c>
      <c r="R31" s="6"/>
      <c r="S31" s="6"/>
      <c r="T31" s="6"/>
      <c r="U31" s="6"/>
      <c r="W31" s="7"/>
      <c r="AA31" s="6"/>
      <c r="BK31"/>
      <c r="BL31"/>
      <c r="BM31"/>
      <c r="BN31"/>
    </row>
    <row r="32" spans="2:66" ht="11.25" customHeight="1" x14ac:dyDescent="0.25">
      <c r="F32" s="8"/>
      <c r="G32" s="10">
        <v>0</v>
      </c>
      <c r="H32" s="7"/>
      <c r="I32" s="7">
        <f>(Tab_mat_geo[[#This Row],[QTE]]*Tab_mat_geo[[#This Row],[Prix ]])+(Tab_mat_geo[[#This Row],[QTE]]*Tab_mat_geo[[#This Row],[% de perte]])</f>
        <v>0</v>
      </c>
      <c r="K32" s="6"/>
      <c r="M32" s="8"/>
      <c r="N32" s="8"/>
      <c r="P32" s="7"/>
      <c r="Q32" s="7">
        <f>Tab_MD_geo[[#This Row],[QTE Hrs]]*Tab_MD_geo[[#This Row],[Salaire]]</f>
        <v>0</v>
      </c>
      <c r="R32" s="6"/>
      <c r="S32" s="6"/>
      <c r="T32" s="6"/>
      <c r="U32" s="6"/>
      <c r="W32" s="7"/>
      <c r="AA32" s="6"/>
      <c r="BK32"/>
      <c r="BL32"/>
      <c r="BM32"/>
      <c r="BN32"/>
    </row>
    <row r="33" spans="6:66" ht="11.25" customHeight="1" x14ac:dyDescent="0.25">
      <c r="F33" s="8"/>
      <c r="G33" s="10">
        <v>0</v>
      </c>
      <c r="H33" s="7"/>
      <c r="I33" s="7">
        <f>(Tab_mat_geo[[#This Row],[QTE]]*Tab_mat_geo[[#This Row],[Prix ]])+(Tab_mat_geo[[#This Row],[QTE]]*Tab_mat_geo[[#This Row],[% de perte]])</f>
        <v>0</v>
      </c>
      <c r="K33" s="6"/>
      <c r="M33" s="8"/>
      <c r="N33" s="8"/>
      <c r="P33" s="7"/>
      <c r="Q33" s="7">
        <f>Tab_MD_geo[[#This Row],[QTE Hrs]]*Tab_MD_geo[[#This Row],[Salaire]]</f>
        <v>0</v>
      </c>
      <c r="R33" s="6"/>
      <c r="S33" s="6"/>
      <c r="T33" s="6"/>
      <c r="U33" s="6"/>
      <c r="W33" s="7"/>
      <c r="AA33" s="6"/>
      <c r="BK33"/>
      <c r="BL33"/>
      <c r="BM33"/>
      <c r="BN33"/>
    </row>
    <row r="34" spans="6:66" ht="11.25" customHeight="1" x14ac:dyDescent="0.25">
      <c r="F34" s="8"/>
      <c r="G34" s="10">
        <v>0</v>
      </c>
      <c r="H34" s="7"/>
      <c r="I34" s="7">
        <f>(Tab_mat_geo[[#This Row],[QTE]]*Tab_mat_geo[[#This Row],[Prix ]])+(Tab_mat_geo[[#This Row],[QTE]]*Tab_mat_geo[[#This Row],[% de perte]])</f>
        <v>0</v>
      </c>
      <c r="K34" s="6"/>
      <c r="M34" s="8"/>
      <c r="N34" s="8"/>
      <c r="P34" s="7"/>
      <c r="Q34" s="7">
        <f>Tab_MD_geo[[#This Row],[QTE Hrs]]*Tab_MD_geo[[#This Row],[Salaire]]</f>
        <v>0</v>
      </c>
      <c r="R34" s="6"/>
      <c r="S34" s="6"/>
      <c r="T34" s="6"/>
      <c r="U34" s="6"/>
      <c r="W34" s="7"/>
      <c r="AA34" s="6"/>
      <c r="BK34"/>
      <c r="BL34"/>
      <c r="BM34"/>
      <c r="BN34"/>
    </row>
    <row r="35" spans="6:66" ht="11.25" customHeight="1" x14ac:dyDescent="0.25">
      <c r="F35" s="8"/>
      <c r="G35" s="10">
        <v>0</v>
      </c>
      <c r="H35" s="7"/>
      <c r="I35" s="7">
        <f>(Tab_mat_geo[[#This Row],[QTE]]*Tab_mat_geo[[#This Row],[Prix ]])+(Tab_mat_geo[[#This Row],[QTE]]*Tab_mat_geo[[#This Row],[% de perte]])</f>
        <v>0</v>
      </c>
      <c r="K35" s="6"/>
      <c r="M35" s="8"/>
      <c r="N35" s="8"/>
      <c r="P35" s="7"/>
      <c r="Q35" s="7">
        <f>Tab_MD_geo[[#This Row],[QTE Hrs]]*Tab_MD_geo[[#This Row],[Salaire]]</f>
        <v>0</v>
      </c>
      <c r="R35" s="6"/>
      <c r="S35" s="6"/>
      <c r="T35" s="6"/>
      <c r="U35" s="6"/>
      <c r="W35" s="7"/>
      <c r="AA35" s="6"/>
      <c r="BK35"/>
      <c r="BL35"/>
      <c r="BM35"/>
      <c r="BN35"/>
    </row>
    <row r="36" spans="6:66" ht="11.25" customHeight="1" x14ac:dyDescent="0.25">
      <c r="F36" s="8"/>
      <c r="G36" s="10">
        <v>0</v>
      </c>
      <c r="H36" s="7"/>
      <c r="I36" s="7">
        <f>(Tab_mat_geo[[#This Row],[QTE]]*Tab_mat_geo[[#This Row],[Prix ]])+(Tab_mat_geo[[#This Row],[QTE]]*Tab_mat_geo[[#This Row],[% de perte]])</f>
        <v>0</v>
      </c>
      <c r="K36" s="6"/>
      <c r="M36" s="8"/>
      <c r="N36" s="8"/>
      <c r="P36" s="7"/>
      <c r="Q36" s="7">
        <f>Tab_MD_geo[[#This Row],[QTE Hrs]]*Tab_MD_geo[[#This Row],[Salaire]]</f>
        <v>0</v>
      </c>
      <c r="R36" s="6"/>
      <c r="S36" s="6"/>
      <c r="T36" s="6"/>
      <c r="U36" s="6"/>
      <c r="W36" s="7"/>
      <c r="AA36" s="6"/>
      <c r="BK36"/>
      <c r="BL36"/>
      <c r="BM36"/>
      <c r="BN36"/>
    </row>
    <row r="37" spans="6:66" ht="11.25" customHeight="1" x14ac:dyDescent="0.25">
      <c r="F37" s="8"/>
      <c r="G37" s="10">
        <v>0</v>
      </c>
      <c r="H37" s="7"/>
      <c r="I37" s="7">
        <f>(Tab_mat_geo[[#This Row],[QTE]]*Tab_mat_geo[[#This Row],[Prix ]])+(Tab_mat_geo[[#This Row],[QTE]]*Tab_mat_geo[[#This Row],[% de perte]])</f>
        <v>0</v>
      </c>
      <c r="K37" s="6"/>
      <c r="M37" s="8"/>
      <c r="N37" s="8"/>
      <c r="P37" s="7"/>
      <c r="Q37" s="7">
        <f>Tab_MD_geo[[#This Row],[QTE Hrs]]*Tab_MD_geo[[#This Row],[Salaire]]</f>
        <v>0</v>
      </c>
      <c r="R37" s="6"/>
      <c r="S37" s="6"/>
      <c r="T37" s="6"/>
      <c r="U37" s="6"/>
      <c r="W37" s="7"/>
      <c r="AA37" s="6"/>
      <c r="BK37"/>
      <c r="BL37"/>
      <c r="BM37"/>
      <c r="BN37"/>
    </row>
    <row r="38" spans="6:66" ht="11.25" customHeight="1" x14ac:dyDescent="0.25">
      <c r="F38" s="8"/>
      <c r="G38" s="10">
        <v>0</v>
      </c>
      <c r="H38" s="7"/>
      <c r="I38" s="7">
        <f>(Tab_mat_geo[[#This Row],[QTE]]*Tab_mat_geo[[#This Row],[Prix ]])+(Tab_mat_geo[[#This Row],[QTE]]*Tab_mat_geo[[#This Row],[% de perte]])</f>
        <v>0</v>
      </c>
      <c r="K38" s="6"/>
      <c r="M38" s="8"/>
      <c r="N38" s="8"/>
      <c r="P38" s="7"/>
      <c r="Q38" s="7">
        <f>Tab_MD_geo[[#This Row],[QTE Hrs]]*Tab_MD_geo[[#This Row],[Salaire]]</f>
        <v>0</v>
      </c>
      <c r="R38" s="6"/>
      <c r="S38" s="6"/>
      <c r="T38" s="6"/>
      <c r="U38" s="6"/>
      <c r="W38" s="7"/>
      <c r="AA38" s="6"/>
      <c r="BK38"/>
      <c r="BL38"/>
      <c r="BM38"/>
      <c r="BN38"/>
    </row>
    <row r="39" spans="6:66" ht="11.25" customHeight="1" x14ac:dyDescent="0.25">
      <c r="F39" s="8"/>
      <c r="G39" s="10">
        <v>0</v>
      </c>
      <c r="H39" s="7"/>
      <c r="I39" s="7">
        <f>(Tab_mat_geo[[#This Row],[QTE]]*Tab_mat_geo[[#This Row],[Prix ]])+(Tab_mat_geo[[#This Row],[QTE]]*Tab_mat_geo[[#This Row],[% de perte]])</f>
        <v>0</v>
      </c>
      <c r="K39" s="6"/>
      <c r="M39" s="8"/>
      <c r="N39" s="8"/>
      <c r="P39" s="7"/>
      <c r="Q39" s="7">
        <f>Tab_MD_geo[[#This Row],[QTE Hrs]]*Tab_MD_geo[[#This Row],[Salaire]]</f>
        <v>0</v>
      </c>
      <c r="R39" s="6"/>
      <c r="S39" s="6"/>
      <c r="T39" s="6"/>
      <c r="U39" s="6"/>
      <c r="W39" s="7"/>
      <c r="AA39" s="6"/>
      <c r="BK39"/>
      <c r="BL39"/>
      <c r="BM39"/>
      <c r="BN39"/>
    </row>
    <row r="40" spans="6:66" ht="11.25" customHeight="1" x14ac:dyDescent="0.25">
      <c r="F40" s="8"/>
      <c r="G40" s="10">
        <v>0</v>
      </c>
      <c r="H40" s="7"/>
      <c r="I40" s="7">
        <f>(Tab_mat_geo[[#This Row],[QTE]]*Tab_mat_geo[[#This Row],[Prix ]])+(Tab_mat_geo[[#This Row],[QTE]]*Tab_mat_geo[[#This Row],[% de perte]])</f>
        <v>0</v>
      </c>
      <c r="K40" s="6"/>
      <c r="M40" s="8"/>
      <c r="N40" s="8"/>
      <c r="P40" s="7"/>
      <c r="Q40" s="7">
        <f>Tab_MD_geo[[#This Row],[QTE Hrs]]*Tab_MD_geo[[#This Row],[Salaire]]</f>
        <v>0</v>
      </c>
      <c r="R40" s="6"/>
      <c r="S40" s="6"/>
      <c r="T40" s="6"/>
      <c r="U40" s="6"/>
      <c r="W40" s="7"/>
      <c r="AA40" s="6"/>
      <c r="BK40"/>
      <c r="BL40"/>
      <c r="BM40"/>
      <c r="BN40"/>
    </row>
    <row r="41" spans="6:66" ht="11.25" customHeight="1" x14ac:dyDescent="0.25">
      <c r="F41" s="8"/>
      <c r="G41" s="10">
        <v>0</v>
      </c>
      <c r="H41" s="7"/>
      <c r="I41" s="7">
        <f>(Tab_mat_geo[[#This Row],[QTE]]*Tab_mat_geo[[#This Row],[Prix ]])+(Tab_mat_geo[[#This Row],[QTE]]*Tab_mat_geo[[#This Row],[% de perte]])</f>
        <v>0</v>
      </c>
      <c r="K41" s="6"/>
      <c r="M41" s="8"/>
      <c r="N41" s="8"/>
      <c r="P41" s="7"/>
      <c r="Q41" s="7">
        <f>Tab_MD_geo[[#This Row],[QTE Hrs]]*Tab_MD_geo[[#This Row],[Salaire]]</f>
        <v>0</v>
      </c>
      <c r="R41" s="6"/>
      <c r="S41" s="6"/>
      <c r="T41" s="6"/>
      <c r="U41" s="6"/>
      <c r="W41" s="7"/>
      <c r="AA41" s="6"/>
      <c r="BK41"/>
      <c r="BL41"/>
      <c r="BM41"/>
      <c r="BN41"/>
    </row>
    <row r="42" spans="6:66" ht="11.25" customHeight="1" x14ac:dyDescent="0.25">
      <c r="F42" s="8"/>
      <c r="G42" s="10">
        <v>0</v>
      </c>
      <c r="H42" s="7"/>
      <c r="I42" s="7">
        <f>(Tab_mat_geo[[#This Row],[QTE]]*Tab_mat_geo[[#This Row],[Prix ]])+(Tab_mat_geo[[#This Row],[QTE]]*Tab_mat_geo[[#This Row],[% de perte]])</f>
        <v>0</v>
      </c>
      <c r="K42" s="6"/>
      <c r="M42" s="8"/>
      <c r="N42" s="8"/>
      <c r="P42" s="7"/>
      <c r="Q42" s="7">
        <f>Tab_MD_geo[[#This Row],[QTE Hrs]]*Tab_MD_geo[[#This Row],[Salaire]]</f>
        <v>0</v>
      </c>
      <c r="R42" s="6"/>
      <c r="S42" s="6"/>
      <c r="T42" s="6"/>
      <c r="U42" s="6"/>
      <c r="W42" s="7"/>
      <c r="AA42" s="6"/>
      <c r="BK42"/>
      <c r="BL42"/>
      <c r="BM42"/>
      <c r="BN42"/>
    </row>
    <row r="43" spans="6:66" ht="11.25" customHeight="1" x14ac:dyDescent="0.25">
      <c r="F43" s="8"/>
      <c r="G43" s="10">
        <v>0</v>
      </c>
      <c r="H43" s="7"/>
      <c r="I43" s="7">
        <f>(Tab_mat_geo[[#This Row],[QTE]]*Tab_mat_geo[[#This Row],[Prix ]])+(Tab_mat_geo[[#This Row],[QTE]]*Tab_mat_geo[[#This Row],[% de perte]])</f>
        <v>0</v>
      </c>
      <c r="K43" s="6"/>
      <c r="M43" s="8"/>
      <c r="N43" s="8"/>
      <c r="P43" s="7"/>
      <c r="Q43" s="7">
        <f>Tab_MD_geo[[#This Row],[QTE Hrs]]*Tab_MD_geo[[#This Row],[Salaire]]</f>
        <v>0</v>
      </c>
      <c r="R43" s="6"/>
      <c r="S43" s="6"/>
      <c r="T43" s="6"/>
      <c r="U43" s="6"/>
      <c r="W43" s="7"/>
      <c r="AA43" s="6"/>
      <c r="BK43"/>
      <c r="BL43"/>
      <c r="BM43"/>
      <c r="BN43"/>
    </row>
    <row r="44" spans="6:66" ht="11.25" customHeight="1" x14ac:dyDescent="0.25">
      <c r="F44" s="8"/>
      <c r="G44" s="10">
        <v>0</v>
      </c>
      <c r="H44" s="7"/>
      <c r="I44" s="7">
        <f>(Tab_mat_geo[[#This Row],[QTE]]*Tab_mat_geo[[#This Row],[Prix ]])+(Tab_mat_geo[[#This Row],[QTE]]*Tab_mat_geo[[#This Row],[% de perte]])</f>
        <v>0</v>
      </c>
      <c r="K44" s="6"/>
      <c r="M44" s="8"/>
      <c r="N44" s="8"/>
      <c r="P44" s="7"/>
      <c r="Q44" s="7">
        <f>Tab_MD_geo[[#This Row],[QTE Hrs]]*Tab_MD_geo[[#This Row],[Salaire]]</f>
        <v>0</v>
      </c>
      <c r="R44" s="6"/>
      <c r="S44" s="6"/>
      <c r="T44" s="6"/>
      <c r="U44" s="6"/>
      <c r="W44" s="7"/>
      <c r="AA44" s="6"/>
      <c r="BK44"/>
      <c r="BL44"/>
      <c r="BM44"/>
      <c r="BN44"/>
    </row>
    <row r="45" spans="6:66" ht="11.25" customHeight="1" x14ac:dyDescent="0.25">
      <c r="F45" s="8"/>
      <c r="G45" s="10">
        <v>0</v>
      </c>
      <c r="H45" s="7"/>
      <c r="I45" s="7">
        <f>(Tab_mat_geo[[#This Row],[QTE]]*Tab_mat_geo[[#This Row],[Prix ]])+(Tab_mat_geo[[#This Row],[QTE]]*Tab_mat_geo[[#This Row],[% de perte]])</f>
        <v>0</v>
      </c>
      <c r="K45" s="6"/>
      <c r="M45" s="8"/>
      <c r="N45" s="8"/>
      <c r="P45" s="7"/>
      <c r="Q45" s="7">
        <f>Tab_MD_geo[[#This Row],[QTE Hrs]]*Tab_MD_geo[[#This Row],[Salaire]]</f>
        <v>0</v>
      </c>
      <c r="R45" s="6"/>
      <c r="S45" s="6"/>
      <c r="T45" s="6"/>
      <c r="U45" s="6"/>
      <c r="W45" s="7"/>
      <c r="AA45" s="6"/>
      <c r="BK45"/>
      <c r="BL45"/>
      <c r="BM45"/>
      <c r="BN45"/>
    </row>
    <row r="46" spans="6:66" ht="11.25" customHeight="1" x14ac:dyDescent="0.25">
      <c r="F46" s="8"/>
      <c r="G46" s="10">
        <v>0</v>
      </c>
      <c r="H46" s="7"/>
      <c r="I46" s="7">
        <f>(Tab_mat_geo[[#This Row],[QTE]]*Tab_mat_geo[[#This Row],[Prix ]])+(Tab_mat_geo[[#This Row],[QTE]]*Tab_mat_geo[[#This Row],[% de perte]])</f>
        <v>0</v>
      </c>
      <c r="K46" s="6"/>
      <c r="M46" s="8"/>
      <c r="N46" s="8"/>
      <c r="P46" s="7"/>
      <c r="Q46" s="7">
        <f>Tab_MD_geo[[#This Row],[QTE Hrs]]*Tab_MD_geo[[#This Row],[Salaire]]</f>
        <v>0</v>
      </c>
      <c r="R46" s="6"/>
      <c r="S46" s="6"/>
      <c r="T46" s="6"/>
      <c r="U46" s="6"/>
      <c r="W46" s="7"/>
      <c r="AA46" s="6"/>
      <c r="BK46"/>
      <c r="BL46"/>
      <c r="BM46"/>
      <c r="BN46"/>
    </row>
    <row r="47" spans="6:66" ht="11.25" customHeight="1" x14ac:dyDescent="0.25">
      <c r="F47" s="8"/>
      <c r="G47" s="10">
        <v>0</v>
      </c>
      <c r="H47" s="7"/>
      <c r="I47" s="7">
        <f>(Tab_mat_geo[[#This Row],[QTE]]*Tab_mat_geo[[#This Row],[Prix ]])+(Tab_mat_geo[[#This Row],[QTE]]*Tab_mat_geo[[#This Row],[% de perte]])</f>
        <v>0</v>
      </c>
      <c r="K47" s="6"/>
      <c r="M47" s="8"/>
      <c r="N47" s="8"/>
      <c r="P47" s="7"/>
      <c r="Q47" s="7">
        <f>Tab_MD_geo[[#This Row],[QTE Hrs]]*Tab_MD_geo[[#This Row],[Salaire]]</f>
        <v>0</v>
      </c>
      <c r="R47" s="6"/>
      <c r="S47" s="6"/>
      <c r="T47" s="6"/>
      <c r="U47" s="6"/>
      <c r="W47" s="7"/>
      <c r="AA47" s="6"/>
      <c r="BK47"/>
      <c r="BL47"/>
      <c r="BM47"/>
      <c r="BN47"/>
    </row>
    <row r="48" spans="6:66" ht="11.25" customHeight="1" x14ac:dyDescent="0.25">
      <c r="F48" s="8"/>
      <c r="G48" s="10">
        <v>0</v>
      </c>
      <c r="H48" s="7"/>
      <c r="I48" s="7">
        <f>(Tab_mat_geo[[#This Row],[QTE]]*Tab_mat_geo[[#This Row],[Prix ]])+(Tab_mat_geo[[#This Row],[QTE]]*Tab_mat_geo[[#This Row],[% de perte]])</f>
        <v>0</v>
      </c>
      <c r="K48" s="6"/>
      <c r="M48" s="8"/>
      <c r="N48" s="8"/>
      <c r="P48" s="7"/>
      <c r="Q48" s="7">
        <f>Tab_MD_geo[[#This Row],[QTE Hrs]]*Tab_MD_geo[[#This Row],[Salaire]]</f>
        <v>0</v>
      </c>
      <c r="R48" s="6"/>
      <c r="S48" s="6"/>
      <c r="T48" s="6"/>
      <c r="U48" s="6"/>
      <c r="W48" s="7"/>
      <c r="AA48" s="6"/>
      <c r="BK48"/>
      <c r="BL48"/>
      <c r="BM48"/>
      <c r="BN48"/>
    </row>
    <row r="49" spans="6:66" ht="11.25" customHeight="1" x14ac:dyDescent="0.25">
      <c r="F49" s="8"/>
      <c r="G49" s="10">
        <v>0</v>
      </c>
      <c r="H49" s="7"/>
      <c r="I49" s="7">
        <f>(Tab_mat_geo[[#This Row],[QTE]]*Tab_mat_geo[[#This Row],[Prix ]])+(Tab_mat_geo[[#This Row],[QTE]]*Tab_mat_geo[[#This Row],[% de perte]])</f>
        <v>0</v>
      </c>
      <c r="K49" s="6"/>
      <c r="M49" s="8"/>
      <c r="N49" s="8"/>
      <c r="P49" s="7"/>
      <c r="Q49" s="7">
        <f>Tab_MD_geo[[#This Row],[QTE Hrs]]*Tab_MD_geo[[#This Row],[Salaire]]</f>
        <v>0</v>
      </c>
      <c r="R49" s="6"/>
      <c r="S49" s="6"/>
      <c r="T49" s="6"/>
      <c r="U49" s="6"/>
      <c r="W49" s="7"/>
      <c r="AA49" s="6"/>
      <c r="BK49"/>
      <c r="BL49"/>
      <c r="BM49"/>
      <c r="BN49"/>
    </row>
    <row r="50" spans="6:66" ht="11.25" customHeight="1" x14ac:dyDescent="0.25">
      <c r="F50" s="8"/>
      <c r="G50" s="10">
        <v>0</v>
      </c>
      <c r="H50" s="7"/>
      <c r="I50" s="7">
        <f>(Tab_mat_geo[[#This Row],[QTE]]*Tab_mat_geo[[#This Row],[Prix ]])+(Tab_mat_geo[[#This Row],[QTE]]*Tab_mat_geo[[#This Row],[% de perte]])</f>
        <v>0</v>
      </c>
      <c r="K50" s="6"/>
      <c r="M50" s="8"/>
      <c r="N50" s="8"/>
      <c r="P50" s="7"/>
      <c r="Q50" s="7">
        <f>Tab_MD_geo[[#This Row],[QTE Hrs]]*Tab_MD_geo[[#This Row],[Salaire]]</f>
        <v>0</v>
      </c>
      <c r="R50" s="6"/>
      <c r="S50" s="6"/>
      <c r="T50" s="6"/>
      <c r="U50" s="6"/>
      <c r="W50" s="7"/>
      <c r="AA50" s="6"/>
      <c r="BK50"/>
      <c r="BL50"/>
      <c r="BM50"/>
      <c r="BN50"/>
    </row>
    <row r="51" spans="6:66" ht="11.25" customHeight="1" x14ac:dyDescent="0.25">
      <c r="F51" s="8"/>
      <c r="G51" s="10">
        <v>0</v>
      </c>
      <c r="H51" s="7"/>
      <c r="I51" s="7">
        <f>(Tab_mat_geo[[#This Row],[QTE]]*Tab_mat_geo[[#This Row],[Prix ]])+(Tab_mat_geo[[#This Row],[QTE]]*Tab_mat_geo[[#This Row],[% de perte]])</f>
        <v>0</v>
      </c>
      <c r="K51" s="6"/>
      <c r="M51" s="8"/>
      <c r="N51" s="8"/>
      <c r="P51" s="7"/>
      <c r="Q51" s="7">
        <f>Tab_MD_geo[[#This Row],[QTE Hrs]]*Tab_MD_geo[[#This Row],[Salaire]]</f>
        <v>0</v>
      </c>
      <c r="R51" s="6"/>
      <c r="S51" s="6"/>
      <c r="T51" s="6"/>
      <c r="U51" s="6"/>
      <c r="W51" s="7"/>
      <c r="AA51" s="6"/>
      <c r="BK51"/>
      <c r="BL51"/>
      <c r="BM51"/>
      <c r="BN51"/>
    </row>
    <row r="52" spans="6:66" ht="22.5" customHeight="1" x14ac:dyDescent="0.25">
      <c r="F52" s="8"/>
      <c r="H52" s="6"/>
      <c r="I52" s="11">
        <f>SUM(Tab_mat_geo[Total])</f>
        <v>20786.339999999997</v>
      </c>
      <c r="K52" s="6"/>
      <c r="M52" s="8"/>
      <c r="N52" s="8"/>
      <c r="P52" s="11"/>
      <c r="Q52" s="11">
        <f>SUM(Tab_MD_geo[Total])</f>
        <v>3140</v>
      </c>
      <c r="R52" s="6"/>
      <c r="S52" s="6"/>
      <c r="T52" s="6"/>
      <c r="U52" s="6"/>
      <c r="W52" s="7"/>
      <c r="AA52" s="6"/>
      <c r="BK52"/>
      <c r="BL52"/>
      <c r="BM52"/>
      <c r="BN52"/>
    </row>
    <row r="53" spans="6:66" ht="11.25" customHeight="1" x14ac:dyDescent="0.25">
      <c r="T53" s="6"/>
      <c r="U53" s="6"/>
      <c r="X53" s="7"/>
    </row>
    <row r="54" spans="6:66" ht="11.25" customHeight="1" x14ac:dyDescent="0.25"/>
    <row r="55" spans="6:66" ht="11.25" customHeight="1" x14ac:dyDescent="0.25"/>
    <row r="56" spans="6:66" ht="11.25" customHeight="1" x14ac:dyDescent="0.25"/>
    <row r="57" spans="6:66" ht="11.25" customHeight="1" x14ac:dyDescent="0.25"/>
    <row r="58" spans="6:66" ht="11.25" customHeight="1" x14ac:dyDescent="0.25"/>
    <row r="59" spans="6:66" ht="11.25" customHeight="1" x14ac:dyDescent="0.25"/>
    <row r="60" spans="6:66" ht="11.25" customHeight="1" x14ac:dyDescent="0.25"/>
    <row r="61" spans="6:66" ht="11.25" customHeight="1" x14ac:dyDescent="0.25"/>
    <row r="62" spans="6:66" ht="11.25" customHeight="1" x14ac:dyDescent="0.25"/>
    <row r="63" spans="6:66" ht="11.25" customHeight="1" x14ac:dyDescent="0.25"/>
    <row r="64" spans="6:66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</sheetData>
  <mergeCells count="6">
    <mergeCell ref="B2:I2"/>
    <mergeCell ref="K2:Q2"/>
    <mergeCell ref="S2:W2"/>
    <mergeCell ref="B3:I3"/>
    <mergeCell ref="K3:Q3"/>
    <mergeCell ref="S3:W3"/>
  </mergeCells>
  <dataValidations count="1">
    <dataValidation type="list" allowBlank="1" showInputMessage="1" showErrorMessage="1" sqref="F5:F51" xr:uid="{8BAFAB10-5DD5-4699-A538-972DE2DF4C56}">
      <formula1>uni_geo</formula1>
    </dataValidation>
  </dataValidation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3F217C1-D775-4A3E-A01A-B1F72185862F}">
          <x14:formula1>
            <xm:f>Données!$C$2:$C$5</xm:f>
          </x14:formula1>
          <xm:sqref>O5:O51</xm:sqref>
        </x14:dataValidation>
        <x14:dataValidation type="list" allowBlank="1" showInputMessage="1" showErrorMessage="1" xr:uid="{9006C3D6-FCFA-4677-A9C0-5E34D4EF7B68}">
          <x14:formula1>
            <xm:f>Données!$F$2:$F$3</xm:f>
          </x14:formula1>
          <xm:sqref>S5:S16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BABA4-C983-4BD4-958E-F3465817228D}">
  <sheetPr codeName="Feuil7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970F-7D09-489F-98C4-E94CEFFC7A65}">
  <sheetPr codeName="Feuil3"/>
  <dimension ref="B1:S62"/>
  <sheetViews>
    <sheetView workbookViewId="0">
      <selection activeCell="D12" sqref="D12"/>
    </sheetView>
  </sheetViews>
  <sheetFormatPr baseColWidth="10" defaultColWidth="11.42578125" defaultRowHeight="15" x14ac:dyDescent="0.25"/>
  <cols>
    <col min="1" max="1" width="3" customWidth="1"/>
    <col min="2" max="2" width="31.28515625" style="6" customWidth="1"/>
    <col min="3" max="3" width="16" style="6" customWidth="1"/>
    <col min="4" max="4" width="8.42578125" style="6" customWidth="1"/>
    <col min="5" max="5" width="6.140625" style="6" customWidth="1"/>
    <col min="6" max="6" width="17.28515625" style="7" customWidth="1"/>
    <col min="7" max="7" width="2.85546875" style="6" customWidth="1"/>
    <col min="8" max="8" width="33.85546875" style="6" customWidth="1"/>
    <col min="9" max="9" width="11.42578125" style="6"/>
    <col min="10" max="10" width="6.7109375" style="6" customWidth="1"/>
    <col min="11" max="11" width="6.42578125" style="6" customWidth="1"/>
    <col min="12" max="12" width="11.42578125" style="6"/>
    <col min="13" max="13" width="3" style="6" customWidth="1"/>
    <col min="14" max="14" width="36.5703125" style="6" customWidth="1"/>
    <col min="15" max="15" width="11.42578125" style="6"/>
    <col min="16" max="16" width="19.42578125" style="6" customWidth="1"/>
    <col min="17" max="19" width="11.42578125" style="6"/>
  </cols>
  <sheetData>
    <row r="1" spans="2:19" x14ac:dyDescent="0.25">
      <c r="B1" s="36" t="s">
        <v>216</v>
      </c>
      <c r="C1" s="6" t="str">
        <f>'Démarrage de chantier'!D3</f>
        <v>Pav. D2, Scientifique</v>
      </c>
    </row>
    <row r="2" spans="2:19" ht="15.75" thickBot="1" x14ac:dyDescent="0.3"/>
    <row r="3" spans="2:19" ht="20.25" thickBot="1" x14ac:dyDescent="0.3">
      <c r="B3" s="73" t="s">
        <v>215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5"/>
    </row>
    <row r="4" spans="2:19" x14ac:dyDescent="0.25">
      <c r="B4" s="4" t="s">
        <v>85</v>
      </c>
      <c r="C4" s="56" t="s">
        <v>84</v>
      </c>
      <c r="D4" s="57" t="s">
        <v>35</v>
      </c>
      <c r="E4" s="57" t="s">
        <v>37</v>
      </c>
      <c r="F4" s="58" t="s">
        <v>39</v>
      </c>
      <c r="H4" s="35" t="s">
        <v>103</v>
      </c>
      <c r="I4" s="55" t="s">
        <v>84</v>
      </c>
      <c r="J4" s="55" t="s">
        <v>35</v>
      </c>
      <c r="K4" s="55" t="s">
        <v>37</v>
      </c>
      <c r="L4" s="55" t="s">
        <v>39</v>
      </c>
      <c r="N4" s="35" t="s">
        <v>230</v>
      </c>
      <c r="O4" s="55" t="s">
        <v>84</v>
      </c>
      <c r="P4" s="55" t="s">
        <v>228</v>
      </c>
      <c r="Q4" s="55" t="s">
        <v>35</v>
      </c>
      <c r="R4" s="55" t="s">
        <v>37</v>
      </c>
      <c r="S4" s="55" t="s">
        <v>39</v>
      </c>
    </row>
    <row r="5" spans="2:19" ht="12" customHeight="1" x14ac:dyDescent="0.25">
      <c r="B5" s="5" t="s">
        <v>86</v>
      </c>
      <c r="C5" s="63">
        <v>0</v>
      </c>
      <c r="F5" s="60">
        <f>Cond_gen[[#This Row],[Prix UN]]*Cond_gen[[#This Row],[QTE]]</f>
        <v>0</v>
      </c>
      <c r="H5" s="30" t="s">
        <v>104</v>
      </c>
      <c r="I5" s="38">
        <v>0</v>
      </c>
      <c r="J5" s="39"/>
      <c r="K5" s="39" t="s">
        <v>208</v>
      </c>
      <c r="L5" s="40">
        <f>Cond_gen[[#This Row],[Prix UN]]*Cond_gen[[#This Row],[QTE]]</f>
        <v>0</v>
      </c>
      <c r="N5" s="33" t="s">
        <v>116</v>
      </c>
      <c r="O5" s="61">
        <v>0</v>
      </c>
      <c r="P5" s="62"/>
      <c r="Q5" s="41"/>
      <c r="R5" s="39"/>
      <c r="S5" s="40">
        <f>loca_equipement[[#This Row],[Prix UN]]*loca_equipement[[#This Row],[QTE]]</f>
        <v>0</v>
      </c>
    </row>
    <row r="6" spans="2:19" ht="12" customHeight="1" x14ac:dyDescent="0.25">
      <c r="B6" s="5" t="s">
        <v>87</v>
      </c>
      <c r="C6" s="63">
        <v>0</v>
      </c>
      <c r="F6" s="60">
        <f>Cond_gen[[#This Row],[Prix UN]]*Cond_gen[[#This Row],[QTE]]</f>
        <v>0</v>
      </c>
      <c r="H6" s="30" t="s">
        <v>105</v>
      </c>
      <c r="I6" s="38">
        <v>0</v>
      </c>
      <c r="J6" s="39"/>
      <c r="K6" s="39" t="s">
        <v>208</v>
      </c>
      <c r="L6" s="40">
        <f>Cond_gen[[#This Row],[Prix UN]]*Cond_gen[[#This Row],[QTE]]</f>
        <v>0</v>
      </c>
      <c r="N6" s="30" t="s">
        <v>117</v>
      </c>
      <c r="O6" s="43">
        <v>58</v>
      </c>
      <c r="P6" s="43"/>
      <c r="Q6" s="39"/>
      <c r="R6" s="39"/>
      <c r="S6" s="40">
        <f>loca_equipement[[#This Row],[Prix UN]]*loca_equipement[[#This Row],[QTE]]</f>
        <v>0</v>
      </c>
    </row>
    <row r="7" spans="2:19" ht="12" customHeight="1" x14ac:dyDescent="0.25">
      <c r="B7" s="64" t="s">
        <v>88</v>
      </c>
      <c r="C7" s="65">
        <v>0</v>
      </c>
      <c r="D7" s="66">
        <v>2</v>
      </c>
      <c r="E7" s="66"/>
      <c r="F7" s="59">
        <f>Cond_gen[[#This Row],[Prix UN]]*Cond_gen[[#This Row],[QTE]]</f>
        <v>0</v>
      </c>
      <c r="H7" s="30" t="s">
        <v>106</v>
      </c>
      <c r="I7" s="38">
        <v>0</v>
      </c>
      <c r="J7" s="39"/>
      <c r="K7" s="39" t="s">
        <v>97</v>
      </c>
      <c r="L7" s="40">
        <f>Cond_gen[[#This Row],[Prix UN]]*Cond_gen[[#This Row],[QTE]]</f>
        <v>0</v>
      </c>
      <c r="N7" s="30" t="s">
        <v>118</v>
      </c>
      <c r="O7" s="38">
        <v>650</v>
      </c>
      <c r="P7" s="38"/>
      <c r="Q7" s="39"/>
      <c r="R7" s="39"/>
      <c r="S7" s="40">
        <f>loca_equipement[[#This Row],[Prix UN]]*loca_equipement[[#This Row],[QTE]]</f>
        <v>0</v>
      </c>
    </row>
    <row r="8" spans="2:19" ht="12" customHeight="1" x14ac:dyDescent="0.25">
      <c r="B8" s="5" t="s">
        <v>89</v>
      </c>
      <c r="C8" s="63">
        <v>0</v>
      </c>
      <c r="F8" s="60">
        <f>Cond_gen[[#This Row],[Prix UN]]*Cond_gen[[#This Row],[QTE]]</f>
        <v>0</v>
      </c>
      <c r="H8" s="30" t="s">
        <v>107</v>
      </c>
      <c r="I8" s="38">
        <v>64</v>
      </c>
      <c r="J8" s="39"/>
      <c r="K8" s="39" t="s">
        <v>208</v>
      </c>
      <c r="L8" s="40">
        <f>Cond_gen[[#This Row],[Prix UN]]*Cond_gen[[#This Row],[QTE]]</f>
        <v>0</v>
      </c>
      <c r="N8" s="30" t="s">
        <v>119</v>
      </c>
      <c r="O8" s="38">
        <v>58</v>
      </c>
      <c r="P8" s="38"/>
      <c r="Q8" s="39"/>
      <c r="R8" s="39"/>
      <c r="S8" s="40">
        <f>loca_equipement[[#This Row],[Prix UN]]*loca_equipement[[#This Row],[QTE]]</f>
        <v>0</v>
      </c>
    </row>
    <row r="9" spans="2:19" ht="12" customHeight="1" x14ac:dyDescent="0.25">
      <c r="B9" s="5" t="s">
        <v>90</v>
      </c>
      <c r="C9" s="63">
        <v>0</v>
      </c>
      <c r="F9" s="60">
        <f>Cond_gen[[#This Row],[Prix UN]]*Cond_gen[[#This Row],[QTE]]</f>
        <v>0</v>
      </c>
      <c r="H9" s="30" t="s">
        <v>108</v>
      </c>
      <c r="I9" s="38">
        <v>0</v>
      </c>
      <c r="J9" s="39"/>
      <c r="K9" s="39" t="s">
        <v>210</v>
      </c>
      <c r="L9" s="40">
        <f>Cond_gen[[#This Row],[Prix UN]]*Cond_gen[[#This Row],[QTE]]</f>
        <v>0</v>
      </c>
      <c r="N9" s="6" t="s">
        <v>229</v>
      </c>
      <c r="O9" s="54"/>
      <c r="P9" s="54"/>
      <c r="Q9" s="39"/>
      <c r="R9" s="39"/>
      <c r="S9" s="40">
        <f>loca_equipement[[#This Row],[Prix UN]]*loca_equipement[[#This Row],[QTE]]</f>
        <v>0</v>
      </c>
    </row>
    <row r="10" spans="2:19" ht="12" customHeight="1" x14ac:dyDescent="0.25">
      <c r="B10" s="5" t="s">
        <v>91</v>
      </c>
      <c r="C10" s="63">
        <v>0</v>
      </c>
      <c r="F10" s="60">
        <f>Cond_gen[[#This Row],[Prix UN]]*Cond_gen[[#This Row],[QTE]]</f>
        <v>0</v>
      </c>
      <c r="H10" s="30" t="s">
        <v>234</v>
      </c>
      <c r="I10" s="38">
        <v>58</v>
      </c>
      <c r="J10" s="39"/>
      <c r="K10" s="39"/>
      <c r="L10" s="40">
        <f>Cond_gen[[#This Row],[Prix UN]]*Cond_gen[[#This Row],[QTE]]</f>
        <v>0</v>
      </c>
      <c r="N10" s="30" t="s">
        <v>120</v>
      </c>
      <c r="O10" s="38">
        <v>80</v>
      </c>
      <c r="P10" s="38"/>
      <c r="Q10" s="39"/>
      <c r="R10" s="39"/>
      <c r="S10" s="40">
        <f>loca_equipement[[#This Row],[Prix UN]]*loca_equipement[[#This Row],[QTE]]</f>
        <v>0</v>
      </c>
    </row>
    <row r="11" spans="2:19" ht="12" customHeight="1" x14ac:dyDescent="0.25">
      <c r="B11" s="5" t="s">
        <v>92</v>
      </c>
      <c r="C11" s="63">
        <v>0</v>
      </c>
      <c r="F11" s="60">
        <f>Cond_gen[[#This Row],[Prix UN]]*Cond_gen[[#This Row],[QTE]]</f>
        <v>0</v>
      </c>
      <c r="H11" s="30" t="s">
        <v>109</v>
      </c>
      <c r="I11" s="44"/>
      <c r="J11" s="45"/>
      <c r="K11" s="45"/>
      <c r="L11" s="46">
        <f>Cond_gen[[#This Row],[Prix UN]]*Cond_gen[[#This Row],[QTE]]</f>
        <v>0</v>
      </c>
      <c r="N11" s="30" t="s">
        <v>121</v>
      </c>
      <c r="O11" s="38"/>
      <c r="P11" s="38"/>
      <c r="Q11" s="39"/>
      <c r="R11" s="39"/>
      <c r="S11" s="40">
        <f>loca_equipement[[#This Row],[Prix UN]]*loca_equipement[[#This Row],[QTE]]</f>
        <v>0</v>
      </c>
    </row>
    <row r="12" spans="2:19" ht="12" customHeight="1" x14ac:dyDescent="0.25">
      <c r="B12" s="156" t="s">
        <v>93</v>
      </c>
      <c r="C12" s="63">
        <v>40</v>
      </c>
      <c r="D12" s="153"/>
      <c r="E12" s="153" t="s">
        <v>208</v>
      </c>
      <c r="F12" s="60">
        <f>Cond_gen[[#This Row],[Prix UN]]*Cond_gen[[#This Row],[QTE]]</f>
        <v>0</v>
      </c>
      <c r="H12" s="30"/>
      <c r="I12" s="38"/>
      <c r="J12" s="39"/>
      <c r="K12" s="39"/>
      <c r="L12" s="40">
        <f>Cond_gen[[#This Row],[Prix UN]]*Cond_gen[[#This Row],[QTE]]</f>
        <v>0</v>
      </c>
      <c r="N12" s="30"/>
      <c r="O12" s="38"/>
      <c r="P12" s="38"/>
      <c r="Q12" s="39"/>
      <c r="R12" s="39"/>
      <c r="S12" s="40">
        <f>loca_equipement[[#This Row],[Prix UN]]*loca_equipement[[#This Row],[QTE]]</f>
        <v>0</v>
      </c>
    </row>
    <row r="13" spans="2:19" ht="12" customHeight="1" x14ac:dyDescent="0.25">
      <c r="B13" s="5"/>
      <c r="C13" s="63"/>
      <c r="F13" s="60">
        <f>Cond_gen[[#This Row],[Prix UN]]*Cond_gen[[#This Row],[QTE]]</f>
        <v>0</v>
      </c>
      <c r="H13" s="30"/>
      <c r="I13" s="38"/>
      <c r="J13" s="39"/>
      <c r="K13" s="39"/>
      <c r="L13" s="40">
        <f>Cond_gen[[#This Row],[Prix UN]]*Cond_gen[[#This Row],[QTE]]</f>
        <v>0</v>
      </c>
      <c r="N13" s="47" t="s">
        <v>122</v>
      </c>
      <c r="O13" s="38">
        <v>0</v>
      </c>
      <c r="P13" s="38"/>
      <c r="Q13" s="39"/>
      <c r="R13" s="39"/>
      <c r="S13" s="40">
        <f>loca_equipement[[#This Row],[Prix UN]]*loca_equipement[[#This Row],[QTE]]</f>
        <v>0</v>
      </c>
    </row>
    <row r="14" spans="2:19" ht="12" customHeight="1" x14ac:dyDescent="0.25">
      <c r="B14" s="5"/>
      <c r="C14" s="42"/>
      <c r="F14" s="37">
        <f>Cond_gen[[#This Row],[Prix UN]]*Cond_gen[[#This Row],[QTE]]</f>
        <v>0</v>
      </c>
      <c r="H14" s="31"/>
      <c r="I14" s="44"/>
      <c r="J14" s="45"/>
      <c r="K14" s="45"/>
      <c r="L14" s="46">
        <f>Cond_gen[[#This Row],[Prix UN]]*Cond_gen[[#This Row],[QTE]]</f>
        <v>0</v>
      </c>
      <c r="N14" s="30" t="s">
        <v>123</v>
      </c>
      <c r="O14" s="38">
        <v>0</v>
      </c>
      <c r="P14" s="38"/>
      <c r="Q14" s="39"/>
      <c r="R14" s="39"/>
      <c r="S14" s="40">
        <f>loca_equipement[[#This Row],[Prix UN]]*loca_equipement[[#This Row],[QTE]]</f>
        <v>0</v>
      </c>
    </row>
    <row r="15" spans="2:19" ht="12" customHeight="1" x14ac:dyDescent="0.25">
      <c r="B15" s="24"/>
      <c r="C15" s="48"/>
      <c r="F15" s="11">
        <f>SUM(Cond_gen[Total])</f>
        <v>0</v>
      </c>
      <c r="H15" s="32"/>
      <c r="I15" s="32"/>
      <c r="J15" s="49"/>
      <c r="K15" s="49"/>
      <c r="L15" s="50">
        <f>SUBTOTAL(109,Mise_chantier[Total])</f>
        <v>0</v>
      </c>
      <c r="N15" s="31" t="s">
        <v>124</v>
      </c>
      <c r="O15" s="38">
        <v>0</v>
      </c>
      <c r="P15" s="38"/>
      <c r="Q15" s="39"/>
      <c r="R15" s="39"/>
      <c r="S15" s="40">
        <f>loca_equipement[[#This Row],[Prix UN]]*loca_equipement[[#This Row],[QTE]]</f>
        <v>0</v>
      </c>
    </row>
    <row r="16" spans="2:19" ht="12" customHeight="1" x14ac:dyDescent="0.25">
      <c r="B16" s="5"/>
      <c r="C16" s="42"/>
      <c r="F16" s="37"/>
      <c r="O16" s="38"/>
      <c r="P16" s="38"/>
      <c r="Q16" s="39"/>
      <c r="R16" s="39"/>
      <c r="S16" s="40">
        <f>loca_equipement[[#This Row],[Prix UN]]*loca_equipement[[#This Row],[QTE]]</f>
        <v>0</v>
      </c>
    </row>
    <row r="17" spans="2:19" ht="12" customHeight="1" x14ac:dyDescent="0.25">
      <c r="B17" s="29" t="s">
        <v>94</v>
      </c>
      <c r="C17" s="6" t="s">
        <v>84</v>
      </c>
      <c r="D17" s="6" t="s">
        <v>35</v>
      </c>
      <c r="E17" s="6" t="s">
        <v>37</v>
      </c>
      <c r="F17" s="6" t="s">
        <v>39</v>
      </c>
      <c r="H17" s="51" t="s">
        <v>110</v>
      </c>
      <c r="I17" s="6" t="s">
        <v>84</v>
      </c>
      <c r="J17" s="6" t="s">
        <v>35</v>
      </c>
      <c r="K17" s="6" t="s">
        <v>37</v>
      </c>
      <c r="L17" s="6" t="s">
        <v>39</v>
      </c>
      <c r="O17" s="38"/>
      <c r="P17" s="38"/>
      <c r="Q17" s="39"/>
      <c r="R17" s="39"/>
      <c r="S17" s="40">
        <f>loca_equipement[[#This Row],[Prix UN]]*loca_equipement[[#This Row],[QTE]]</f>
        <v>0</v>
      </c>
    </row>
    <row r="18" spans="2:19" ht="12" customHeight="1" x14ac:dyDescent="0.25">
      <c r="B18" s="30" t="s">
        <v>95</v>
      </c>
      <c r="C18" s="38">
        <v>50</v>
      </c>
      <c r="D18" s="39"/>
      <c r="E18" s="39" t="s">
        <v>97</v>
      </c>
      <c r="F18" s="40">
        <f>perso_gestion[[#This Row],[Prix UN]]*perso_gestion[[#This Row],[QTE]]</f>
        <v>0</v>
      </c>
      <c r="H18" s="30" t="s">
        <v>111</v>
      </c>
      <c r="I18" s="38">
        <v>520</v>
      </c>
      <c r="J18" s="39"/>
      <c r="K18" s="39"/>
      <c r="L18" s="40">
        <f>ogr_chantier[[#This Row],[Prix UN]]*ogr_chantier[[#This Row],[QTE]]</f>
        <v>0</v>
      </c>
      <c r="O18" s="38"/>
      <c r="P18" s="38"/>
      <c r="Q18" s="39"/>
      <c r="R18" s="39"/>
      <c r="S18" s="40">
        <f>loca_equipement[[#This Row],[Prix UN]]*loca_equipement[[#This Row],[QTE]]</f>
        <v>0</v>
      </c>
    </row>
    <row r="19" spans="2:19" ht="12" customHeight="1" x14ac:dyDescent="0.25">
      <c r="B19" s="47" t="s">
        <v>96</v>
      </c>
      <c r="C19" s="38">
        <v>64</v>
      </c>
      <c r="D19" s="39"/>
      <c r="E19" s="39" t="s">
        <v>97</v>
      </c>
      <c r="F19" s="40">
        <f>perso_gestion[[#This Row],[Prix UN]]*perso_gestion[[#This Row],[QTE]]</f>
        <v>0</v>
      </c>
      <c r="H19" s="30" t="s">
        <v>112</v>
      </c>
      <c r="I19" s="38">
        <v>0</v>
      </c>
      <c r="J19" s="39"/>
      <c r="K19" s="39"/>
      <c r="L19" s="40">
        <f>ogr_chantier[[#This Row],[Prix UN]]*ogr_chantier[[#This Row],[QTE]]</f>
        <v>0</v>
      </c>
      <c r="O19" s="44"/>
      <c r="P19" s="44"/>
      <c r="Q19" s="45"/>
      <c r="R19" s="45"/>
      <c r="S19" s="46">
        <f>loca_equipement[[#This Row],[Prix UN]]*loca_equipement[[#This Row],[QTE]]</f>
        <v>0</v>
      </c>
    </row>
    <row r="20" spans="2:19" ht="12" customHeight="1" x14ac:dyDescent="0.25">
      <c r="B20" s="30" t="s">
        <v>231</v>
      </c>
      <c r="C20" s="68" cm="1">
        <f t="array" ref="C20">cout_km[]</f>
        <v>0.57999999999999996</v>
      </c>
      <c r="D20" s="39"/>
      <c r="E20" s="39" t="s">
        <v>98</v>
      </c>
      <c r="F20" s="40">
        <f>perso_gestion[[#This Row],[Prix UN]]*perso_gestion[[#This Row],[QTE]]</f>
        <v>0</v>
      </c>
      <c r="H20" s="30" t="s">
        <v>113</v>
      </c>
      <c r="I20" s="38">
        <v>60</v>
      </c>
      <c r="J20" s="39"/>
      <c r="K20" s="39"/>
      <c r="L20" s="40">
        <f>ogr_chantier[[#This Row],[Prix UN]]*ogr_chantier[[#This Row],[QTE]]</f>
        <v>0</v>
      </c>
      <c r="O20" s="38"/>
      <c r="P20" s="38"/>
      <c r="Q20" s="39"/>
      <c r="R20" s="39"/>
      <c r="S20" s="40">
        <f>loca_equipement[[#This Row],[Prix UN]]*loca_equipement[[#This Row],[QTE]]</f>
        <v>0</v>
      </c>
    </row>
    <row r="21" spans="2:19" ht="12" customHeight="1" x14ac:dyDescent="0.25">
      <c r="B21" s="30" t="s">
        <v>232</v>
      </c>
      <c r="C21" s="68" cm="1">
        <f t="array" ref="C21">cout_km[]</f>
        <v>0.57999999999999996</v>
      </c>
      <c r="D21" s="39"/>
      <c r="E21" s="39" t="s">
        <v>98</v>
      </c>
      <c r="F21" s="40">
        <f>perso_gestion[[#This Row],[Prix UN]]*perso_gestion[[#This Row],[QTE]]</f>
        <v>0</v>
      </c>
      <c r="H21" s="30" t="s">
        <v>114</v>
      </c>
      <c r="I21" s="38">
        <v>0</v>
      </c>
      <c r="J21" s="39"/>
      <c r="K21" s="39"/>
      <c r="L21" s="40">
        <f>ogr_chantier[[#This Row],[Prix UN]]*ogr_chantier[[#This Row],[QTE]]</f>
        <v>0</v>
      </c>
      <c r="O21" s="38"/>
      <c r="P21" s="38"/>
      <c r="Q21" s="39"/>
      <c r="R21" s="39"/>
      <c r="S21" s="40">
        <f>loca_equipement[[#This Row],[Prix UN]]*loca_equipement[[#This Row],[QTE]]</f>
        <v>0</v>
      </c>
    </row>
    <row r="22" spans="2:19" ht="12" customHeight="1" x14ac:dyDescent="0.25">
      <c r="B22" s="30" t="s">
        <v>99</v>
      </c>
      <c r="C22" s="38">
        <v>64</v>
      </c>
      <c r="D22" s="39"/>
      <c r="E22" s="39" t="s">
        <v>97</v>
      </c>
      <c r="F22" s="40">
        <f>perso_gestion[[#This Row],[Prix UN]]*perso_gestion[[#This Row],[QTE]]</f>
        <v>0</v>
      </c>
      <c r="H22" s="30" t="s">
        <v>115</v>
      </c>
      <c r="I22" s="38">
        <v>0</v>
      </c>
      <c r="J22" s="39"/>
      <c r="K22" s="39"/>
      <c r="L22" s="40">
        <f>ogr_chantier[[#This Row],[Prix UN]]*ogr_chantier[[#This Row],[QTE]]</f>
        <v>0</v>
      </c>
      <c r="O22" s="38"/>
      <c r="P22" s="38"/>
      <c r="Q22" s="39"/>
      <c r="R22" s="39"/>
      <c r="S22" s="40">
        <f>loca_equipement[[#This Row],[Prix UN]]*loca_equipement[[#This Row],[QTE]]</f>
        <v>0</v>
      </c>
    </row>
    <row r="23" spans="2:19" ht="12" customHeight="1" x14ac:dyDescent="0.25">
      <c r="B23" s="30" t="s">
        <v>100</v>
      </c>
      <c r="C23" s="38">
        <v>64</v>
      </c>
      <c r="D23" s="39"/>
      <c r="E23" s="39" t="s">
        <v>97</v>
      </c>
      <c r="F23" s="40">
        <f>perso_gestion[[#This Row],[Prix UN]]*perso_gestion[[#This Row],[QTE]]</f>
        <v>0</v>
      </c>
      <c r="H23" s="31"/>
      <c r="I23" s="44"/>
      <c r="J23" s="45"/>
      <c r="K23" s="45"/>
      <c r="L23" s="46">
        <f>ogr_chantier[[#This Row],[Prix UN]]*ogr_chantier[[#This Row],[QTE]]</f>
        <v>0</v>
      </c>
      <c r="O23" s="38"/>
      <c r="P23" s="38"/>
      <c r="Q23" s="39"/>
      <c r="R23" s="39"/>
      <c r="S23" s="40">
        <f>loca_equipement[[#This Row],[Prix UN]]*loca_equipement[[#This Row],[QTE]]</f>
        <v>0</v>
      </c>
    </row>
    <row r="24" spans="2:19" ht="12" customHeight="1" x14ac:dyDescent="0.25">
      <c r="B24" s="30" t="s">
        <v>101</v>
      </c>
      <c r="C24" s="38">
        <v>40</v>
      </c>
      <c r="D24" s="39"/>
      <c r="E24" s="39" t="s">
        <v>97</v>
      </c>
      <c r="F24" s="40">
        <f>perso_gestion[[#This Row],[Prix UN]]*perso_gestion[[#This Row],[QTE]]</f>
        <v>0</v>
      </c>
      <c r="H24" s="30"/>
      <c r="I24" s="38"/>
      <c r="J24" s="39"/>
      <c r="K24" s="39"/>
      <c r="L24" s="40">
        <f>ogr_chantier[[#This Row],[Prix UN]]*ogr_chantier[[#This Row],[QTE]]</f>
        <v>0</v>
      </c>
      <c r="O24" s="38"/>
      <c r="P24" s="38"/>
      <c r="Q24" s="39"/>
      <c r="R24" s="39"/>
      <c r="S24" s="40">
        <f>loca_equipement[[#This Row],[Prix UN]]*loca_equipement[[#This Row],[QTE]]</f>
        <v>0</v>
      </c>
    </row>
    <row r="25" spans="2:19" ht="12" customHeight="1" x14ac:dyDescent="0.25">
      <c r="B25" s="52" t="s">
        <v>102</v>
      </c>
      <c r="C25" s="44">
        <v>48</v>
      </c>
      <c r="D25" s="39"/>
      <c r="E25" s="39" t="s">
        <v>97</v>
      </c>
      <c r="F25" s="40">
        <f>perso_gestion[[#This Row],[Prix UN]]*perso_gestion[[#This Row],[QTE]]</f>
        <v>0</v>
      </c>
      <c r="H25" s="30"/>
      <c r="I25" s="38"/>
      <c r="J25" s="39"/>
      <c r="K25" s="39"/>
      <c r="L25" s="40">
        <f>ogr_chantier[[#This Row],[Prix UN]]*ogr_chantier[[#This Row],[QTE]]</f>
        <v>0</v>
      </c>
      <c r="O25" s="38"/>
      <c r="P25" s="38"/>
      <c r="Q25" s="39"/>
      <c r="R25" s="39"/>
      <c r="S25" s="40">
        <f>loca_equipement[[#This Row],[Prix UN]]*loca_equipement[[#This Row],[QTE]]</f>
        <v>0</v>
      </c>
    </row>
    <row r="26" spans="2:19" ht="12" customHeight="1" x14ac:dyDescent="0.25">
      <c r="D26" s="45"/>
      <c r="E26" s="45"/>
      <c r="F26" s="46">
        <f>perso_gestion[[#This Row],[Prix UN]]*perso_gestion[[#This Row],[QTE]]</f>
        <v>0</v>
      </c>
      <c r="H26" s="31"/>
      <c r="I26" s="44"/>
      <c r="J26" s="45"/>
      <c r="K26" s="45"/>
      <c r="L26" s="46">
        <f>ogr_chantier[[#This Row],[Prix UN]]*ogr_chantier[[#This Row],[QTE]]</f>
        <v>0</v>
      </c>
      <c r="O26" s="38"/>
      <c r="P26" s="38"/>
      <c r="Q26" s="39"/>
      <c r="R26" s="39"/>
      <c r="S26" s="40">
        <f>loca_equipement[[#This Row],[Prix UN]]*loca_equipement[[#This Row],[QTE]]</f>
        <v>0</v>
      </c>
    </row>
    <row r="27" spans="2:19" ht="12" customHeight="1" x14ac:dyDescent="0.25">
      <c r="D27" s="49"/>
      <c r="E27" s="49"/>
      <c r="F27" s="50">
        <f>SUBTOTAL(109,perso_gestion[Total])</f>
        <v>0</v>
      </c>
      <c r="H27" s="32"/>
      <c r="I27" s="32"/>
      <c r="J27" s="49"/>
      <c r="K27" s="49"/>
      <c r="L27" s="50">
        <f>SUBTOTAL(109,ogr_chantier[Total])</f>
        <v>0</v>
      </c>
      <c r="O27" s="38"/>
      <c r="P27" s="38"/>
      <c r="Q27" s="39"/>
      <c r="R27" s="39"/>
      <c r="S27" s="40">
        <f>loca_equipement[[#This Row],[Prix UN]]*loca_equipement[[#This Row],[QTE]]</f>
        <v>0</v>
      </c>
    </row>
    <row r="28" spans="2:19" ht="12" customHeight="1" x14ac:dyDescent="0.25">
      <c r="B28" s="5"/>
      <c r="C28" s="42"/>
      <c r="F28" s="37"/>
      <c r="O28" s="38"/>
      <c r="P28" s="38"/>
      <c r="Q28" s="39"/>
      <c r="R28" s="39"/>
      <c r="S28" s="40">
        <f>loca_equipement[[#This Row],[Prix UN]]*loca_equipement[[#This Row],[QTE]]</f>
        <v>0</v>
      </c>
    </row>
    <row r="29" spans="2:19" ht="12" customHeight="1" x14ac:dyDescent="0.25">
      <c r="B29" s="29" t="s">
        <v>233</v>
      </c>
      <c r="C29" s="6" t="s">
        <v>84</v>
      </c>
      <c r="D29" s="6" t="s">
        <v>35</v>
      </c>
      <c r="E29" s="6" t="s">
        <v>37</v>
      </c>
      <c r="F29" s="6" t="s">
        <v>39</v>
      </c>
      <c r="H29" s="29" t="s">
        <v>131</v>
      </c>
      <c r="I29" s="6" t="s">
        <v>84</v>
      </c>
      <c r="J29" s="6" t="s">
        <v>35</v>
      </c>
      <c r="K29" s="6" t="s">
        <v>37</v>
      </c>
      <c r="L29" s="6" t="s">
        <v>39</v>
      </c>
      <c r="O29" s="38"/>
      <c r="P29" s="38"/>
      <c r="Q29" s="39"/>
      <c r="R29" s="39"/>
      <c r="S29" s="40">
        <f>loca_equipement[[#This Row],[Prix UN]]*loca_equipement[[#This Row],[QTE]]</f>
        <v>0</v>
      </c>
    </row>
    <row r="30" spans="2:19" ht="12" customHeight="1" x14ac:dyDescent="0.25">
      <c r="B30" s="47" t="s">
        <v>125</v>
      </c>
      <c r="C30" s="38">
        <v>89</v>
      </c>
      <c r="D30" s="39"/>
      <c r="E30" s="39" t="s">
        <v>97</v>
      </c>
      <c r="F30" s="40">
        <f>prep_chantier[[#This Row],[Prix UN]]*prep_chantier[[#This Row],[QTE]]</f>
        <v>0</v>
      </c>
      <c r="H30" s="30" t="s">
        <v>132</v>
      </c>
      <c r="I30" s="38">
        <v>58</v>
      </c>
      <c r="J30" s="39"/>
      <c r="K30" s="39"/>
      <c r="L30" s="40">
        <f>cond_hiver[[#This Row],[Prix UN]]*cond_hiver[[#This Row],[QTE]]</f>
        <v>0</v>
      </c>
      <c r="O30" s="38"/>
      <c r="P30" s="38"/>
      <c r="Q30" s="39"/>
      <c r="R30" s="39"/>
      <c r="S30" s="40">
        <f>loca_equipement[[#This Row],[Prix UN]]*loca_equipement[[#This Row],[QTE]]</f>
        <v>0</v>
      </c>
    </row>
    <row r="31" spans="2:19" ht="12" customHeight="1" x14ac:dyDescent="0.25">
      <c r="B31" s="30" t="s">
        <v>126</v>
      </c>
      <c r="C31" s="38">
        <v>66</v>
      </c>
      <c r="D31" s="39"/>
      <c r="E31" s="39"/>
      <c r="F31" s="40">
        <f>prep_chantier[[#This Row],[Prix UN]]*prep_chantier[[#This Row],[QTE]]</f>
        <v>0</v>
      </c>
      <c r="H31" s="30" t="s">
        <v>133</v>
      </c>
      <c r="I31" s="38">
        <v>58</v>
      </c>
      <c r="J31" s="39"/>
      <c r="K31" s="39"/>
      <c r="L31" s="40">
        <f>cond_hiver[[#This Row],[Prix UN]]*cond_hiver[[#This Row],[QTE]]</f>
        <v>0</v>
      </c>
      <c r="O31" s="38"/>
      <c r="P31" s="38"/>
      <c r="Q31" s="39"/>
      <c r="R31" s="39"/>
      <c r="S31" s="40">
        <f>loca_equipement[[#This Row],[Prix UN]]*loca_equipement[[#This Row],[QTE]]</f>
        <v>0</v>
      </c>
    </row>
    <row r="32" spans="2:19" ht="12" customHeight="1" x14ac:dyDescent="0.25">
      <c r="B32" s="30" t="s">
        <v>127</v>
      </c>
      <c r="C32" s="38">
        <v>30</v>
      </c>
      <c r="D32" s="39"/>
      <c r="E32" s="39"/>
      <c r="F32" s="40">
        <f>prep_chantier[[#This Row],[Prix UN]]*prep_chantier[[#This Row],[QTE]]</f>
        <v>0</v>
      </c>
      <c r="H32" s="30" t="s">
        <v>134</v>
      </c>
      <c r="I32" s="38">
        <v>58</v>
      </c>
      <c r="J32" s="39"/>
      <c r="K32" s="39"/>
      <c r="L32" s="40">
        <f>cond_hiver[[#This Row],[Prix UN]]*cond_hiver[[#This Row],[QTE]]</f>
        <v>0</v>
      </c>
      <c r="O32" s="38"/>
      <c r="P32" s="38"/>
      <c r="Q32" s="39"/>
      <c r="R32" s="39"/>
      <c r="S32" s="40">
        <f>loca_equipement[[#This Row],[Prix UN]]*loca_equipement[[#This Row],[QTE]]</f>
        <v>0</v>
      </c>
    </row>
    <row r="33" spans="2:19" ht="12" customHeight="1" x14ac:dyDescent="0.25">
      <c r="B33" s="29" t="s">
        <v>128</v>
      </c>
      <c r="C33" s="34"/>
      <c r="D33" s="39"/>
      <c r="E33" s="39"/>
      <c r="F33" s="40">
        <f>prep_chantier[[#This Row],[Prix UN]]*prep_chantier[[#This Row],[QTE]]</f>
        <v>0</v>
      </c>
      <c r="H33" s="30" t="s">
        <v>135</v>
      </c>
      <c r="I33" s="38">
        <v>58</v>
      </c>
      <c r="J33" s="39"/>
      <c r="K33" s="39"/>
      <c r="L33" s="40">
        <f>cond_hiver[[#This Row],[Prix UN]]*cond_hiver[[#This Row],[QTE]]</f>
        <v>0</v>
      </c>
      <c r="O33" s="38"/>
      <c r="P33" s="38"/>
      <c r="Q33" s="39"/>
      <c r="R33" s="39"/>
      <c r="S33" s="40">
        <f>loca_equipement[[#This Row],[Prix UN]]*loca_equipement[[#This Row],[QTE]]</f>
        <v>0</v>
      </c>
    </row>
    <row r="34" spans="2:19" ht="12" customHeight="1" x14ac:dyDescent="0.25">
      <c r="B34" s="67" t="s">
        <v>129</v>
      </c>
      <c r="C34" s="38">
        <v>89</v>
      </c>
      <c r="D34" s="39"/>
      <c r="E34" s="39" t="s">
        <v>97</v>
      </c>
      <c r="F34" s="40">
        <f>prep_chantier[[#This Row],[Prix UN]]*prep_chantier[[#This Row],[QTE]]</f>
        <v>0</v>
      </c>
      <c r="H34" s="52" t="s">
        <v>136</v>
      </c>
      <c r="I34" s="44">
        <v>88</v>
      </c>
      <c r="J34" s="39"/>
      <c r="K34" s="39"/>
      <c r="L34" s="40">
        <f>cond_hiver[[#This Row],[Prix UN]]*cond_hiver[[#This Row],[QTE]]</f>
        <v>0</v>
      </c>
      <c r="O34" s="38"/>
      <c r="P34" s="38"/>
      <c r="Q34" s="39"/>
      <c r="R34" s="39"/>
      <c r="S34" s="40">
        <f>loca_equipement[[#This Row],[Prix UN]]*loca_equipement[[#This Row],[QTE]]</f>
        <v>0</v>
      </c>
    </row>
    <row r="35" spans="2:19" ht="12" customHeight="1" x14ac:dyDescent="0.25">
      <c r="B35" s="31" t="s">
        <v>130</v>
      </c>
      <c r="C35" s="44">
        <v>58</v>
      </c>
      <c r="D35" s="39"/>
      <c r="E35" s="39"/>
      <c r="F35" s="40">
        <f>prep_chantier[[#This Row],[Prix UN]]*prep_chantier[[#This Row],[QTE]]</f>
        <v>0</v>
      </c>
      <c r="J35" s="39"/>
      <c r="K35" s="39"/>
      <c r="L35" s="40">
        <f>cond_hiver[[#This Row],[Prix UN]]*cond_hiver[[#This Row],[QTE]]</f>
        <v>0</v>
      </c>
      <c r="O35" s="44"/>
      <c r="P35" s="44"/>
      <c r="Q35" s="45"/>
      <c r="R35" s="45"/>
      <c r="S35" s="46">
        <f>loca_equipement[[#This Row],[Prix UN]]*loca_equipement[[#This Row],[QTE]]</f>
        <v>0</v>
      </c>
    </row>
    <row r="36" spans="2:19" ht="12" customHeight="1" x14ac:dyDescent="0.25">
      <c r="D36" s="45"/>
      <c r="E36" s="45"/>
      <c r="F36" s="46">
        <f>prep_chantier[[#This Row],[Prix UN]]*prep_chantier[[#This Row],[QTE]]</f>
        <v>0</v>
      </c>
      <c r="J36" s="45"/>
      <c r="K36" s="45"/>
      <c r="L36" s="46">
        <f>cond_hiver[[#This Row],[Prix UN]]*cond_hiver[[#This Row],[QTE]]</f>
        <v>0</v>
      </c>
      <c r="O36" s="44"/>
      <c r="P36" s="44"/>
      <c r="Q36" s="45"/>
      <c r="R36" s="45"/>
      <c r="S36" s="46">
        <f>loca_equipement[[#This Row],[Prix UN]]*loca_equipement[[#This Row],[QTE]]</f>
        <v>0</v>
      </c>
    </row>
    <row r="37" spans="2:19" ht="12" customHeight="1" x14ac:dyDescent="0.25">
      <c r="D37" s="49"/>
      <c r="E37" s="49"/>
      <c r="F37" s="50">
        <f>SUBTOTAL(109,prep_chantier[Total])</f>
        <v>0</v>
      </c>
      <c r="J37" s="49"/>
      <c r="K37" s="49"/>
      <c r="L37" s="53">
        <f>SUBTOTAL(109,cond_hiver[Total])</f>
        <v>0</v>
      </c>
      <c r="O37" s="32"/>
      <c r="P37" s="32"/>
      <c r="Q37" s="49"/>
      <c r="R37" s="49"/>
      <c r="S37" s="50">
        <f>SUBTOTAL(109,loca_equipement[Total])</f>
        <v>0</v>
      </c>
    </row>
    <row r="38" spans="2:19" ht="12" customHeight="1" x14ac:dyDescent="0.25">
      <c r="B38" s="5"/>
      <c r="C38" s="42"/>
      <c r="F38" s="37"/>
    </row>
    <row r="39" spans="2:19" ht="12" customHeight="1" x14ac:dyDescent="0.25">
      <c r="B39" s="5"/>
      <c r="C39" s="42"/>
      <c r="F39" s="37"/>
    </row>
    <row r="40" spans="2:19" ht="12" customHeight="1" x14ac:dyDescent="0.25">
      <c r="B40" s="5"/>
      <c r="C40" s="42"/>
      <c r="F40" s="37"/>
    </row>
    <row r="41" spans="2:19" ht="12" customHeight="1" x14ac:dyDescent="0.25">
      <c r="B41" s="5"/>
      <c r="C41" s="42"/>
      <c r="F41" s="37"/>
    </row>
    <row r="42" spans="2:19" ht="12" customHeight="1" x14ac:dyDescent="0.25">
      <c r="B42" s="5"/>
      <c r="C42" s="42"/>
      <c r="F42" s="37"/>
    </row>
    <row r="43" spans="2:19" ht="12" customHeight="1" x14ac:dyDescent="0.25">
      <c r="B43" s="5"/>
      <c r="C43" s="42"/>
      <c r="F43" s="37"/>
    </row>
    <row r="44" spans="2:19" ht="12" customHeight="1" x14ac:dyDescent="0.25">
      <c r="B44" s="5"/>
      <c r="C44" s="42"/>
      <c r="F44" s="37"/>
    </row>
    <row r="45" spans="2:19" ht="12" customHeight="1" x14ac:dyDescent="0.25">
      <c r="B45" s="5"/>
      <c r="C45" s="42"/>
      <c r="F45" s="37"/>
    </row>
    <row r="46" spans="2:19" ht="12" customHeight="1" x14ac:dyDescent="0.25">
      <c r="B46" s="5"/>
      <c r="C46" s="42"/>
      <c r="F46" s="37"/>
    </row>
    <row r="47" spans="2:19" ht="12" customHeight="1" x14ac:dyDescent="0.25">
      <c r="B47" s="5"/>
      <c r="C47" s="42"/>
      <c r="F47" s="37"/>
    </row>
    <row r="48" spans="2:19" ht="12" customHeight="1" x14ac:dyDescent="0.25">
      <c r="B48" s="5"/>
      <c r="C48" s="42"/>
      <c r="F48" s="37"/>
    </row>
    <row r="49" spans="2:6" ht="12" customHeight="1" x14ac:dyDescent="0.25">
      <c r="B49" s="5"/>
      <c r="C49" s="42"/>
      <c r="F49" s="37"/>
    </row>
    <row r="50" spans="2:6" ht="12" customHeight="1" x14ac:dyDescent="0.25">
      <c r="B50" s="5"/>
      <c r="C50" s="42"/>
      <c r="F50" s="37"/>
    </row>
    <row r="51" spans="2:6" ht="12" customHeight="1" x14ac:dyDescent="0.25">
      <c r="B51" s="5"/>
      <c r="C51" s="42"/>
      <c r="F51" s="37"/>
    </row>
    <row r="52" spans="2:6" ht="12" customHeight="1" x14ac:dyDescent="0.25">
      <c r="B52" s="5"/>
      <c r="C52" s="42"/>
      <c r="F52" s="37"/>
    </row>
    <row r="53" spans="2:6" ht="12" customHeight="1" x14ac:dyDescent="0.25">
      <c r="B53" s="5"/>
      <c r="C53" s="42"/>
      <c r="F53" s="37"/>
    </row>
    <row r="54" spans="2:6" ht="12" customHeight="1" x14ac:dyDescent="0.25">
      <c r="B54" s="5"/>
      <c r="C54" s="42"/>
      <c r="F54" s="37"/>
    </row>
    <row r="55" spans="2:6" ht="12" customHeight="1" x14ac:dyDescent="0.25">
      <c r="B55" s="5"/>
      <c r="C55" s="42"/>
      <c r="F55" s="37"/>
    </row>
    <row r="56" spans="2:6" ht="12" customHeight="1" x14ac:dyDescent="0.25">
      <c r="B56" s="5"/>
      <c r="C56" s="42"/>
      <c r="F56" s="37"/>
    </row>
    <row r="57" spans="2:6" ht="12" customHeight="1" x14ac:dyDescent="0.25">
      <c r="B57" s="5"/>
      <c r="C57" s="42"/>
      <c r="F57" s="37"/>
    </row>
    <row r="58" spans="2:6" ht="12" customHeight="1" x14ac:dyDescent="0.25">
      <c r="B58" s="5"/>
      <c r="C58" s="42"/>
      <c r="F58" s="37"/>
    </row>
    <row r="59" spans="2:6" ht="12" customHeight="1" x14ac:dyDescent="0.25">
      <c r="B59" s="5"/>
      <c r="C59" s="42"/>
      <c r="F59" s="37"/>
    </row>
    <row r="60" spans="2:6" x14ac:dyDescent="0.25">
      <c r="B60" s="5"/>
      <c r="C60" s="42"/>
      <c r="F60" s="37"/>
    </row>
    <row r="61" spans="2:6" x14ac:dyDescent="0.25">
      <c r="B61" s="5"/>
      <c r="C61" s="42"/>
      <c r="F61" s="37"/>
    </row>
    <row r="62" spans="2:6" x14ac:dyDescent="0.25">
      <c r="B62" s="5"/>
      <c r="C62" s="42"/>
      <c r="F62" s="37"/>
    </row>
  </sheetData>
  <mergeCells count="1">
    <mergeCell ref="B3:S3"/>
  </mergeCells>
  <dataValidations count="1">
    <dataValidation type="list" allowBlank="1" showInputMessage="1" showErrorMessage="1" sqref="E18:E25 K5:K10 K18:K22 E30:E35 K30:K35 R10:R15 R5:R8 E5:E12" xr:uid="{7EED59CC-4C63-4C19-A979-DE908CD838CF}">
      <formula1>uni_plom</formula1>
    </dataValidation>
  </dataValidations>
  <pageMargins left="0.7" right="0.7" top="0.75" bottom="0.75" header="0.3" footer="0.3"/>
  <legacy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1FAC5-A65B-4A30-B1A6-E2D3AC05559C}">
  <sheetPr codeName="Feuil4"/>
  <dimension ref="B1:H29"/>
  <sheetViews>
    <sheetView workbookViewId="0">
      <selection activeCell="G22" sqref="G22"/>
    </sheetView>
  </sheetViews>
  <sheetFormatPr baseColWidth="10" defaultColWidth="9.140625" defaultRowHeight="15" x14ac:dyDescent="0.25"/>
  <cols>
    <col min="2" max="2" width="10.140625" bestFit="1" customWidth="1"/>
    <col min="3" max="3" width="40.7109375" customWidth="1"/>
    <col min="4" max="4" width="35.7109375" customWidth="1"/>
    <col min="5" max="5" width="16.140625" style="3" customWidth="1"/>
    <col min="6" max="6" width="13.28515625" style="15" customWidth="1"/>
    <col min="7" max="7" width="9" style="15" customWidth="1"/>
    <col min="8" max="8" width="21.28515625" style="3" customWidth="1"/>
  </cols>
  <sheetData>
    <row r="1" spans="2:8" ht="15.75" thickBot="1" x14ac:dyDescent="0.3">
      <c r="C1" s="2" t="s">
        <v>216</v>
      </c>
      <c r="D1" t="str">
        <f>'Démarrage de chantier'!D3</f>
        <v>Pav. D2, Scientifique</v>
      </c>
    </row>
    <row r="2" spans="2:8" ht="20.25" thickBot="1" x14ac:dyDescent="0.35">
      <c r="B2" s="76" t="s">
        <v>188</v>
      </c>
      <c r="C2" s="77"/>
      <c r="D2" s="77"/>
      <c r="E2" s="77"/>
      <c r="F2" s="77"/>
      <c r="G2" s="77"/>
      <c r="H2" s="78"/>
    </row>
    <row r="3" spans="2:8" ht="15.75" thickBot="1" x14ac:dyDescent="0.3">
      <c r="B3" t="s">
        <v>137</v>
      </c>
      <c r="C3" t="s">
        <v>138</v>
      </c>
      <c r="D3" t="s">
        <v>139</v>
      </c>
      <c r="E3" s="3" t="s">
        <v>140</v>
      </c>
      <c r="F3" s="15" t="s">
        <v>35</v>
      </c>
      <c r="G3" s="15" t="s">
        <v>37</v>
      </c>
      <c r="H3" s="3" t="s">
        <v>39</v>
      </c>
    </row>
    <row r="4" spans="2:8" ht="15.75" thickBot="1" x14ac:dyDescent="0.3">
      <c r="C4" t="s">
        <v>24</v>
      </c>
      <c r="D4" t="s">
        <v>204</v>
      </c>
      <c r="E4" s="3">
        <v>350</v>
      </c>
      <c r="F4" s="15">
        <v>1</v>
      </c>
      <c r="G4" s="23" t="s">
        <v>208</v>
      </c>
      <c r="H4" s="3">
        <f>sous_traitance[[#This Row],[Prix]]*sous_traitance[[#This Row],[QTE]]</f>
        <v>350</v>
      </c>
    </row>
    <row r="5" spans="2:8" ht="15.75" thickBot="1" x14ac:dyDescent="0.3">
      <c r="C5" t="s">
        <v>155</v>
      </c>
      <c r="G5" s="23"/>
      <c r="H5" s="3">
        <f>sous_traitance[[#This Row],[Prix]]*sous_traitance[[#This Row],[QTE]]</f>
        <v>0</v>
      </c>
    </row>
    <row r="6" spans="2:8" ht="15.75" thickBot="1" x14ac:dyDescent="0.3">
      <c r="C6" t="s">
        <v>183</v>
      </c>
      <c r="G6" s="23"/>
      <c r="H6" s="3">
        <f>sous_traitance[[#This Row],[Prix]]*sous_traitance[[#This Row],[QTE]]</f>
        <v>0</v>
      </c>
    </row>
    <row r="7" spans="2:8" ht="15.75" thickBot="1" x14ac:dyDescent="0.3">
      <c r="G7" s="23"/>
      <c r="H7" s="3">
        <f>sous_traitance[[#This Row],[Prix]]*sous_traitance[[#This Row],[QTE]]</f>
        <v>0</v>
      </c>
    </row>
    <row r="8" spans="2:8" ht="15.75" thickBot="1" x14ac:dyDescent="0.3">
      <c r="G8" s="23"/>
      <c r="H8" s="3">
        <f>sous_traitance[[#This Row],[Prix]]*sous_traitance[[#This Row],[QTE]]</f>
        <v>0</v>
      </c>
    </row>
    <row r="9" spans="2:8" ht="15.75" thickBot="1" x14ac:dyDescent="0.3">
      <c r="G9" s="23"/>
      <c r="H9" s="3">
        <f>sous_traitance[[#This Row],[Prix]]*sous_traitance[[#This Row],[QTE]]</f>
        <v>0</v>
      </c>
    </row>
    <row r="10" spans="2:8" ht="15.75" thickBot="1" x14ac:dyDescent="0.3">
      <c r="G10" s="23"/>
      <c r="H10" s="3">
        <f>sous_traitance[[#This Row],[Prix]]*sous_traitance[[#This Row],[QTE]]</f>
        <v>0</v>
      </c>
    </row>
    <row r="11" spans="2:8" ht="15.75" thickBot="1" x14ac:dyDescent="0.3">
      <c r="G11" s="23"/>
      <c r="H11" s="3">
        <f>sous_traitance[[#This Row],[Prix]]*sous_traitance[[#This Row],[QTE]]</f>
        <v>0</v>
      </c>
    </row>
    <row r="12" spans="2:8" ht="15.75" thickBot="1" x14ac:dyDescent="0.3">
      <c r="G12" s="23"/>
      <c r="H12" s="3">
        <f>sous_traitance[[#This Row],[Prix]]*sous_traitance[[#This Row],[QTE]]</f>
        <v>0</v>
      </c>
    </row>
    <row r="13" spans="2:8" ht="15.75" thickBot="1" x14ac:dyDescent="0.3">
      <c r="G13" s="23"/>
      <c r="H13" s="3">
        <f>sous_traitance[[#This Row],[Prix]]*sous_traitance[[#This Row],[QTE]]</f>
        <v>0</v>
      </c>
    </row>
    <row r="14" spans="2:8" ht="15.75" thickBot="1" x14ac:dyDescent="0.3">
      <c r="G14" s="23"/>
      <c r="H14" s="3">
        <f>sous_traitance[[#This Row],[Prix]]*sous_traitance[[#This Row],[QTE]]</f>
        <v>0</v>
      </c>
    </row>
    <row r="15" spans="2:8" ht="15.75" thickBot="1" x14ac:dyDescent="0.3">
      <c r="G15" s="23"/>
      <c r="H15" s="3">
        <f>sous_traitance[[#This Row],[Prix]]*sous_traitance[[#This Row],[QTE]]</f>
        <v>0</v>
      </c>
    </row>
    <row r="16" spans="2:8" ht="15.75" thickBot="1" x14ac:dyDescent="0.3">
      <c r="G16" s="23"/>
      <c r="H16" s="3">
        <f>sous_traitance[[#This Row],[Prix]]*sous_traitance[[#This Row],[QTE]]</f>
        <v>0</v>
      </c>
    </row>
    <row r="17" spans="5:8" ht="15.75" thickBot="1" x14ac:dyDescent="0.3">
      <c r="G17" s="23"/>
      <c r="H17" s="3">
        <f>sous_traitance[[#This Row],[Prix]]*sous_traitance[[#This Row],[QTE]]</f>
        <v>0</v>
      </c>
    </row>
    <row r="18" spans="5:8" ht="15.75" thickBot="1" x14ac:dyDescent="0.3">
      <c r="G18" s="23"/>
      <c r="H18" s="3">
        <f>sous_traitance[[#This Row],[Prix]]*sous_traitance[[#This Row],[QTE]]</f>
        <v>0</v>
      </c>
    </row>
    <row r="19" spans="5:8" ht="15.75" thickBot="1" x14ac:dyDescent="0.3">
      <c r="G19" s="23"/>
      <c r="H19" s="3">
        <f>sous_traitance[[#This Row],[Prix]]*sous_traitance[[#This Row],[QTE]]</f>
        <v>0</v>
      </c>
    </row>
    <row r="20" spans="5:8" ht="15.75" thickBot="1" x14ac:dyDescent="0.3">
      <c r="G20" s="23"/>
      <c r="H20" s="3">
        <f>sous_traitance[[#This Row],[Prix]]*sous_traitance[[#This Row],[QTE]]</f>
        <v>0</v>
      </c>
    </row>
    <row r="21" spans="5:8" ht="15.75" thickBot="1" x14ac:dyDescent="0.3">
      <c r="G21" s="23"/>
      <c r="H21" s="3">
        <f>sous_traitance[[#This Row],[Prix]]*sous_traitance[[#This Row],[QTE]]</f>
        <v>0</v>
      </c>
    </row>
    <row r="22" spans="5:8" ht="15.75" thickBot="1" x14ac:dyDescent="0.3">
      <c r="G22" s="23"/>
      <c r="H22" s="3">
        <f>sous_traitance[[#This Row],[Prix]]*sous_traitance[[#This Row],[QTE]]</f>
        <v>0</v>
      </c>
    </row>
    <row r="23" spans="5:8" ht="15.75" thickBot="1" x14ac:dyDescent="0.3">
      <c r="G23" s="23"/>
      <c r="H23" s="3">
        <f>sous_traitance[[#This Row],[Prix]]*sous_traitance[[#This Row],[QTE]]</f>
        <v>0</v>
      </c>
    </row>
    <row r="24" spans="5:8" ht="15.75" thickBot="1" x14ac:dyDescent="0.3">
      <c r="G24" s="23"/>
      <c r="H24" s="3">
        <f>sous_traitance[[#This Row],[Prix]]*sous_traitance[[#This Row],[QTE]]</f>
        <v>0</v>
      </c>
    </row>
    <row r="25" spans="5:8" ht="15.75" thickBot="1" x14ac:dyDescent="0.3">
      <c r="G25" s="23"/>
      <c r="H25" s="3">
        <f>sous_traitance[[#This Row],[Prix]]*sous_traitance[[#This Row],[QTE]]</f>
        <v>0</v>
      </c>
    </row>
    <row r="26" spans="5:8" ht="15.75" thickBot="1" x14ac:dyDescent="0.3">
      <c r="G26" s="23"/>
      <c r="H26" s="3">
        <f>sous_traitance[[#This Row],[Prix]]*sous_traitance[[#This Row],[QTE]]</f>
        <v>0</v>
      </c>
    </row>
    <row r="27" spans="5:8" ht="15.75" thickBot="1" x14ac:dyDescent="0.3">
      <c r="G27" s="23"/>
      <c r="H27" s="3">
        <f>sous_traitance[[#This Row],[Prix]]*sous_traitance[[#This Row],[QTE]]</f>
        <v>0</v>
      </c>
    </row>
    <row r="28" spans="5:8" x14ac:dyDescent="0.25">
      <c r="G28" s="23"/>
      <c r="H28" s="3">
        <f>sous_traitance[[#This Row],[Prix]]*sous_traitance[[#This Row],[QTE]]</f>
        <v>0</v>
      </c>
    </row>
    <row r="29" spans="5:8" x14ac:dyDescent="0.25">
      <c r="E29" s="69"/>
      <c r="H29" s="69">
        <f>SUM(sous_traitance[Total])</f>
        <v>350</v>
      </c>
    </row>
  </sheetData>
  <mergeCells count="1">
    <mergeCell ref="B2:H2"/>
  </mergeCells>
  <dataValidations count="1">
    <dataValidation type="list" allowBlank="1" showInputMessage="1" showErrorMessage="1" sqref="G4:G28" xr:uid="{C9876B87-2B2F-4459-AEF5-D2D87F0FD0E8}">
      <formula1>uni_plom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7D027-4F22-4717-B9F8-85EA7E50AD8D}">
  <sheetPr codeName="Feuil5"/>
  <dimension ref="B1:F41"/>
  <sheetViews>
    <sheetView workbookViewId="0">
      <selection activeCell="F13" sqref="F13"/>
    </sheetView>
  </sheetViews>
  <sheetFormatPr baseColWidth="10" defaultColWidth="11.42578125" defaultRowHeight="15" x14ac:dyDescent="0.25"/>
  <cols>
    <col min="2" max="2" width="36.5703125" style="2" customWidth="1"/>
    <col min="3" max="3" width="9.28515625" style="2" customWidth="1"/>
    <col min="4" max="4" width="29.7109375" customWidth="1"/>
    <col min="5" max="5" width="4.140625" customWidth="1"/>
    <col min="6" max="6" width="64.5703125" customWidth="1"/>
  </cols>
  <sheetData>
    <row r="1" spans="2:6" x14ac:dyDescent="0.25">
      <c r="F1" s="28"/>
    </row>
    <row r="2" spans="2:6" x14ac:dyDescent="0.25">
      <c r="B2" s="2" t="s">
        <v>216</v>
      </c>
      <c r="C2" s="25" t="str">
        <f>'Démarrage de chantier'!D3</f>
        <v>Pav. D2, Scientifique</v>
      </c>
    </row>
    <row r="3" spans="2:6" ht="15.75" thickBot="1" x14ac:dyDescent="0.3"/>
    <row r="4" spans="2:6" ht="20.25" thickBot="1" x14ac:dyDescent="0.35">
      <c r="B4" s="103" t="s">
        <v>205</v>
      </c>
      <c r="C4" s="104"/>
      <c r="D4" s="105"/>
    </row>
    <row r="5" spans="2:6" ht="18" customHeight="1" x14ac:dyDescent="0.3">
      <c r="B5" s="139" t="s">
        <v>195</v>
      </c>
      <c r="C5" s="140"/>
      <c r="D5" s="141"/>
    </row>
    <row r="6" spans="2:6" ht="18" customHeight="1" x14ac:dyDescent="0.25">
      <c r="B6" s="19" t="s">
        <v>30</v>
      </c>
      <c r="C6" s="107"/>
      <c r="D6" s="20">
        <f>tab_mat_plom[[#Totals],[Total]]</f>
        <v>20786.339999999997</v>
      </c>
    </row>
    <row r="7" spans="2:6" ht="18" customHeight="1" x14ac:dyDescent="0.25">
      <c r="B7" s="21" t="s">
        <v>186</v>
      </c>
      <c r="C7" s="108"/>
      <c r="D7" s="22">
        <f>Tab_MD_plom[[#Totals],[Total]]</f>
        <v>3140</v>
      </c>
    </row>
    <row r="8" spans="2:6" ht="18" customHeight="1" thickBot="1" x14ac:dyDescent="0.3">
      <c r="B8" s="19" t="s">
        <v>32</v>
      </c>
      <c r="C8" s="107"/>
      <c r="D8" s="20">
        <f>tab_mob_plom[[#Totals],[Total]]</f>
        <v>0</v>
      </c>
    </row>
    <row r="9" spans="2:6" ht="18" customHeight="1" thickBot="1" x14ac:dyDescent="0.3">
      <c r="B9" s="21"/>
      <c r="C9" s="108"/>
      <c r="D9" s="106">
        <f>SUM(D6:D8)</f>
        <v>23926.339999999997</v>
      </c>
    </row>
    <row r="10" spans="2:6" ht="18" customHeight="1" x14ac:dyDescent="0.25">
      <c r="B10" s="116" t="s">
        <v>197</v>
      </c>
      <c r="C10" s="108"/>
      <c r="D10" s="83"/>
    </row>
    <row r="11" spans="2:6" ht="18" customHeight="1" x14ac:dyDescent="0.3">
      <c r="B11" s="117" t="s">
        <v>30</v>
      </c>
      <c r="C11" s="118"/>
      <c r="D11" s="119">
        <f>Tab_mat_vent[[#Totals],[Total]]</f>
        <v>20786.339999999997</v>
      </c>
    </row>
    <row r="12" spans="2:6" ht="18" customHeight="1" x14ac:dyDescent="0.3">
      <c r="B12" s="21" t="s">
        <v>186</v>
      </c>
      <c r="C12" s="102"/>
      <c r="D12" s="113">
        <f>Tab_MD_vent[[#Totals],[Total]]</f>
        <v>3140</v>
      </c>
    </row>
    <row r="13" spans="2:6" ht="18" customHeight="1" thickBot="1" x14ac:dyDescent="0.35">
      <c r="B13" s="117" t="s">
        <v>32</v>
      </c>
      <c r="C13" s="118"/>
      <c r="D13" s="119">
        <f>tab_mob_vent[[#Totals],[Total]]</f>
        <v>0</v>
      </c>
    </row>
    <row r="14" spans="2:6" ht="18" customHeight="1" thickBot="1" x14ac:dyDescent="0.35">
      <c r="B14" s="120"/>
      <c r="C14" s="102"/>
      <c r="D14" s="115">
        <f>SUM(D11:D13)</f>
        <v>23926.339999999997</v>
      </c>
    </row>
    <row r="15" spans="2:6" ht="18" customHeight="1" x14ac:dyDescent="0.25">
      <c r="B15" s="148" t="s">
        <v>238</v>
      </c>
      <c r="C15" s="108"/>
      <c r="D15" s="83"/>
    </row>
    <row r="16" spans="2:6" ht="18" customHeight="1" x14ac:dyDescent="0.25">
      <c r="B16" s="149" t="s">
        <v>30</v>
      </c>
      <c r="C16" s="150"/>
      <c r="D16" s="151">
        <f>Tab_mat_ref[[#Totals],[Total]]</f>
        <v>20786.339999999997</v>
      </c>
    </row>
    <row r="17" spans="2:4" ht="18" customHeight="1" x14ac:dyDescent="0.25">
      <c r="B17" s="21" t="s">
        <v>186</v>
      </c>
      <c r="C17" s="108"/>
      <c r="D17" s="109">
        <f>tab_MD_ref[[#Totals],[Total]]</f>
        <v>3140</v>
      </c>
    </row>
    <row r="18" spans="2:4" ht="18" customHeight="1" thickBot="1" x14ac:dyDescent="0.3">
      <c r="B18" s="149" t="s">
        <v>32</v>
      </c>
      <c r="C18" s="150"/>
      <c r="D18" s="151">
        <f>tab_mob_ref[[#Totals],[Total]]</f>
        <v>0</v>
      </c>
    </row>
    <row r="19" spans="2:4" ht="18" customHeight="1" thickBot="1" x14ac:dyDescent="0.3">
      <c r="B19" s="21"/>
      <c r="C19" s="108"/>
      <c r="D19" s="106">
        <f>SUM(D16:D18)</f>
        <v>23926.339999999997</v>
      </c>
    </row>
    <row r="20" spans="2:4" ht="18" customHeight="1" x14ac:dyDescent="0.3">
      <c r="B20" s="121" t="s">
        <v>201</v>
      </c>
      <c r="C20" s="102"/>
      <c r="D20" s="114"/>
    </row>
    <row r="21" spans="2:4" ht="18" customHeight="1" x14ac:dyDescent="0.3">
      <c r="B21" s="122" t="s">
        <v>30</v>
      </c>
      <c r="C21" s="123"/>
      <c r="D21" s="124">
        <f>Tab_mat_geo[[#Totals],[Total]]</f>
        <v>20786.339999999997</v>
      </c>
    </row>
    <row r="22" spans="2:4" ht="18" customHeight="1" x14ac:dyDescent="0.3">
      <c r="B22" s="112" t="s">
        <v>186</v>
      </c>
      <c r="C22" s="102"/>
      <c r="D22" s="113">
        <f>Tab_MD_geo[[#Totals],[Total]]</f>
        <v>3140</v>
      </c>
    </row>
    <row r="23" spans="2:4" ht="18" customHeight="1" thickBot="1" x14ac:dyDescent="0.3">
      <c r="B23" s="122" t="s">
        <v>32</v>
      </c>
      <c r="C23" s="125"/>
      <c r="D23" s="126">
        <f>tab_mob_geo[[#Totals],[Total]]</f>
        <v>0</v>
      </c>
    </row>
    <row r="24" spans="2:4" ht="18.75" customHeight="1" thickBot="1" x14ac:dyDescent="0.3">
      <c r="B24" s="111"/>
      <c r="C24" s="108"/>
      <c r="D24" s="106">
        <f>SUM(D21:D23)</f>
        <v>23926.339999999997</v>
      </c>
    </row>
    <row r="25" spans="2:4" ht="12" customHeight="1" thickBot="1" x14ac:dyDescent="0.3">
      <c r="B25" s="111"/>
      <c r="C25" s="108"/>
      <c r="D25" s="110"/>
    </row>
    <row r="26" spans="2:4" ht="18" customHeight="1" thickBot="1" x14ac:dyDescent="0.35">
      <c r="B26" s="111" t="s">
        <v>236</v>
      </c>
      <c r="C26" s="108"/>
      <c r="D26" s="145">
        <f>D9+D14+D24+D19</f>
        <v>95705.359999999986</v>
      </c>
    </row>
    <row r="27" spans="2:4" ht="18" customHeight="1" thickBot="1" x14ac:dyDescent="0.3">
      <c r="B27" s="21" t="s">
        <v>190</v>
      </c>
      <c r="C27" s="108"/>
      <c r="D27" s="110"/>
    </row>
    <row r="28" spans="2:4" ht="18" customHeight="1" thickBot="1" x14ac:dyDescent="0.3">
      <c r="B28" s="120" t="s">
        <v>191</v>
      </c>
      <c r="C28" s="143">
        <v>0.2</v>
      </c>
      <c r="D28" s="130">
        <f>D26*C28</f>
        <v>19141.071999999996</v>
      </c>
    </row>
    <row r="29" spans="2:4" ht="18" customHeight="1" thickBot="1" x14ac:dyDescent="0.35">
      <c r="B29" s="120" t="s">
        <v>236</v>
      </c>
      <c r="C29" s="132"/>
      <c r="D29" s="146">
        <f>SUM(D26:D28)</f>
        <v>114846.43199999999</v>
      </c>
    </row>
    <row r="30" spans="2:4" ht="18" customHeight="1" x14ac:dyDescent="0.25">
      <c r="B30" s="131" t="s">
        <v>187</v>
      </c>
      <c r="C30" s="108"/>
      <c r="D30" s="22">
        <f>Cond_gen[[#Totals],[Total]]</f>
        <v>0</v>
      </c>
    </row>
    <row r="31" spans="2:4" ht="18" customHeight="1" thickBot="1" x14ac:dyDescent="0.3">
      <c r="B31" s="133" t="s">
        <v>188</v>
      </c>
      <c r="C31" s="134"/>
      <c r="D31" s="135">
        <f>sous_traitance[[#Totals],[Total]]</f>
        <v>350</v>
      </c>
    </row>
    <row r="32" spans="2:4" ht="18" customHeight="1" thickBot="1" x14ac:dyDescent="0.3">
      <c r="B32" s="21" t="s">
        <v>191</v>
      </c>
      <c r="C32" s="143">
        <v>0.15</v>
      </c>
      <c r="D32" s="109">
        <f>SUM(D30:D31)*C32</f>
        <v>52.5</v>
      </c>
    </row>
    <row r="33" spans="2:6" ht="18" customHeight="1" thickBot="1" x14ac:dyDescent="0.35">
      <c r="B33" s="21" t="s">
        <v>237</v>
      </c>
      <c r="C33" s="138"/>
      <c r="D33" s="145">
        <f>D30+D31+D32</f>
        <v>402.5</v>
      </c>
    </row>
    <row r="34" spans="2:6" ht="12" customHeight="1" thickBot="1" x14ac:dyDescent="0.35">
      <c r="B34" s="21"/>
      <c r="C34" s="138"/>
      <c r="D34" s="142"/>
    </row>
    <row r="35" spans="2:6" ht="20.25" thickBot="1" x14ac:dyDescent="0.35">
      <c r="B35" s="136" t="s">
        <v>189</v>
      </c>
      <c r="C35" s="137"/>
      <c r="D35" s="144">
        <f>D29+D33</f>
        <v>115248.93199999999</v>
      </c>
    </row>
    <row r="37" spans="2:6" ht="15.75" thickBot="1" x14ac:dyDescent="0.3"/>
    <row r="38" spans="2:6" ht="20.25" thickBot="1" x14ac:dyDescent="0.35">
      <c r="B38" s="16" t="s">
        <v>189</v>
      </c>
      <c r="C38" s="17"/>
      <c r="D38" s="18">
        <f>D35</f>
        <v>115248.93199999999</v>
      </c>
      <c r="F38" t="str" cm="1">
        <f t="array" ref="F38">NombreEnLettres(D38)</f>
        <v>CENT QUINZE MILLE DEUX CENT QUARANTE HUIT</v>
      </c>
    </row>
    <row r="39" spans="2:6" x14ac:dyDescent="0.25">
      <c r="B39" s="21"/>
      <c r="C39" s="127" t="s">
        <v>192</v>
      </c>
      <c r="D39" s="128">
        <f>D38*0.05</f>
        <v>5762.4465999999993</v>
      </c>
    </row>
    <row r="40" spans="2:6" ht="15.75" thickBot="1" x14ac:dyDescent="0.3">
      <c r="B40" s="21"/>
      <c r="C40" s="127" t="s">
        <v>193</v>
      </c>
      <c r="D40" s="129">
        <f>D38*0.09975</f>
        <v>11496.080967</v>
      </c>
    </row>
    <row r="41" spans="2:6" ht="24" customHeight="1" thickBot="1" x14ac:dyDescent="0.35">
      <c r="B41" s="16" t="s">
        <v>39</v>
      </c>
      <c r="C41" s="17"/>
      <c r="D41" s="18">
        <f>SUM(D38:D40)</f>
        <v>132507.45956699998</v>
      </c>
      <c r="F41" t="str" cm="1">
        <f t="array" ref="F41">NombreEnLettres(D41)</f>
        <v>CENT TRENTE DEUX MILLE CINQ CENT SEPT</v>
      </c>
    </row>
  </sheetData>
  <mergeCells count="1">
    <mergeCell ref="B4:D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99FF0-8409-43F0-A8A2-CB3D6FB801F0}">
  <sheetPr codeName="Feuil6"/>
  <dimension ref="B2:L27"/>
  <sheetViews>
    <sheetView workbookViewId="0">
      <selection activeCell="B2" sqref="B2:L2"/>
    </sheetView>
  </sheetViews>
  <sheetFormatPr baseColWidth="10" defaultRowHeight="15" x14ac:dyDescent="0.25"/>
  <cols>
    <col min="3" max="3" width="44.28515625" customWidth="1"/>
    <col min="4" max="4" width="25.85546875" customWidth="1"/>
    <col min="5" max="5" width="4.7109375" customWidth="1"/>
    <col min="7" max="7" width="30.28515625" customWidth="1"/>
    <col min="8" max="8" width="17.42578125" customWidth="1"/>
    <col min="9" max="9" width="3.85546875" customWidth="1"/>
    <col min="11" max="11" width="40.85546875" customWidth="1"/>
    <col min="12" max="12" width="18.85546875" customWidth="1"/>
  </cols>
  <sheetData>
    <row r="2" spans="2:12" x14ac:dyDescent="0.25">
      <c r="B2" s="79" t="s">
        <v>227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4" spans="2:12" x14ac:dyDescent="0.25">
      <c r="B4" s="26" t="s">
        <v>217</v>
      </c>
      <c r="C4" s="26" t="s">
        <v>218</v>
      </c>
      <c r="D4" s="26" t="s">
        <v>219</v>
      </c>
      <c r="F4" s="26" t="s">
        <v>217</v>
      </c>
      <c r="G4" s="26" t="s">
        <v>220</v>
      </c>
      <c r="H4" s="26" t="s">
        <v>219</v>
      </c>
      <c r="J4" s="26" t="s">
        <v>217</v>
      </c>
      <c r="K4" s="26" t="s">
        <v>221</v>
      </c>
      <c r="L4" s="26" t="s">
        <v>219</v>
      </c>
    </row>
    <row r="5" spans="2:12" x14ac:dyDescent="0.25">
      <c r="B5" s="26"/>
      <c r="C5" s="26" t="s">
        <v>222</v>
      </c>
      <c r="D5" s="27" t="s">
        <v>223</v>
      </c>
      <c r="F5" s="26"/>
      <c r="G5" s="26"/>
      <c r="H5" s="26"/>
      <c r="J5" s="26"/>
      <c r="K5" s="26"/>
      <c r="L5" s="26"/>
    </row>
    <row r="6" spans="2:12" x14ac:dyDescent="0.25">
      <c r="B6" s="26"/>
      <c r="C6" s="26"/>
      <c r="D6" s="26"/>
      <c r="F6" s="26"/>
      <c r="G6" s="26"/>
      <c r="H6" s="26"/>
      <c r="J6" s="26"/>
      <c r="K6" s="26"/>
      <c r="L6" s="26"/>
    </row>
    <row r="7" spans="2:12" x14ac:dyDescent="0.25">
      <c r="B7" s="26"/>
      <c r="C7" s="26"/>
      <c r="D7" s="26"/>
      <c r="F7" s="26"/>
      <c r="G7" s="26"/>
      <c r="H7" s="26"/>
      <c r="J7" s="26"/>
      <c r="K7" s="26"/>
      <c r="L7" s="26"/>
    </row>
    <row r="8" spans="2:12" x14ac:dyDescent="0.25">
      <c r="B8" s="26"/>
      <c r="C8" s="26"/>
      <c r="D8" s="26"/>
      <c r="F8" s="26"/>
      <c r="G8" s="26"/>
      <c r="H8" s="26"/>
      <c r="J8" s="26"/>
      <c r="K8" s="26"/>
      <c r="L8" s="26"/>
    </row>
    <row r="9" spans="2:12" x14ac:dyDescent="0.25">
      <c r="B9" s="26"/>
      <c r="C9" s="26"/>
      <c r="D9" s="26"/>
      <c r="F9" s="26"/>
      <c r="G9" s="26"/>
      <c r="H9" s="26"/>
      <c r="J9" s="26"/>
      <c r="K9" s="26"/>
      <c r="L9" s="26"/>
    </row>
    <row r="10" spans="2:12" x14ac:dyDescent="0.25">
      <c r="B10" s="26"/>
      <c r="C10" s="26"/>
      <c r="D10" s="26"/>
      <c r="F10" s="26"/>
      <c r="G10" s="26"/>
      <c r="H10" s="26"/>
      <c r="J10" s="26"/>
      <c r="K10" s="26"/>
      <c r="L10" s="26"/>
    </row>
    <row r="11" spans="2:12" x14ac:dyDescent="0.25">
      <c r="B11" s="26"/>
      <c r="C11" s="26"/>
      <c r="D11" s="26"/>
      <c r="F11" s="26"/>
      <c r="G11" s="26"/>
      <c r="H11" s="26"/>
      <c r="J11" s="26"/>
      <c r="K11" s="26"/>
      <c r="L11" s="26"/>
    </row>
    <row r="12" spans="2:12" x14ac:dyDescent="0.25">
      <c r="B12" s="26"/>
      <c r="C12" s="26"/>
      <c r="D12" s="26"/>
      <c r="F12" s="26"/>
      <c r="G12" s="26"/>
      <c r="H12" s="26"/>
      <c r="J12" s="26"/>
      <c r="K12" s="26"/>
      <c r="L12" s="26"/>
    </row>
    <row r="13" spans="2:12" x14ac:dyDescent="0.25">
      <c r="B13" s="26"/>
      <c r="C13" s="26"/>
      <c r="D13" s="26"/>
      <c r="F13" s="26"/>
      <c r="G13" s="26"/>
      <c r="H13" s="26"/>
      <c r="J13" s="26"/>
      <c r="K13" s="26"/>
      <c r="L13" s="26"/>
    </row>
    <row r="14" spans="2:12" x14ac:dyDescent="0.25">
      <c r="B14" s="26"/>
      <c r="C14" s="26"/>
      <c r="D14" s="26"/>
      <c r="F14" s="26"/>
      <c r="G14" s="26"/>
      <c r="H14" s="26"/>
      <c r="J14" s="26"/>
      <c r="K14" s="26"/>
      <c r="L14" s="26"/>
    </row>
    <row r="15" spans="2:12" x14ac:dyDescent="0.25">
      <c r="B15" s="26"/>
      <c r="C15" s="26"/>
      <c r="D15" s="26"/>
      <c r="F15" s="26"/>
      <c r="G15" s="26"/>
      <c r="H15" s="26"/>
      <c r="J15" s="26"/>
      <c r="K15" s="26"/>
      <c r="L15" s="26"/>
    </row>
    <row r="16" spans="2:12" x14ac:dyDescent="0.25">
      <c r="B16" s="26"/>
      <c r="C16" s="26"/>
      <c r="D16" s="26"/>
      <c r="F16" s="26"/>
      <c r="G16" s="26"/>
      <c r="H16" s="26"/>
      <c r="J16" s="26"/>
      <c r="K16" s="26"/>
      <c r="L16" s="26"/>
    </row>
    <row r="17" spans="2:12" x14ac:dyDescent="0.25">
      <c r="B17" s="26"/>
      <c r="C17" s="26"/>
      <c r="D17" s="26"/>
      <c r="F17" s="26"/>
      <c r="G17" s="26"/>
      <c r="H17" s="26"/>
      <c r="J17" s="26"/>
      <c r="K17" s="26"/>
      <c r="L17" s="26"/>
    </row>
    <row r="18" spans="2:12" x14ac:dyDescent="0.25">
      <c r="B18" s="26"/>
      <c r="C18" s="26"/>
      <c r="D18" s="26"/>
      <c r="F18" s="26"/>
      <c r="G18" s="26"/>
      <c r="H18" s="26"/>
      <c r="J18" s="26"/>
      <c r="K18" s="26"/>
      <c r="L18" s="26"/>
    </row>
    <row r="19" spans="2:12" x14ac:dyDescent="0.25">
      <c r="B19" s="26"/>
      <c r="C19" s="26"/>
      <c r="D19" s="26"/>
      <c r="F19" s="26"/>
      <c r="G19" s="26"/>
      <c r="H19" s="26"/>
      <c r="J19" s="26"/>
      <c r="K19" s="26"/>
      <c r="L19" s="26"/>
    </row>
    <row r="20" spans="2:12" x14ac:dyDescent="0.25">
      <c r="B20" s="26"/>
      <c r="C20" s="26"/>
      <c r="D20" s="26"/>
      <c r="F20" s="26"/>
      <c r="G20" s="26"/>
      <c r="H20" s="26"/>
      <c r="J20" s="26"/>
      <c r="K20" s="26"/>
      <c r="L20" s="26"/>
    </row>
    <row r="21" spans="2:12" x14ac:dyDescent="0.25">
      <c r="B21" s="26"/>
      <c r="C21" s="26"/>
      <c r="D21" s="26"/>
      <c r="F21" s="26"/>
      <c r="G21" s="26"/>
      <c r="H21" s="26"/>
      <c r="J21" s="26"/>
      <c r="K21" s="26"/>
      <c r="L21" s="26"/>
    </row>
    <row r="22" spans="2:12" x14ac:dyDescent="0.25">
      <c r="B22" s="26"/>
      <c r="C22" s="26"/>
      <c r="D22" s="26"/>
      <c r="F22" s="26"/>
      <c r="G22" s="26"/>
      <c r="H22" s="26"/>
      <c r="J22" s="26"/>
      <c r="K22" s="26"/>
      <c r="L22" s="26"/>
    </row>
    <row r="23" spans="2:12" x14ac:dyDescent="0.25">
      <c r="B23" s="26"/>
      <c r="C23" s="26"/>
      <c r="D23" s="26"/>
      <c r="F23" s="26"/>
      <c r="G23" s="26"/>
      <c r="H23" s="26"/>
      <c r="J23" s="26"/>
      <c r="K23" s="26"/>
      <c r="L23" s="26"/>
    </row>
    <row r="24" spans="2:12" x14ac:dyDescent="0.25">
      <c r="B24" s="26"/>
      <c r="C24" s="26"/>
      <c r="D24" s="26"/>
      <c r="F24" s="26"/>
      <c r="G24" s="26"/>
      <c r="H24" s="26"/>
      <c r="J24" s="26"/>
      <c r="K24" s="26"/>
      <c r="L24" s="26"/>
    </row>
    <row r="25" spans="2:12" x14ac:dyDescent="0.25">
      <c r="B25" s="26"/>
      <c r="C25" s="26"/>
      <c r="D25" s="26"/>
      <c r="F25" s="26"/>
      <c r="G25" s="26"/>
      <c r="H25" s="26"/>
      <c r="J25" s="26"/>
      <c r="K25" s="26"/>
      <c r="L25" s="26"/>
    </row>
    <row r="26" spans="2:12" x14ac:dyDescent="0.25">
      <c r="B26" s="26"/>
      <c r="C26" s="26"/>
      <c r="D26" s="26"/>
      <c r="F26" s="26"/>
      <c r="G26" s="26"/>
      <c r="H26" s="26"/>
      <c r="J26" s="26"/>
      <c r="K26" s="26"/>
      <c r="L26" s="26"/>
    </row>
    <row r="27" spans="2:12" x14ac:dyDescent="0.25">
      <c r="B27" s="26"/>
      <c r="C27" s="26"/>
      <c r="D27" s="26"/>
      <c r="F27" s="26"/>
      <c r="G27" s="26"/>
      <c r="H27" s="26"/>
      <c r="J27" s="26"/>
      <c r="K27" s="26"/>
      <c r="L27" s="26"/>
    </row>
  </sheetData>
  <mergeCells count="1">
    <mergeCell ref="B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4BDD-C127-4166-8C11-DE4A7995188F}">
  <sheetPr codeName="Feuil8"/>
  <dimension ref="B2:G12"/>
  <sheetViews>
    <sheetView workbookViewId="0">
      <selection activeCell="B5" sqref="B5"/>
    </sheetView>
  </sheetViews>
  <sheetFormatPr baseColWidth="10" defaultColWidth="9.140625" defaultRowHeight="15" x14ac:dyDescent="0.25"/>
  <cols>
    <col min="2" max="2" width="32" customWidth="1"/>
    <col min="3" max="4" width="48.42578125" customWidth="1"/>
    <col min="5" max="5" width="37.7109375" customWidth="1"/>
    <col min="6" max="6" width="39.42578125" customWidth="1"/>
    <col min="7" max="7" width="38.140625" customWidth="1"/>
    <col min="8" max="8" width="35.140625" customWidth="1"/>
  </cols>
  <sheetData>
    <row r="2" spans="2:7" x14ac:dyDescent="0.25">
      <c r="B2" s="13" t="s">
        <v>142</v>
      </c>
      <c r="C2" s="13" t="s">
        <v>141</v>
      </c>
      <c r="D2" s="13" t="s">
        <v>203</v>
      </c>
      <c r="E2" s="13" t="s">
        <v>143</v>
      </c>
      <c r="F2" s="13" t="s">
        <v>144</v>
      </c>
      <c r="G2" s="13" t="s">
        <v>145</v>
      </c>
    </row>
    <row r="3" spans="2:7" x14ac:dyDescent="0.25">
      <c r="B3" s="13" t="s">
        <v>28</v>
      </c>
      <c r="C3" s="13" t="s">
        <v>146</v>
      </c>
      <c r="D3" s="13"/>
      <c r="E3" s="13" t="s">
        <v>147</v>
      </c>
      <c r="F3" s="14" t="s">
        <v>148</v>
      </c>
      <c r="G3" s="13" t="s">
        <v>149</v>
      </c>
    </row>
    <row r="4" spans="2:7" x14ac:dyDescent="0.25">
      <c r="B4" s="13" t="s">
        <v>24</v>
      </c>
      <c r="C4" s="13" t="s">
        <v>150</v>
      </c>
      <c r="D4" s="13" t="s">
        <v>204</v>
      </c>
      <c r="E4" s="13" t="s">
        <v>151</v>
      </c>
      <c r="F4" s="14" t="s">
        <v>152</v>
      </c>
      <c r="G4" s="13" t="s">
        <v>153</v>
      </c>
    </row>
    <row r="5" spans="2:7" x14ac:dyDescent="0.25">
      <c r="B5" s="13" t="s">
        <v>155</v>
      </c>
      <c r="C5" s="13" t="s">
        <v>154</v>
      </c>
      <c r="D5" s="13"/>
      <c r="E5" s="13" t="s">
        <v>156</v>
      </c>
      <c r="F5" s="14" t="s">
        <v>157</v>
      </c>
      <c r="G5" s="13" t="s">
        <v>158</v>
      </c>
    </row>
    <row r="6" spans="2:7" x14ac:dyDescent="0.25">
      <c r="B6" s="13" t="s">
        <v>160</v>
      </c>
      <c r="C6" s="13" t="s">
        <v>159</v>
      </c>
      <c r="D6" s="13"/>
      <c r="E6" s="13" t="s">
        <v>161</v>
      </c>
      <c r="F6" s="14" t="s">
        <v>162</v>
      </c>
      <c r="G6" s="13" t="s">
        <v>153</v>
      </c>
    </row>
    <row r="7" spans="2:7" x14ac:dyDescent="0.25">
      <c r="B7" s="13" t="s">
        <v>155</v>
      </c>
      <c r="C7" s="13" t="s">
        <v>163</v>
      </c>
      <c r="D7" s="13"/>
      <c r="E7" s="13" t="s">
        <v>164</v>
      </c>
      <c r="F7" s="14" t="s">
        <v>165</v>
      </c>
      <c r="G7" s="13" t="s">
        <v>166</v>
      </c>
    </row>
    <row r="8" spans="2:7" x14ac:dyDescent="0.25">
      <c r="B8" s="13" t="s">
        <v>155</v>
      </c>
      <c r="C8" s="13" t="s">
        <v>167</v>
      </c>
      <c r="D8" s="13"/>
      <c r="E8" s="13" t="s">
        <v>168</v>
      </c>
      <c r="F8" s="14" t="s">
        <v>169</v>
      </c>
      <c r="G8" s="13" t="s">
        <v>170</v>
      </c>
    </row>
    <row r="9" spans="2:7" x14ac:dyDescent="0.25">
      <c r="B9" s="13" t="s">
        <v>28</v>
      </c>
      <c r="C9" s="13" t="s">
        <v>171</v>
      </c>
      <c r="D9" s="13"/>
      <c r="E9" s="13" t="s">
        <v>172</v>
      </c>
      <c r="F9" s="14" t="s">
        <v>173</v>
      </c>
      <c r="G9" s="13" t="s">
        <v>174</v>
      </c>
    </row>
    <row r="10" spans="2:7" x14ac:dyDescent="0.25">
      <c r="B10" s="13" t="s">
        <v>28</v>
      </c>
      <c r="C10" s="13" t="s">
        <v>175</v>
      </c>
      <c r="D10" s="13"/>
      <c r="E10" s="13" t="s">
        <v>176</v>
      </c>
      <c r="F10" s="13" t="s">
        <v>177</v>
      </c>
      <c r="G10" s="13" t="s">
        <v>153</v>
      </c>
    </row>
    <row r="11" spans="2:7" x14ac:dyDescent="0.25">
      <c r="B11" s="13" t="s">
        <v>179</v>
      </c>
      <c r="C11" s="13" t="s">
        <v>178</v>
      </c>
      <c r="D11" s="13"/>
      <c r="E11" s="13" t="s">
        <v>180</v>
      </c>
      <c r="F11" s="13" t="s">
        <v>181</v>
      </c>
      <c r="G11" s="13" t="s">
        <v>153</v>
      </c>
    </row>
    <row r="12" spans="2:7" x14ac:dyDescent="0.25">
      <c r="B12" s="13" t="s">
        <v>183</v>
      </c>
      <c r="C12" s="13" t="s">
        <v>182</v>
      </c>
      <c r="D12" s="13"/>
      <c r="E12" s="13" t="s">
        <v>184</v>
      </c>
      <c r="F12" s="13" t="s">
        <v>185</v>
      </c>
      <c r="G12" s="13" t="s">
        <v>153</v>
      </c>
    </row>
  </sheetData>
  <hyperlinks>
    <hyperlink ref="F3" r:id="rId1" xr:uid="{0C1B3E61-67D3-4428-9990-95928C4CCF48}"/>
    <hyperlink ref="F4" r:id="rId2" xr:uid="{A3ACA703-31E4-4EF5-8FA2-E4C630FA787A}"/>
    <hyperlink ref="F5" r:id="rId3" xr:uid="{1A06E8C1-E235-44DE-8536-E73DC4E73249}"/>
    <hyperlink ref="F6" r:id="rId4" xr:uid="{1D5A85E4-7C78-440A-AF27-A44B8E063B69}"/>
    <hyperlink ref="F7" r:id="rId5" xr:uid="{1C971031-1F94-45DE-926B-C34C61E044E5}"/>
    <hyperlink ref="F8" r:id="rId6" xr:uid="{596AC561-D4FF-4F50-8398-2C49B5F4D91E}"/>
    <hyperlink ref="F9" r:id="rId7" xr:uid="{0AEA1CEF-1547-43E1-A077-4403EC0F37E2}"/>
  </hyperlinks>
  <pageMargins left="0.7" right="0.7" top="0.75" bottom="0.75" header="0.3" footer="0.3"/>
  <tableParts count="1">
    <tablePart r:id="rId8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3574-565D-4D4B-BC98-F1915A78F6A0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2DB60-6E2A-4230-868B-98059871A645}">
  <sheetPr codeName="Feuil9"/>
  <dimension ref="A1:Q34"/>
  <sheetViews>
    <sheetView tabSelected="1" workbookViewId="0">
      <selection activeCell="P3" sqref="P3"/>
    </sheetView>
  </sheetViews>
  <sheetFormatPr baseColWidth="10" defaultColWidth="11.42578125" defaultRowHeight="15" x14ac:dyDescent="0.25"/>
  <cols>
    <col min="1" max="1" width="23.42578125" customWidth="1"/>
    <col min="2" max="2" width="2.42578125" customWidth="1"/>
    <col min="3" max="3" width="14.42578125" customWidth="1"/>
    <col min="5" max="5" width="3.140625" customWidth="1"/>
    <col min="6" max="6" width="13" customWidth="1"/>
    <col min="7" max="7" width="2.7109375" customWidth="1"/>
    <col min="8" max="8" width="13" customWidth="1"/>
    <col min="9" max="9" width="3.28515625" customWidth="1"/>
    <col min="11" max="11" width="3" customWidth="1"/>
    <col min="12" max="13" width="18.7109375" customWidth="1"/>
    <col min="15" max="15" width="3.42578125" customWidth="1"/>
    <col min="16" max="16" width="16.5703125" customWidth="1"/>
  </cols>
  <sheetData>
    <row r="1" spans="1:17" x14ac:dyDescent="0.25">
      <c r="A1" s="1" t="s">
        <v>138</v>
      </c>
      <c r="C1" t="s">
        <v>43</v>
      </c>
      <c r="D1" t="s">
        <v>266</v>
      </c>
      <c r="F1" t="s">
        <v>45</v>
      </c>
      <c r="H1" t="s">
        <v>194</v>
      </c>
      <c r="J1" t="s">
        <v>207</v>
      </c>
      <c r="L1" t="s">
        <v>264</v>
      </c>
      <c r="M1" t="s">
        <v>265</v>
      </c>
      <c r="N1" t="s">
        <v>35</v>
      </c>
      <c r="P1" t="s">
        <v>267</v>
      </c>
      <c r="Q1" t="s">
        <v>268</v>
      </c>
    </row>
    <row r="2" spans="1:17" x14ac:dyDescent="0.25">
      <c r="A2" s="1" t="s">
        <v>195</v>
      </c>
      <c r="C2" t="s">
        <v>52</v>
      </c>
      <c r="D2" s="3">
        <v>80</v>
      </c>
      <c r="F2" t="s">
        <v>196</v>
      </c>
      <c r="H2">
        <v>0.57999999999999996</v>
      </c>
      <c r="J2" t="s">
        <v>208</v>
      </c>
      <c r="L2" t="s">
        <v>239</v>
      </c>
      <c r="M2" t="s">
        <v>240</v>
      </c>
      <c r="N2">
        <v>2</v>
      </c>
      <c r="P2" t="s">
        <v>263</v>
      </c>
      <c r="Q2">
        <v>0.25</v>
      </c>
    </row>
    <row r="3" spans="1:17" x14ac:dyDescent="0.25">
      <c r="A3" s="1" t="s">
        <v>197</v>
      </c>
      <c r="C3" t="s">
        <v>198</v>
      </c>
      <c r="D3" s="3">
        <v>80</v>
      </c>
      <c r="F3" t="s">
        <v>32</v>
      </c>
      <c r="J3" t="s">
        <v>97</v>
      </c>
      <c r="L3" t="s">
        <v>239</v>
      </c>
      <c r="M3" t="s">
        <v>241</v>
      </c>
      <c r="N3">
        <v>2</v>
      </c>
    </row>
    <row r="4" spans="1:17" x14ac:dyDescent="0.25">
      <c r="A4" s="1" t="s">
        <v>199</v>
      </c>
      <c r="C4" t="s">
        <v>200</v>
      </c>
      <c r="D4" s="3">
        <v>80</v>
      </c>
      <c r="J4" t="s">
        <v>210</v>
      </c>
      <c r="L4" t="s">
        <v>239</v>
      </c>
      <c r="M4" t="s">
        <v>242</v>
      </c>
      <c r="N4">
        <v>2</v>
      </c>
    </row>
    <row r="5" spans="1:17" x14ac:dyDescent="0.25">
      <c r="A5" s="1" t="s">
        <v>201</v>
      </c>
      <c r="C5" t="s">
        <v>202</v>
      </c>
      <c r="D5" s="3">
        <v>60</v>
      </c>
      <c r="J5" t="s">
        <v>213</v>
      </c>
      <c r="L5" t="s">
        <v>239</v>
      </c>
      <c r="M5" t="s">
        <v>243</v>
      </c>
      <c r="N5">
        <v>2</v>
      </c>
    </row>
    <row r="6" spans="1:17" x14ac:dyDescent="0.25">
      <c r="J6" t="s">
        <v>214</v>
      </c>
      <c r="L6" t="s">
        <v>239</v>
      </c>
      <c r="M6" t="s">
        <v>244</v>
      </c>
      <c r="N6">
        <v>2</v>
      </c>
    </row>
    <row r="7" spans="1:17" x14ac:dyDescent="0.25">
      <c r="J7" t="s">
        <v>209</v>
      </c>
      <c r="L7" t="s">
        <v>245</v>
      </c>
      <c r="M7" t="s">
        <v>246</v>
      </c>
      <c r="N7">
        <v>4</v>
      </c>
    </row>
    <row r="8" spans="1:17" x14ac:dyDescent="0.25">
      <c r="J8" t="s">
        <v>211</v>
      </c>
      <c r="L8" t="s">
        <v>245</v>
      </c>
      <c r="M8" t="s">
        <v>241</v>
      </c>
      <c r="N8">
        <v>4</v>
      </c>
    </row>
    <row r="9" spans="1:17" x14ac:dyDescent="0.25">
      <c r="J9" t="s">
        <v>212</v>
      </c>
      <c r="L9" t="s">
        <v>245</v>
      </c>
      <c r="M9" t="s">
        <v>247</v>
      </c>
      <c r="N9">
        <v>2</v>
      </c>
    </row>
    <row r="10" spans="1:17" x14ac:dyDescent="0.25">
      <c r="J10" t="s">
        <v>98</v>
      </c>
      <c r="L10" t="s">
        <v>245</v>
      </c>
      <c r="M10" t="s">
        <v>243</v>
      </c>
      <c r="N10">
        <v>4</v>
      </c>
    </row>
    <row r="11" spans="1:17" x14ac:dyDescent="0.25">
      <c r="J11" t="s">
        <v>224</v>
      </c>
      <c r="L11" t="s">
        <v>245</v>
      </c>
      <c r="M11" t="s">
        <v>244</v>
      </c>
      <c r="N11">
        <v>2</v>
      </c>
    </row>
    <row r="12" spans="1:17" x14ac:dyDescent="0.25">
      <c r="J12" t="s">
        <v>225</v>
      </c>
      <c r="L12" t="s">
        <v>245</v>
      </c>
      <c r="M12" t="s">
        <v>248</v>
      </c>
      <c r="N12">
        <v>2</v>
      </c>
    </row>
    <row r="13" spans="1:17" x14ac:dyDescent="0.25">
      <c r="J13" t="s">
        <v>226</v>
      </c>
      <c r="L13" t="s">
        <v>249</v>
      </c>
      <c r="M13" t="s">
        <v>250</v>
      </c>
      <c r="N13">
        <v>2</v>
      </c>
    </row>
    <row r="14" spans="1:17" x14ac:dyDescent="0.25">
      <c r="L14" t="s">
        <v>249</v>
      </c>
      <c r="M14" t="s">
        <v>251</v>
      </c>
      <c r="N14">
        <v>4</v>
      </c>
    </row>
    <row r="15" spans="1:17" x14ac:dyDescent="0.25">
      <c r="L15" t="s">
        <v>249</v>
      </c>
      <c r="M15" t="s">
        <v>244</v>
      </c>
      <c r="N15">
        <v>2</v>
      </c>
    </row>
    <row r="16" spans="1:17" x14ac:dyDescent="0.25">
      <c r="L16" t="s">
        <v>249</v>
      </c>
      <c r="M16" t="s">
        <v>248</v>
      </c>
      <c r="N16">
        <v>2</v>
      </c>
    </row>
    <row r="17" spans="12:14" x14ac:dyDescent="0.25">
      <c r="L17" t="s">
        <v>252</v>
      </c>
      <c r="M17" t="s">
        <v>253</v>
      </c>
      <c r="N17">
        <v>1</v>
      </c>
    </row>
    <row r="18" spans="12:14" x14ac:dyDescent="0.25">
      <c r="L18" t="s">
        <v>252</v>
      </c>
      <c r="M18" t="s">
        <v>251</v>
      </c>
      <c r="N18">
        <v>2</v>
      </c>
    </row>
    <row r="19" spans="12:14" x14ac:dyDescent="0.25">
      <c r="L19" t="s">
        <v>252</v>
      </c>
      <c r="M19" t="s">
        <v>244</v>
      </c>
      <c r="N19">
        <v>1</v>
      </c>
    </row>
    <row r="20" spans="12:14" x14ac:dyDescent="0.25">
      <c r="L20" t="s">
        <v>252</v>
      </c>
      <c r="M20" t="s">
        <v>248</v>
      </c>
      <c r="N20">
        <v>1</v>
      </c>
    </row>
    <row r="21" spans="12:14" x14ac:dyDescent="0.25">
      <c r="L21" t="s">
        <v>254</v>
      </c>
      <c r="M21" t="s">
        <v>255</v>
      </c>
      <c r="N21">
        <v>2</v>
      </c>
    </row>
    <row r="22" spans="12:14" x14ac:dyDescent="0.25">
      <c r="L22" t="s">
        <v>254</v>
      </c>
      <c r="M22" t="s">
        <v>241</v>
      </c>
      <c r="N22">
        <v>4</v>
      </c>
    </row>
    <row r="23" spans="12:14" x14ac:dyDescent="0.25">
      <c r="L23" t="s">
        <v>254</v>
      </c>
      <c r="M23" t="s">
        <v>256</v>
      </c>
      <c r="N23">
        <v>2</v>
      </c>
    </row>
    <row r="24" spans="12:14" x14ac:dyDescent="0.25">
      <c r="L24" t="s">
        <v>254</v>
      </c>
      <c r="M24" t="s">
        <v>257</v>
      </c>
      <c r="N24">
        <v>1</v>
      </c>
    </row>
    <row r="25" spans="12:14" x14ac:dyDescent="0.25">
      <c r="L25" t="s">
        <v>254</v>
      </c>
      <c r="M25" t="s">
        <v>244</v>
      </c>
      <c r="N25">
        <v>2</v>
      </c>
    </row>
    <row r="26" spans="12:14" x14ac:dyDescent="0.25">
      <c r="L26" t="s">
        <v>254</v>
      </c>
      <c r="M26" t="s">
        <v>248</v>
      </c>
      <c r="N26">
        <v>2</v>
      </c>
    </row>
    <row r="27" spans="12:14" x14ac:dyDescent="0.25">
      <c r="L27" t="s">
        <v>258</v>
      </c>
      <c r="M27" t="s">
        <v>240</v>
      </c>
      <c r="N27">
        <v>2</v>
      </c>
    </row>
    <row r="28" spans="12:14" x14ac:dyDescent="0.25">
      <c r="L28" t="s">
        <v>258</v>
      </c>
      <c r="M28" t="s">
        <v>259</v>
      </c>
      <c r="N28">
        <v>2</v>
      </c>
    </row>
    <row r="29" spans="12:14" x14ac:dyDescent="0.25">
      <c r="L29" t="s">
        <v>260</v>
      </c>
      <c r="M29" t="s">
        <v>261</v>
      </c>
      <c r="N29">
        <v>1</v>
      </c>
    </row>
    <row r="30" spans="12:14" x14ac:dyDescent="0.25">
      <c r="L30" t="s">
        <v>260</v>
      </c>
      <c r="M30" t="s">
        <v>251</v>
      </c>
      <c r="N30">
        <v>2</v>
      </c>
    </row>
    <row r="31" spans="12:14" x14ac:dyDescent="0.25">
      <c r="L31" t="s">
        <v>260</v>
      </c>
      <c r="M31" t="s">
        <v>244</v>
      </c>
      <c r="N31">
        <v>1</v>
      </c>
    </row>
    <row r="32" spans="12:14" x14ac:dyDescent="0.25">
      <c r="L32" t="s">
        <v>260</v>
      </c>
      <c r="M32" t="s">
        <v>259</v>
      </c>
      <c r="N32">
        <v>1</v>
      </c>
    </row>
    <row r="33" spans="12:14" x14ac:dyDescent="0.25">
      <c r="L33" t="s">
        <v>260</v>
      </c>
      <c r="M33" t="s">
        <v>253</v>
      </c>
      <c r="N33">
        <v>1</v>
      </c>
    </row>
    <row r="34" spans="12:14" x14ac:dyDescent="0.25">
      <c r="L34" t="s">
        <v>260</v>
      </c>
      <c r="M34" t="s">
        <v>262</v>
      </c>
      <c r="N34">
        <v>1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4cf4e2-2987-4169-9fc7-7d3df6d5694b">
      <Terms xmlns="http://schemas.microsoft.com/office/infopath/2007/PartnerControls"/>
    </lcf76f155ced4ddcb4097134ff3c332f>
    <TaxCatchAll xmlns="3a0bc29f-82dc-4ead-a185-79778954c7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DB1AFC21637249966C0ED1FA41B5A0" ma:contentTypeVersion="18" ma:contentTypeDescription="Create a new document." ma:contentTypeScope="" ma:versionID="a1542835f19ca09a6a5818b274e41c8a">
  <xsd:schema xmlns:xsd="http://www.w3.org/2001/XMLSchema" xmlns:xs="http://www.w3.org/2001/XMLSchema" xmlns:p="http://schemas.microsoft.com/office/2006/metadata/properties" xmlns:ns2="3a0bc29f-82dc-4ead-a185-79778954c7ff" xmlns:ns3="454cf4e2-2987-4169-9fc7-7d3df6d5694b" targetNamespace="http://schemas.microsoft.com/office/2006/metadata/properties" ma:root="true" ma:fieldsID="35fb0bf6c4ba4b40ed6be31eac6b1cb7" ns2:_="" ns3:_="">
    <xsd:import namespace="3a0bc29f-82dc-4ead-a185-79778954c7ff"/>
    <xsd:import namespace="454cf4e2-2987-4169-9fc7-7d3df6d5694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0bc29f-82dc-4ead-a185-79778954c7f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0869f65-07ce-4eda-9bea-98f519c33ec0}" ma:internalName="TaxCatchAll" ma:showField="CatchAllData" ma:web="3a0bc29f-82dc-4ead-a185-79778954c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4cf4e2-2987-4169-9fc7-7d3df6d569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49e4289-e1e3-4b2a-a394-fca4354e1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862A6A-6A1B-4FA5-89D4-CF28E26BB5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73FFB4-7C28-4717-A018-08F33E4C007F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454cf4e2-2987-4169-9fc7-7d3df6d5694b"/>
    <ds:schemaRef ds:uri="3a0bc29f-82dc-4ead-a185-79778954c7f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02DA32E-9BCD-4F38-9368-DF30725EE2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0bc29f-82dc-4ead-a185-79778954c7ff"/>
    <ds:schemaRef ds:uri="454cf4e2-2987-4169-9fc7-7d3df6d569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Démarrage de chantier</vt:lpstr>
      <vt:lpstr>Plomberie</vt:lpstr>
      <vt:lpstr>Ventilation</vt:lpstr>
      <vt:lpstr>Réfrigération</vt:lpstr>
      <vt:lpstr>Géothermie</vt:lpstr>
      <vt:lpstr>take Off</vt:lpstr>
      <vt:lpstr>Conditions Générales</vt:lpstr>
      <vt:lpstr>Sous traitance</vt:lpstr>
      <vt:lpstr>Coutant-Profit</vt:lpstr>
      <vt:lpstr># des plans</vt:lpstr>
      <vt:lpstr>Contact</vt:lpstr>
      <vt:lpstr>Calcul</vt:lpstr>
      <vt:lpstr>Données</vt:lpstr>
      <vt:lpstr>Géothermie!uni_geo</vt:lpstr>
      <vt:lpstr>uni_plom</vt:lpstr>
      <vt:lpstr>Réfrigération!uni_ref</vt:lpstr>
      <vt:lpstr>Ventilation!uni_vent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Turcotte</dc:creator>
  <cp:keywords/>
  <dc:description/>
  <cp:lastModifiedBy>Gabriel Turcotte</cp:lastModifiedBy>
  <cp:revision/>
  <dcterms:created xsi:type="dcterms:W3CDTF">2025-09-18T10:57:08Z</dcterms:created>
  <dcterms:modified xsi:type="dcterms:W3CDTF">2025-09-22T01:03:35Z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0x01010070DB1AFC21637249966C0ED1FA41B5A0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