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romai\Desktop\Discord\"/>
    </mc:Choice>
  </mc:AlternateContent>
  <xr:revisionPtr revIDLastSave="0" documentId="13_ncr:1_{C390A276-9C13-4D98-9780-0A2EBE5A20D2}" xr6:coauthVersionLast="44" xr6:coauthVersionMax="44" xr10:uidLastSave="{00000000-0000-0000-0000-000000000000}"/>
  <bookViews>
    <workbookView xWindow="-108" yWindow="-108" windowWidth="23256" windowHeight="12576" activeTab="5" xr2:uid="{4A222D93-AE0E-4802-A6D8-C8372BAF5BAE}"/>
  </bookViews>
  <sheets>
    <sheet name="Sommaire" sheetId="1" r:id="rId1"/>
    <sheet name="2M_2I" sheetId="2" r:id="rId2"/>
    <sheet name="3M_2I" sheetId="4" r:id="rId3"/>
    <sheet name="2M_3I" sheetId="3" r:id="rId4"/>
    <sheet name="3M_3I" sheetId="7" r:id="rId5"/>
    <sheet name="Feuil1" sheetId="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 i="8" l="1"/>
  <c r="I4" i="8"/>
  <c r="I5" i="8"/>
  <c r="I6" i="8"/>
  <c r="I7" i="8"/>
  <c r="I8" i="8"/>
  <c r="I9" i="8"/>
  <c r="I10" i="8"/>
  <c r="I11" i="8"/>
  <c r="I12" i="8"/>
  <c r="I13" i="8"/>
  <c r="I14" i="8"/>
  <c r="I15" i="8"/>
  <c r="I16" i="8"/>
  <c r="I17" i="8"/>
  <c r="I18" i="8"/>
  <c r="I19" i="8"/>
  <c r="I20" i="8"/>
  <c r="I21" i="8"/>
  <c r="I22" i="8"/>
  <c r="I23" i="8"/>
  <c r="I24" i="8"/>
  <c r="I25" i="8"/>
  <c r="I26" i="8"/>
  <c r="I27" i="8"/>
  <c r="I28" i="8"/>
  <c r="I29" i="8"/>
  <c r="I2" i="8"/>
  <c r="P4" i="7" l="1"/>
  <c r="P5" i="7"/>
  <c r="P6" i="7"/>
  <c r="P7" i="7"/>
  <c r="P8" i="7"/>
  <c r="P9" i="7"/>
  <c r="P10" i="7"/>
  <c r="P11" i="7"/>
  <c r="P12" i="7"/>
  <c r="P13" i="7"/>
  <c r="P14" i="7"/>
  <c r="P15" i="7"/>
  <c r="P16" i="7"/>
  <c r="P17" i="7"/>
  <c r="P18" i="7"/>
  <c r="P19" i="7"/>
  <c r="P20" i="7"/>
  <c r="P21" i="7"/>
  <c r="P22" i="7"/>
  <c r="P23" i="7"/>
  <c r="P24" i="7"/>
  <c r="P25" i="7"/>
  <c r="P26" i="7"/>
  <c r="P27" i="7"/>
  <c r="P28" i="7"/>
  <c r="P29" i="7"/>
  <c r="P3" i="7"/>
  <c r="O4" i="7"/>
  <c r="O5" i="7"/>
  <c r="O6" i="7"/>
  <c r="O7" i="7"/>
  <c r="O8" i="7"/>
  <c r="O9" i="7"/>
  <c r="O10" i="7"/>
  <c r="O11" i="7"/>
  <c r="O12" i="7"/>
  <c r="O13" i="7"/>
  <c r="O14" i="7"/>
  <c r="O15" i="7"/>
  <c r="O16" i="7"/>
  <c r="O17" i="7"/>
  <c r="O18" i="7"/>
  <c r="O19" i="7"/>
  <c r="O20" i="7"/>
  <c r="O21" i="7"/>
  <c r="O22" i="7"/>
  <c r="O23" i="7"/>
  <c r="O24" i="7"/>
  <c r="O25" i="7"/>
  <c r="O26" i="7"/>
  <c r="O27" i="7"/>
  <c r="O28" i="7"/>
  <c r="O29" i="7"/>
  <c r="O3" i="7"/>
  <c r="N4" i="3"/>
  <c r="N5" i="3"/>
  <c r="N6" i="3"/>
  <c r="N7" i="3"/>
  <c r="N8" i="3"/>
  <c r="N9" i="3"/>
  <c r="N10" i="3"/>
  <c r="N11" i="3"/>
  <c r="N3" i="3"/>
  <c r="O3" i="3" l="1"/>
  <c r="O4" i="3" l="1"/>
  <c r="O5" i="3"/>
  <c r="O6" i="3"/>
  <c r="O7" i="3"/>
  <c r="O8" i="3"/>
  <c r="O9" i="3"/>
  <c r="O10" i="3"/>
  <c r="O11" i="3"/>
  <c r="M3" i="3" l="1"/>
  <c r="M4" i="3"/>
  <c r="M5" i="3"/>
  <c r="M6" i="3"/>
  <c r="M7" i="3"/>
  <c r="M8" i="3"/>
  <c r="M9" i="3"/>
  <c r="M10" i="3"/>
  <c r="M11" i="3"/>
  <c r="M2" i="3"/>
  <c r="N3" i="7"/>
  <c r="N4" i="7"/>
  <c r="N5" i="7"/>
  <c r="N6" i="7"/>
  <c r="N7" i="7"/>
  <c r="N8" i="7"/>
  <c r="N9" i="7"/>
  <c r="N10" i="7"/>
  <c r="N11" i="7"/>
  <c r="N12" i="7"/>
  <c r="N13" i="7"/>
  <c r="N14" i="7"/>
  <c r="N15" i="7"/>
  <c r="N16" i="7"/>
  <c r="N17" i="7"/>
  <c r="N18" i="7"/>
  <c r="N19" i="7"/>
  <c r="N20" i="7"/>
  <c r="N21" i="7"/>
  <c r="N22" i="7"/>
  <c r="N23" i="7"/>
  <c r="N24" i="7"/>
  <c r="N25" i="7"/>
  <c r="N26" i="7"/>
  <c r="N27" i="7"/>
  <c r="N28" i="7"/>
  <c r="N29" i="7"/>
  <c r="N2" i="7"/>
  <c r="K3" i="3" l="1"/>
  <c r="K10" i="3"/>
  <c r="K11" i="3"/>
  <c r="H11" i="3"/>
  <c r="H10" i="3"/>
  <c r="H9" i="3"/>
  <c r="K9" i="3" s="1"/>
  <c r="H8" i="3"/>
  <c r="K8" i="3" s="1"/>
  <c r="H7" i="3"/>
  <c r="K7" i="3" s="1"/>
  <c r="H6" i="3"/>
  <c r="K6" i="3" s="1"/>
  <c r="H5" i="3"/>
  <c r="K5" i="3" s="1"/>
  <c r="H4" i="3"/>
  <c r="K4" i="3" s="1"/>
  <c r="H3" i="3"/>
  <c r="I29" i="7"/>
  <c r="I28" i="7"/>
  <c r="I27" i="7"/>
  <c r="I26" i="7"/>
  <c r="I25" i="7"/>
  <c r="I24" i="7"/>
  <c r="I23" i="7"/>
  <c r="I22" i="7"/>
  <c r="I21" i="7"/>
  <c r="I20" i="7"/>
  <c r="I19" i="7"/>
  <c r="I18" i="7"/>
  <c r="I17" i="7"/>
  <c r="I16" i="7"/>
  <c r="I15" i="7"/>
  <c r="I14" i="7"/>
  <c r="I13" i="7"/>
  <c r="I12" i="7"/>
  <c r="I11" i="7"/>
  <c r="I10" i="7"/>
  <c r="I9" i="7"/>
  <c r="I8" i="7"/>
  <c r="I7" i="7"/>
  <c r="I3" i="7"/>
  <c r="L3" i="7" s="1"/>
  <c r="I4" i="7"/>
  <c r="I6" i="7"/>
  <c r="I5" i="7"/>
  <c r="A6" i="4" l="1"/>
  <c r="A5" i="4"/>
  <c r="I3" i="1" l="1"/>
  <c r="I4" i="1"/>
  <c r="I2" i="1"/>
  <c r="H3" i="1"/>
  <c r="H4" i="1"/>
  <c r="H2" i="1"/>
  <c r="L29" i="7" l="1"/>
  <c r="L28" i="7"/>
  <c r="L27" i="7"/>
  <c r="L26" i="7"/>
  <c r="L25" i="7"/>
  <c r="L24" i="7"/>
  <c r="L23" i="7"/>
  <c r="L22" i="7"/>
  <c r="L21" i="7"/>
  <c r="L20" i="7"/>
  <c r="L19" i="7"/>
  <c r="L18" i="7"/>
  <c r="L17" i="7"/>
  <c r="L16" i="7"/>
  <c r="L15" i="7"/>
  <c r="L14" i="7"/>
  <c r="L13" i="7"/>
  <c r="L12" i="7"/>
  <c r="L11" i="7" l="1"/>
  <c r="L10" i="7"/>
  <c r="L9" i="7"/>
  <c r="L8" i="7"/>
  <c r="L7" i="7"/>
  <c r="L6" i="7"/>
  <c r="L5" i="7"/>
  <c r="L4" i="7"/>
  <c r="I15" i="4"/>
  <c r="J15" i="4" s="1"/>
  <c r="I14" i="4"/>
  <c r="J14" i="4" s="1"/>
  <c r="I13" i="4"/>
  <c r="J13" i="4" s="1"/>
  <c r="I12" i="4"/>
  <c r="J12" i="4" s="1"/>
  <c r="I11" i="4"/>
  <c r="J11" i="4" s="1"/>
  <c r="I10" i="4"/>
  <c r="J10" i="4" s="1"/>
  <c r="I9" i="4"/>
  <c r="J9" i="4" s="1"/>
  <c r="I8" i="4"/>
  <c r="J8" i="4" s="1"/>
  <c r="H10" i="2"/>
  <c r="I10" i="2" s="1"/>
  <c r="H9" i="2"/>
  <c r="I9" i="2" s="1"/>
  <c r="H8" i="2"/>
  <c r="I8" i="2" s="1"/>
  <c r="H7" i="2"/>
  <c r="D2" i="2"/>
  <c r="F7" i="2" s="1"/>
  <c r="A4" i="1"/>
  <c r="D4" i="4"/>
  <c r="H13" i="4" s="1"/>
  <c r="C4" i="4"/>
  <c r="D2" i="4"/>
  <c r="F10" i="4" s="1"/>
  <c r="E2" i="4"/>
  <c r="F12" i="4" s="1"/>
  <c r="D3" i="4"/>
  <c r="G10" i="4" s="1"/>
  <c r="E3" i="4"/>
  <c r="G9" i="4" s="1"/>
  <c r="E4" i="4"/>
  <c r="H14" i="4" s="1"/>
  <c r="A4" i="7"/>
  <c r="D4" i="7" s="1"/>
  <c r="A3" i="7"/>
  <c r="D3" i="7" s="1"/>
  <c r="G18" i="7" s="1"/>
  <c r="A2" i="7"/>
  <c r="C3" i="4"/>
  <c r="C2" i="4"/>
  <c r="D3" i="2"/>
  <c r="G9" i="2" s="1"/>
  <c r="E3" i="2"/>
  <c r="G10" i="2" s="1"/>
  <c r="E2" i="2"/>
  <c r="F10" i="2" s="1"/>
  <c r="A3" i="3"/>
  <c r="B3" i="3" s="1"/>
  <c r="A2" i="3"/>
  <c r="C2" i="3" s="1"/>
  <c r="F8" i="3" s="1"/>
  <c r="C3" i="2"/>
  <c r="C2" i="2"/>
  <c r="B2" i="7" l="1"/>
  <c r="F9" i="7" s="1"/>
  <c r="A6" i="3"/>
  <c r="A7" i="3" s="1"/>
  <c r="I7" i="2"/>
  <c r="A5" i="2" s="1"/>
  <c r="A6" i="2" s="1"/>
  <c r="A7" i="7"/>
  <c r="A8" i="7" s="1"/>
  <c r="C4" i="7"/>
  <c r="G7" i="2"/>
  <c r="B4" i="7"/>
  <c r="H27" i="7" s="1"/>
  <c r="G8" i="2"/>
  <c r="F9" i="2"/>
  <c r="F8" i="2"/>
  <c r="B2" i="3"/>
  <c r="G3" i="3"/>
  <c r="G9" i="3"/>
  <c r="G6" i="3"/>
  <c r="F7" i="3"/>
  <c r="G9" i="7"/>
  <c r="G10" i="7"/>
  <c r="G11" i="7"/>
  <c r="G19" i="7"/>
  <c r="G27" i="7"/>
  <c r="F6" i="3"/>
  <c r="D3" i="3"/>
  <c r="G20" i="7"/>
  <c r="G28" i="7"/>
  <c r="C3" i="3"/>
  <c r="G29" i="7"/>
  <c r="C2" i="7"/>
  <c r="D2" i="7"/>
  <c r="B3" i="7"/>
  <c r="C3" i="7"/>
  <c r="H15" i="4"/>
  <c r="G15" i="4"/>
  <c r="H10" i="4"/>
  <c r="G11" i="4"/>
  <c r="G12" i="4"/>
  <c r="H12" i="4"/>
  <c r="F15" i="4"/>
  <c r="G8" i="4"/>
  <c r="H11" i="4"/>
  <c r="F14" i="4"/>
  <c r="F11" i="4"/>
  <c r="H8" i="4"/>
  <c r="F9" i="4"/>
  <c r="G13" i="4"/>
  <c r="F13" i="4"/>
  <c r="F8" i="4"/>
  <c r="G14" i="4"/>
  <c r="H9" i="4"/>
  <c r="D2" i="3"/>
  <c r="L6" i="3" l="1"/>
  <c r="F8" i="7"/>
  <c r="F6" i="7"/>
  <c r="F4" i="7"/>
  <c r="F7" i="7"/>
  <c r="F3" i="7"/>
  <c r="F10" i="7"/>
  <c r="F11" i="7"/>
  <c r="F5" i="7"/>
  <c r="F11" i="3"/>
  <c r="F10" i="3"/>
  <c r="F9" i="3"/>
  <c r="L9" i="3" s="1"/>
  <c r="G11" i="3"/>
  <c r="G5" i="3"/>
  <c r="G8" i="3"/>
  <c r="L8" i="3" s="1"/>
  <c r="G22" i="7"/>
  <c r="G14" i="7"/>
  <c r="G23" i="7"/>
  <c r="G21" i="7"/>
  <c r="G13" i="7"/>
  <c r="G5" i="7"/>
  <c r="G12" i="7"/>
  <c r="G4" i="7"/>
  <c r="M4" i="7" s="1"/>
  <c r="G3" i="7"/>
  <c r="G6" i="7"/>
  <c r="G26" i="7"/>
  <c r="G7" i="7"/>
  <c r="G15" i="7"/>
  <c r="G25" i="7"/>
  <c r="G17" i="7"/>
  <c r="G24" i="7"/>
  <c r="G16" i="7"/>
  <c r="G8" i="7"/>
  <c r="G10" i="3"/>
  <c r="G7" i="3"/>
  <c r="L7" i="3" s="1"/>
  <c r="G4" i="3"/>
  <c r="F26" i="7"/>
  <c r="F21" i="7"/>
  <c r="F25" i="7"/>
  <c r="M25" i="7" s="1"/>
  <c r="F27" i="7"/>
  <c r="M27" i="7" s="1"/>
  <c r="F22" i="7"/>
  <c r="F28" i="7"/>
  <c r="F29" i="7"/>
  <c r="F23" i="7"/>
  <c r="F24" i="7"/>
  <c r="F16" i="7"/>
  <c r="F17" i="7"/>
  <c r="M17" i="7" s="1"/>
  <c r="F18" i="7"/>
  <c r="M18" i="7" s="1"/>
  <c r="F15" i="7"/>
  <c r="F19" i="7"/>
  <c r="F20" i="7"/>
  <c r="F13" i="7"/>
  <c r="F12" i="7"/>
  <c r="F14" i="7"/>
  <c r="F4" i="3"/>
  <c r="L4" i="3" s="1"/>
  <c r="F3" i="3"/>
  <c r="L3" i="3" s="1"/>
  <c r="F5" i="3"/>
  <c r="H24" i="7"/>
  <c r="H6" i="7"/>
  <c r="H18" i="7"/>
  <c r="H9" i="7"/>
  <c r="M9" i="7" s="1"/>
  <c r="H21" i="7"/>
  <c r="H12" i="7"/>
  <c r="H15" i="7"/>
  <c r="H3" i="7"/>
  <c r="H19" i="7"/>
  <c r="H13" i="7"/>
  <c r="H28" i="7"/>
  <c r="H4" i="7"/>
  <c r="H25" i="7"/>
  <c r="H10" i="7"/>
  <c r="M10" i="7" s="1"/>
  <c r="H16" i="7"/>
  <c r="H22" i="7"/>
  <c r="H7" i="7"/>
  <c r="M7" i="7" s="1"/>
  <c r="H5" i="7"/>
  <c r="H26" i="7"/>
  <c r="H11" i="7"/>
  <c r="M11" i="7" s="1"/>
  <c r="H17" i="7"/>
  <c r="H29" i="7"/>
  <c r="H20" i="7"/>
  <c r="H23" i="7"/>
  <c r="H8" i="7"/>
  <c r="H14" i="7"/>
  <c r="L5" i="3" l="1"/>
  <c r="L10" i="3"/>
  <c r="L11" i="3"/>
  <c r="M3" i="7"/>
  <c r="M14" i="7"/>
  <c r="M5" i="7"/>
  <c r="M13" i="7"/>
  <c r="M23" i="7"/>
  <c r="M6" i="7"/>
  <c r="M8" i="7"/>
  <c r="M16" i="7"/>
  <c r="M21" i="7"/>
  <c r="M12" i="7"/>
  <c r="M24" i="7"/>
  <c r="M26" i="7"/>
  <c r="M20" i="7"/>
  <c r="M29" i="7"/>
  <c r="M28" i="7"/>
  <c r="M19" i="7"/>
  <c r="M15" i="7"/>
  <c r="M22" i="7"/>
  <c r="G4" i="8" l="1"/>
  <c r="G26" i="8"/>
  <c r="G3" i="8"/>
  <c r="G5" i="8"/>
  <c r="G25" i="8"/>
  <c r="G13" i="8"/>
  <c r="G14" i="8"/>
  <c r="G6" i="8"/>
  <c r="G10" i="8"/>
  <c r="G21" i="8"/>
  <c r="G9" i="8"/>
  <c r="G18" i="8"/>
  <c r="G2" i="8"/>
  <c r="G22" i="8"/>
  <c r="G28" i="8"/>
  <c r="G24" i="8"/>
  <c r="G20" i="8"/>
  <c r="G16" i="8"/>
  <c r="G8" i="8"/>
  <c r="G27" i="8"/>
  <c r="G19" i="8"/>
  <c r="G15" i="8"/>
  <c r="G11" i="8"/>
  <c r="G7" i="8"/>
  <c r="G23" i="8"/>
  <c r="G17" i="8"/>
  <c r="G12" i="8"/>
  <c r="G29" i="8" l="1"/>
  <c r="H17" i="8" s="1"/>
  <c r="C17" i="8" s="1"/>
  <c r="D17" i="8" s="1"/>
  <c r="H19" i="8" l="1"/>
  <c r="C19" i="8" s="1"/>
  <c r="D19" i="8" s="1"/>
  <c r="H2" i="8"/>
  <c r="H11" i="8"/>
  <c r="C11" i="8" s="1"/>
  <c r="D11" i="8" s="1"/>
  <c r="H12" i="8"/>
  <c r="C12" i="8" s="1"/>
  <c r="D12" i="8" s="1"/>
  <c r="H28" i="8"/>
  <c r="C28" i="8" s="1"/>
  <c r="D28" i="8" s="1"/>
  <c r="H25" i="8"/>
  <c r="C25" i="8" s="1"/>
  <c r="D25" i="8" s="1"/>
  <c r="H23" i="8"/>
  <c r="C23" i="8" s="1"/>
  <c r="D23" i="8" s="1"/>
  <c r="H16" i="8"/>
  <c r="C16" i="8" s="1"/>
  <c r="D16" i="8" s="1"/>
  <c r="H21" i="8"/>
  <c r="C21" i="8" s="1"/>
  <c r="D21" i="8" s="1"/>
  <c r="H24" i="8"/>
  <c r="C24" i="8" s="1"/>
  <c r="D24" i="8" s="1"/>
  <c r="H13" i="8"/>
  <c r="C13" i="8" s="1"/>
  <c r="D13" i="8" s="1"/>
  <c r="H27" i="8"/>
  <c r="C27" i="8" s="1"/>
  <c r="D27" i="8" s="1"/>
  <c r="H14" i="8"/>
  <c r="C14" i="8" s="1"/>
  <c r="D14" i="8" s="1"/>
  <c r="H9" i="8"/>
  <c r="C9" i="8" s="1"/>
  <c r="D9" i="8" s="1"/>
  <c r="H5" i="8"/>
  <c r="C5" i="8" s="1"/>
  <c r="D5" i="8" s="1"/>
  <c r="H20" i="8"/>
  <c r="C20" i="8" s="1"/>
  <c r="D20" i="8" s="1"/>
  <c r="H26" i="8"/>
  <c r="C26" i="8" s="1"/>
  <c r="D26" i="8" s="1"/>
  <c r="H8" i="8"/>
  <c r="C8" i="8" s="1"/>
  <c r="D8" i="8" s="1"/>
  <c r="H22" i="8"/>
  <c r="C22" i="8" s="1"/>
  <c r="D22" i="8" s="1"/>
  <c r="H6" i="8"/>
  <c r="C6" i="8" s="1"/>
  <c r="D6" i="8" s="1"/>
  <c r="H3" i="8"/>
  <c r="C3" i="8" s="1"/>
  <c r="D3" i="8" s="1"/>
  <c r="H18" i="8"/>
  <c r="C18" i="8" s="1"/>
  <c r="D18" i="8" s="1"/>
  <c r="H4" i="8"/>
  <c r="C4" i="8" s="1"/>
  <c r="D4" i="8" s="1"/>
  <c r="H10" i="8"/>
  <c r="C10" i="8" s="1"/>
  <c r="D10" i="8" s="1"/>
  <c r="H7" i="8"/>
  <c r="C7" i="8" s="1"/>
  <c r="D7" i="8" s="1"/>
  <c r="H15" i="8"/>
  <c r="C15" i="8" s="1"/>
  <c r="D15" i="8" s="1"/>
  <c r="C2" i="8"/>
  <c r="E9" i="8" l="1"/>
  <c r="E24" i="8"/>
  <c r="E27" i="8"/>
  <c r="E15" i="8"/>
  <c r="E23" i="8"/>
  <c r="E11" i="8"/>
  <c r="E4" i="8"/>
  <c r="E17" i="8"/>
  <c r="D2" i="8"/>
  <c r="E2" i="8" s="1"/>
  <c r="E26" i="8"/>
  <c r="E25" i="8"/>
  <c r="E10" i="8"/>
  <c r="E20" i="8"/>
  <c r="E8" i="8"/>
  <c r="E19" i="8"/>
  <c r="E5" i="8"/>
  <c r="E14" i="8"/>
  <c r="E21" i="8"/>
  <c r="E22" i="8"/>
  <c r="E3" i="8"/>
  <c r="E6" i="8"/>
  <c r="E13" i="8"/>
  <c r="E18" i="8"/>
  <c r="E16" i="8"/>
  <c r="E7" i="8"/>
  <c r="E28" i="8"/>
  <c r="E12" i="8"/>
  <c r="H29" i="8"/>
  <c r="B30" i="8" l="1"/>
  <c r="C3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Romain HENER</author>
  </authors>
  <commentList>
    <comment ref="C20" authorId="0" shapeId="0" xr:uid="{A28629F2-E2EA-427C-935B-3B20DF219019}">
      <text>
        <r>
          <rPr>
            <b/>
            <sz val="9"/>
            <color indexed="81"/>
            <rFont val="Tahoma"/>
            <charset val="1"/>
          </rPr>
          <t>Si il y a une cote boostée, il y a une mise max.
En fonction de cette mise, il faut que les autres mises s'ajuste.
De plus les mises doivent aussi s'ajuster (donc baisser ou augenter) si la répartition donne une mise &lt; à 0,10€</t>
        </r>
        <r>
          <rPr>
            <sz val="9"/>
            <color indexed="81"/>
            <rFont val="Tahoma"/>
            <charset val="1"/>
          </rPr>
          <t xml:space="preserve">
</t>
        </r>
        <r>
          <rPr>
            <b/>
            <sz val="9"/>
            <color indexed="81"/>
            <rFont val="Tahoma"/>
            <family val="2"/>
          </rPr>
          <t>Mais sans se soucier de la mise souhaitée.
En gros, je veux qu'il y ait une répartition des mises pour obtenir un Gain net égale.
Un peu le même principe que l'autre "problème" que j'ai posté sur Excel-pratique.</t>
        </r>
      </text>
    </comment>
  </commentList>
</comments>
</file>

<file path=xl/sharedStrings.xml><?xml version="1.0" encoding="utf-8"?>
<sst xmlns="http://schemas.openxmlformats.org/spreadsheetml/2006/main" count="89" uniqueCount="51">
  <si>
    <t>Issues</t>
  </si>
  <si>
    <t>Matchs</t>
  </si>
  <si>
    <t>Rencontre</t>
  </si>
  <si>
    <t>Nombre de combinaison</t>
  </si>
  <si>
    <t>Combinaison</t>
  </si>
  <si>
    <t>Type de paris</t>
  </si>
  <si>
    <t>Match 1</t>
  </si>
  <si>
    <t>Match 2</t>
  </si>
  <si>
    <t>Match 3</t>
  </si>
  <si>
    <t>2 Matchs &amp; 2 Issues</t>
  </si>
  <si>
    <t>3 Matchs &amp; 2 Issues</t>
  </si>
  <si>
    <t>2 Matchs &amp; 3 Issues</t>
  </si>
  <si>
    <t>3 Matchs &amp; 3 Issues</t>
  </si>
  <si>
    <t>Saisir le nombre de match avec la liste déroulante</t>
  </si>
  <si>
    <t>Saisir le nombre d'issue possible avec la liste déroulante</t>
  </si>
  <si>
    <t>ATTENTION séparer les deux équipes par un tiret</t>
  </si>
  <si>
    <t>ESPACE TIRET ESPACE</t>
  </si>
  <si>
    <r>
      <t xml:space="preserve">Saisir les rencontres dans les cellules </t>
    </r>
    <r>
      <rPr>
        <b/>
        <sz val="16"/>
        <color rgb="FFFFC000"/>
        <rFont val="Calibri"/>
        <family val="2"/>
        <scheme val="minor"/>
      </rPr>
      <t>ORANGE</t>
    </r>
  </si>
  <si>
    <t>Cliquer sur le type de Matchs &amp; Issues souhaité</t>
  </si>
  <si>
    <t>Rencontres</t>
  </si>
  <si>
    <t>Cote Over / BTTS</t>
  </si>
  <si>
    <t>Cote Under / NoBTTS</t>
  </si>
  <si>
    <t>Cote</t>
  </si>
  <si>
    <t>Cote Domicile</t>
  </si>
  <si>
    <t>Cote Nul</t>
  </si>
  <si>
    <t>Cote Extérieur</t>
  </si>
  <si>
    <t>Saisir les cotes des équipes si 3 issues</t>
  </si>
  <si>
    <t>TRJ</t>
  </si>
  <si>
    <t>Saisir le type de paris avec la liste déroulante</t>
  </si>
  <si>
    <t>Saisir les cotes Over/BTTS ou Under/NoBBTTS</t>
  </si>
  <si>
    <t>Pour les matchs à 2 Issues, une liste déroulante vous permettra de sélectionner entre Over/Under et BTTS/NoBTTS + Saisir les cotes</t>
  </si>
  <si>
    <t>RETOUR</t>
  </si>
  <si>
    <t>Leverkusen - Bayern</t>
  </si>
  <si>
    <t>Leipzig - Paderborn</t>
  </si>
  <si>
    <t>Dortmund - Hertha</t>
  </si>
  <si>
    <t>Cote Boostée</t>
  </si>
  <si>
    <t>Mise Max.</t>
  </si>
  <si>
    <t>Mise</t>
  </si>
  <si>
    <t>Gain net</t>
  </si>
  <si>
    <t>Trouver les mises automatiquement de la colonne MISE pour obtenir un GAIN NET identiques.</t>
  </si>
  <si>
    <t>Cote Boostée et Mise Max. à mettre automatiquement dans la cellule MISE. 
Généralement 1 seule Cote Boostée.</t>
  </si>
  <si>
    <t xml:space="preserve">Si il y a une CB alors il y a une MISE MAX qui sera la MISE. </t>
  </si>
  <si>
    <t>Les MISES devront alors s'ajuster à la MISE de la CB pour que le GAIN NET soit identique partout</t>
  </si>
  <si>
    <t>Paris</t>
  </si>
  <si>
    <t>Cotes</t>
  </si>
  <si>
    <t>Mises en €</t>
  </si>
  <si>
    <t>Gain Brut</t>
  </si>
  <si>
    <t>Gain Net</t>
  </si>
  <si>
    <t>Mise souhaitée</t>
  </si>
  <si>
    <t>Gain Moyen</t>
  </si>
  <si>
    <t>Cote équivalente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</si>
</sst>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 &quot;€&quot;"/>
    <numFmt numFmtId="166" formatCode="#,##0.000\ &quot;€&quot;"/>
    <numFmt numFmtId="167" formatCode="#,##0.00&quot; €&quot;"/>
  </numFmts>
  <fonts count="23" x14ac:knownFonts="1">
    <font>
      <sz val="11"/>
      <color theme="1"/>
      <name val="Calibri"/>
      <family val="2"/>
      <scheme val="minor"/>
    </font>
    <font>
      <sz val="11"/>
      <color theme="1"/>
      <name val="Calibri"/>
      <family val="2"/>
      <scheme val="minor"/>
    </font>
    <font>
      <u/>
      <sz val="11"/>
      <color theme="10"/>
      <name val="Calibri"/>
      <family val="2"/>
      <scheme val="minor"/>
    </font>
    <font>
      <sz val="8"/>
      <name val="Calibri"/>
      <family val="2"/>
      <scheme val="minor"/>
    </font>
    <font>
      <sz val="14"/>
      <color theme="1"/>
      <name val="Calibri"/>
      <family val="2"/>
      <scheme val="minor"/>
    </font>
    <font>
      <sz val="14"/>
      <color rgb="FF303030"/>
      <name val="Calibri"/>
      <family val="2"/>
      <scheme val="minor"/>
    </font>
    <font>
      <sz val="16"/>
      <color theme="1"/>
      <name val="Calibri"/>
      <family val="2"/>
      <scheme val="minor"/>
    </font>
    <font>
      <sz val="16"/>
      <color rgb="FF303030"/>
      <name val="Calibri"/>
      <family val="2"/>
      <scheme val="minor"/>
    </font>
    <font>
      <b/>
      <sz val="16"/>
      <color theme="0"/>
      <name val="Calibri"/>
      <family val="2"/>
      <scheme val="minor"/>
    </font>
    <font>
      <b/>
      <sz val="26"/>
      <color theme="0"/>
      <name val="Calibri"/>
      <family val="2"/>
      <scheme val="minor"/>
    </font>
    <font>
      <b/>
      <sz val="16"/>
      <color rgb="FFFF0000"/>
      <name val="Calibri"/>
      <family val="2"/>
      <scheme val="minor"/>
    </font>
    <font>
      <b/>
      <sz val="16"/>
      <color rgb="FFFFC000"/>
      <name val="Calibri"/>
      <family val="2"/>
      <scheme val="minor"/>
    </font>
    <font>
      <b/>
      <sz val="14"/>
      <color theme="1"/>
      <name val="Calibri"/>
      <family val="2"/>
      <scheme val="minor"/>
    </font>
    <font>
      <b/>
      <sz val="14"/>
      <color theme="0"/>
      <name val="Calibri"/>
      <family val="2"/>
      <scheme val="minor"/>
    </font>
    <font>
      <sz val="22"/>
      <color theme="1"/>
      <name val="Calibri"/>
      <family val="2"/>
      <scheme val="minor"/>
    </font>
    <font>
      <b/>
      <sz val="22"/>
      <color theme="0"/>
      <name val="Calibri"/>
      <family val="2"/>
      <scheme val="minor"/>
    </font>
    <font>
      <sz val="14"/>
      <color rgb="FF000000"/>
      <name val="Calibri"/>
      <family val="2"/>
      <scheme val="minor"/>
    </font>
    <font>
      <sz val="14"/>
      <name val="Calibri"/>
      <family val="2"/>
      <scheme val="minor"/>
    </font>
    <font>
      <b/>
      <sz val="14"/>
      <color rgb="FF000000"/>
      <name val="Calibri"/>
      <family val="2"/>
      <scheme val="minor"/>
    </font>
    <font>
      <sz val="14"/>
      <color theme="0"/>
      <name val="Calibri"/>
      <family val="2"/>
      <scheme val="minor"/>
    </font>
    <font>
      <sz val="9"/>
      <color indexed="81"/>
      <name val="Tahoma"/>
      <charset val="1"/>
    </font>
    <font>
      <b/>
      <sz val="9"/>
      <color indexed="81"/>
      <name val="Tahoma"/>
      <charset val="1"/>
    </font>
    <font>
      <b/>
      <sz val="9"/>
      <color indexed="81"/>
      <name val="Tahoma"/>
      <family val="2"/>
    </font>
  </fonts>
  <fills count="10">
    <fill>
      <patternFill patternType="none"/>
    </fill>
    <fill>
      <patternFill patternType="gray125"/>
    </fill>
    <fill>
      <patternFill patternType="solid">
        <fgColor rgb="FFFFFF00"/>
        <bgColor indexed="64"/>
      </patternFill>
    </fill>
    <fill>
      <patternFill patternType="solid">
        <fgColor rgb="FF002060"/>
        <bgColor indexed="64"/>
      </patternFill>
    </fill>
    <fill>
      <patternFill patternType="solid">
        <fgColor rgb="FFFFC000"/>
        <bgColor indexed="64"/>
      </patternFill>
    </fill>
    <fill>
      <patternFill patternType="solid">
        <fgColor theme="1"/>
        <bgColor indexed="64"/>
      </patternFill>
    </fill>
    <fill>
      <patternFill patternType="solid">
        <fgColor rgb="FFC00000"/>
        <bgColor indexed="64"/>
      </patternFill>
    </fill>
    <fill>
      <patternFill patternType="solid">
        <fgColor rgb="FF00B050"/>
        <bgColor indexed="64"/>
      </patternFill>
    </fill>
    <fill>
      <patternFill patternType="darkGray">
        <fgColor rgb="FFFFFF00"/>
      </patternFill>
    </fill>
    <fill>
      <patternFill patternType="solid">
        <fgColor rgb="FF00B0F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uble">
        <color rgb="FFFF0000"/>
      </left>
      <right style="double">
        <color rgb="FFFF0000"/>
      </right>
      <top style="double">
        <color rgb="FFFF0000"/>
      </top>
      <bottom/>
      <diagonal/>
    </border>
    <border>
      <left/>
      <right style="double">
        <color rgb="FFFF0000"/>
      </right>
      <top style="double">
        <color rgb="FFFF0000"/>
      </top>
      <bottom/>
      <diagonal/>
    </border>
    <border>
      <left style="double">
        <color rgb="FFFF0000"/>
      </left>
      <right style="double">
        <color rgb="FFFF0000"/>
      </right>
      <top/>
      <bottom/>
      <diagonal/>
    </border>
    <border>
      <left/>
      <right style="double">
        <color rgb="FFFF0000"/>
      </right>
      <top/>
      <bottom/>
      <diagonal/>
    </border>
    <border>
      <left style="double">
        <color rgb="FFFF0000"/>
      </left>
      <right style="double">
        <color rgb="FFFF0000"/>
      </right>
      <top style="double">
        <color rgb="FFFF0000"/>
      </top>
      <bottom style="double">
        <color rgb="FFFF0000"/>
      </bottom>
      <diagonal/>
    </border>
  </borders>
  <cellStyleXfs count="3">
    <xf numFmtId="0" fontId="0" fillId="0" borderId="0"/>
    <xf numFmtId="9" fontId="1" fillId="0" borderId="0" applyFont="0" applyFill="0" applyBorder="0" applyAlignment="0" applyProtection="0"/>
    <xf numFmtId="0" fontId="2" fillId="0" borderId="0" applyNumberFormat="0" applyFill="0" applyBorder="0" applyAlignment="0" applyProtection="0"/>
  </cellStyleXfs>
  <cellXfs count="150">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8" fillId="3" borderId="10" xfId="0" applyFont="1" applyFill="1" applyBorder="1" applyAlignment="1">
      <alignment horizontal="center" vertical="center"/>
    </xf>
    <xf numFmtId="0" fontId="8" fillId="3" borderId="11" xfId="0" applyFont="1" applyFill="1" applyBorder="1" applyAlignment="1">
      <alignment horizontal="center" vertical="center"/>
    </xf>
    <xf numFmtId="0" fontId="8" fillId="3" borderId="2"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10" fillId="0" borderId="18" xfId="0" applyFont="1" applyBorder="1" applyAlignment="1">
      <alignment horizontal="center" vertical="center"/>
    </xf>
    <xf numFmtId="0" fontId="8" fillId="5" borderId="16" xfId="0" applyFont="1" applyFill="1" applyBorder="1" applyAlignment="1">
      <alignment horizontal="center" vertical="center"/>
    </xf>
    <xf numFmtId="0" fontId="8" fillId="5" borderId="17" xfId="0" applyFont="1" applyFill="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13" fillId="3" borderId="2"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0" fontId="4" fillId="2" borderId="18" xfId="0" applyFont="1" applyFill="1" applyBorder="1" applyAlignment="1">
      <alignment horizontal="center" vertical="center"/>
    </xf>
    <xf numFmtId="0" fontId="4" fillId="0" borderId="0" xfId="0" applyFont="1" applyBorder="1" applyAlignment="1">
      <alignment horizontal="center" vertical="center"/>
    </xf>
    <xf numFmtId="0" fontId="4" fillId="0" borderId="24" xfId="0" applyFont="1" applyBorder="1" applyAlignment="1">
      <alignment horizontal="center" vertical="center"/>
    </xf>
    <xf numFmtId="0" fontId="4" fillId="0" borderId="2" xfId="0" applyFont="1" applyBorder="1" applyAlignment="1">
      <alignment horizontal="center" vertical="center"/>
    </xf>
    <xf numFmtId="0" fontId="13" fillId="3" borderId="21" xfId="0" applyFont="1" applyFill="1" applyBorder="1" applyAlignment="1">
      <alignment horizontal="center" vertical="center"/>
    </xf>
    <xf numFmtId="0" fontId="13" fillId="3" borderId="25" xfId="0" applyFont="1" applyFill="1" applyBorder="1" applyAlignment="1">
      <alignment horizontal="center" vertical="center"/>
    </xf>
    <xf numFmtId="0" fontId="13" fillId="3" borderId="22" xfId="0" applyFont="1" applyFill="1" applyBorder="1" applyAlignment="1">
      <alignment horizontal="center" vertical="center"/>
    </xf>
    <xf numFmtId="0" fontId="5" fillId="0" borderId="20" xfId="0" applyFont="1" applyBorder="1" applyAlignment="1">
      <alignment horizontal="center" vertical="center"/>
    </xf>
    <xf numFmtId="0" fontId="5" fillId="0" borderId="15" xfId="0" applyFont="1" applyBorder="1" applyAlignment="1">
      <alignment horizontal="center" vertical="center"/>
    </xf>
    <xf numFmtId="0" fontId="13" fillId="3" borderId="16" xfId="0" applyFont="1" applyFill="1" applyBorder="1" applyAlignment="1">
      <alignment horizontal="center" vertical="center"/>
    </xf>
    <xf numFmtId="0" fontId="13" fillId="7" borderId="2" xfId="0" applyFont="1" applyFill="1" applyBorder="1" applyAlignment="1">
      <alignment horizontal="center" vertical="center"/>
    </xf>
    <xf numFmtId="2" fontId="4" fillId="2" borderId="16" xfId="0" applyNumberFormat="1" applyFont="1" applyFill="1" applyBorder="1" applyAlignment="1">
      <alignment horizontal="center" vertical="center"/>
    </xf>
    <xf numFmtId="2" fontId="4" fillId="2" borderId="13" xfId="0" applyNumberFormat="1" applyFont="1" applyFill="1" applyBorder="1" applyAlignment="1">
      <alignment horizontal="center" vertical="center"/>
    </xf>
    <xf numFmtId="2" fontId="4" fillId="2" borderId="18" xfId="0" applyNumberFormat="1" applyFont="1" applyFill="1" applyBorder="1" applyAlignment="1">
      <alignment horizontal="center" vertical="center"/>
    </xf>
    <xf numFmtId="2" fontId="4" fillId="2" borderId="15" xfId="0" applyNumberFormat="1" applyFont="1" applyFill="1" applyBorder="1" applyAlignment="1">
      <alignment horizontal="center" vertical="center"/>
    </xf>
    <xf numFmtId="0" fontId="13" fillId="3" borderId="13" xfId="0" applyFont="1" applyFill="1" applyBorder="1" applyAlignment="1">
      <alignment horizontal="center" vertical="center"/>
    </xf>
    <xf numFmtId="2" fontId="4" fillId="2" borderId="17" xfId="0" applyNumberFormat="1" applyFont="1" applyFill="1" applyBorder="1" applyAlignment="1">
      <alignment horizontal="center" vertical="center"/>
    </xf>
    <xf numFmtId="2" fontId="4" fillId="2" borderId="20" xfId="0" applyNumberFormat="1" applyFont="1" applyFill="1" applyBorder="1" applyAlignment="1">
      <alignment horizontal="center" vertical="center"/>
    </xf>
    <xf numFmtId="164" fontId="4" fillId="0" borderId="16" xfId="0" applyNumberFormat="1" applyFont="1" applyBorder="1" applyAlignment="1">
      <alignment horizontal="center" vertical="center"/>
    </xf>
    <xf numFmtId="164" fontId="4" fillId="0" borderId="17" xfId="0" applyNumberFormat="1" applyFont="1" applyBorder="1" applyAlignment="1">
      <alignment horizontal="center" vertical="center"/>
    </xf>
    <xf numFmtId="164" fontId="4" fillId="0" borderId="18" xfId="0" applyNumberFormat="1"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6" fillId="0" borderId="28" xfId="0" applyFont="1" applyBorder="1" applyAlignment="1">
      <alignment horizontal="center" vertical="center"/>
    </xf>
    <xf numFmtId="0" fontId="8" fillId="6" borderId="0" xfId="0" applyFont="1" applyFill="1" applyAlignment="1">
      <alignment horizontal="center" vertical="center"/>
    </xf>
    <xf numFmtId="0" fontId="10" fillId="0" borderId="16" xfId="0" applyFont="1" applyBorder="1" applyAlignment="1">
      <alignment horizontal="center" vertical="center"/>
    </xf>
    <xf numFmtId="2" fontId="6" fillId="0" borderId="3" xfId="0" applyNumberFormat="1" applyFont="1" applyBorder="1" applyAlignment="1">
      <alignment horizontal="center" vertical="center"/>
    </xf>
    <xf numFmtId="2" fontId="6" fillId="0" borderId="29" xfId="0" applyNumberFormat="1" applyFont="1" applyBorder="1" applyAlignment="1">
      <alignment horizontal="center" vertical="center"/>
    </xf>
    <xf numFmtId="2" fontId="6" fillId="0" borderId="4" xfId="0" applyNumberFormat="1" applyFont="1" applyBorder="1" applyAlignment="1">
      <alignment horizontal="center" vertical="center"/>
    </xf>
    <xf numFmtId="2" fontId="6" fillId="0" borderId="1" xfId="0" applyNumberFormat="1" applyFont="1" applyBorder="1" applyAlignment="1">
      <alignment horizontal="center" vertical="center"/>
    </xf>
    <xf numFmtId="2" fontId="6" fillId="0" borderId="6" xfId="0" applyNumberFormat="1" applyFont="1" applyBorder="1" applyAlignment="1">
      <alignment horizontal="center" vertical="center"/>
    </xf>
    <xf numFmtId="2" fontId="6" fillId="0" borderId="30" xfId="0" applyNumberFormat="1" applyFont="1" applyBorder="1" applyAlignment="1">
      <alignment horizontal="center" vertical="center"/>
    </xf>
    <xf numFmtId="164" fontId="4" fillId="0" borderId="0" xfId="1" applyNumberFormat="1" applyFont="1" applyAlignment="1">
      <alignment horizontal="center" vertical="center"/>
    </xf>
    <xf numFmtId="2" fontId="4" fillId="0" borderId="18" xfId="1" applyNumberFormat="1" applyFont="1" applyBorder="1" applyAlignment="1">
      <alignment horizontal="center" vertical="center"/>
    </xf>
    <xf numFmtId="164" fontId="4" fillId="0" borderId="0" xfId="0" applyNumberFormat="1" applyFont="1" applyAlignment="1">
      <alignment horizontal="center" vertical="center"/>
    </xf>
    <xf numFmtId="0" fontId="8" fillId="7" borderId="10" xfId="0" applyFont="1" applyFill="1" applyBorder="1" applyAlignment="1">
      <alignment horizontal="center" vertical="center"/>
    </xf>
    <xf numFmtId="0" fontId="8" fillId="7" borderId="31" xfId="0" applyFont="1" applyFill="1" applyBorder="1" applyAlignment="1">
      <alignment horizontal="center" vertical="center"/>
    </xf>
    <xf numFmtId="2" fontId="7" fillId="0" borderId="32" xfId="0" applyNumberFormat="1" applyFont="1" applyBorder="1" applyAlignment="1">
      <alignment horizontal="center" vertical="center"/>
    </xf>
    <xf numFmtId="2" fontId="7" fillId="0" borderId="33" xfId="0" applyNumberFormat="1" applyFont="1" applyBorder="1" applyAlignment="1">
      <alignment horizontal="center" vertical="center"/>
    </xf>
    <xf numFmtId="2" fontId="7" fillId="0" borderId="34" xfId="0" applyNumberFormat="1" applyFont="1" applyBorder="1" applyAlignment="1">
      <alignment horizontal="center" vertical="center"/>
    </xf>
    <xf numFmtId="0" fontId="14" fillId="0" borderId="0" xfId="0" applyFont="1" applyAlignment="1">
      <alignment horizontal="center" vertical="center"/>
    </xf>
    <xf numFmtId="0" fontId="8" fillId="7" borderId="23" xfId="0" applyFont="1" applyFill="1" applyBorder="1" applyAlignment="1">
      <alignment horizontal="center" vertical="center"/>
    </xf>
    <xf numFmtId="0" fontId="6" fillId="0" borderId="4" xfId="0" applyFont="1" applyBorder="1" applyAlignment="1">
      <alignment horizontal="center" vertical="center"/>
    </xf>
    <xf numFmtId="0" fontId="6" fillId="0" borderId="6" xfId="0" applyFont="1" applyBorder="1" applyAlignment="1">
      <alignment horizontal="center" vertical="center"/>
    </xf>
    <xf numFmtId="0" fontId="6" fillId="0" borderId="35" xfId="0" applyFont="1" applyBorder="1" applyAlignment="1">
      <alignment horizontal="center" vertical="center"/>
    </xf>
    <xf numFmtId="0" fontId="4" fillId="0" borderId="1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0" xfId="0" applyFont="1" applyFill="1" applyBorder="1" applyAlignment="1">
      <alignment horizontal="center" vertical="center"/>
    </xf>
    <xf numFmtId="164" fontId="4" fillId="0" borderId="17" xfId="0" applyNumberFormat="1" applyFont="1" applyFill="1" applyBorder="1" applyAlignment="1">
      <alignment horizontal="center" vertical="center"/>
    </xf>
    <xf numFmtId="10" fontId="6" fillId="0" borderId="36" xfId="1" applyNumberFormat="1" applyFont="1" applyBorder="1" applyAlignment="1">
      <alignment horizontal="center" vertical="center"/>
    </xf>
    <xf numFmtId="10" fontId="6" fillId="0" borderId="5" xfId="1" applyNumberFormat="1" applyFont="1" applyBorder="1" applyAlignment="1">
      <alignment horizontal="center" vertical="center"/>
    </xf>
    <xf numFmtId="10" fontId="6" fillId="0" borderId="7" xfId="1" applyNumberFormat="1" applyFont="1" applyBorder="1" applyAlignment="1">
      <alignment horizontal="center" vertical="center"/>
    </xf>
    <xf numFmtId="165" fontId="4" fillId="0" borderId="16" xfId="0" applyNumberFormat="1" applyFont="1" applyBorder="1" applyAlignment="1">
      <alignment horizontal="center" vertical="center"/>
    </xf>
    <xf numFmtId="165" fontId="4" fillId="0" borderId="17" xfId="0" applyNumberFormat="1" applyFont="1" applyBorder="1" applyAlignment="1">
      <alignment horizontal="center" vertical="center"/>
    </xf>
    <xf numFmtId="165" fontId="4" fillId="0" borderId="18" xfId="0" applyNumberFormat="1" applyFont="1" applyBorder="1" applyAlignment="1">
      <alignment horizontal="center" vertical="center"/>
    </xf>
    <xf numFmtId="0" fontId="13" fillId="6" borderId="2" xfId="0" applyFont="1" applyFill="1" applyBorder="1" applyAlignment="1">
      <alignment horizontal="center" vertical="center"/>
    </xf>
    <xf numFmtId="0" fontId="4" fillId="0" borderId="16" xfId="0" applyFont="1" applyBorder="1" applyAlignment="1">
      <alignment horizontal="center" vertical="center"/>
    </xf>
    <xf numFmtId="0" fontId="12" fillId="4" borderId="2" xfId="0" applyFont="1" applyFill="1" applyBorder="1" applyAlignment="1">
      <alignment horizontal="center" vertical="center"/>
    </xf>
    <xf numFmtId="0" fontId="4" fillId="4" borderId="2" xfId="0" applyFont="1" applyFill="1" applyBorder="1" applyAlignment="1">
      <alignment horizontal="center" vertical="center"/>
    </xf>
    <xf numFmtId="165" fontId="4" fillId="2" borderId="16" xfId="0" applyNumberFormat="1" applyFont="1" applyFill="1" applyBorder="1" applyAlignment="1">
      <alignment horizontal="center" vertical="center"/>
    </xf>
    <xf numFmtId="165" fontId="4" fillId="2" borderId="17" xfId="0" applyNumberFormat="1" applyFont="1" applyFill="1" applyBorder="1" applyAlignment="1">
      <alignment horizontal="center" vertical="center"/>
    </xf>
    <xf numFmtId="165" fontId="4" fillId="2" borderId="18" xfId="0" applyNumberFormat="1" applyFont="1" applyFill="1" applyBorder="1" applyAlignment="1">
      <alignment horizontal="center" vertical="center"/>
    </xf>
    <xf numFmtId="165" fontId="4" fillId="0" borderId="0" xfId="0" applyNumberFormat="1" applyFont="1" applyAlignment="1">
      <alignment horizontal="center" vertical="center"/>
    </xf>
    <xf numFmtId="166" fontId="4" fillId="0" borderId="16" xfId="0" applyNumberFormat="1" applyFont="1" applyBorder="1" applyAlignment="1">
      <alignment horizontal="center" vertical="center"/>
    </xf>
    <xf numFmtId="166" fontId="4" fillId="0" borderId="17" xfId="0" applyNumberFormat="1" applyFont="1" applyBorder="1" applyAlignment="1">
      <alignment horizontal="center" vertical="center"/>
    </xf>
    <xf numFmtId="166" fontId="4" fillId="0" borderId="18" xfId="0" applyNumberFormat="1" applyFont="1" applyBorder="1" applyAlignment="1">
      <alignment horizontal="center" vertical="center"/>
    </xf>
    <xf numFmtId="0" fontId="12" fillId="0" borderId="16" xfId="0" applyFont="1" applyBorder="1" applyAlignment="1">
      <alignment horizontal="center" vertical="center"/>
    </xf>
    <xf numFmtId="0" fontId="12" fillId="0" borderId="2" xfId="0" applyFont="1" applyBorder="1" applyAlignment="1">
      <alignment horizontal="center" vertical="center"/>
    </xf>
    <xf numFmtId="10" fontId="16" fillId="0" borderId="12" xfId="1" applyNumberFormat="1" applyFont="1" applyBorder="1" applyAlignment="1">
      <alignment horizontal="center" vertical="center"/>
    </xf>
    <xf numFmtId="10" fontId="16" fillId="0" borderId="23" xfId="1" applyNumberFormat="1" applyFont="1" applyBorder="1" applyAlignment="1">
      <alignment horizontal="center" vertical="center"/>
    </xf>
    <xf numFmtId="165" fontId="16" fillId="0" borderId="13" xfId="0" applyNumberFormat="1" applyFont="1" applyBorder="1" applyAlignment="1">
      <alignment horizontal="center" vertical="center"/>
    </xf>
    <xf numFmtId="49" fontId="17" fillId="8" borderId="37" xfId="0" applyNumberFormat="1" applyFont="1" applyFill="1" applyBorder="1" applyAlignment="1">
      <alignment horizontal="center" vertical="center"/>
    </xf>
    <xf numFmtId="165" fontId="16" fillId="0" borderId="16" xfId="0" applyNumberFormat="1" applyFont="1" applyBorder="1" applyAlignment="1">
      <alignment horizontal="center" vertical="center"/>
    </xf>
    <xf numFmtId="49" fontId="17" fillId="8" borderId="39" xfId="0" applyNumberFormat="1" applyFont="1" applyFill="1" applyBorder="1" applyAlignment="1">
      <alignment horizontal="center" vertical="center"/>
    </xf>
    <xf numFmtId="165" fontId="16" fillId="0" borderId="17" xfId="0" applyNumberFormat="1" applyFont="1" applyBorder="1" applyAlignment="1">
      <alignment horizontal="center" vertical="center"/>
    </xf>
    <xf numFmtId="165" fontId="16" fillId="0" borderId="18" xfId="0" applyNumberFormat="1" applyFont="1" applyBorder="1" applyAlignment="1">
      <alignment horizontal="center" vertical="center"/>
    </xf>
    <xf numFmtId="10" fontId="16" fillId="0" borderId="21" xfId="1" applyNumberFormat="1" applyFont="1" applyBorder="1" applyAlignment="1">
      <alignment horizontal="center" vertical="center"/>
    </xf>
    <xf numFmtId="10" fontId="16" fillId="0" borderId="25" xfId="1" applyNumberFormat="1" applyFont="1" applyBorder="1" applyAlignment="1">
      <alignment horizontal="center" vertical="center"/>
    </xf>
    <xf numFmtId="165" fontId="16" fillId="0" borderId="22" xfId="0" applyNumberFormat="1" applyFont="1" applyBorder="1" applyAlignment="1">
      <alignment horizontal="center" vertical="center"/>
    </xf>
    <xf numFmtId="0" fontId="12" fillId="0" borderId="12" xfId="0" applyFont="1" applyBorder="1" applyAlignment="1">
      <alignment horizontal="center" vertical="center" wrapText="1"/>
    </xf>
    <xf numFmtId="0" fontId="12" fillId="0" borderId="25" xfId="0" applyFont="1" applyBorder="1" applyAlignment="1">
      <alignment horizontal="center" vertical="center"/>
    </xf>
    <xf numFmtId="165" fontId="4" fillId="8" borderId="41" xfId="0" applyNumberFormat="1" applyFont="1" applyFill="1" applyBorder="1" applyAlignment="1">
      <alignment horizontal="center" vertical="center"/>
    </xf>
    <xf numFmtId="167" fontId="18" fillId="0" borderId="24" xfId="0" applyNumberFormat="1" applyFont="1" applyBorder="1" applyAlignment="1">
      <alignment horizontal="center" vertical="center"/>
    </xf>
    <xf numFmtId="167" fontId="16" fillId="0" borderId="0" xfId="0" applyNumberFormat="1" applyFont="1" applyAlignment="1">
      <alignment horizontal="center" vertical="center"/>
    </xf>
    <xf numFmtId="0" fontId="12" fillId="0" borderId="21" xfId="0" applyFont="1" applyBorder="1" applyAlignment="1">
      <alignment horizontal="center" vertical="center"/>
    </xf>
    <xf numFmtId="2" fontId="18" fillId="0" borderId="2" xfId="0" applyNumberFormat="1" applyFont="1" applyBorder="1" applyAlignment="1">
      <alignment horizontal="center" vertical="center"/>
    </xf>
    <xf numFmtId="164" fontId="17" fillId="8" borderId="38" xfId="0" applyNumberFormat="1" applyFont="1" applyFill="1" applyBorder="1" applyAlignment="1">
      <alignment horizontal="center" vertical="center"/>
    </xf>
    <xf numFmtId="164" fontId="17" fillId="8" borderId="40" xfId="0" applyNumberFormat="1" applyFont="1" applyFill="1" applyBorder="1" applyAlignment="1">
      <alignment horizontal="center" vertical="center"/>
    </xf>
    <xf numFmtId="167" fontId="16" fillId="9" borderId="0" xfId="0" applyNumberFormat="1" applyFont="1" applyFill="1" applyAlignment="1">
      <alignment horizontal="center" vertical="center"/>
    </xf>
    <xf numFmtId="167" fontId="19" fillId="5" borderId="0" xfId="0" applyNumberFormat="1" applyFont="1" applyFill="1" applyAlignment="1">
      <alignment horizontal="center" vertical="center"/>
    </xf>
    <xf numFmtId="0" fontId="13" fillId="3" borderId="10" xfId="0" applyFont="1" applyFill="1" applyBorder="1" applyAlignment="1">
      <alignment horizontal="center" vertical="center"/>
    </xf>
    <xf numFmtId="0" fontId="13" fillId="3" borderId="11" xfId="0" applyFont="1" applyFill="1" applyBorder="1" applyAlignment="1">
      <alignment horizontal="center" vertical="center"/>
    </xf>
    <xf numFmtId="0" fontId="8" fillId="6" borderId="16"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8" fillId="6" borderId="18" xfId="0" applyFont="1" applyFill="1" applyBorder="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8" fillId="3" borderId="10" xfId="0" applyFont="1" applyFill="1" applyBorder="1" applyAlignment="1">
      <alignment horizontal="center" vertical="center"/>
    </xf>
    <xf numFmtId="0" fontId="8" fillId="3" borderId="11" xfId="0" applyFont="1" applyFill="1" applyBorder="1" applyAlignment="1">
      <alignment horizontal="center" vertical="center"/>
    </xf>
    <xf numFmtId="0" fontId="15" fillId="3" borderId="12" xfId="2" applyFont="1" applyFill="1" applyBorder="1" applyAlignment="1">
      <alignment horizontal="center" vertical="center"/>
    </xf>
    <xf numFmtId="0" fontId="15" fillId="3" borderId="13" xfId="2" applyFont="1" applyFill="1" applyBorder="1" applyAlignment="1">
      <alignment horizontal="center" vertical="center"/>
    </xf>
    <xf numFmtId="0" fontId="15" fillId="3" borderId="14" xfId="2" applyFont="1" applyFill="1" applyBorder="1" applyAlignment="1">
      <alignment horizontal="center" vertical="center"/>
    </xf>
    <xf numFmtId="0" fontId="15" fillId="3" borderId="15" xfId="2" applyFont="1" applyFill="1" applyBorder="1" applyAlignment="1">
      <alignment horizontal="center" vertical="center"/>
    </xf>
    <xf numFmtId="0" fontId="13" fillId="3" borderId="12" xfId="0" applyFont="1" applyFill="1" applyBorder="1" applyAlignment="1">
      <alignment horizontal="center" vertical="center"/>
    </xf>
    <xf numFmtId="0" fontId="13" fillId="3" borderId="13" xfId="0" applyFont="1" applyFill="1" applyBorder="1" applyAlignment="1">
      <alignment horizontal="center" vertical="center"/>
    </xf>
    <xf numFmtId="0" fontId="13" fillId="3" borderId="21" xfId="0" applyFont="1" applyFill="1" applyBorder="1" applyAlignment="1">
      <alignment horizontal="center" vertical="center"/>
    </xf>
    <xf numFmtId="0" fontId="13" fillId="3" borderId="22" xfId="0" applyFont="1" applyFill="1" applyBorder="1" applyAlignment="1">
      <alignment horizontal="center" vertical="center"/>
    </xf>
    <xf numFmtId="0" fontId="12" fillId="4" borderId="16" xfId="0" applyFont="1" applyFill="1" applyBorder="1" applyAlignment="1">
      <alignment horizontal="center" vertical="center" wrapText="1"/>
    </xf>
    <xf numFmtId="0" fontId="12" fillId="4" borderId="18" xfId="0" applyFont="1" applyFill="1" applyBorder="1" applyAlignment="1">
      <alignment horizontal="center" vertical="center" wrapText="1"/>
    </xf>
    <xf numFmtId="0" fontId="9" fillId="5" borderId="16" xfId="2" applyFont="1" applyFill="1" applyBorder="1" applyAlignment="1">
      <alignment horizontal="center" vertical="center"/>
    </xf>
    <xf numFmtId="0" fontId="9" fillId="5" borderId="18" xfId="2" applyFont="1" applyFill="1" applyBorder="1" applyAlignment="1">
      <alignment horizontal="center" vertical="center"/>
    </xf>
    <xf numFmtId="0" fontId="13" fillId="3" borderId="25" xfId="0" applyFont="1" applyFill="1" applyBorder="1" applyAlignment="1">
      <alignment horizontal="center" vertical="center"/>
    </xf>
    <xf numFmtId="0" fontId="13" fillId="7" borderId="12"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13" fillId="7" borderId="20" xfId="0" applyFont="1" applyFill="1" applyBorder="1" applyAlignment="1">
      <alignment horizontal="left" vertical="center" wrapText="1"/>
    </xf>
    <xf numFmtId="0" fontId="13" fillId="7" borderId="14" xfId="0" applyFont="1" applyFill="1" applyBorder="1" applyAlignment="1">
      <alignment horizontal="left" vertical="center" wrapText="1"/>
    </xf>
    <xf numFmtId="0" fontId="13" fillId="7" borderId="15" xfId="0" applyFont="1" applyFill="1" applyBorder="1" applyAlignment="1">
      <alignment horizontal="left" vertical="center" wrapText="1"/>
    </xf>
    <xf numFmtId="0" fontId="13" fillId="6" borderId="12" xfId="0" applyFont="1" applyFill="1" applyBorder="1" applyAlignment="1">
      <alignment horizontal="left" vertical="center" wrapText="1"/>
    </xf>
    <xf numFmtId="0" fontId="13" fillId="6" borderId="23" xfId="0" applyFont="1" applyFill="1" applyBorder="1" applyAlignment="1">
      <alignment horizontal="left" vertical="center" wrapText="1"/>
    </xf>
    <xf numFmtId="0" fontId="13" fillId="6" borderId="13" xfId="0" applyFont="1" applyFill="1" applyBorder="1" applyAlignment="1">
      <alignment horizontal="left" vertical="center" wrapText="1"/>
    </xf>
    <xf numFmtId="0" fontId="13" fillId="6" borderId="19" xfId="0" applyFont="1" applyFill="1" applyBorder="1" applyAlignment="1">
      <alignment horizontal="left" vertical="center" wrapText="1"/>
    </xf>
    <xf numFmtId="0" fontId="13" fillId="6" borderId="0" xfId="0" applyFont="1" applyFill="1" applyBorder="1" applyAlignment="1">
      <alignment horizontal="left" vertical="center" wrapText="1"/>
    </xf>
    <xf numFmtId="0" fontId="13" fillId="6" borderId="20" xfId="0" applyFont="1" applyFill="1" applyBorder="1" applyAlignment="1">
      <alignment horizontal="left" vertical="center" wrapText="1"/>
    </xf>
    <xf numFmtId="0" fontId="13" fillId="6" borderId="14" xfId="0" applyFont="1" applyFill="1" applyBorder="1" applyAlignment="1">
      <alignment horizontal="left" vertical="center" wrapText="1"/>
    </xf>
    <xf numFmtId="0" fontId="13" fillId="6" borderId="24" xfId="0" applyFont="1" applyFill="1" applyBorder="1" applyAlignment="1">
      <alignment horizontal="left" vertical="center" wrapText="1"/>
    </xf>
    <xf numFmtId="0" fontId="13" fillId="6" borderId="15" xfId="0" applyFont="1" applyFill="1" applyBorder="1" applyAlignment="1">
      <alignment horizontal="left" vertical="center" wrapText="1"/>
    </xf>
    <xf numFmtId="0" fontId="13" fillId="3" borderId="23" xfId="0" applyFont="1" applyFill="1" applyBorder="1" applyAlignment="1">
      <alignment horizontal="center" vertical="center"/>
    </xf>
  </cellXfs>
  <cellStyles count="3">
    <cellStyle name="Lien hypertexte" xfId="2" builtinId="8"/>
    <cellStyle name="Normal" xfId="0" builtinId="0"/>
    <cellStyle name="Pourcentage" xfId="1" builtinId="5"/>
  </cellStyles>
  <dxfs count="28">
    <dxf>
      <font>
        <b/>
        <i val="0"/>
        <color rgb="FF92D050"/>
      </font>
      <fill>
        <patternFill patternType="none">
          <bgColor auto="1"/>
        </patternFill>
      </fill>
    </dxf>
    <dxf>
      <font>
        <b/>
        <i val="0"/>
        <color rgb="FFC00000"/>
      </font>
      <fill>
        <patternFill patternType="none">
          <bgColor auto="1"/>
        </patternFill>
      </fill>
    </dxf>
    <dxf>
      <font>
        <b/>
        <i val="0"/>
        <color auto="1"/>
      </font>
      <fill>
        <patternFill patternType="darkGray">
          <fgColor rgb="FF00B050"/>
          <bgColor auto="1"/>
        </patternFill>
      </fill>
    </dxf>
    <dxf>
      <font>
        <b/>
        <i val="0"/>
        <color auto="1"/>
      </font>
      <fill>
        <patternFill patternType="darkGray">
          <fgColor rgb="FFFF0000"/>
          <bgColor auto="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0"/>
      </font>
      <fill>
        <patternFill>
          <bgColor rgb="FF00B050"/>
        </patternFill>
      </fill>
    </dxf>
    <dxf>
      <font>
        <b/>
        <i val="0"/>
        <color theme="0"/>
      </font>
      <fill>
        <patternFill>
          <bgColor rgb="FFC0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rgb="FFFF0000"/>
      </font>
    </dxf>
    <dxf>
      <font>
        <b/>
        <i val="0"/>
        <color rgb="FF00B050"/>
      </font>
    </dxf>
    <dxf>
      <font>
        <b/>
        <i val="0"/>
        <color rgb="FF00B050"/>
      </font>
    </dxf>
    <dxf>
      <font>
        <b/>
        <i val="0"/>
        <color rgb="FFFF0000"/>
      </font>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5DB2-6E1A-4EE3-89D4-3AC5DB5266E3}">
  <dimension ref="A1:I16"/>
  <sheetViews>
    <sheetView showGridLines="0" workbookViewId="0">
      <selection activeCell="D11" sqref="D11:D13"/>
    </sheetView>
  </sheetViews>
  <sheetFormatPr baseColWidth="10" defaultRowHeight="19.95" customHeight="1" x14ac:dyDescent="0.3"/>
  <cols>
    <col min="1" max="2" width="18.77734375" style="3" customWidth="1"/>
    <col min="3" max="3" width="3.33203125" style="3" customWidth="1"/>
    <col min="4" max="4" width="75.77734375" style="3" customWidth="1"/>
    <col min="5" max="7" width="20.77734375" style="3" customWidth="1"/>
    <col min="8" max="8" width="19.21875" style="3" bestFit="1" customWidth="1"/>
    <col min="9" max="9" width="10.44140625" style="3" bestFit="1" customWidth="1"/>
    <col min="10" max="16384" width="11.5546875" style="3"/>
  </cols>
  <sheetData>
    <row r="1" spans="1:9" ht="19.95" customHeight="1" thickBot="1" x14ac:dyDescent="0.35">
      <c r="A1" s="5" t="s">
        <v>1</v>
      </c>
      <c r="B1" s="6" t="s">
        <v>0</v>
      </c>
      <c r="D1" s="7" t="s">
        <v>19</v>
      </c>
      <c r="E1" s="57" t="s">
        <v>23</v>
      </c>
      <c r="F1" s="58" t="s">
        <v>24</v>
      </c>
      <c r="G1" s="63" t="s">
        <v>25</v>
      </c>
      <c r="H1" s="112" t="s">
        <v>27</v>
      </c>
      <c r="I1" s="113"/>
    </row>
    <row r="2" spans="1:9" ht="19.95" customHeight="1" thickBot="1" x14ac:dyDescent="0.35">
      <c r="A2" s="8">
        <v>3</v>
      </c>
      <c r="B2" s="9">
        <v>3</v>
      </c>
      <c r="D2" s="43" t="s">
        <v>32</v>
      </c>
      <c r="E2" s="48">
        <v>5.8</v>
      </c>
      <c r="F2" s="49">
        <v>5.0999999999999996</v>
      </c>
      <c r="G2" s="59">
        <v>1.5</v>
      </c>
      <c r="H2" s="66" t="str">
        <f>IF(D2="","",IF(1/E2+1/F2+1/G2&lt;1,"Surebet","Pas de Surebet"))</f>
        <v>Pas de Surebet</v>
      </c>
      <c r="I2" s="71">
        <f>IF(D2="","",1/(1/E2+1/F2+1/G2))</f>
        <v>0.96603527106466369</v>
      </c>
    </row>
    <row r="3" spans="1:9" ht="19.95" customHeight="1" thickBot="1" x14ac:dyDescent="0.35">
      <c r="A3" s="119" t="s">
        <v>3</v>
      </c>
      <c r="B3" s="120"/>
      <c r="D3" s="44" t="s">
        <v>33</v>
      </c>
      <c r="E3" s="50">
        <v>1.1399999999999999</v>
      </c>
      <c r="F3" s="51">
        <v>9.3000000000000007</v>
      </c>
      <c r="G3" s="60">
        <v>18</v>
      </c>
      <c r="H3" s="64" t="str">
        <f t="shared" ref="H3:H4" si="0">IF(D3="","",IF(1/E3+1/F3+1/G3&lt;1,"Surebet","Pas de Surebet"))</f>
        <v>Pas de Surebet</v>
      </c>
      <c r="I3" s="72">
        <f t="shared" ref="I3:I4" si="1">IF(D3="","",1/(1/E3+1/F3+1/G3))</f>
        <v>0.96128388793181618</v>
      </c>
    </row>
    <row r="4" spans="1:9" ht="19.95" customHeight="1" thickBot="1" x14ac:dyDescent="0.35">
      <c r="A4" s="117">
        <f>IF(OR(A2="",B2=""),"",B2^A2)</f>
        <v>27</v>
      </c>
      <c r="B4" s="118"/>
      <c r="D4" s="45" t="s">
        <v>34</v>
      </c>
      <c r="E4" s="52">
        <v>1.38</v>
      </c>
      <c r="F4" s="53">
        <v>5.4</v>
      </c>
      <c r="G4" s="61">
        <v>8</v>
      </c>
      <c r="H4" s="65" t="str">
        <f t="shared" si="0"/>
        <v>Pas de Surebet</v>
      </c>
      <c r="I4" s="73">
        <f t="shared" si="1"/>
        <v>0.96634895934643061</v>
      </c>
    </row>
    <row r="5" spans="1:9" ht="19.95" customHeight="1" thickBot="1" x14ac:dyDescent="0.35">
      <c r="A5" s="62"/>
      <c r="B5" s="62"/>
      <c r="G5" s="4"/>
    </row>
    <row r="6" spans="1:9" ht="19.95" customHeight="1" x14ac:dyDescent="0.3">
      <c r="A6" s="121" t="s">
        <v>9</v>
      </c>
      <c r="B6" s="122"/>
      <c r="D6" s="11" t="s">
        <v>13</v>
      </c>
      <c r="G6" s="4"/>
    </row>
    <row r="7" spans="1:9" ht="19.95" customHeight="1" thickBot="1" x14ac:dyDescent="0.35">
      <c r="A7" s="123"/>
      <c r="B7" s="124"/>
      <c r="D7" s="12" t="s">
        <v>14</v>
      </c>
      <c r="F7" s="4"/>
    </row>
    <row r="8" spans="1:9" ht="19.95" customHeight="1" thickBot="1" x14ac:dyDescent="0.35">
      <c r="A8" s="62"/>
      <c r="B8" s="62"/>
      <c r="D8" s="12" t="s">
        <v>17</v>
      </c>
      <c r="F8" s="4"/>
    </row>
    <row r="9" spans="1:9" ht="19.95" customHeight="1" x14ac:dyDescent="0.3">
      <c r="A9" s="121" t="s">
        <v>10</v>
      </c>
      <c r="B9" s="122"/>
      <c r="D9" s="46" t="s">
        <v>26</v>
      </c>
      <c r="F9" s="4"/>
    </row>
    <row r="10" spans="1:9" ht="19.95" customHeight="1" thickBot="1" x14ac:dyDescent="0.35">
      <c r="A10" s="123"/>
      <c r="B10" s="124"/>
      <c r="D10" s="12" t="s">
        <v>18</v>
      </c>
      <c r="G10" s="4"/>
    </row>
    <row r="11" spans="1:9" ht="19.95" customHeight="1" thickBot="1" x14ac:dyDescent="0.35">
      <c r="A11" s="62"/>
      <c r="B11" s="62"/>
      <c r="D11" s="114" t="s">
        <v>30</v>
      </c>
      <c r="G11" s="4"/>
    </row>
    <row r="12" spans="1:9" ht="19.95" customHeight="1" x14ac:dyDescent="0.3">
      <c r="A12" s="121" t="s">
        <v>11</v>
      </c>
      <c r="B12" s="122"/>
      <c r="D12" s="115"/>
      <c r="G12" s="4"/>
    </row>
    <row r="13" spans="1:9" ht="19.95" customHeight="1" thickBot="1" x14ac:dyDescent="0.35">
      <c r="A13" s="123"/>
      <c r="B13" s="124"/>
      <c r="D13" s="116"/>
      <c r="G13" s="4"/>
    </row>
    <row r="14" spans="1:9" ht="19.95" customHeight="1" thickBot="1" x14ac:dyDescent="0.35">
      <c r="A14" s="62"/>
      <c r="B14" s="62"/>
      <c r="G14" s="4"/>
    </row>
    <row r="15" spans="1:9" ht="19.95" customHeight="1" x14ac:dyDescent="0.3">
      <c r="A15" s="121" t="s">
        <v>12</v>
      </c>
      <c r="B15" s="122"/>
      <c r="D15" s="47" t="s">
        <v>15</v>
      </c>
    </row>
    <row r="16" spans="1:9" ht="19.95" customHeight="1" thickBot="1" x14ac:dyDescent="0.35">
      <c r="A16" s="123"/>
      <c r="B16" s="124"/>
      <c r="D16" s="10" t="s">
        <v>16</v>
      </c>
    </row>
  </sheetData>
  <mergeCells count="8">
    <mergeCell ref="H1:I1"/>
    <mergeCell ref="D11:D13"/>
    <mergeCell ref="A4:B4"/>
    <mergeCell ref="A3:B3"/>
    <mergeCell ref="A15:B16"/>
    <mergeCell ref="A12:B13"/>
    <mergeCell ref="A9:B10"/>
    <mergeCell ref="A6:B7"/>
  </mergeCells>
  <conditionalFormatting sqref="D2:G3">
    <cfRule type="expression" dxfId="27" priority="8">
      <formula>$A$2=2</formula>
    </cfRule>
  </conditionalFormatting>
  <conditionalFormatting sqref="D2:G4">
    <cfRule type="expression" dxfId="26" priority="7">
      <formula>$A$2=3</formula>
    </cfRule>
  </conditionalFormatting>
  <conditionalFormatting sqref="H2:H4">
    <cfRule type="containsText" dxfId="25" priority="3" operator="containsText" text="Pas de Surebet">
      <formula>NOT(ISERROR(SEARCH("Pas de Surebet",H2)))</formula>
    </cfRule>
    <cfRule type="containsText" dxfId="24" priority="4" operator="containsText" text="Surebet">
      <formula>NOT(ISERROR(SEARCH("Surebet",H2)))</formula>
    </cfRule>
  </conditionalFormatting>
  <conditionalFormatting sqref="I2:I4">
    <cfRule type="cellIs" dxfId="23" priority="1" operator="greaterThan">
      <formula>1</formula>
    </cfRule>
    <cfRule type="cellIs" dxfId="22" priority="2" operator="lessThan">
      <formula>1</formula>
    </cfRule>
  </conditionalFormatting>
  <dataValidations count="1">
    <dataValidation type="list" allowBlank="1" showInputMessage="1" showErrorMessage="1" sqref="A2:B2" xr:uid="{F8B20894-DB88-4AE3-940E-792A3BFCC27D}">
      <formula1>"2,3"</formula1>
    </dataValidation>
  </dataValidations>
  <hyperlinks>
    <hyperlink ref="A6:B7" location="'2M_2I'!A1" display="2 Matchs &amp; 2 Issues" xr:uid="{6449A52E-90E4-45A8-938A-F1D0E0DA0966}"/>
    <hyperlink ref="A9:B10" location="'3M_2I'!A1" display="3 Matchs &amp; 2 Issues" xr:uid="{72A3BE68-47D0-47F4-9032-B7917782C5FD}"/>
    <hyperlink ref="A12:B13" location="'2M_3I'!A1" display="2 Matchs &amp; 3 Issues" xr:uid="{814D80B2-B793-4A0E-8A5B-A94975CA847D}"/>
    <hyperlink ref="A15:B16" location="'3M_3I'!A1" display="3 Matchs &amp; 3 Issues" xr:uid="{3300CE29-FF74-470E-963C-1B1E9FDB3932}"/>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F579F-0ECE-4DD4-9AC7-14501331E0B0}">
  <dimension ref="A1:I14"/>
  <sheetViews>
    <sheetView showGridLines="0" workbookViewId="0">
      <selection activeCell="A21" sqref="A21"/>
    </sheetView>
  </sheetViews>
  <sheetFormatPr baseColWidth="10" defaultRowHeight="19.95" customHeight="1" x14ac:dyDescent="0.3"/>
  <cols>
    <col min="1" max="1" width="40.77734375" style="1" customWidth="1"/>
    <col min="2" max="2" width="5.77734375" style="1" customWidth="1"/>
    <col min="3" max="3" width="40.77734375" style="1" customWidth="1"/>
    <col min="4" max="5" width="20.77734375" style="1" hidden="1" customWidth="1"/>
    <col min="6" max="7" width="23.77734375" style="1" customWidth="1"/>
    <col min="8" max="8" width="15.77734375" style="1" customWidth="1"/>
    <col min="9" max="9" width="15.77734375" style="1" hidden="1" customWidth="1"/>
    <col min="10" max="10" width="25.77734375" style="1" customWidth="1"/>
    <col min="11" max="16384" width="11.5546875" style="1"/>
  </cols>
  <sheetData>
    <row r="1" spans="1:9" ht="19.95" customHeight="1" thickBot="1" x14ac:dyDescent="0.35">
      <c r="A1" s="19" t="s">
        <v>5</v>
      </c>
      <c r="C1" s="19" t="s">
        <v>2</v>
      </c>
      <c r="D1" s="127" t="s">
        <v>5</v>
      </c>
      <c r="E1" s="128"/>
      <c r="F1" s="19" t="s">
        <v>20</v>
      </c>
      <c r="G1" s="28" t="s">
        <v>21</v>
      </c>
    </row>
    <row r="2" spans="1:9" ht="19.95" customHeight="1" thickBot="1" x14ac:dyDescent="0.35">
      <c r="A2" s="22"/>
      <c r="C2" s="17" t="str">
        <f>Sommaire!D2</f>
        <v>Leverkusen - Bayern</v>
      </c>
      <c r="D2" s="13" t="str">
        <f>IF($A$2="","",IF($A$2="Over / Under","Over","BTTS"))</f>
        <v/>
      </c>
      <c r="E2" s="14" t="str">
        <f>IF($A$2="","",IF($A$2="Over / Under","Under","NoBTTS"))</f>
        <v/>
      </c>
      <c r="F2" s="33"/>
      <c r="G2" s="34"/>
      <c r="H2" s="2"/>
    </row>
    <row r="3" spans="1:9" ht="19.95" customHeight="1" thickBot="1" x14ac:dyDescent="0.35">
      <c r="C3" s="18" t="str">
        <f>Sommaire!D3</f>
        <v>Leipzig - Paderborn</v>
      </c>
      <c r="D3" s="15" t="str">
        <f>IF($A$2="","",IF($A$2="Over / Under","Over","BTTS"))</f>
        <v/>
      </c>
      <c r="E3" s="16" t="str">
        <f>IF($A$2="","",IF($A$2="Over / Under","Under","NoBTTS"))</f>
        <v/>
      </c>
      <c r="F3" s="35"/>
      <c r="G3" s="36"/>
    </row>
    <row r="4" spans="1:9" ht="19.95" customHeight="1" thickBot="1" x14ac:dyDescent="0.35">
      <c r="A4" s="19" t="s">
        <v>27</v>
      </c>
    </row>
    <row r="5" spans="1:9" ht="19.95" customHeight="1" thickBot="1" x14ac:dyDescent="0.35">
      <c r="A5" s="55" t="e">
        <f>1/(SUM(I7:I10))</f>
        <v>#DIV/0!</v>
      </c>
      <c r="F5" s="125" t="s">
        <v>4</v>
      </c>
      <c r="G5" s="126"/>
    </row>
    <row r="6" spans="1:9" ht="19.95" customHeight="1" thickBot="1" x14ac:dyDescent="0.35">
      <c r="A6" s="25" t="e">
        <f>IF(A5&gt;1,"Surebet","Pas de Surebet")</f>
        <v>#DIV/0!</v>
      </c>
      <c r="F6" s="20" t="s">
        <v>6</v>
      </c>
      <c r="G6" s="21" t="s">
        <v>7</v>
      </c>
      <c r="H6" s="32" t="s">
        <v>22</v>
      </c>
    </row>
    <row r="7" spans="1:9" ht="19.95" customHeight="1" thickBot="1" x14ac:dyDescent="0.35">
      <c r="F7" s="13" t="str">
        <f>D2</f>
        <v/>
      </c>
      <c r="G7" s="14" t="str">
        <f>D3</f>
        <v/>
      </c>
      <c r="H7" s="40">
        <f>F2*F3</f>
        <v>0</v>
      </c>
      <c r="I7" s="56" t="e">
        <f>1/H7</f>
        <v>#DIV/0!</v>
      </c>
    </row>
    <row r="8" spans="1:9" ht="19.95" customHeight="1" x14ac:dyDescent="0.3">
      <c r="A8" s="129" t="s">
        <v>28</v>
      </c>
      <c r="F8" s="13" t="str">
        <f>D2</f>
        <v/>
      </c>
      <c r="G8" s="14" t="str">
        <f>E3</f>
        <v/>
      </c>
      <c r="H8" s="41">
        <f>F2*G3</f>
        <v>0</v>
      </c>
      <c r="I8" s="56" t="e">
        <f t="shared" ref="I8:I10" si="0">1/H8</f>
        <v>#DIV/0!</v>
      </c>
    </row>
    <row r="9" spans="1:9" ht="19.95" customHeight="1" thickBot="1" x14ac:dyDescent="0.35">
      <c r="A9" s="130"/>
      <c r="F9" s="13" t="str">
        <f>E2</f>
        <v/>
      </c>
      <c r="G9" s="14" t="str">
        <f>D3</f>
        <v/>
      </c>
      <c r="H9" s="41">
        <f>G2*F3</f>
        <v>0</v>
      </c>
      <c r="I9" s="56" t="e">
        <f t="shared" si="0"/>
        <v>#DIV/0!</v>
      </c>
    </row>
    <row r="10" spans="1:9" ht="19.95" customHeight="1" thickBot="1" x14ac:dyDescent="0.35">
      <c r="A10" s="129" t="s">
        <v>29</v>
      </c>
      <c r="F10" s="15" t="str">
        <f>E2</f>
        <v/>
      </c>
      <c r="G10" s="16" t="str">
        <f>E3</f>
        <v/>
      </c>
      <c r="H10" s="42">
        <f>G2*G3</f>
        <v>0</v>
      </c>
      <c r="I10" s="56" t="e">
        <f t="shared" si="0"/>
        <v>#DIV/0!</v>
      </c>
    </row>
    <row r="11" spans="1:9" ht="19.95" customHeight="1" thickBot="1" x14ac:dyDescent="0.35">
      <c r="A11" s="130"/>
    </row>
    <row r="12" spans="1:9" ht="19.95" customHeight="1" thickBot="1" x14ac:dyDescent="0.35"/>
    <row r="13" spans="1:9" ht="19.95" customHeight="1" x14ac:dyDescent="0.3">
      <c r="A13" s="131" t="s">
        <v>31</v>
      </c>
    </row>
    <row r="14" spans="1:9" ht="19.95" customHeight="1" thickBot="1" x14ac:dyDescent="0.35">
      <c r="A14" s="132"/>
    </row>
  </sheetData>
  <mergeCells count="5">
    <mergeCell ref="F5:G5"/>
    <mergeCell ref="D1:E1"/>
    <mergeCell ref="A8:A9"/>
    <mergeCell ref="A10:A11"/>
    <mergeCell ref="A13:A14"/>
  </mergeCells>
  <conditionalFormatting sqref="A6">
    <cfRule type="containsText" dxfId="21" priority="1" operator="containsText" text="Pas de Surebet">
      <formula>NOT(ISERROR(SEARCH("Pas de Surebet",A6)))</formula>
    </cfRule>
    <cfRule type="containsText" dxfId="20" priority="2" operator="containsText" text="Surebet">
      <formula>NOT(ISERROR(SEARCH("Surebet",A6)))</formula>
    </cfRule>
  </conditionalFormatting>
  <dataValidations count="1">
    <dataValidation type="list" allowBlank="1" showInputMessage="1" showErrorMessage="1" sqref="A2" xr:uid="{50A4C188-A5CB-4AA6-B46B-BCEA9CC00993}">
      <formula1>"Over / Under,BTTS / NoBTTS"</formula1>
    </dataValidation>
  </dataValidations>
  <hyperlinks>
    <hyperlink ref="A13:A14" location="Sommaire!A1" display="RETOUR" xr:uid="{82131DEB-A9C4-4A70-BF8C-C12FE94B0EF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68060-A64E-487D-B59C-BE313D5A2D7B}">
  <dimension ref="A1:J15"/>
  <sheetViews>
    <sheetView showGridLines="0" workbookViewId="0">
      <selection activeCell="F2" sqref="F2"/>
    </sheetView>
  </sheetViews>
  <sheetFormatPr baseColWidth="10" defaultRowHeight="19.95" customHeight="1" x14ac:dyDescent="0.3"/>
  <cols>
    <col min="1" max="1" width="40.77734375" style="1" customWidth="1"/>
    <col min="2" max="2" width="5.77734375" style="1" customWidth="1"/>
    <col min="3" max="3" width="40.77734375" style="1" customWidth="1"/>
    <col min="4" max="5" width="20.77734375" style="1" hidden="1" customWidth="1"/>
    <col min="6" max="8" width="23.77734375" style="1" customWidth="1"/>
    <col min="9" max="9" width="15.77734375" style="1" customWidth="1"/>
    <col min="10" max="10" width="0" style="1" hidden="1" customWidth="1"/>
    <col min="11" max="16384" width="11.5546875" style="1"/>
  </cols>
  <sheetData>
    <row r="1" spans="1:10" ht="19.95" customHeight="1" thickBot="1" x14ac:dyDescent="0.35">
      <c r="A1" s="19" t="s">
        <v>5</v>
      </c>
      <c r="C1" s="19" t="s">
        <v>2</v>
      </c>
      <c r="D1" s="133" t="s">
        <v>5</v>
      </c>
      <c r="E1" s="128"/>
      <c r="F1" s="31" t="s">
        <v>20</v>
      </c>
      <c r="G1" s="37" t="s">
        <v>21</v>
      </c>
    </row>
    <row r="2" spans="1:10" ht="19.95" customHeight="1" thickBot="1" x14ac:dyDescent="0.35">
      <c r="A2" s="22"/>
      <c r="C2" s="17" t="str">
        <f>Sommaire!D2</f>
        <v>Leverkusen - Bayern</v>
      </c>
      <c r="D2" s="23" t="str">
        <f>IF($A$2="","",IF($A$2="Over / Under","Over","BTTS"))</f>
        <v/>
      </c>
      <c r="E2" s="23" t="str">
        <f>IF($A$2="","",IF($A$2="Over / Under","Under","NoBTTS"))</f>
        <v/>
      </c>
      <c r="F2" s="33"/>
      <c r="G2" s="34"/>
    </row>
    <row r="3" spans="1:10" ht="19.95" customHeight="1" thickBot="1" x14ac:dyDescent="0.35">
      <c r="C3" s="17" t="str">
        <f>Sommaire!D3</f>
        <v>Leipzig - Paderborn</v>
      </c>
      <c r="D3" s="23" t="str">
        <f>IF($A$2="","",IF($A$2="Over / Under","Over","BTTS"))</f>
        <v/>
      </c>
      <c r="E3" s="23" t="str">
        <f>IF($A$2="","",IF($A$2="Over / Under","Under","NoBTTS"))</f>
        <v/>
      </c>
      <c r="F3" s="38"/>
      <c r="G3" s="39"/>
    </row>
    <row r="4" spans="1:10" ht="19.95" customHeight="1" thickBot="1" x14ac:dyDescent="0.35">
      <c r="A4" s="19" t="s">
        <v>27</v>
      </c>
      <c r="C4" s="18" t="str">
        <f>Sommaire!D4</f>
        <v>Dortmund - Hertha</v>
      </c>
      <c r="D4" s="24" t="str">
        <f>IF($A$2="","",IF($A$2="Over / Under","Over","BTTS"))</f>
        <v/>
      </c>
      <c r="E4" s="24" t="str">
        <f>IF($A$2="","",IF($A$2="Over / Under","Under","NoBTTS"))</f>
        <v/>
      </c>
      <c r="F4" s="35"/>
      <c r="G4" s="36"/>
    </row>
    <row r="5" spans="1:10" ht="19.95" customHeight="1" thickBot="1" x14ac:dyDescent="0.35">
      <c r="A5" s="55" t="e">
        <f>1/SUM(J8:J15)</f>
        <v>#DIV/0!</v>
      </c>
    </row>
    <row r="6" spans="1:10" ht="19.95" customHeight="1" thickBot="1" x14ac:dyDescent="0.35">
      <c r="A6" s="25" t="e">
        <f>IF(A5&gt;1,"Surebet","Pas de Surebet")</f>
        <v>#DIV/0!</v>
      </c>
      <c r="F6" s="127" t="s">
        <v>4</v>
      </c>
      <c r="G6" s="133"/>
      <c r="H6" s="128"/>
    </row>
    <row r="7" spans="1:10" ht="19.95" customHeight="1" thickBot="1" x14ac:dyDescent="0.35">
      <c r="F7" s="26" t="s">
        <v>6</v>
      </c>
      <c r="G7" s="27" t="s">
        <v>7</v>
      </c>
      <c r="H7" s="28" t="s">
        <v>8</v>
      </c>
      <c r="I7" s="32" t="s">
        <v>22</v>
      </c>
    </row>
    <row r="8" spans="1:10" ht="19.95" customHeight="1" x14ac:dyDescent="0.3">
      <c r="A8" s="129" t="s">
        <v>28</v>
      </c>
      <c r="F8" s="13" t="str">
        <f>D2</f>
        <v/>
      </c>
      <c r="G8" s="23" t="str">
        <f>D3</f>
        <v/>
      </c>
      <c r="H8" s="14" t="str">
        <f>D4</f>
        <v/>
      </c>
      <c r="I8" s="40">
        <f>F2*F3*F4</f>
        <v>0</v>
      </c>
      <c r="J8" s="56" t="e">
        <f>1/I8</f>
        <v>#DIV/0!</v>
      </c>
    </row>
    <row r="9" spans="1:10" ht="19.95" customHeight="1" thickBot="1" x14ac:dyDescent="0.35">
      <c r="A9" s="130"/>
      <c r="F9" s="13" t="str">
        <f>E2</f>
        <v/>
      </c>
      <c r="G9" s="23" t="str">
        <f>E3</f>
        <v/>
      </c>
      <c r="H9" s="14" t="str">
        <f>E4</f>
        <v/>
      </c>
      <c r="I9" s="41">
        <f>G2*G3*G4</f>
        <v>0</v>
      </c>
      <c r="J9" s="56" t="e">
        <f t="shared" ref="J9:J15" si="0">1/I9</f>
        <v>#DIV/0!</v>
      </c>
    </row>
    <row r="10" spans="1:10" ht="19.95" customHeight="1" x14ac:dyDescent="0.3">
      <c r="A10" s="129" t="s">
        <v>29</v>
      </c>
      <c r="F10" s="13" t="str">
        <f>D2</f>
        <v/>
      </c>
      <c r="G10" s="23" t="str">
        <f>D3</f>
        <v/>
      </c>
      <c r="H10" s="14" t="str">
        <f>E4</f>
        <v/>
      </c>
      <c r="I10" s="41">
        <f>F2*F3*G4</f>
        <v>0</v>
      </c>
      <c r="J10" s="56" t="e">
        <f t="shared" si="0"/>
        <v>#DIV/0!</v>
      </c>
    </row>
    <row r="11" spans="1:10" ht="19.95" customHeight="1" thickBot="1" x14ac:dyDescent="0.35">
      <c r="A11" s="130"/>
      <c r="F11" s="13" t="str">
        <f>D2</f>
        <v/>
      </c>
      <c r="G11" s="23" t="str">
        <f>E3</f>
        <v/>
      </c>
      <c r="H11" s="14" t="str">
        <f>E4</f>
        <v/>
      </c>
      <c r="I11" s="41">
        <f>F2*G3*G4</f>
        <v>0</v>
      </c>
      <c r="J11" s="56" t="e">
        <f t="shared" si="0"/>
        <v>#DIV/0!</v>
      </c>
    </row>
    <row r="12" spans="1:10" ht="19.95" customHeight="1" thickBot="1" x14ac:dyDescent="0.35">
      <c r="F12" s="13" t="str">
        <f>E2</f>
        <v/>
      </c>
      <c r="G12" s="23" t="str">
        <f>E3</f>
        <v/>
      </c>
      <c r="H12" s="14" t="str">
        <f>D4</f>
        <v/>
      </c>
      <c r="I12" s="41">
        <f>G2*G3*F4</f>
        <v>0</v>
      </c>
      <c r="J12" s="56" t="e">
        <f t="shared" si="0"/>
        <v>#DIV/0!</v>
      </c>
    </row>
    <row r="13" spans="1:10" ht="19.95" customHeight="1" x14ac:dyDescent="0.3">
      <c r="A13" s="131" t="s">
        <v>31</v>
      </c>
      <c r="F13" s="13" t="str">
        <f>D2</f>
        <v/>
      </c>
      <c r="G13" s="23" t="str">
        <f>E3</f>
        <v/>
      </c>
      <c r="H13" s="14" t="str">
        <f>D4</f>
        <v/>
      </c>
      <c r="I13" s="41">
        <f>F2*G3*F4</f>
        <v>0</v>
      </c>
      <c r="J13" s="56" t="e">
        <f t="shared" si="0"/>
        <v>#DIV/0!</v>
      </c>
    </row>
    <row r="14" spans="1:10" ht="19.95" customHeight="1" thickBot="1" x14ac:dyDescent="0.35">
      <c r="A14" s="132"/>
      <c r="F14" s="13" t="str">
        <f>E2</f>
        <v/>
      </c>
      <c r="G14" s="23" t="str">
        <f>D3</f>
        <v/>
      </c>
      <c r="H14" s="14" t="str">
        <f>E4</f>
        <v/>
      </c>
      <c r="I14" s="41">
        <f>G2*F3*G4</f>
        <v>0</v>
      </c>
      <c r="J14" s="56" t="e">
        <f t="shared" si="0"/>
        <v>#DIV/0!</v>
      </c>
    </row>
    <row r="15" spans="1:10" ht="19.95" customHeight="1" thickBot="1" x14ac:dyDescent="0.35">
      <c r="F15" s="15" t="str">
        <f>E2</f>
        <v/>
      </c>
      <c r="G15" s="24" t="str">
        <f>D3</f>
        <v/>
      </c>
      <c r="H15" s="16" t="str">
        <f>D4</f>
        <v/>
      </c>
      <c r="I15" s="42">
        <f>G2*F3*F4</f>
        <v>0</v>
      </c>
      <c r="J15" s="56" t="e">
        <f t="shared" si="0"/>
        <v>#DIV/0!</v>
      </c>
    </row>
  </sheetData>
  <mergeCells count="5">
    <mergeCell ref="A8:A9"/>
    <mergeCell ref="F6:H6"/>
    <mergeCell ref="D1:E1"/>
    <mergeCell ref="A10:A11"/>
    <mergeCell ref="A13:A14"/>
  </mergeCells>
  <phoneticPr fontId="3" type="noConversion"/>
  <conditionalFormatting sqref="A6">
    <cfRule type="containsText" dxfId="19" priority="1" operator="containsText" text="Pas de Surebet">
      <formula>NOT(ISERROR(SEARCH("Pas de Surebet",A6)))</formula>
    </cfRule>
    <cfRule type="containsText" dxfId="18" priority="2" operator="containsText" text="Surebet">
      <formula>NOT(ISERROR(SEARCH("Surebet",A6)))</formula>
    </cfRule>
  </conditionalFormatting>
  <dataValidations count="1">
    <dataValidation type="list" allowBlank="1" showInputMessage="1" showErrorMessage="1" sqref="A2" xr:uid="{6A546EE0-0A4A-41A1-A087-51E7A4A271EB}">
      <formula1>"Over / Under,BTTS / NoBTTS"</formula1>
    </dataValidation>
  </dataValidations>
  <hyperlinks>
    <hyperlink ref="A13:A14" location="Sommaire!A1" display="RETOUR" xr:uid="{290F7A7A-38C7-4629-96C8-C50C158EA16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8BA7E-413C-4FEB-B8FC-5530E3DFAA7A}">
  <dimension ref="A1:O19"/>
  <sheetViews>
    <sheetView showGridLines="0" topLeftCell="I1" zoomScaleNormal="100" workbookViewId="0">
      <selection activeCell="J7" sqref="J7"/>
    </sheetView>
  </sheetViews>
  <sheetFormatPr baseColWidth="10" defaultRowHeight="19.95" customHeight="1" x14ac:dyDescent="0.3"/>
  <cols>
    <col min="1" max="1" width="40.77734375" style="1" customWidth="1"/>
    <col min="2" max="2" width="30.77734375" style="1" hidden="1" customWidth="1"/>
    <col min="3" max="3" width="15.77734375" style="1" hidden="1" customWidth="1"/>
    <col min="4" max="4" width="30.77734375" style="1" hidden="1" customWidth="1"/>
    <col min="5" max="5" width="5.77734375" style="1" customWidth="1"/>
    <col min="6" max="7" width="30.77734375" style="1" customWidth="1"/>
    <col min="8" max="10" width="15.77734375" style="1" customWidth="1"/>
    <col min="11" max="11" width="11.5546875" style="1" hidden="1" customWidth="1"/>
    <col min="12" max="12" width="27" style="1" bestFit="1" customWidth="1"/>
    <col min="13" max="15" width="12.77734375" style="1" customWidth="1"/>
    <col min="16" max="16384" width="11.5546875" style="1"/>
  </cols>
  <sheetData>
    <row r="1" spans="1:15" ht="19.95" customHeight="1" thickBot="1" x14ac:dyDescent="0.35">
      <c r="A1" s="19" t="s">
        <v>2</v>
      </c>
      <c r="B1" s="133" t="s">
        <v>5</v>
      </c>
      <c r="C1" s="133"/>
      <c r="D1" s="128"/>
      <c r="F1" s="125" t="s">
        <v>4</v>
      </c>
      <c r="G1" s="126"/>
      <c r="N1" s="84">
        <v>100</v>
      </c>
    </row>
    <row r="2" spans="1:15" ht="19.95" customHeight="1" thickBot="1" x14ac:dyDescent="0.35">
      <c r="A2" s="17" t="str">
        <f>Sommaire!D2</f>
        <v>Leverkusen - Bayern</v>
      </c>
      <c r="B2" s="23" t="str">
        <f>IF(A2="","",LEFT(A2,SEARCH(" - ",A2)))</f>
        <v xml:space="preserve">Leverkusen </v>
      </c>
      <c r="C2" s="23" t="str">
        <f>IF(A2="","","Nul")</f>
        <v>Nul</v>
      </c>
      <c r="D2" s="29" t="str">
        <f>IF(A2="","",RIGHT(A2,LEN(A2)-LEN(LEFT(A2,SEARCH("-",A2)))))</f>
        <v xml:space="preserve"> Bayern</v>
      </c>
      <c r="F2" s="26" t="s">
        <v>6</v>
      </c>
      <c r="G2" s="28" t="s">
        <v>7</v>
      </c>
      <c r="H2" s="32" t="s">
        <v>22</v>
      </c>
      <c r="I2" s="32" t="s">
        <v>35</v>
      </c>
      <c r="J2" s="32" t="s">
        <v>36</v>
      </c>
      <c r="L2" s="80" t="s">
        <v>4</v>
      </c>
      <c r="M2" s="77" t="str">
        <f>H2</f>
        <v>Cote</v>
      </c>
      <c r="N2" s="77" t="s">
        <v>37</v>
      </c>
      <c r="O2" s="77" t="s">
        <v>38</v>
      </c>
    </row>
    <row r="3" spans="1:15" ht="19.95" customHeight="1" thickBot="1" x14ac:dyDescent="0.35">
      <c r="A3" s="18" t="str">
        <f>Sommaire!D3</f>
        <v>Leipzig - Paderborn</v>
      </c>
      <c r="B3" s="24" t="str">
        <f>IF(A3="","",LEFT(A3,SEARCH(" - ",A3)))</f>
        <v xml:space="preserve">Leipzig </v>
      </c>
      <c r="C3" s="24" t="str">
        <f>IF(A3="","","Nul")</f>
        <v>Nul</v>
      </c>
      <c r="D3" s="30" t="str">
        <f>IF(A3="","",RIGHT(A3,LEN(A3)-LEN(LEFT(A3,SEARCH("-",A3)))))</f>
        <v xml:space="preserve"> Paderborn</v>
      </c>
      <c r="F3" s="13" t="str">
        <f>B2</f>
        <v xml:space="preserve">Leverkusen </v>
      </c>
      <c r="G3" s="14" t="str">
        <f>B3</f>
        <v xml:space="preserve">Leipzig </v>
      </c>
      <c r="H3" s="40">
        <f>IF(I3="",Sommaire!E2*Sommaire!E3,I3)</f>
        <v>6.6119999999999992</v>
      </c>
      <c r="I3" s="40"/>
      <c r="J3" s="74"/>
      <c r="K3" s="54">
        <f>1/H3</f>
        <v>0.15124016938898974</v>
      </c>
      <c r="L3" s="78" t="str">
        <f>F3&amp;" / "&amp;G3</f>
        <v xml:space="preserve">Leverkusen  / Leipzig </v>
      </c>
      <c r="M3" s="40">
        <f t="shared" ref="M3:M11" si="0">H3</f>
        <v>6.6119999999999992</v>
      </c>
      <c r="N3" s="81">
        <f>IF(J3="",$N$1/M3,J3)</f>
        <v>15.124016938898974</v>
      </c>
      <c r="O3" s="85">
        <f>IF(N3="","",(M3*N3)-SUM($N$3:$N$11))</f>
        <v>-7.6850349972877012</v>
      </c>
    </row>
    <row r="4" spans="1:15" ht="19.95" customHeight="1" thickBot="1" x14ac:dyDescent="0.35">
      <c r="F4" s="13" t="str">
        <f>B2</f>
        <v xml:space="preserve">Leverkusen </v>
      </c>
      <c r="G4" s="14" t="str">
        <f>C3</f>
        <v>Nul</v>
      </c>
      <c r="H4" s="41">
        <f>IF(I4="",Sommaire!E2*Sommaire!F3,I4)</f>
        <v>53.940000000000005</v>
      </c>
      <c r="I4" s="41"/>
      <c r="J4" s="75"/>
      <c r="K4" s="54">
        <f t="shared" ref="K4:K11" si="1">1/H4</f>
        <v>1.853911753800519E-2</v>
      </c>
      <c r="L4" s="17" t="str">
        <f t="shared" ref="L4:L11" si="2">F4&amp;" / "&amp;G4</f>
        <v>Leverkusen  / Nul</v>
      </c>
      <c r="M4" s="41">
        <f t="shared" si="0"/>
        <v>53.940000000000005</v>
      </c>
      <c r="N4" s="82">
        <f t="shared" ref="N4:N11" si="3">IF(J4="",$N$1/M4,J4)</f>
        <v>1.853911753800519</v>
      </c>
      <c r="O4" s="86">
        <f t="shared" ref="O4:O11" si="4">IF(N4="","",(M4*N4)-SUM($N$3:$N$11))</f>
        <v>-7.6850349972877012</v>
      </c>
    </row>
    <row r="5" spans="1:15" ht="19.95" customHeight="1" thickBot="1" x14ac:dyDescent="0.35">
      <c r="A5" s="19" t="s">
        <v>27</v>
      </c>
      <c r="F5" s="13" t="str">
        <f>B2</f>
        <v xml:space="preserve">Leverkusen </v>
      </c>
      <c r="G5" s="14" t="str">
        <f>D3</f>
        <v xml:space="preserve"> Paderborn</v>
      </c>
      <c r="H5" s="41">
        <f>IF(I5="",Sommaire!E2*Sommaire!G3,I5)</f>
        <v>104.39999999999999</v>
      </c>
      <c r="I5" s="41"/>
      <c r="J5" s="75"/>
      <c r="K5" s="54">
        <f t="shared" si="1"/>
        <v>9.578544061302683E-3</v>
      </c>
      <c r="L5" s="17" t="str">
        <f t="shared" si="2"/>
        <v>Leverkusen  /  Paderborn</v>
      </c>
      <c r="M5" s="41">
        <f t="shared" si="0"/>
        <v>104.39999999999999</v>
      </c>
      <c r="N5" s="82">
        <f t="shared" si="3"/>
        <v>0.95785440613026829</v>
      </c>
      <c r="O5" s="86">
        <f t="shared" si="4"/>
        <v>-7.6850349972877012</v>
      </c>
    </row>
    <row r="6" spans="1:15" ht="19.95" customHeight="1" thickBot="1" x14ac:dyDescent="0.35">
      <c r="A6" s="55">
        <f>1/SUM(K3:K11)</f>
        <v>0.92863414124830579</v>
      </c>
      <c r="F6" s="13" t="str">
        <f>C2</f>
        <v>Nul</v>
      </c>
      <c r="G6" s="14" t="str">
        <f>B3</f>
        <v xml:space="preserve">Leipzig </v>
      </c>
      <c r="H6" s="41">
        <f>IF(I6="",Sommaire!F2*Sommaire!E3,I6)</f>
        <v>5.8139999999999992</v>
      </c>
      <c r="I6" s="41"/>
      <c r="J6" s="75"/>
      <c r="K6" s="54">
        <f t="shared" si="1"/>
        <v>0.17199862401100793</v>
      </c>
      <c r="L6" s="17" t="str">
        <f t="shared" si="2"/>
        <v xml:space="preserve">Nul / Leipzig </v>
      </c>
      <c r="M6" s="41">
        <f t="shared" si="0"/>
        <v>5.8139999999999992</v>
      </c>
      <c r="N6" s="82">
        <f t="shared" si="3"/>
        <v>17.199862401100795</v>
      </c>
      <c r="O6" s="86">
        <f t="shared" si="4"/>
        <v>-7.6850349972877012</v>
      </c>
    </row>
    <row r="7" spans="1:15" ht="19.95" customHeight="1" thickBot="1" x14ac:dyDescent="0.35">
      <c r="A7" s="25" t="str">
        <f>IF(A6&gt;1,"Surebet","Pas de Surebet")</f>
        <v>Pas de Surebet</v>
      </c>
      <c r="F7" s="13" t="str">
        <f>C2</f>
        <v>Nul</v>
      </c>
      <c r="G7" s="14" t="str">
        <f>C3</f>
        <v>Nul</v>
      </c>
      <c r="H7" s="41">
        <f>IF(I7="",Sommaire!F2*Sommaire!F3,I7)</f>
        <v>47.43</v>
      </c>
      <c r="I7" s="41"/>
      <c r="J7" s="75"/>
      <c r="K7" s="54">
        <f t="shared" si="1"/>
        <v>2.1083702298123549E-2</v>
      </c>
      <c r="L7" s="17" t="str">
        <f t="shared" si="2"/>
        <v>Nul / Nul</v>
      </c>
      <c r="M7" s="41">
        <f t="shared" si="0"/>
        <v>47.43</v>
      </c>
      <c r="N7" s="82">
        <f t="shared" si="3"/>
        <v>2.1083702298123552</v>
      </c>
      <c r="O7" s="86">
        <f t="shared" si="4"/>
        <v>-7.685034997287687</v>
      </c>
    </row>
    <row r="8" spans="1:15" ht="19.95" customHeight="1" thickBot="1" x14ac:dyDescent="0.35">
      <c r="F8" s="13" t="str">
        <f>C2</f>
        <v>Nul</v>
      </c>
      <c r="G8" s="14" t="str">
        <f>D3</f>
        <v xml:space="preserve"> Paderborn</v>
      </c>
      <c r="H8" s="41">
        <f>IF(I8="",Sommaire!F2*Sommaire!G3,I8)</f>
        <v>91.8</v>
      </c>
      <c r="I8" s="41"/>
      <c r="J8" s="75"/>
      <c r="K8" s="54">
        <f t="shared" si="1"/>
        <v>1.0893246187363835E-2</v>
      </c>
      <c r="L8" s="17" t="str">
        <f t="shared" si="2"/>
        <v>Nul /  Paderborn</v>
      </c>
      <c r="M8" s="41">
        <f t="shared" si="0"/>
        <v>91.8</v>
      </c>
      <c r="N8" s="82">
        <f t="shared" si="3"/>
        <v>1.0893246187363834</v>
      </c>
      <c r="O8" s="86">
        <f t="shared" si="4"/>
        <v>-7.6850349972877012</v>
      </c>
    </row>
    <row r="9" spans="1:15" ht="19.95" customHeight="1" x14ac:dyDescent="0.3">
      <c r="A9" s="131" t="s">
        <v>31</v>
      </c>
      <c r="F9" s="13" t="str">
        <f>D2</f>
        <v xml:space="preserve"> Bayern</v>
      </c>
      <c r="G9" s="14" t="str">
        <f>B3</f>
        <v xml:space="preserve">Leipzig </v>
      </c>
      <c r="H9" s="41">
        <f>IF(I9="",Sommaire!G2*Sommaire!E3,I9)</f>
        <v>1.71</v>
      </c>
      <c r="I9" s="41"/>
      <c r="J9" s="75"/>
      <c r="K9" s="54">
        <f t="shared" si="1"/>
        <v>0.58479532163742687</v>
      </c>
      <c r="L9" s="17" t="str">
        <f t="shared" si="2"/>
        <v xml:space="preserve"> Bayern / Leipzig </v>
      </c>
      <c r="M9" s="41">
        <f t="shared" si="0"/>
        <v>1.71</v>
      </c>
      <c r="N9" s="82">
        <f t="shared" si="3"/>
        <v>58.479532163742689</v>
      </c>
      <c r="O9" s="86">
        <f t="shared" si="4"/>
        <v>-7.6850349972877012</v>
      </c>
    </row>
    <row r="10" spans="1:15" ht="19.95" customHeight="1" thickBot="1" x14ac:dyDescent="0.35">
      <c r="A10" s="132"/>
      <c r="F10" s="13" t="str">
        <f>D2</f>
        <v xml:space="preserve"> Bayern</v>
      </c>
      <c r="G10" s="14" t="str">
        <f>C3</f>
        <v>Nul</v>
      </c>
      <c r="H10" s="41">
        <f>IF(I10="",Sommaire!G2*Sommaire!F3,I10)</f>
        <v>13.950000000000001</v>
      </c>
      <c r="I10" s="41"/>
      <c r="J10" s="75"/>
      <c r="K10" s="54">
        <f t="shared" si="1"/>
        <v>7.1684587813620068E-2</v>
      </c>
      <c r="L10" s="17" t="str">
        <f t="shared" si="2"/>
        <v xml:space="preserve"> Bayern / Nul</v>
      </c>
      <c r="M10" s="41">
        <f t="shared" si="0"/>
        <v>13.950000000000001</v>
      </c>
      <c r="N10" s="82">
        <f t="shared" si="3"/>
        <v>7.1684587813620064</v>
      </c>
      <c r="O10" s="86">
        <f t="shared" si="4"/>
        <v>-7.6850349972877012</v>
      </c>
    </row>
    <row r="11" spans="1:15" ht="19.95" customHeight="1" thickBot="1" x14ac:dyDescent="0.35">
      <c r="F11" s="15" t="str">
        <f>D2</f>
        <v xml:space="preserve"> Bayern</v>
      </c>
      <c r="G11" s="16" t="str">
        <f>D3</f>
        <v xml:space="preserve"> Paderborn</v>
      </c>
      <c r="H11" s="42">
        <f>IF(I11="",Sommaire!G2*Sommaire!G3,I11)</f>
        <v>27</v>
      </c>
      <c r="I11" s="42"/>
      <c r="J11" s="76"/>
      <c r="K11" s="54">
        <f t="shared" si="1"/>
        <v>3.7037037037037035E-2</v>
      </c>
      <c r="L11" s="18" t="str">
        <f t="shared" si="2"/>
        <v xml:space="preserve"> Bayern /  Paderborn</v>
      </c>
      <c r="M11" s="42">
        <f t="shared" si="0"/>
        <v>27</v>
      </c>
      <c r="N11" s="83">
        <f t="shared" si="3"/>
        <v>3.7037037037037037</v>
      </c>
      <c r="O11" s="87">
        <f t="shared" si="4"/>
        <v>-7.6850349972877012</v>
      </c>
    </row>
    <row r="12" spans="1:15" ht="19.95" customHeight="1" thickBot="1" x14ac:dyDescent="0.35"/>
    <row r="13" spans="1:15" ht="19.95" customHeight="1" x14ac:dyDescent="0.3">
      <c r="I13" s="134" t="s">
        <v>40</v>
      </c>
      <c r="J13" s="135"/>
      <c r="M13" s="140" t="s">
        <v>39</v>
      </c>
      <c r="N13" s="141"/>
      <c r="O13" s="142"/>
    </row>
    <row r="14" spans="1:15" ht="19.95" customHeight="1" x14ac:dyDescent="0.3">
      <c r="I14" s="136"/>
      <c r="J14" s="137"/>
      <c r="M14" s="143"/>
      <c r="N14" s="144"/>
      <c r="O14" s="145"/>
    </row>
    <row r="15" spans="1:15" ht="19.95" customHeight="1" x14ac:dyDescent="0.3">
      <c r="I15" s="136"/>
      <c r="J15" s="137"/>
      <c r="M15" s="143"/>
      <c r="N15" s="144"/>
      <c r="O15" s="145"/>
    </row>
    <row r="16" spans="1:15" ht="19.95" customHeight="1" x14ac:dyDescent="0.3">
      <c r="I16" s="136"/>
      <c r="J16" s="137"/>
      <c r="M16" s="143"/>
      <c r="N16" s="144"/>
      <c r="O16" s="145"/>
    </row>
    <row r="17" spans="9:15" ht="19.95" customHeight="1" thickBot="1" x14ac:dyDescent="0.35">
      <c r="I17" s="138"/>
      <c r="J17" s="139"/>
      <c r="M17" s="146"/>
      <c r="N17" s="147"/>
      <c r="O17" s="148"/>
    </row>
    <row r="18" spans="9:15" ht="19.95" customHeight="1" x14ac:dyDescent="0.3">
      <c r="L18" s="1" t="s">
        <v>41</v>
      </c>
    </row>
    <row r="19" spans="9:15" ht="19.95" customHeight="1" x14ac:dyDescent="0.3">
      <c r="L19" s="1" t="s">
        <v>42</v>
      </c>
    </row>
  </sheetData>
  <mergeCells count="5">
    <mergeCell ref="F1:G1"/>
    <mergeCell ref="B1:D1"/>
    <mergeCell ref="A9:A10"/>
    <mergeCell ref="I13:J17"/>
    <mergeCell ref="M13:O17"/>
  </mergeCells>
  <conditionalFormatting sqref="A7">
    <cfRule type="containsText" dxfId="17" priority="6" operator="containsText" text="Pas de Surebet">
      <formula>NOT(ISERROR(SEARCH("Pas de Surebet",A7)))</formula>
    </cfRule>
    <cfRule type="containsText" dxfId="16" priority="7" operator="containsText" text="Surebet">
      <formula>NOT(ISERROR(SEARCH("Surebet",A7)))</formula>
    </cfRule>
  </conditionalFormatting>
  <conditionalFormatting sqref="F3:F11">
    <cfRule type="expression" dxfId="15" priority="5">
      <formula>I3&lt;&gt;""</formula>
    </cfRule>
  </conditionalFormatting>
  <conditionalFormatting sqref="G3:G11">
    <cfRule type="expression" dxfId="14" priority="4">
      <formula>I3&lt;&gt;""</formula>
    </cfRule>
  </conditionalFormatting>
  <conditionalFormatting sqref="H3:H11">
    <cfRule type="expression" dxfId="13" priority="3">
      <formula>I3&lt;&gt;""</formula>
    </cfRule>
  </conditionalFormatting>
  <conditionalFormatting sqref="I3:J11">
    <cfRule type="notContainsBlanks" dxfId="12" priority="2">
      <formula>LEN(TRIM(I3))&gt;0</formula>
    </cfRule>
  </conditionalFormatting>
  <hyperlinks>
    <hyperlink ref="A9:A10" location="Sommaire!A1" display="RETOUR" xr:uid="{CBE3514B-921B-42CF-8166-A82AE367BB3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1F387-3BBE-4768-91A4-1E21B717CD36}">
  <dimension ref="A1:P29"/>
  <sheetViews>
    <sheetView showGridLines="0" topLeftCell="A5" zoomScale="78" zoomScaleNormal="80" workbookViewId="0">
      <selection activeCell="I3" sqref="I3:I29"/>
    </sheetView>
  </sheetViews>
  <sheetFormatPr baseColWidth="10" defaultRowHeight="19.95" customHeight="1" x14ac:dyDescent="0.3"/>
  <cols>
    <col min="1" max="1" width="40.77734375" style="1" customWidth="1"/>
    <col min="2" max="2" width="30.77734375" style="1" hidden="1" customWidth="1"/>
    <col min="3" max="3" width="15.77734375" style="1" hidden="1" customWidth="1"/>
    <col min="4" max="4" width="30.77734375" style="1" hidden="1" customWidth="1"/>
    <col min="5" max="5" width="5.77734375" style="1" customWidth="1"/>
    <col min="6" max="8" width="30.77734375" style="1" customWidth="1"/>
    <col min="9" max="11" width="15.77734375" style="1" customWidth="1"/>
    <col min="12" max="12" width="11.5546875" style="1" hidden="1" customWidth="1"/>
    <col min="13" max="13" width="42.6640625" style="1" bestFit="1" customWidth="1"/>
    <col min="14" max="16" width="15.77734375" style="1" customWidth="1"/>
    <col min="17" max="16384" width="11.5546875" style="1"/>
  </cols>
  <sheetData>
    <row r="1" spans="1:16" ht="19.95" customHeight="1" thickBot="1" x14ac:dyDescent="0.35">
      <c r="A1" s="31" t="s">
        <v>2</v>
      </c>
      <c r="B1" s="149" t="s">
        <v>5</v>
      </c>
      <c r="C1" s="149"/>
      <c r="D1" s="126"/>
      <c r="F1" s="127" t="s">
        <v>4</v>
      </c>
      <c r="G1" s="133"/>
      <c r="H1" s="128"/>
      <c r="O1" s="84">
        <v>100</v>
      </c>
    </row>
    <row r="2" spans="1:16" ht="19.95" customHeight="1" thickBot="1" x14ac:dyDescent="0.35">
      <c r="A2" s="17" t="str">
        <f>Sommaire!D2</f>
        <v>Leverkusen - Bayern</v>
      </c>
      <c r="B2" s="23" t="str">
        <f>IF(A2="","",LEFT(A2,SEARCH(" - ",A2)))</f>
        <v xml:space="preserve">Leverkusen </v>
      </c>
      <c r="C2" s="23" t="str">
        <f>IF(A2="","","Nul")</f>
        <v>Nul</v>
      </c>
      <c r="D2" s="29" t="str">
        <f>IF(A2="","",RIGHT(A2,LEN(A2)-LEN(LEFT(A2,SEARCH("-",A2)))))</f>
        <v xml:space="preserve"> Bayern</v>
      </c>
      <c r="F2" s="26" t="s">
        <v>6</v>
      </c>
      <c r="G2" s="27" t="s">
        <v>7</v>
      </c>
      <c r="H2" s="28" t="s">
        <v>8</v>
      </c>
      <c r="I2" s="32" t="s">
        <v>22</v>
      </c>
      <c r="J2" s="32" t="s">
        <v>35</v>
      </c>
      <c r="K2" s="32" t="s">
        <v>36</v>
      </c>
      <c r="M2" s="79" t="s">
        <v>4</v>
      </c>
      <c r="N2" s="77" t="str">
        <f>I2</f>
        <v>Cote</v>
      </c>
      <c r="O2" s="77" t="s">
        <v>37</v>
      </c>
      <c r="P2" s="77" t="s">
        <v>38</v>
      </c>
    </row>
    <row r="3" spans="1:16" ht="19.95" customHeight="1" x14ac:dyDescent="0.3">
      <c r="A3" s="17" t="str">
        <f>Sommaire!D3</f>
        <v>Leipzig - Paderborn</v>
      </c>
      <c r="B3" s="23" t="str">
        <f>IF(A3="","",LEFT(A3,SEARCH(" - ",A3)))</f>
        <v xml:space="preserve">Leipzig </v>
      </c>
      <c r="C3" s="23" t="str">
        <f>IF(A3="","","Nul")</f>
        <v>Nul</v>
      </c>
      <c r="D3" s="29" t="str">
        <f>IF(A3="","",RIGHT(A3,LEN(A3)-LEN(LEFT(A3,SEARCH("-",A3)))))</f>
        <v xml:space="preserve"> Paderborn</v>
      </c>
      <c r="F3" s="13" t="str">
        <f>B2</f>
        <v xml:space="preserve">Leverkusen </v>
      </c>
      <c r="G3" s="23" t="str">
        <f>$B$3</f>
        <v xml:space="preserve">Leipzig </v>
      </c>
      <c r="H3" s="14" t="str">
        <f>$B$4</f>
        <v xml:space="preserve">Dortmund </v>
      </c>
      <c r="I3" s="40">
        <f>IF(J3="",Sommaire!E2*Sommaire!E3*Sommaire!E4,J3)</f>
        <v>9.1245599999999989</v>
      </c>
      <c r="J3" s="40"/>
      <c r="K3" s="74"/>
      <c r="L3" s="54">
        <f t="shared" ref="L3:L29" si="0">1/I3</f>
        <v>0.10959432564419545</v>
      </c>
      <c r="M3" s="78" t="str">
        <f>F3&amp;" / "&amp;G3&amp;" / "&amp;H3</f>
        <v xml:space="preserve">Leverkusen  / Leipzig  / Dortmund </v>
      </c>
      <c r="N3" s="40">
        <f t="shared" ref="N3:N29" si="1">I3</f>
        <v>9.1245599999999989</v>
      </c>
      <c r="O3" s="74">
        <f>IF(K3="",$O$1/N3,K3)</f>
        <v>10.959432564419545</v>
      </c>
      <c r="P3" s="85">
        <f>O3*N3-SUM($O$3:$O$29)</f>
        <v>25.591536004109827</v>
      </c>
    </row>
    <row r="4" spans="1:16" ht="19.95" customHeight="1" thickBot="1" x14ac:dyDescent="0.35">
      <c r="A4" s="18" t="str">
        <f>Sommaire!D4</f>
        <v>Dortmund - Hertha</v>
      </c>
      <c r="B4" s="24" t="str">
        <f>IF(A4="","",LEFT(A4,SEARCH(" - ",A4)))</f>
        <v xml:space="preserve">Dortmund </v>
      </c>
      <c r="C4" s="24" t="str">
        <f>IF(A4="","","Nul")</f>
        <v>Nul</v>
      </c>
      <c r="D4" s="30" t="str">
        <f>IF(A4="","",RIGHT(A4,LEN(A4)-LEN(LEFT(A4,SEARCH("-",A4)))))</f>
        <v xml:space="preserve"> Hertha</v>
      </c>
      <c r="F4" s="13" t="str">
        <f>B2</f>
        <v xml:space="preserve">Leverkusen </v>
      </c>
      <c r="G4" s="23" t="str">
        <f>$B$3</f>
        <v xml:space="preserve">Leipzig </v>
      </c>
      <c r="H4" s="14" t="str">
        <f>$C$4</f>
        <v>Nul</v>
      </c>
      <c r="I4" s="41">
        <f>IF(J4="",Sommaire!E2*Sommaire!E3*Sommaire!F4,J4)</f>
        <v>35.704799999999999</v>
      </c>
      <c r="J4" s="41"/>
      <c r="K4" s="75"/>
      <c r="L4" s="54">
        <f t="shared" si="0"/>
        <v>2.8007438775738837E-2</v>
      </c>
      <c r="M4" s="17" t="str">
        <f t="shared" ref="M4:M29" si="2">F4&amp;" / "&amp;G4&amp;" / "&amp;H4</f>
        <v>Leverkusen  / Leipzig  / Nul</v>
      </c>
      <c r="N4" s="41">
        <f t="shared" si="1"/>
        <v>35.704799999999999</v>
      </c>
      <c r="O4" s="75">
        <f t="shared" ref="O4:O29" si="3">IF(K4="",$O$1/N4,K4)</f>
        <v>2.8007438775738835</v>
      </c>
      <c r="P4" s="86">
        <f t="shared" ref="P4:P29" si="4">O4*N4-SUM($O$3:$O$29)</f>
        <v>25.591536004109827</v>
      </c>
    </row>
    <row r="5" spans="1:16" ht="19.95" customHeight="1" thickBot="1" x14ac:dyDescent="0.35">
      <c r="F5" s="13" t="str">
        <f>B2</f>
        <v xml:space="preserve">Leverkusen </v>
      </c>
      <c r="G5" s="23" t="str">
        <f>$B$3</f>
        <v xml:space="preserve">Leipzig </v>
      </c>
      <c r="H5" s="14" t="str">
        <f>$D$4</f>
        <v xml:space="preserve"> Hertha</v>
      </c>
      <c r="I5" s="41">
        <f>IF(J5="",Sommaire!E2*Sommaire!E3*Sommaire!G4,J5)</f>
        <v>52.895999999999994</v>
      </c>
      <c r="J5" s="41"/>
      <c r="K5" s="75"/>
      <c r="L5" s="54">
        <f t="shared" si="0"/>
        <v>1.8905021173623717E-2</v>
      </c>
      <c r="M5" s="17" t="str">
        <f t="shared" si="2"/>
        <v>Leverkusen  / Leipzig  /  Hertha</v>
      </c>
      <c r="N5" s="41">
        <f t="shared" si="1"/>
        <v>52.895999999999994</v>
      </c>
      <c r="O5" s="75">
        <f t="shared" si="3"/>
        <v>1.8905021173623717</v>
      </c>
      <c r="P5" s="86">
        <f t="shared" si="4"/>
        <v>25.591536004109827</v>
      </c>
    </row>
    <row r="6" spans="1:16" ht="19.95" customHeight="1" thickBot="1" x14ac:dyDescent="0.35">
      <c r="A6" s="19" t="s">
        <v>27</v>
      </c>
      <c r="F6" s="13" t="str">
        <f>B2</f>
        <v xml:space="preserve">Leverkusen </v>
      </c>
      <c r="G6" s="23" t="str">
        <f>$C$3</f>
        <v>Nul</v>
      </c>
      <c r="H6" s="14" t="str">
        <f>$B$4</f>
        <v xml:space="preserve">Dortmund </v>
      </c>
      <c r="I6" s="41">
        <f>IF(J6="",Sommaire!E2*Sommaire!F3*Sommaire!E4,J6)</f>
        <v>74.437200000000004</v>
      </c>
      <c r="J6" s="41"/>
      <c r="K6" s="75"/>
      <c r="L6" s="54">
        <f t="shared" si="0"/>
        <v>1.3434143143482022E-2</v>
      </c>
      <c r="M6" s="17" t="str">
        <f t="shared" si="2"/>
        <v xml:space="preserve">Leverkusen  / Nul / Dortmund </v>
      </c>
      <c r="N6" s="41">
        <f t="shared" si="1"/>
        <v>74.437200000000004</v>
      </c>
      <c r="O6" s="75">
        <f t="shared" si="3"/>
        <v>1.3434143143482022</v>
      </c>
      <c r="P6" s="86">
        <f t="shared" si="4"/>
        <v>25.591536004109827</v>
      </c>
    </row>
    <row r="7" spans="1:16" ht="19.95" customHeight="1" thickBot="1" x14ac:dyDescent="0.35">
      <c r="A7" s="55">
        <f>1/SUM(L3:L29)</f>
        <v>1.1228579015759217</v>
      </c>
      <c r="F7" s="13" t="str">
        <f>B2</f>
        <v xml:space="preserve">Leverkusen </v>
      </c>
      <c r="G7" s="23" t="str">
        <f>$C$3</f>
        <v>Nul</v>
      </c>
      <c r="H7" s="14" t="str">
        <f>$C$4</f>
        <v>Nul</v>
      </c>
      <c r="I7" s="41">
        <f>IF(J7="",Sommaire!E2*Sommaire!F3*Sommaire!F4,J7)</f>
        <v>291.27600000000007</v>
      </c>
      <c r="J7" s="41"/>
      <c r="K7" s="75"/>
      <c r="L7" s="54">
        <f t="shared" si="0"/>
        <v>3.4331699144454051E-3</v>
      </c>
      <c r="M7" s="17" t="str">
        <f t="shared" si="2"/>
        <v>Leverkusen  / Nul / Nul</v>
      </c>
      <c r="N7" s="41">
        <f t="shared" si="1"/>
        <v>291.27600000000007</v>
      </c>
      <c r="O7" s="75">
        <f t="shared" si="3"/>
        <v>0.34331699144454048</v>
      </c>
      <c r="P7" s="86">
        <f t="shared" si="4"/>
        <v>25.591536004109827</v>
      </c>
    </row>
    <row r="8" spans="1:16" ht="19.95" customHeight="1" thickBot="1" x14ac:dyDescent="0.35">
      <c r="A8" s="25" t="str">
        <f>IF(A7&gt;1,"Surebet","Pas de Surebet")</f>
        <v>Surebet</v>
      </c>
      <c r="F8" s="13" t="str">
        <f>B2</f>
        <v xml:space="preserve">Leverkusen </v>
      </c>
      <c r="G8" s="23" t="str">
        <f>$C$3</f>
        <v>Nul</v>
      </c>
      <c r="H8" s="14" t="str">
        <f>$D$4</f>
        <v xml:space="preserve"> Hertha</v>
      </c>
      <c r="I8" s="41">
        <f>IF(J8="",Sommaire!E2*Sommaire!F3*Sommaire!G4,J8)</f>
        <v>431.52000000000004</v>
      </c>
      <c r="J8" s="41"/>
      <c r="K8" s="75"/>
      <c r="L8" s="54">
        <f t="shared" si="0"/>
        <v>2.3173896922506487E-3</v>
      </c>
      <c r="M8" s="17" t="str">
        <f t="shared" si="2"/>
        <v>Leverkusen  / Nul /  Hertha</v>
      </c>
      <c r="N8" s="41">
        <f t="shared" si="1"/>
        <v>431.52000000000004</v>
      </c>
      <c r="O8" s="75">
        <f t="shared" si="3"/>
        <v>0.23173896922506487</v>
      </c>
      <c r="P8" s="86">
        <f t="shared" si="4"/>
        <v>25.591536004109827</v>
      </c>
    </row>
    <row r="9" spans="1:16" ht="19.95" customHeight="1" thickBot="1" x14ac:dyDescent="0.35">
      <c r="F9" s="13" t="str">
        <f>B2</f>
        <v xml:space="preserve">Leverkusen </v>
      </c>
      <c r="G9" s="23" t="str">
        <f>$D$3</f>
        <v xml:space="preserve"> Paderborn</v>
      </c>
      <c r="H9" s="14" t="str">
        <f>$B$4</f>
        <v xml:space="preserve">Dortmund </v>
      </c>
      <c r="I9" s="41">
        <f>IF(J9="",Sommaire!E2*Sommaire!G3*Sommaire!E4,J9)</f>
        <v>144.07199999999997</v>
      </c>
      <c r="J9" s="41"/>
      <c r="K9" s="75"/>
      <c r="L9" s="54">
        <f t="shared" si="0"/>
        <v>6.9409739574657131E-3</v>
      </c>
      <c r="M9" s="17" t="str">
        <f t="shared" si="2"/>
        <v xml:space="preserve">Leverkusen  /  Paderborn / Dortmund </v>
      </c>
      <c r="N9" s="41">
        <f t="shared" si="1"/>
        <v>144.07199999999997</v>
      </c>
      <c r="O9" s="75">
        <f t="shared" si="3"/>
        <v>0.69409739574657126</v>
      </c>
      <c r="P9" s="86">
        <f t="shared" si="4"/>
        <v>25.591536004109827</v>
      </c>
    </row>
    <row r="10" spans="1:16" ht="19.95" customHeight="1" x14ac:dyDescent="0.3">
      <c r="A10" s="131" t="s">
        <v>31</v>
      </c>
      <c r="F10" s="13" t="str">
        <f>B2</f>
        <v xml:space="preserve">Leverkusen </v>
      </c>
      <c r="G10" s="23" t="str">
        <f>$D$3</f>
        <v xml:space="preserve"> Paderborn</v>
      </c>
      <c r="H10" s="14" t="str">
        <f>$C$4</f>
        <v>Nul</v>
      </c>
      <c r="I10" s="41">
        <f>IF(J10="",Sommaire!E2*Sommaire!G3*Sommaire!F4,J10)</f>
        <v>563.76</v>
      </c>
      <c r="J10" s="41"/>
      <c r="K10" s="75"/>
      <c r="L10" s="54">
        <f t="shared" si="0"/>
        <v>1.773804455796793E-3</v>
      </c>
      <c r="M10" s="17" t="str">
        <f t="shared" si="2"/>
        <v>Leverkusen  /  Paderborn / Nul</v>
      </c>
      <c r="N10" s="41">
        <f t="shared" si="1"/>
        <v>563.76</v>
      </c>
      <c r="O10" s="75">
        <f t="shared" si="3"/>
        <v>0.1773804455796793</v>
      </c>
      <c r="P10" s="86">
        <f t="shared" si="4"/>
        <v>25.591536004109827</v>
      </c>
    </row>
    <row r="11" spans="1:16" ht="19.95" customHeight="1" thickBot="1" x14ac:dyDescent="0.35">
      <c r="A11" s="132"/>
      <c r="F11" s="13" t="str">
        <f>B2</f>
        <v xml:space="preserve">Leverkusen </v>
      </c>
      <c r="G11" s="23" t="str">
        <f>$D$3</f>
        <v xml:space="preserve"> Paderborn</v>
      </c>
      <c r="H11" s="14" t="str">
        <f>$D$4</f>
        <v xml:space="preserve"> Hertha</v>
      </c>
      <c r="I11" s="41">
        <f>IF(J11="",Sommaire!E2*Sommaire!G3*Sommaire!G4,J11)</f>
        <v>835.19999999999993</v>
      </c>
      <c r="J11" s="41"/>
      <c r="K11" s="75"/>
      <c r="L11" s="54">
        <f t="shared" si="0"/>
        <v>1.1973180076628354E-3</v>
      </c>
      <c r="M11" s="17" t="str">
        <f t="shared" si="2"/>
        <v>Leverkusen  /  Paderborn /  Hertha</v>
      </c>
      <c r="N11" s="41">
        <f t="shared" si="1"/>
        <v>835.19999999999993</v>
      </c>
      <c r="O11" s="75">
        <f t="shared" si="3"/>
        <v>0.11973180076628354</v>
      </c>
      <c r="P11" s="86">
        <f t="shared" si="4"/>
        <v>25.591536004109827</v>
      </c>
    </row>
    <row r="12" spans="1:16" ht="19.95" customHeight="1" x14ac:dyDescent="0.3">
      <c r="F12" s="13" t="str">
        <f>$C$2</f>
        <v>Nul</v>
      </c>
      <c r="G12" s="23" t="str">
        <f>$B$3</f>
        <v xml:space="preserve">Leipzig </v>
      </c>
      <c r="H12" s="14" t="str">
        <f>$B$4</f>
        <v xml:space="preserve">Dortmund </v>
      </c>
      <c r="I12" s="41">
        <f>IF(J12="",Sommaire!F2*Sommaire!E3*Sommaire!E4,J12)</f>
        <v>8.0233199999999982</v>
      </c>
      <c r="J12" s="41"/>
      <c r="K12" s="75"/>
      <c r="L12" s="54">
        <f t="shared" si="0"/>
        <v>0.12463668406594779</v>
      </c>
      <c r="M12" s="17" t="str">
        <f t="shared" si="2"/>
        <v xml:space="preserve">Nul / Leipzig  / Dortmund </v>
      </c>
      <c r="N12" s="41">
        <f t="shared" si="1"/>
        <v>8.0233199999999982</v>
      </c>
      <c r="O12" s="75">
        <f t="shared" si="3"/>
        <v>12.463668406594779</v>
      </c>
      <c r="P12" s="86">
        <f t="shared" si="4"/>
        <v>25.591536004109827</v>
      </c>
    </row>
    <row r="13" spans="1:16" ht="19.95" customHeight="1" x14ac:dyDescent="0.3">
      <c r="F13" s="13" t="str">
        <f t="shared" ref="F13:F20" si="5">$C$2</f>
        <v>Nul</v>
      </c>
      <c r="G13" s="23" t="str">
        <f>$B$3</f>
        <v xml:space="preserve">Leipzig </v>
      </c>
      <c r="H13" s="14" t="str">
        <f>$C$4</f>
        <v>Nul</v>
      </c>
      <c r="I13" s="41">
        <f>IF(J13="",Sommaire!F2*Sommaire!E3*Sommaire!F4,J13)</f>
        <v>31.395599999999998</v>
      </c>
      <c r="J13" s="41"/>
      <c r="K13" s="75"/>
      <c r="L13" s="54">
        <f t="shared" si="0"/>
        <v>3.1851597039075544E-2</v>
      </c>
      <c r="M13" s="17" t="str">
        <f t="shared" si="2"/>
        <v>Nul / Leipzig  / Nul</v>
      </c>
      <c r="N13" s="41">
        <f t="shared" si="1"/>
        <v>31.395599999999998</v>
      </c>
      <c r="O13" s="75">
        <f t="shared" si="3"/>
        <v>3.1851597039075541</v>
      </c>
      <c r="P13" s="86">
        <f t="shared" si="4"/>
        <v>25.591536004109827</v>
      </c>
    </row>
    <row r="14" spans="1:16" ht="19.95" customHeight="1" x14ac:dyDescent="0.3">
      <c r="F14" s="13" t="str">
        <f t="shared" si="5"/>
        <v>Nul</v>
      </c>
      <c r="G14" s="23" t="str">
        <f>$B$3</f>
        <v xml:space="preserve">Leipzig </v>
      </c>
      <c r="H14" s="14" t="str">
        <f>$D$4</f>
        <v xml:space="preserve"> Hertha</v>
      </c>
      <c r="I14" s="41">
        <f>IF(J14="",Sommaire!F2*Sommaire!E3*Sommaire!G4,J14)</f>
        <v>46.511999999999993</v>
      </c>
      <c r="J14" s="41"/>
      <c r="K14" s="75"/>
      <c r="L14" s="54">
        <f t="shared" si="0"/>
        <v>2.1499828001375992E-2</v>
      </c>
      <c r="M14" s="17" t="str">
        <f t="shared" si="2"/>
        <v>Nul / Leipzig  /  Hertha</v>
      </c>
      <c r="N14" s="41">
        <f t="shared" si="1"/>
        <v>46.511999999999993</v>
      </c>
      <c r="O14" s="75">
        <f t="shared" si="3"/>
        <v>2.1499828001375993</v>
      </c>
      <c r="P14" s="86">
        <f t="shared" si="4"/>
        <v>25.591536004109827</v>
      </c>
    </row>
    <row r="15" spans="1:16" ht="19.95" customHeight="1" x14ac:dyDescent="0.3">
      <c r="F15" s="13" t="str">
        <f t="shared" si="5"/>
        <v>Nul</v>
      </c>
      <c r="G15" s="23" t="str">
        <f>$C$3</f>
        <v>Nul</v>
      </c>
      <c r="H15" s="14" t="str">
        <f>$B$4</f>
        <v xml:space="preserve">Dortmund </v>
      </c>
      <c r="I15" s="41">
        <f>IF(J15="",Sommaire!F2*Sommaire!F3*Sommaire!E4,J15)</f>
        <v>65.453399999999988</v>
      </c>
      <c r="J15" s="41"/>
      <c r="K15" s="75"/>
      <c r="L15" s="54">
        <f t="shared" si="0"/>
        <v>1.5278045143567794E-2</v>
      </c>
      <c r="M15" s="17" t="str">
        <f t="shared" si="2"/>
        <v xml:space="preserve">Nul / Nul / Dortmund </v>
      </c>
      <c r="N15" s="41">
        <f t="shared" si="1"/>
        <v>65.453399999999988</v>
      </c>
      <c r="O15" s="75">
        <f t="shared" si="3"/>
        <v>1.5278045143567793</v>
      </c>
      <c r="P15" s="86">
        <f t="shared" si="4"/>
        <v>25.591536004109827</v>
      </c>
    </row>
    <row r="16" spans="1:16" ht="19.95" customHeight="1" x14ac:dyDescent="0.3">
      <c r="F16" s="13" t="str">
        <f t="shared" si="5"/>
        <v>Nul</v>
      </c>
      <c r="G16" s="23" t="str">
        <f>$C$3</f>
        <v>Nul</v>
      </c>
      <c r="H16" s="14" t="str">
        <f>$C$4</f>
        <v>Nul</v>
      </c>
      <c r="I16" s="41">
        <f>IF(J16="",Sommaire!F2*Sommaire!F3*Sommaire!F4,J16)</f>
        <v>256.12200000000001</v>
      </c>
      <c r="J16" s="41"/>
      <c r="K16" s="75"/>
      <c r="L16" s="54">
        <f t="shared" si="0"/>
        <v>3.904389314467324E-3</v>
      </c>
      <c r="M16" s="17" t="str">
        <f t="shared" si="2"/>
        <v>Nul / Nul / Nul</v>
      </c>
      <c r="N16" s="41">
        <f t="shared" si="1"/>
        <v>256.12200000000001</v>
      </c>
      <c r="O16" s="75">
        <f t="shared" si="3"/>
        <v>0.39043893144673242</v>
      </c>
      <c r="P16" s="86">
        <f t="shared" si="4"/>
        <v>25.591536004109827</v>
      </c>
    </row>
    <row r="17" spans="6:16" ht="19.95" customHeight="1" x14ac:dyDescent="0.3">
      <c r="F17" s="13" t="str">
        <f t="shared" si="5"/>
        <v>Nul</v>
      </c>
      <c r="G17" s="23" t="str">
        <f>$C$3</f>
        <v>Nul</v>
      </c>
      <c r="H17" s="14" t="str">
        <f>$D$4</f>
        <v xml:space="preserve"> Hertha</v>
      </c>
      <c r="I17" s="41">
        <f>IF(J17="",Sommaire!F2*Sommaire!F3*Sommaire!G4,J17)</f>
        <v>379.44</v>
      </c>
      <c r="J17" s="41"/>
      <c r="K17" s="75"/>
      <c r="L17" s="54">
        <f t="shared" si="0"/>
        <v>2.6354627872654437E-3</v>
      </c>
      <c r="M17" s="17" t="str">
        <f t="shared" si="2"/>
        <v>Nul / Nul /  Hertha</v>
      </c>
      <c r="N17" s="41">
        <f t="shared" si="1"/>
        <v>379.44</v>
      </c>
      <c r="O17" s="75">
        <f t="shared" si="3"/>
        <v>0.2635462787265444</v>
      </c>
      <c r="P17" s="86">
        <f t="shared" si="4"/>
        <v>25.591536004109841</v>
      </c>
    </row>
    <row r="18" spans="6:16" ht="19.95" customHeight="1" x14ac:dyDescent="0.3">
      <c r="F18" s="13" t="str">
        <f t="shared" si="5"/>
        <v>Nul</v>
      </c>
      <c r="G18" s="23" t="str">
        <f>$D$3</f>
        <v xml:space="preserve"> Paderborn</v>
      </c>
      <c r="H18" s="14" t="str">
        <f>$B$4</f>
        <v xml:space="preserve">Dortmund </v>
      </c>
      <c r="I18" s="41">
        <f>IF(J18="",Sommaire!F2*Sommaire!G3*Sommaire!E4,J18)</f>
        <v>126.68399999999998</v>
      </c>
      <c r="J18" s="41"/>
      <c r="K18" s="75"/>
      <c r="L18" s="54">
        <f t="shared" si="0"/>
        <v>7.8936566575100262E-3</v>
      </c>
      <c r="M18" s="17" t="str">
        <f t="shared" si="2"/>
        <v xml:space="preserve">Nul /  Paderborn / Dortmund </v>
      </c>
      <c r="N18" s="41">
        <f t="shared" si="1"/>
        <v>126.68399999999998</v>
      </c>
      <c r="O18" s="75">
        <f t="shared" si="3"/>
        <v>0.78936566575100264</v>
      </c>
      <c r="P18" s="86">
        <f t="shared" si="4"/>
        <v>25.591536004109827</v>
      </c>
    </row>
    <row r="19" spans="6:16" ht="19.95" customHeight="1" x14ac:dyDescent="0.3">
      <c r="F19" s="13" t="str">
        <f t="shared" si="5"/>
        <v>Nul</v>
      </c>
      <c r="G19" s="23" t="str">
        <f>$D$3</f>
        <v xml:space="preserve"> Paderborn</v>
      </c>
      <c r="H19" s="14" t="str">
        <f>$C$4</f>
        <v>Nul</v>
      </c>
      <c r="I19" s="41">
        <f>IF(J19="",Sommaire!F2*Sommaire!G3*Sommaire!F4,J19)</f>
        <v>495.72</v>
      </c>
      <c r="J19" s="41"/>
      <c r="K19" s="75"/>
      <c r="L19" s="54">
        <f t="shared" si="0"/>
        <v>2.0172678124747842E-3</v>
      </c>
      <c r="M19" s="17" t="str">
        <f t="shared" si="2"/>
        <v>Nul /  Paderborn / Nul</v>
      </c>
      <c r="N19" s="41">
        <f t="shared" si="1"/>
        <v>495.72</v>
      </c>
      <c r="O19" s="75">
        <f t="shared" si="3"/>
        <v>0.20172678124747839</v>
      </c>
      <c r="P19" s="86">
        <f t="shared" si="4"/>
        <v>25.591536004109827</v>
      </c>
    </row>
    <row r="20" spans="6:16" ht="19.95" customHeight="1" x14ac:dyDescent="0.3">
      <c r="F20" s="13" t="str">
        <f t="shared" si="5"/>
        <v>Nul</v>
      </c>
      <c r="G20" s="23" t="str">
        <f>$D$3</f>
        <v xml:space="preserve"> Paderborn</v>
      </c>
      <c r="H20" s="14" t="str">
        <f>$D$4</f>
        <v xml:space="preserve"> Hertha</v>
      </c>
      <c r="I20" s="41">
        <f>IF(J20="",Sommaire!F2*Sommaire!G3*Sommaire!G4,J20)</f>
        <v>734.4</v>
      </c>
      <c r="J20" s="41"/>
      <c r="K20" s="75"/>
      <c r="L20" s="54">
        <f t="shared" si="0"/>
        <v>1.3616557734204794E-3</v>
      </c>
      <c r="M20" s="17" t="str">
        <f t="shared" si="2"/>
        <v>Nul /  Paderborn /  Hertha</v>
      </c>
      <c r="N20" s="41">
        <f t="shared" si="1"/>
        <v>734.4</v>
      </c>
      <c r="O20" s="75">
        <f t="shared" si="3"/>
        <v>0.13616557734204793</v>
      </c>
      <c r="P20" s="86">
        <f t="shared" si="4"/>
        <v>25.591536004109827</v>
      </c>
    </row>
    <row r="21" spans="6:16" ht="19.95" customHeight="1" x14ac:dyDescent="0.3">
      <c r="F21" s="67" t="str">
        <f>$D$2</f>
        <v xml:space="preserve"> Bayern</v>
      </c>
      <c r="G21" s="68" t="str">
        <f>$B$3</f>
        <v xml:space="preserve">Leipzig </v>
      </c>
      <c r="H21" s="69" t="str">
        <f>$B$4</f>
        <v xml:space="preserve">Dortmund </v>
      </c>
      <c r="I21" s="70">
        <f>IF(J21="",Sommaire!G2*Sommaire!E3*Sommaire!E4,J21)</f>
        <v>5</v>
      </c>
      <c r="J21" s="41">
        <v>5</v>
      </c>
      <c r="K21" s="75">
        <v>5.35</v>
      </c>
      <c r="L21" s="54">
        <f t="shared" si="0"/>
        <v>0.2</v>
      </c>
      <c r="M21" s="17" t="str">
        <f t="shared" si="2"/>
        <v xml:space="preserve"> Bayern / Leipzig  / Dortmund </v>
      </c>
      <c r="N21" s="70">
        <f t="shared" si="1"/>
        <v>5</v>
      </c>
      <c r="O21" s="75">
        <f t="shared" si="3"/>
        <v>5.35</v>
      </c>
      <c r="P21" s="86">
        <f t="shared" si="4"/>
        <v>-47.658463995890173</v>
      </c>
    </row>
    <row r="22" spans="6:16" ht="19.95" customHeight="1" x14ac:dyDescent="0.3">
      <c r="F22" s="13" t="str">
        <f t="shared" ref="F22:F29" si="6">$D$2</f>
        <v xml:space="preserve"> Bayern</v>
      </c>
      <c r="G22" s="23" t="str">
        <f>$B$3</f>
        <v xml:space="preserve">Leipzig </v>
      </c>
      <c r="H22" s="14" t="str">
        <f>$C$4</f>
        <v>Nul</v>
      </c>
      <c r="I22" s="41">
        <f>IF(J22="",Sommaire!G2*Sommaire!E3*Sommaire!F4,J22)</f>
        <v>9.234</v>
      </c>
      <c r="J22" s="41"/>
      <c r="K22" s="75"/>
      <c r="L22" s="54">
        <f t="shared" si="0"/>
        <v>0.10829542993285683</v>
      </c>
      <c r="M22" s="17" t="str">
        <f t="shared" si="2"/>
        <v xml:space="preserve"> Bayern / Leipzig  / Nul</v>
      </c>
      <c r="N22" s="41">
        <f t="shared" si="1"/>
        <v>9.234</v>
      </c>
      <c r="O22" s="75">
        <f t="shared" si="3"/>
        <v>10.829542993285683</v>
      </c>
      <c r="P22" s="86">
        <f t="shared" si="4"/>
        <v>25.591536004109827</v>
      </c>
    </row>
    <row r="23" spans="6:16" ht="19.95" customHeight="1" x14ac:dyDescent="0.3">
      <c r="F23" s="13" t="str">
        <f t="shared" si="6"/>
        <v xml:space="preserve"> Bayern</v>
      </c>
      <c r="G23" s="23" t="str">
        <f>$B$3</f>
        <v xml:space="preserve">Leipzig </v>
      </c>
      <c r="H23" s="14" t="str">
        <f>$D$4</f>
        <v xml:space="preserve"> Hertha</v>
      </c>
      <c r="I23" s="41">
        <f>IF(J23="",Sommaire!G2*Sommaire!E3*Sommaire!G4,J23)</f>
        <v>13.68</v>
      </c>
      <c r="J23" s="41"/>
      <c r="K23" s="75"/>
      <c r="L23" s="54">
        <f t="shared" si="0"/>
        <v>7.3099415204678359E-2</v>
      </c>
      <c r="M23" s="17" t="str">
        <f t="shared" si="2"/>
        <v xml:space="preserve"> Bayern / Leipzig  /  Hertha</v>
      </c>
      <c r="N23" s="41">
        <f t="shared" si="1"/>
        <v>13.68</v>
      </c>
      <c r="O23" s="75">
        <f t="shared" si="3"/>
        <v>7.3099415204678362</v>
      </c>
      <c r="P23" s="86">
        <f t="shared" si="4"/>
        <v>25.591536004109827</v>
      </c>
    </row>
    <row r="24" spans="6:16" ht="19.95" customHeight="1" x14ac:dyDescent="0.3">
      <c r="F24" s="13" t="str">
        <f t="shared" si="6"/>
        <v xml:space="preserve"> Bayern</v>
      </c>
      <c r="G24" s="23" t="str">
        <f>$C$3</f>
        <v>Nul</v>
      </c>
      <c r="H24" s="14" t="str">
        <f>$B$4</f>
        <v xml:space="preserve">Dortmund </v>
      </c>
      <c r="I24" s="41">
        <f>IF(J24="",Sommaire!G2*Sommaire!F3*Sommaire!E4,J24)</f>
        <v>19.251000000000001</v>
      </c>
      <c r="J24" s="41"/>
      <c r="K24" s="75"/>
      <c r="L24" s="54">
        <f t="shared" si="0"/>
        <v>5.194535348813048E-2</v>
      </c>
      <c r="M24" s="17" t="str">
        <f t="shared" si="2"/>
        <v xml:space="preserve"> Bayern / Nul / Dortmund </v>
      </c>
      <c r="N24" s="41">
        <f t="shared" si="1"/>
        <v>19.251000000000001</v>
      </c>
      <c r="O24" s="75">
        <f t="shared" si="3"/>
        <v>5.1945353488130479</v>
      </c>
      <c r="P24" s="86">
        <f t="shared" si="4"/>
        <v>25.591536004109813</v>
      </c>
    </row>
    <row r="25" spans="6:16" ht="19.95" customHeight="1" x14ac:dyDescent="0.3">
      <c r="F25" s="13" t="str">
        <f t="shared" si="6"/>
        <v xml:space="preserve"> Bayern</v>
      </c>
      <c r="G25" s="23" t="str">
        <f>$C$3</f>
        <v>Nul</v>
      </c>
      <c r="H25" s="14" t="str">
        <f>$C$4</f>
        <v>Nul</v>
      </c>
      <c r="I25" s="41">
        <f>IF(J25="",Sommaire!G2*Sommaire!F3*Sommaire!F4,J25)</f>
        <v>75.330000000000013</v>
      </c>
      <c r="J25" s="41"/>
      <c r="K25" s="75"/>
      <c r="L25" s="54">
        <f t="shared" si="0"/>
        <v>1.32749236691889E-2</v>
      </c>
      <c r="M25" s="17" t="str">
        <f t="shared" si="2"/>
        <v xml:space="preserve"> Bayern / Nul / Nul</v>
      </c>
      <c r="N25" s="41">
        <f t="shared" si="1"/>
        <v>75.330000000000013</v>
      </c>
      <c r="O25" s="75">
        <f t="shared" si="3"/>
        <v>1.3274923669188901</v>
      </c>
      <c r="P25" s="86">
        <f t="shared" si="4"/>
        <v>25.591536004109827</v>
      </c>
    </row>
    <row r="26" spans="6:16" ht="19.95" customHeight="1" x14ac:dyDescent="0.3">
      <c r="F26" s="13" t="str">
        <f t="shared" si="6"/>
        <v xml:space="preserve"> Bayern</v>
      </c>
      <c r="G26" s="23" t="str">
        <f>$C$3</f>
        <v>Nul</v>
      </c>
      <c r="H26" s="14" t="str">
        <f>$D$4</f>
        <v xml:space="preserve"> Hertha</v>
      </c>
      <c r="I26" s="41">
        <f>IF(J26="",Sommaire!G2*Sommaire!F3*Sommaire!G4,J26)</f>
        <v>111.60000000000001</v>
      </c>
      <c r="J26" s="41"/>
      <c r="K26" s="75"/>
      <c r="L26" s="54">
        <f t="shared" si="0"/>
        <v>8.9605734767025085E-3</v>
      </c>
      <c r="M26" s="17" t="str">
        <f t="shared" si="2"/>
        <v xml:space="preserve"> Bayern / Nul /  Hertha</v>
      </c>
      <c r="N26" s="41">
        <f t="shared" si="1"/>
        <v>111.60000000000001</v>
      </c>
      <c r="O26" s="75">
        <f t="shared" si="3"/>
        <v>0.8960573476702508</v>
      </c>
      <c r="P26" s="86">
        <f t="shared" si="4"/>
        <v>25.591536004109827</v>
      </c>
    </row>
    <row r="27" spans="6:16" ht="19.95" customHeight="1" x14ac:dyDescent="0.3">
      <c r="F27" s="13" t="str">
        <f t="shared" si="6"/>
        <v xml:space="preserve"> Bayern</v>
      </c>
      <c r="G27" s="23" t="str">
        <f>$D$3</f>
        <v xml:space="preserve"> Paderborn</v>
      </c>
      <c r="H27" s="14" t="str">
        <f>$B$4</f>
        <v xml:space="preserve">Dortmund </v>
      </c>
      <c r="I27" s="41">
        <f>IF(J27="",Sommaire!G2*Sommaire!G3*Sommaire!E4,J27)</f>
        <v>37.26</v>
      </c>
      <c r="J27" s="41"/>
      <c r="K27" s="75"/>
      <c r="L27" s="54">
        <f t="shared" si="0"/>
        <v>2.6838432635534086E-2</v>
      </c>
      <c r="M27" s="17" t="str">
        <f t="shared" si="2"/>
        <v xml:space="preserve"> Bayern /  Paderborn / Dortmund </v>
      </c>
      <c r="N27" s="41">
        <f t="shared" si="1"/>
        <v>37.26</v>
      </c>
      <c r="O27" s="75">
        <f t="shared" si="3"/>
        <v>2.6838432635534084</v>
      </c>
      <c r="P27" s="86">
        <f t="shared" si="4"/>
        <v>25.591536004109813</v>
      </c>
    </row>
    <row r="28" spans="6:16" ht="19.95" customHeight="1" x14ac:dyDescent="0.3">
      <c r="F28" s="13" t="str">
        <f t="shared" si="6"/>
        <v xml:space="preserve"> Bayern</v>
      </c>
      <c r="G28" s="23" t="str">
        <f>$D$3</f>
        <v xml:space="preserve"> Paderborn</v>
      </c>
      <c r="H28" s="14" t="str">
        <f>$C$4</f>
        <v>Nul</v>
      </c>
      <c r="I28" s="41">
        <f>IF(J28="",Sommaire!G2*Sommaire!G3*Sommaire!F4,J28)</f>
        <v>145.80000000000001</v>
      </c>
      <c r="J28" s="41"/>
      <c r="K28" s="75"/>
      <c r="L28" s="54">
        <f t="shared" si="0"/>
        <v>6.8587105624142658E-3</v>
      </c>
      <c r="M28" s="17" t="str">
        <f t="shared" si="2"/>
        <v xml:space="preserve"> Bayern /  Paderborn / Nul</v>
      </c>
      <c r="N28" s="41">
        <f t="shared" si="1"/>
        <v>145.80000000000001</v>
      </c>
      <c r="O28" s="75">
        <f t="shared" si="3"/>
        <v>0.68587105624142652</v>
      </c>
      <c r="P28" s="86">
        <f t="shared" si="4"/>
        <v>25.591536004109827</v>
      </c>
    </row>
    <row r="29" spans="6:16" ht="19.95" customHeight="1" thickBot="1" x14ac:dyDescent="0.35">
      <c r="F29" s="15" t="str">
        <f t="shared" si="6"/>
        <v xml:space="preserve"> Bayern</v>
      </c>
      <c r="G29" s="24" t="str">
        <f>$D$3</f>
        <v xml:space="preserve"> Paderborn</v>
      </c>
      <c r="H29" s="16" t="str">
        <f>$D$4</f>
        <v xml:space="preserve"> Hertha</v>
      </c>
      <c r="I29" s="42">
        <f>IF(J29="",Sommaire!G2*Sommaire!G3*Sommaire!G4,J29)</f>
        <v>216</v>
      </c>
      <c r="J29" s="42"/>
      <c r="K29" s="76"/>
      <c r="L29" s="54">
        <f t="shared" si="0"/>
        <v>4.6296296296296294E-3</v>
      </c>
      <c r="M29" s="18" t="str">
        <f t="shared" si="2"/>
        <v xml:space="preserve"> Bayern /  Paderborn /  Hertha</v>
      </c>
      <c r="N29" s="42">
        <f t="shared" si="1"/>
        <v>216</v>
      </c>
      <c r="O29" s="76">
        <f t="shared" si="3"/>
        <v>0.46296296296296297</v>
      </c>
      <c r="P29" s="87">
        <f t="shared" si="4"/>
        <v>25.591536004109827</v>
      </c>
    </row>
  </sheetData>
  <mergeCells count="3">
    <mergeCell ref="F1:H1"/>
    <mergeCell ref="B1:D1"/>
    <mergeCell ref="A10:A11"/>
  </mergeCells>
  <conditionalFormatting sqref="A8">
    <cfRule type="containsText" dxfId="11" priority="8" operator="containsText" text="Pas de Surebet">
      <formula>NOT(ISERROR(SEARCH("Pas de Surebet",A8)))</formula>
    </cfRule>
    <cfRule type="containsText" dxfId="10" priority="9" operator="containsText" text="Surebet">
      <formula>NOT(ISERROR(SEARCH("Surebet",A8)))</formula>
    </cfRule>
  </conditionalFormatting>
  <conditionalFormatting sqref="F3:F29">
    <cfRule type="expression" dxfId="9" priority="7">
      <formula>J3&lt;&gt;""</formula>
    </cfRule>
  </conditionalFormatting>
  <conditionalFormatting sqref="G3:G29">
    <cfRule type="expression" dxfId="8" priority="6">
      <formula>J3&lt;&gt;""</formula>
    </cfRule>
  </conditionalFormatting>
  <conditionalFormatting sqref="H3:H29">
    <cfRule type="expression" dxfId="7" priority="5">
      <formula>J3&lt;&gt;""</formula>
    </cfRule>
  </conditionalFormatting>
  <conditionalFormatting sqref="I3:I29">
    <cfRule type="expression" dxfId="6" priority="4">
      <formula>J3&lt;&gt;""</formula>
    </cfRule>
  </conditionalFormatting>
  <conditionalFormatting sqref="J3:J29">
    <cfRule type="notContainsBlanks" dxfId="5" priority="3">
      <formula>LEN(TRIM(J3))&gt;0</formula>
    </cfRule>
  </conditionalFormatting>
  <conditionalFormatting sqref="K3:K29">
    <cfRule type="notContainsBlanks" dxfId="4" priority="2">
      <formula>LEN(TRIM(K3))&gt;0</formula>
    </cfRule>
  </conditionalFormatting>
  <hyperlinks>
    <hyperlink ref="A10:A11" location="Sommaire!A1" display="RETOUR" xr:uid="{EDE8826A-F609-4E7C-ACDD-6A4529B2FB6C}"/>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D3F2D-835C-4114-B91A-4B9B500333FD}">
  <dimension ref="A1:I31"/>
  <sheetViews>
    <sheetView tabSelected="1" topLeftCell="A13" workbookViewId="0">
      <selection activeCell="I27" sqref="I27"/>
    </sheetView>
  </sheetViews>
  <sheetFormatPr baseColWidth="10" defaultRowHeight="14.4" x14ac:dyDescent="0.3"/>
  <cols>
    <col min="1" max="1" width="25.77734375" customWidth="1"/>
    <col min="2" max="2" width="13.88671875" bestFit="1" customWidth="1"/>
    <col min="3" max="3" width="19.21875" bestFit="1" customWidth="1"/>
  </cols>
  <sheetData>
    <row r="1" spans="1:9" ht="18.600000000000001" thickBot="1" x14ac:dyDescent="0.35">
      <c r="A1" s="88" t="s">
        <v>43</v>
      </c>
      <c r="B1" s="88" t="s">
        <v>44</v>
      </c>
      <c r="C1" s="106" t="s">
        <v>45</v>
      </c>
      <c r="D1" s="89" t="s">
        <v>46</v>
      </c>
      <c r="E1" s="89" t="s">
        <v>47</v>
      </c>
      <c r="F1" s="1"/>
    </row>
    <row r="2" spans="1:9" ht="19.2" thickTop="1" thickBot="1" x14ac:dyDescent="0.35">
      <c r="A2" s="93"/>
      <c r="B2" s="108">
        <v>9.1245599999999989</v>
      </c>
      <c r="C2" s="105">
        <f>ROUND(I2,2)</f>
        <v>2.93</v>
      </c>
      <c r="D2" s="94">
        <f>IF(B2="","",B2*C2)</f>
        <v>26.7349608</v>
      </c>
      <c r="E2" s="74">
        <f t="shared" ref="E2:E28" si="0">IF(B2="","",IF(AND(B2&gt;0,SUM($C$2:$C$28)=$A$30),D2-$A$30,D2-SUM($C$2:$C$28)))</f>
        <v>2.6249608000000038</v>
      </c>
      <c r="G2" s="90">
        <f>IF(B2="","",1/B2)</f>
        <v>0.10959432564419545</v>
      </c>
      <c r="H2" s="91">
        <f t="shared" ref="H2:H28" si="1">IF(G2="","",G2/$G$29)</f>
        <v>0.12305885451746953</v>
      </c>
      <c r="I2" s="92">
        <f>IF(H2="","",IF(H2*$A$30&lt;0.1,0.1,H2*$A$30))</f>
        <v>2.9300313260609494</v>
      </c>
    </row>
    <row r="3" spans="1:9" ht="18.600000000000001" thickBot="1" x14ac:dyDescent="0.35">
      <c r="A3" s="95"/>
      <c r="B3" s="109">
        <v>35.704799999999999</v>
      </c>
      <c r="C3" s="105">
        <f t="shared" ref="C3:C28" si="2">ROUND(I3,2)</f>
        <v>0.75</v>
      </c>
      <c r="D3" s="96">
        <f t="shared" ref="D3:D27" si="3">IF(B3="","",B3*C3)</f>
        <v>26.778599999999997</v>
      </c>
      <c r="E3" s="75">
        <f t="shared" si="0"/>
        <v>2.6686000000000014</v>
      </c>
      <c r="G3" s="90">
        <f t="shared" ref="G3:G5" si="4">IF(B3="","",1/B3)</f>
        <v>2.8007438775738837E-2</v>
      </c>
      <c r="H3" s="91">
        <f t="shared" si="1"/>
        <v>3.1448373932242216E-2</v>
      </c>
      <c r="I3" s="92">
        <f t="shared" ref="I3:I29" si="5">IF(H3="","",IF(H3*$A$30&lt;0.1,0.1,H3*$A$30))</f>
        <v>0.7487857833266871</v>
      </c>
    </row>
    <row r="4" spans="1:9" ht="18.600000000000001" thickBot="1" x14ac:dyDescent="0.35">
      <c r="A4" s="95"/>
      <c r="B4" s="109">
        <v>52.895999999999994</v>
      </c>
      <c r="C4" s="105">
        <f t="shared" si="2"/>
        <v>0.51</v>
      </c>
      <c r="D4" s="96">
        <f t="shared" si="3"/>
        <v>26.976959999999998</v>
      </c>
      <c r="E4" s="75">
        <f t="shared" si="0"/>
        <v>2.8669600000000024</v>
      </c>
      <c r="G4" s="90">
        <f t="shared" si="4"/>
        <v>1.8905021173623717E-2</v>
      </c>
      <c r="H4" s="91">
        <f t="shared" si="1"/>
        <v>2.1227652404263497E-2</v>
      </c>
      <c r="I4" s="92">
        <f t="shared" si="5"/>
        <v>0.50543040374551385</v>
      </c>
    </row>
    <row r="5" spans="1:9" ht="18.600000000000001" thickBot="1" x14ac:dyDescent="0.35">
      <c r="A5" s="95"/>
      <c r="B5" s="109">
        <v>74.437200000000004</v>
      </c>
      <c r="C5" s="105">
        <f t="shared" si="2"/>
        <v>0.36</v>
      </c>
      <c r="D5" s="96">
        <f t="shared" si="3"/>
        <v>26.797392000000002</v>
      </c>
      <c r="E5" s="75">
        <f t="shared" si="0"/>
        <v>2.6873920000000062</v>
      </c>
      <c r="G5" s="90">
        <f t="shared" si="4"/>
        <v>1.3434143143482022E-2</v>
      </c>
      <c r="H5" s="91">
        <f t="shared" si="1"/>
        <v>1.5084633779560781E-2</v>
      </c>
      <c r="I5" s="92">
        <f t="shared" si="5"/>
        <v>0.35916513029134217</v>
      </c>
    </row>
    <row r="6" spans="1:9" ht="18.600000000000001" thickBot="1" x14ac:dyDescent="0.35">
      <c r="A6" s="95"/>
      <c r="B6" s="109">
        <v>291.27600000000007</v>
      </c>
      <c r="C6" s="110">
        <f t="shared" si="2"/>
        <v>0.1</v>
      </c>
      <c r="D6" s="96">
        <f t="shared" si="3"/>
        <v>29.127600000000008</v>
      </c>
      <c r="E6" s="75">
        <f t="shared" si="0"/>
        <v>5.0176000000000123</v>
      </c>
      <c r="G6" s="90">
        <f t="shared" ref="G6:G28" si="6">IF(B6="","",1/B6)</f>
        <v>3.4331699144454051E-3</v>
      </c>
      <c r="H6" s="91">
        <f t="shared" si="1"/>
        <v>3.8549619658877544E-3</v>
      </c>
      <c r="I6" s="92">
        <f t="shared" si="5"/>
        <v>0.1</v>
      </c>
    </row>
    <row r="7" spans="1:9" ht="18.600000000000001" thickBot="1" x14ac:dyDescent="0.35">
      <c r="A7" s="95"/>
      <c r="B7" s="109">
        <v>431.52000000000004</v>
      </c>
      <c r="C7" s="110">
        <f t="shared" si="2"/>
        <v>0.1</v>
      </c>
      <c r="D7" s="96">
        <f>IF(B7="","",B7*C7)</f>
        <v>43.152000000000008</v>
      </c>
      <c r="E7" s="75">
        <f t="shared" si="0"/>
        <v>19.042000000000012</v>
      </c>
      <c r="G7" s="90">
        <f t="shared" si="6"/>
        <v>2.3173896922506487E-3</v>
      </c>
      <c r="H7" s="91">
        <f t="shared" si="1"/>
        <v>2.6020993269742347E-3</v>
      </c>
      <c r="I7" s="92">
        <f t="shared" si="5"/>
        <v>0.1</v>
      </c>
    </row>
    <row r="8" spans="1:9" ht="18.600000000000001" thickBot="1" x14ac:dyDescent="0.35">
      <c r="A8" s="95"/>
      <c r="B8" s="109">
        <v>144.07199999999997</v>
      </c>
      <c r="C8" s="105">
        <f t="shared" si="2"/>
        <v>0.19</v>
      </c>
      <c r="D8" s="96">
        <f t="shared" si="3"/>
        <v>27.373679999999997</v>
      </c>
      <c r="E8" s="75">
        <f t="shared" si="0"/>
        <v>3.2636800000000008</v>
      </c>
      <c r="G8" s="90">
        <f t="shared" si="6"/>
        <v>6.9409739574657131E-3</v>
      </c>
      <c r="H8" s="91">
        <f t="shared" si="1"/>
        <v>7.7937274527730719E-3</v>
      </c>
      <c r="I8" s="92">
        <f t="shared" si="5"/>
        <v>0.18556865065052683</v>
      </c>
    </row>
    <row r="9" spans="1:9" ht="18.600000000000001" thickBot="1" x14ac:dyDescent="0.35">
      <c r="A9" s="95"/>
      <c r="B9" s="109">
        <v>563.76</v>
      </c>
      <c r="C9" s="110">
        <f t="shared" si="2"/>
        <v>0.1</v>
      </c>
      <c r="D9" s="96">
        <f t="shared" si="3"/>
        <v>56.376000000000005</v>
      </c>
      <c r="E9" s="75">
        <f t="shared" si="0"/>
        <v>32.266000000000005</v>
      </c>
      <c r="G9" s="90">
        <f t="shared" si="6"/>
        <v>1.773804455796793E-3</v>
      </c>
      <c r="H9" s="91">
        <f t="shared" si="1"/>
        <v>1.9917303490420068E-3</v>
      </c>
      <c r="I9" s="92">
        <f t="shared" si="5"/>
        <v>0.1</v>
      </c>
    </row>
    <row r="10" spans="1:9" ht="18.600000000000001" thickBot="1" x14ac:dyDescent="0.35">
      <c r="A10" s="95"/>
      <c r="B10" s="109">
        <v>835.19999999999993</v>
      </c>
      <c r="C10" s="110">
        <f t="shared" si="2"/>
        <v>0.1</v>
      </c>
      <c r="D10" s="96">
        <f t="shared" si="3"/>
        <v>83.52</v>
      </c>
      <c r="E10" s="75">
        <f t="shared" si="0"/>
        <v>59.41</v>
      </c>
      <c r="G10" s="90">
        <f t="shared" si="6"/>
        <v>1.1973180076628354E-3</v>
      </c>
      <c r="H10" s="91">
        <f t="shared" si="1"/>
        <v>1.3444179856033547E-3</v>
      </c>
      <c r="I10" s="92">
        <f t="shared" si="5"/>
        <v>0.1</v>
      </c>
    </row>
    <row r="11" spans="1:9" ht="18.600000000000001" thickBot="1" x14ac:dyDescent="0.35">
      <c r="A11" s="95"/>
      <c r="B11" s="109">
        <v>8.0233199999999982</v>
      </c>
      <c r="C11" s="105">
        <f t="shared" si="2"/>
        <v>3.33</v>
      </c>
      <c r="D11" s="96">
        <f t="shared" si="3"/>
        <v>26.717655599999993</v>
      </c>
      <c r="E11" s="75">
        <f t="shared" si="0"/>
        <v>2.6076555999999975</v>
      </c>
      <c r="G11" s="90">
        <f t="shared" si="6"/>
        <v>0.12463668406594779</v>
      </c>
      <c r="H11" s="91">
        <f t="shared" si="1"/>
        <v>0.13994928552967126</v>
      </c>
      <c r="I11" s="92">
        <f t="shared" si="5"/>
        <v>3.3321924884614726</v>
      </c>
    </row>
    <row r="12" spans="1:9" ht="18.600000000000001" thickBot="1" x14ac:dyDescent="0.35">
      <c r="A12" s="95"/>
      <c r="B12" s="109">
        <v>31.395599999999998</v>
      </c>
      <c r="C12" s="105">
        <f t="shared" si="2"/>
        <v>0.85</v>
      </c>
      <c r="D12" s="96">
        <f t="shared" si="3"/>
        <v>26.686259999999997</v>
      </c>
      <c r="E12" s="75">
        <f t="shared" si="0"/>
        <v>2.5762600000000013</v>
      </c>
      <c r="G12" s="90">
        <f t="shared" si="6"/>
        <v>3.1851597039075544E-2</v>
      </c>
      <c r="H12" s="91">
        <f t="shared" si="1"/>
        <v>3.5764817413138209E-2</v>
      </c>
      <c r="I12" s="92">
        <f t="shared" si="5"/>
        <v>0.8515603026068207</v>
      </c>
    </row>
    <row r="13" spans="1:9" ht="18.600000000000001" thickBot="1" x14ac:dyDescent="0.35">
      <c r="A13" s="95"/>
      <c r="B13" s="109">
        <v>46.511999999999993</v>
      </c>
      <c r="C13" s="105">
        <f t="shared" si="2"/>
        <v>0.56999999999999995</v>
      </c>
      <c r="D13" s="96">
        <f t="shared" si="3"/>
        <v>26.511839999999992</v>
      </c>
      <c r="E13" s="75">
        <f t="shared" si="0"/>
        <v>2.4018399999999964</v>
      </c>
      <c r="G13" s="90">
        <f t="shared" si="6"/>
        <v>2.1499828001375992E-2</v>
      </c>
      <c r="H13" s="91">
        <f t="shared" si="1"/>
        <v>2.414125175386829E-2</v>
      </c>
      <c r="I13" s="92">
        <f t="shared" si="5"/>
        <v>0.57480320425960396</v>
      </c>
    </row>
    <row r="14" spans="1:9" ht="18.600000000000001" thickBot="1" x14ac:dyDescent="0.35">
      <c r="A14" s="95"/>
      <c r="B14" s="109">
        <v>65.453399999999988</v>
      </c>
      <c r="C14" s="105">
        <f t="shared" si="2"/>
        <v>0.41</v>
      </c>
      <c r="D14" s="96">
        <f t="shared" si="3"/>
        <v>26.835893999999993</v>
      </c>
      <c r="E14" s="75">
        <f t="shared" si="0"/>
        <v>2.7258939999999967</v>
      </c>
      <c r="G14" s="90">
        <f t="shared" si="6"/>
        <v>1.5278045143567794E-2</v>
      </c>
      <c r="H14" s="91">
        <f t="shared" si="1"/>
        <v>1.7155073710088734E-2</v>
      </c>
      <c r="I14" s="92">
        <f t="shared" si="5"/>
        <v>0.40846230503721276</v>
      </c>
    </row>
    <row r="15" spans="1:9" ht="18.600000000000001" thickBot="1" x14ac:dyDescent="0.35">
      <c r="A15" s="95"/>
      <c r="B15" s="109">
        <v>256.12200000000001</v>
      </c>
      <c r="C15" s="105">
        <f t="shared" si="2"/>
        <v>0.1</v>
      </c>
      <c r="D15" s="96">
        <f t="shared" si="3"/>
        <v>25.612200000000001</v>
      </c>
      <c r="E15" s="75">
        <f t="shared" si="0"/>
        <v>1.5022000000000055</v>
      </c>
      <c r="G15" s="90">
        <f t="shared" si="6"/>
        <v>3.904389314467324E-3</v>
      </c>
      <c r="H15" s="91">
        <f t="shared" si="1"/>
        <v>4.3840743925782312E-3</v>
      </c>
      <c r="I15" s="92">
        <f t="shared" si="5"/>
        <v>0.10438481128728767</v>
      </c>
    </row>
    <row r="16" spans="1:9" ht="18.600000000000001" thickBot="1" x14ac:dyDescent="0.35">
      <c r="A16" s="95"/>
      <c r="B16" s="109">
        <v>379.44</v>
      </c>
      <c r="C16" s="110">
        <f t="shared" si="2"/>
        <v>0.1</v>
      </c>
      <c r="D16" s="96">
        <f t="shared" si="3"/>
        <v>37.944000000000003</v>
      </c>
      <c r="E16" s="75">
        <f t="shared" si="0"/>
        <v>13.834000000000007</v>
      </c>
      <c r="G16" s="90">
        <f t="shared" si="6"/>
        <v>2.6354627872654437E-3</v>
      </c>
      <c r="H16" s="91">
        <f t="shared" si="1"/>
        <v>2.959250214990306E-3</v>
      </c>
      <c r="I16" s="92">
        <f t="shared" si="5"/>
        <v>0.1</v>
      </c>
    </row>
    <row r="17" spans="1:9" ht="18.600000000000001" thickBot="1" x14ac:dyDescent="0.35">
      <c r="A17" s="95"/>
      <c r="B17" s="109">
        <v>126.68399999999998</v>
      </c>
      <c r="C17" s="105">
        <f t="shared" si="2"/>
        <v>0.21</v>
      </c>
      <c r="D17" s="96">
        <f t="shared" si="3"/>
        <v>26.603639999999995</v>
      </c>
      <c r="E17" s="75">
        <f t="shared" si="0"/>
        <v>2.4936399999999992</v>
      </c>
      <c r="G17" s="90">
        <f t="shared" si="6"/>
        <v>7.8936566575100262E-3</v>
      </c>
      <c r="H17" s="91">
        <f t="shared" si="1"/>
        <v>8.8634547502125117E-3</v>
      </c>
      <c r="I17" s="92">
        <f t="shared" si="5"/>
        <v>0.21103885760255989</v>
      </c>
    </row>
    <row r="18" spans="1:9" ht="18.600000000000001" thickBot="1" x14ac:dyDescent="0.35">
      <c r="A18" s="95"/>
      <c r="B18" s="109">
        <v>495.72</v>
      </c>
      <c r="C18" s="110">
        <f t="shared" si="2"/>
        <v>0.1</v>
      </c>
      <c r="D18" s="96">
        <f t="shared" si="3"/>
        <v>49.572000000000003</v>
      </c>
      <c r="E18" s="75">
        <f t="shared" si="0"/>
        <v>25.462000000000007</v>
      </c>
      <c r="G18" s="90">
        <f t="shared" si="6"/>
        <v>2.0172678124747842E-3</v>
      </c>
      <c r="H18" s="91">
        <f t="shared" si="1"/>
        <v>2.2651051028320861E-3</v>
      </c>
      <c r="I18" s="92">
        <f t="shared" si="5"/>
        <v>0.1</v>
      </c>
    </row>
    <row r="19" spans="1:9" ht="18.600000000000001" thickBot="1" x14ac:dyDescent="0.35">
      <c r="A19" s="95"/>
      <c r="B19" s="109">
        <v>734.4</v>
      </c>
      <c r="C19" s="110">
        <f t="shared" si="2"/>
        <v>0.1</v>
      </c>
      <c r="D19" s="96">
        <f t="shared" si="3"/>
        <v>73.44</v>
      </c>
      <c r="E19" s="75">
        <f t="shared" si="0"/>
        <v>49.33</v>
      </c>
      <c r="G19" s="90">
        <f t="shared" si="6"/>
        <v>1.3616557734204794E-3</v>
      </c>
      <c r="H19" s="91">
        <f t="shared" si="1"/>
        <v>1.5289459444116581E-3</v>
      </c>
      <c r="I19" s="92">
        <f t="shared" si="5"/>
        <v>0.1</v>
      </c>
    </row>
    <row r="20" spans="1:9" ht="18.600000000000001" thickBot="1" x14ac:dyDescent="0.35">
      <c r="A20" s="95"/>
      <c r="B20" s="109">
        <v>5</v>
      </c>
      <c r="C20" s="111">
        <f t="shared" si="2"/>
        <v>5.35</v>
      </c>
      <c r="D20" s="96">
        <f t="shared" si="3"/>
        <v>26.75</v>
      </c>
      <c r="E20" s="75">
        <f t="shared" si="0"/>
        <v>2.6400000000000041</v>
      </c>
      <c r="G20" s="90">
        <f t="shared" si="6"/>
        <v>0.2</v>
      </c>
      <c r="H20" s="91">
        <f t="shared" si="1"/>
        <v>0.22457158031518437</v>
      </c>
      <c r="I20" s="92">
        <f t="shared" si="5"/>
        <v>5.3470493273045392</v>
      </c>
    </row>
    <row r="21" spans="1:9" ht="18.600000000000001" thickBot="1" x14ac:dyDescent="0.35">
      <c r="A21" s="95"/>
      <c r="B21" s="109">
        <v>9.234</v>
      </c>
      <c r="C21" s="105">
        <f t="shared" si="2"/>
        <v>2.9</v>
      </c>
      <c r="D21" s="96">
        <f t="shared" si="3"/>
        <v>26.778600000000001</v>
      </c>
      <c r="E21" s="75">
        <f t="shared" si="0"/>
        <v>2.668600000000005</v>
      </c>
      <c r="G21" s="90">
        <f t="shared" si="6"/>
        <v>0.10829542993285683</v>
      </c>
      <c r="H21" s="91">
        <f t="shared" si="1"/>
        <v>0.12160037920466989</v>
      </c>
      <c r="I21" s="92">
        <f t="shared" si="5"/>
        <v>2.8953050288631896</v>
      </c>
    </row>
    <row r="22" spans="1:9" ht="18.600000000000001" thickBot="1" x14ac:dyDescent="0.35">
      <c r="A22" s="95"/>
      <c r="B22" s="109">
        <v>13.68</v>
      </c>
      <c r="C22" s="105">
        <f t="shared" si="2"/>
        <v>1.95</v>
      </c>
      <c r="D22" s="96">
        <f t="shared" si="3"/>
        <v>26.675999999999998</v>
      </c>
      <c r="E22" s="75">
        <f t="shared" si="0"/>
        <v>2.5660000000000025</v>
      </c>
      <c r="G22" s="90">
        <f t="shared" si="6"/>
        <v>7.3099415204678359E-2</v>
      </c>
      <c r="H22" s="91">
        <f t="shared" si="1"/>
        <v>8.2080255963152174E-2</v>
      </c>
      <c r="I22" s="92">
        <f t="shared" si="5"/>
        <v>1.9543308944826532</v>
      </c>
    </row>
    <row r="23" spans="1:9" ht="18.600000000000001" thickBot="1" x14ac:dyDescent="0.35">
      <c r="A23" s="95"/>
      <c r="B23" s="109">
        <v>19.251000000000001</v>
      </c>
      <c r="C23" s="105">
        <f t="shared" si="2"/>
        <v>1.39</v>
      </c>
      <c r="D23" s="96">
        <f t="shared" si="3"/>
        <v>26.758890000000001</v>
      </c>
      <c r="E23" s="75">
        <f t="shared" si="0"/>
        <v>2.6488900000000051</v>
      </c>
      <c r="G23" s="90">
        <f t="shared" si="6"/>
        <v>5.194535348813048E-2</v>
      </c>
      <c r="H23" s="91">
        <f t="shared" si="1"/>
        <v>5.8327250614301676E-2</v>
      </c>
      <c r="I23" s="92">
        <f t="shared" si="5"/>
        <v>1.3887718371265227</v>
      </c>
    </row>
    <row r="24" spans="1:9" ht="18.600000000000001" thickBot="1" x14ac:dyDescent="0.35">
      <c r="A24" s="95"/>
      <c r="B24" s="109">
        <v>75.330000000000013</v>
      </c>
      <c r="C24" s="105">
        <f t="shared" si="2"/>
        <v>0.35</v>
      </c>
      <c r="D24" s="96">
        <f t="shared" si="3"/>
        <v>26.365500000000004</v>
      </c>
      <c r="E24" s="75">
        <f t="shared" si="0"/>
        <v>2.2555000000000085</v>
      </c>
      <c r="G24" s="90">
        <f t="shared" si="6"/>
        <v>1.32749236691889E-2</v>
      </c>
      <c r="H24" s="91">
        <f t="shared" si="1"/>
        <v>1.4905852934765984E-2</v>
      </c>
      <c r="I24" s="92">
        <f t="shared" si="5"/>
        <v>0.35490835837677809</v>
      </c>
    </row>
    <row r="25" spans="1:9" ht="18.600000000000001" thickBot="1" x14ac:dyDescent="0.35">
      <c r="A25" s="95"/>
      <c r="B25" s="109">
        <v>111.60000000000001</v>
      </c>
      <c r="C25" s="105">
        <f t="shared" si="2"/>
        <v>0.24</v>
      </c>
      <c r="D25" s="96">
        <f t="shared" si="3"/>
        <v>26.784000000000002</v>
      </c>
      <c r="E25" s="75">
        <f t="shared" si="0"/>
        <v>2.6740000000000066</v>
      </c>
      <c r="G25" s="90">
        <f t="shared" si="6"/>
        <v>8.9605734767025085E-3</v>
      </c>
      <c r="H25" s="91">
        <f t="shared" si="1"/>
        <v>1.006145073096704E-2</v>
      </c>
      <c r="I25" s="92">
        <f t="shared" si="5"/>
        <v>0.23956314190432521</v>
      </c>
    </row>
    <row r="26" spans="1:9" ht="18.600000000000001" thickBot="1" x14ac:dyDescent="0.35">
      <c r="A26" s="95"/>
      <c r="B26" s="109">
        <v>37.26</v>
      </c>
      <c r="C26" s="105">
        <f t="shared" si="2"/>
        <v>0.72</v>
      </c>
      <c r="D26" s="96">
        <f t="shared" si="3"/>
        <v>26.827199999999998</v>
      </c>
      <c r="E26" s="75">
        <f t="shared" si="0"/>
        <v>2.7172000000000018</v>
      </c>
      <c r="G26" s="90">
        <f t="shared" si="6"/>
        <v>2.6838432635534086E-2</v>
      </c>
      <c r="H26" s="91">
        <f t="shared" si="1"/>
        <v>3.013574615072254E-2</v>
      </c>
      <c r="I26" s="92">
        <f t="shared" si="5"/>
        <v>0.71753211584870369</v>
      </c>
    </row>
    <row r="27" spans="1:9" ht="18.600000000000001" thickBot="1" x14ac:dyDescent="0.35">
      <c r="A27" s="95"/>
      <c r="B27" s="109">
        <v>145.80000000000001</v>
      </c>
      <c r="C27" s="105">
        <f t="shared" si="2"/>
        <v>0.18</v>
      </c>
      <c r="D27" s="96">
        <f t="shared" si="3"/>
        <v>26.244</v>
      </c>
      <c r="E27" s="75">
        <f t="shared" si="0"/>
        <v>2.1340000000000039</v>
      </c>
      <c r="G27" s="90">
        <f t="shared" si="6"/>
        <v>6.8587105624142658E-3</v>
      </c>
      <c r="H27" s="91">
        <f t="shared" si="1"/>
        <v>7.7013573496290929E-3</v>
      </c>
      <c r="I27" s="92">
        <f t="shared" si="5"/>
        <v>0.1833693184946687</v>
      </c>
    </row>
    <row r="28" spans="1:9" ht="18.600000000000001" thickBot="1" x14ac:dyDescent="0.35">
      <c r="A28" s="95"/>
      <c r="B28" s="109">
        <v>216</v>
      </c>
      <c r="C28" s="105">
        <f t="shared" si="2"/>
        <v>0.12</v>
      </c>
      <c r="D28" s="97">
        <f>IF(B28="","",B28*C28)</f>
        <v>25.919999999999998</v>
      </c>
      <c r="E28" s="76">
        <f t="shared" si="0"/>
        <v>1.8100000000000023</v>
      </c>
      <c r="G28" s="90">
        <f t="shared" si="6"/>
        <v>4.6296296296296294E-3</v>
      </c>
      <c r="H28" s="91">
        <f t="shared" si="1"/>
        <v>5.198416210999637E-3</v>
      </c>
      <c r="I28" s="92">
        <f t="shared" si="5"/>
        <v>0.12377428998390134</v>
      </c>
    </row>
    <row r="29" spans="1:9" ht="18.600000000000001" thickBot="1" x14ac:dyDescent="0.35">
      <c r="A29" s="101" t="s">
        <v>48</v>
      </c>
      <c r="B29" s="102" t="s">
        <v>49</v>
      </c>
      <c r="C29" s="102" t="s">
        <v>50</v>
      </c>
      <c r="D29" s="1"/>
      <c r="E29" s="1"/>
      <c r="G29" s="98">
        <f>SUM(G2:G28)</f>
        <v>0.89058463995890158</v>
      </c>
      <c r="H29" s="99">
        <f>SUM(H2:H28)</f>
        <v>1.0000000000000002</v>
      </c>
      <c r="I29" s="100">
        <f t="shared" si="5"/>
        <v>23.810000000000002</v>
      </c>
    </row>
    <row r="30" spans="1:9" ht="19.2" thickTop="1" thickBot="1" x14ac:dyDescent="0.35">
      <c r="A30" s="103">
        <v>23.81</v>
      </c>
      <c r="B30" s="104">
        <f>AVERAGE(E2:E28)</f>
        <v>9.4405508296296325</v>
      </c>
      <c r="C30" s="107">
        <f>IF(B30=0,"",AVERAGE(D2:D28)/SUM(C2:C28))</f>
        <v>1.3915616271103122</v>
      </c>
      <c r="D30" s="1"/>
      <c r="E30" s="1"/>
      <c r="F30" s="1"/>
      <c r="G30" s="1"/>
      <c r="H30" s="1"/>
      <c r="I30" s="1"/>
    </row>
    <row r="31" spans="1:9" ht="15" thickTop="1" x14ac:dyDescent="0.3"/>
  </sheetData>
  <conditionalFormatting sqref="B30">
    <cfRule type="cellIs" dxfId="3" priority="3" operator="lessThan">
      <formula>0</formula>
    </cfRule>
    <cfRule type="cellIs" dxfId="2" priority="4" operator="greaterThanOrEqual">
      <formula>0</formula>
    </cfRule>
  </conditionalFormatting>
  <conditionalFormatting sqref="E2:E28">
    <cfRule type="cellIs" dxfId="1" priority="1" operator="lessThan">
      <formula>0</formula>
    </cfRule>
    <cfRule type="cellIs" dxfId="0" priority="2" operator="greaterThan">
      <formula>0</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Sommaire</vt:lpstr>
      <vt:lpstr>2M_2I</vt:lpstr>
      <vt:lpstr>3M_2I</vt:lpstr>
      <vt:lpstr>2M_3I</vt:lpstr>
      <vt:lpstr>3M_3I</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HENER</dc:creator>
  <cp:lastModifiedBy>Romain HENER</cp:lastModifiedBy>
  <dcterms:created xsi:type="dcterms:W3CDTF">2020-05-30T18:21:23Z</dcterms:created>
  <dcterms:modified xsi:type="dcterms:W3CDTF">2020-06-05T18:38:28Z</dcterms:modified>
</cp:coreProperties>
</file>