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4240" windowHeight="13140" activeTab="1"/>
  </bookViews>
  <sheets>
    <sheet name="2025" sheetId="49" r:id="rId1"/>
    <sheet name="Prix electricitée" sheetId="55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49" l="1"/>
  <c r="K7" i="49" l="1"/>
  <c r="K8" i="49"/>
  <c r="K9" i="49"/>
  <c r="K10" i="49"/>
  <c r="K11" i="49"/>
  <c r="K12" i="49"/>
  <c r="K13" i="49"/>
  <c r="K14" i="49"/>
  <c r="J5" i="49"/>
  <c r="J6" i="49"/>
  <c r="J7" i="49"/>
  <c r="J8" i="49"/>
  <c r="J9" i="49"/>
  <c r="J10" i="49"/>
  <c r="J11" i="49"/>
  <c r="J12" i="49"/>
  <c r="J13" i="49"/>
  <c r="J14" i="49"/>
  <c r="J4" i="49"/>
  <c r="R17" i="49" l="1"/>
  <c r="A1" i="55" l="1"/>
  <c r="A6" i="55"/>
  <c r="A9" i="55" s="1"/>
  <c r="A12" i="55" s="1"/>
  <c r="A15" i="55" s="1"/>
  <c r="A18" i="55" s="1"/>
  <c r="A21" i="55" s="1"/>
  <c r="K6" i="55"/>
  <c r="K9" i="55" s="1"/>
  <c r="K12" i="55" s="1"/>
  <c r="K15" i="55" s="1"/>
  <c r="K18" i="55" s="1"/>
  <c r="K21" i="55" s="1"/>
  <c r="H6" i="55"/>
  <c r="I6" i="55"/>
  <c r="I9" i="55" s="1"/>
  <c r="I12" i="55" s="1"/>
  <c r="I15" i="55" s="1"/>
  <c r="I18" i="55" s="1"/>
  <c r="I21" i="55" s="1"/>
  <c r="E6" i="55"/>
  <c r="E9" i="55" s="1"/>
  <c r="E12" i="55" s="1"/>
  <c r="C2" i="49"/>
  <c r="E3" i="49" s="1"/>
  <c r="K3" i="49" s="1"/>
  <c r="T16" i="49" s="1"/>
  <c r="D2" i="49"/>
  <c r="J3" i="49"/>
  <c r="N3" i="49"/>
  <c r="E4" i="49"/>
  <c r="E5" i="49"/>
  <c r="K5" i="49" s="1"/>
  <c r="N5" i="49"/>
  <c r="E6" i="49"/>
  <c r="K6" i="49" s="1"/>
  <c r="L6" i="49" s="1"/>
  <c r="H6" i="49"/>
  <c r="I6" i="49"/>
  <c r="E7" i="49"/>
  <c r="H7" i="49"/>
  <c r="I7" i="49"/>
  <c r="N7" i="49"/>
  <c r="O7" i="49"/>
  <c r="P7" i="49" s="1"/>
  <c r="Q9" i="49" s="1"/>
  <c r="E8" i="49"/>
  <c r="H8" i="49"/>
  <c r="I8" i="49"/>
  <c r="E9" i="49"/>
  <c r="H9" i="49"/>
  <c r="I9" i="49"/>
  <c r="N9" i="49"/>
  <c r="E10" i="49"/>
  <c r="D10" i="49" s="1"/>
  <c r="H10" i="49"/>
  <c r="I10" i="49"/>
  <c r="E11" i="49"/>
  <c r="D11" i="49" s="1"/>
  <c r="H11" i="49"/>
  <c r="I11" i="49"/>
  <c r="N11" i="49"/>
  <c r="E12" i="49"/>
  <c r="H12" i="49"/>
  <c r="I12" i="49"/>
  <c r="E13" i="49"/>
  <c r="D13" i="49" s="1"/>
  <c r="H13" i="49"/>
  <c r="I13" i="49"/>
  <c r="N13" i="49"/>
  <c r="E14" i="49"/>
  <c r="D14" i="49" s="1"/>
  <c r="H14" i="49"/>
  <c r="I14" i="49"/>
  <c r="S28" i="49"/>
  <c r="S29" i="49"/>
  <c r="S30" i="49"/>
  <c r="S31" i="49"/>
  <c r="U35" i="49"/>
  <c r="V6" i="49"/>
  <c r="E15" i="55" l="1"/>
  <c r="H4" i="49"/>
  <c r="H9" i="55"/>
  <c r="H12" i="55" s="1"/>
  <c r="H7" i="55"/>
  <c r="H5" i="49"/>
  <c r="K4" i="49"/>
  <c r="T17" i="49" s="1"/>
  <c r="D9" i="49"/>
  <c r="D8" i="49"/>
  <c r="D6" i="49"/>
  <c r="D12" i="49"/>
  <c r="R8" i="49"/>
  <c r="D7" i="49"/>
  <c r="L5" i="49"/>
  <c r="K15" i="49"/>
  <c r="L12" i="49"/>
  <c r="L11" i="49"/>
  <c r="D3" i="49"/>
  <c r="H4" i="55"/>
  <c r="L7" i="49"/>
  <c r="L13" i="49"/>
  <c r="L8" i="49"/>
  <c r="L3" i="49"/>
  <c r="T22" i="49"/>
  <c r="L10" i="49"/>
  <c r="E15" i="49"/>
  <c r="V14" i="49"/>
  <c r="V8" i="49"/>
  <c r="U14" i="49"/>
  <c r="V3" i="49"/>
  <c r="I3" i="49" s="1"/>
  <c r="V10" i="49"/>
  <c r="V7" i="49"/>
  <c r="L14" i="49"/>
  <c r="V11" i="49"/>
  <c r="V13" i="49"/>
  <c r="E2" i="49"/>
  <c r="H3" i="49" s="1"/>
  <c r="V5" i="49"/>
  <c r="V12" i="49"/>
  <c r="L9" i="49"/>
  <c r="V9" i="49"/>
  <c r="V4" i="49"/>
  <c r="Q1" i="55"/>
  <c r="C6" i="55" s="1"/>
  <c r="H13" i="55" l="1"/>
  <c r="H15" i="55"/>
  <c r="E18" i="55"/>
  <c r="E21" i="55" s="1"/>
  <c r="H10" i="55"/>
  <c r="D4" i="49"/>
  <c r="I4" i="49"/>
  <c r="I5" i="49"/>
  <c r="D5" i="49"/>
  <c r="L4" i="49"/>
  <c r="T28" i="49"/>
  <c r="T32" i="49"/>
  <c r="T23" i="49"/>
  <c r="R19" i="49" s="1"/>
  <c r="T27" i="49"/>
  <c r="T21" i="49"/>
  <c r="T26" i="49"/>
  <c r="T19" i="49"/>
  <c r="T24" i="49"/>
  <c r="T25" i="49"/>
  <c r="T18" i="49"/>
  <c r="T20" i="49"/>
  <c r="T31" i="49"/>
  <c r="M3" i="49"/>
  <c r="M4" i="49" s="1"/>
  <c r="J15" i="49"/>
  <c r="T30" i="49"/>
  <c r="T29" i="49"/>
  <c r="U12" i="49"/>
  <c r="U13" i="49"/>
  <c r="U8" i="49"/>
  <c r="U6" i="49"/>
  <c r="U4" i="49"/>
  <c r="U11" i="49"/>
  <c r="U3" i="49"/>
  <c r="U5" i="49"/>
  <c r="U9" i="49"/>
  <c r="U10" i="49"/>
  <c r="U7" i="49"/>
  <c r="V15" i="49"/>
  <c r="D15" i="49" s="1"/>
  <c r="I15" i="49" s="1"/>
  <c r="H16" i="55" l="1"/>
  <c r="H18" i="55"/>
  <c r="H21" i="55" s="1"/>
  <c r="H22" i="55" s="1"/>
  <c r="R21" i="49"/>
  <c r="M5" i="49"/>
  <c r="M6" i="49" s="1"/>
  <c r="N4" i="49"/>
  <c r="S34" i="49"/>
  <c r="L15" i="49"/>
  <c r="R25" i="49"/>
  <c r="R27" i="49"/>
  <c r="R33" i="49"/>
  <c r="T33" i="49" s="1"/>
  <c r="Q10" i="49"/>
  <c r="R23" i="49"/>
  <c r="H19" i="55" l="1"/>
  <c r="M7" i="49"/>
  <c r="M8" i="49" s="1"/>
  <c r="N6" i="49"/>
  <c r="S33" i="49"/>
  <c r="S32" i="49" l="1"/>
  <c r="S35" i="49" s="1"/>
  <c r="M9" i="49"/>
  <c r="M10" i="49" s="1"/>
  <c r="N8" i="49"/>
  <c r="N10" i="49" l="1"/>
  <c r="M11" i="49"/>
  <c r="M12" i="49" s="1"/>
  <c r="R35" i="49"/>
  <c r="N12" i="49" l="1"/>
  <c r="M13" i="49"/>
  <c r="M14" i="49" s="1"/>
  <c r="N14" i="49" s="1"/>
  <c r="G4" i="55" l="1"/>
  <c r="G6" i="55"/>
  <c r="M4" i="55" l="1"/>
  <c r="N4" i="55"/>
  <c r="O4" i="55" s="1"/>
  <c r="P4" i="55" s="1"/>
  <c r="G7" i="55"/>
  <c r="G9" i="55"/>
  <c r="G12" i="55" s="1"/>
  <c r="G15" i="55" l="1"/>
  <c r="G13" i="55"/>
  <c r="G10" i="55"/>
  <c r="M10" i="55"/>
  <c r="N10" i="55"/>
  <c r="O10" i="55" s="1"/>
  <c r="P10" i="55" s="1"/>
  <c r="N7" i="55"/>
  <c r="O7" i="55" s="1"/>
  <c r="P7" i="55" s="1"/>
  <c r="M7" i="55"/>
  <c r="B2" i="49"/>
  <c r="D3" i="55"/>
  <c r="B6" i="55"/>
  <c r="M13" i="55" l="1"/>
  <c r="N13" i="55"/>
  <c r="O13" i="55" s="1"/>
  <c r="P13" i="55" s="1"/>
  <c r="G18" i="55"/>
  <c r="G21" i="55" s="1"/>
  <c r="G22" i="55" s="1"/>
  <c r="G16" i="55"/>
  <c r="B3" i="49"/>
  <c r="A3" i="49" s="1"/>
  <c r="D6" i="55"/>
  <c r="B9" i="55"/>
  <c r="L3" i="55"/>
  <c r="J3" i="55"/>
  <c r="F3" i="55"/>
  <c r="M22" i="55" l="1"/>
  <c r="N22" i="55"/>
  <c r="O22" i="55" s="1"/>
  <c r="P22" i="55" s="1"/>
  <c r="N16" i="55"/>
  <c r="O16" i="55" s="1"/>
  <c r="P16" i="55" s="1"/>
  <c r="M16" i="55"/>
  <c r="G19" i="55"/>
  <c r="C9" i="55"/>
  <c r="B12" i="55" s="1"/>
  <c r="C12" i="55" s="1"/>
  <c r="F3" i="49"/>
  <c r="G3" i="49" s="1"/>
  <c r="B4" i="49"/>
  <c r="F4" i="49"/>
  <c r="G4" i="49" s="1"/>
  <c r="A4" i="49"/>
  <c r="L6" i="55"/>
  <c r="J6" i="55"/>
  <c r="F6" i="55"/>
  <c r="M3" i="55"/>
  <c r="N3" i="55" s="1"/>
  <c r="O3" i="55" s="1"/>
  <c r="R2" i="55"/>
  <c r="B15" i="55" l="1"/>
  <c r="C15" i="55" s="1"/>
  <c r="D12" i="55"/>
  <c r="M19" i="55"/>
  <c r="N19" i="55"/>
  <c r="O19" i="55" s="1"/>
  <c r="P19" i="55" s="1"/>
  <c r="D9" i="55"/>
  <c r="J9" i="55" s="1"/>
  <c r="M6" i="55"/>
  <c r="N6" i="55" s="1"/>
  <c r="O6" i="55" s="1"/>
  <c r="R4" i="55"/>
  <c r="P3" i="55"/>
  <c r="R5" i="55"/>
  <c r="A5" i="49"/>
  <c r="B5" i="49"/>
  <c r="F5" i="49"/>
  <c r="G5" i="49" s="1"/>
  <c r="L12" i="55" l="1"/>
  <c r="J12" i="55"/>
  <c r="R11" i="55" s="1"/>
  <c r="F12" i="55"/>
  <c r="M12" i="55" s="1"/>
  <c r="N12" i="55" s="1"/>
  <c r="O12" i="55" s="1"/>
  <c r="B18" i="55"/>
  <c r="C18" i="55" s="1"/>
  <c r="B21" i="55" s="1"/>
  <c r="C21" i="55" s="1"/>
  <c r="D21" i="55" s="1"/>
  <c r="D15" i="55"/>
  <c r="L9" i="55"/>
  <c r="R8" i="55" s="1"/>
  <c r="F9" i="55"/>
  <c r="R7" i="55"/>
  <c r="P6" i="55"/>
  <c r="F6" i="49"/>
  <c r="G6" i="49" s="1"/>
  <c r="A6" i="49"/>
  <c r="B6" i="49"/>
  <c r="L21" i="55" l="1"/>
  <c r="J21" i="55"/>
  <c r="R20" i="55" s="1"/>
  <c r="F21" i="55"/>
  <c r="M21" i="55" s="1"/>
  <c r="N21" i="55" s="1"/>
  <c r="O21" i="55" s="1"/>
  <c r="J15" i="55"/>
  <c r="L15" i="55"/>
  <c r="F15" i="55"/>
  <c r="M15" i="55" s="1"/>
  <c r="N15" i="55" s="1"/>
  <c r="O15" i="55" s="1"/>
  <c r="P12" i="55"/>
  <c r="R13" i="55"/>
  <c r="D18" i="55"/>
  <c r="M9" i="55"/>
  <c r="N9" i="55" s="1"/>
  <c r="O9" i="55" s="1"/>
  <c r="P9" i="55" s="1"/>
  <c r="B7" i="49"/>
  <c r="A7" i="49"/>
  <c r="F7" i="49"/>
  <c r="G7" i="49" s="1"/>
  <c r="P21" i="55" l="1"/>
  <c r="R22" i="55"/>
  <c r="J18" i="55"/>
  <c r="L18" i="55"/>
  <c r="F18" i="55"/>
  <c r="M18" i="55" s="1"/>
  <c r="N18" i="55" s="1"/>
  <c r="O18" i="55" s="1"/>
  <c r="P15" i="55"/>
  <c r="R16" i="55"/>
  <c r="R14" i="55"/>
  <c r="R10" i="55"/>
  <c r="A8" i="49"/>
  <c r="B8" i="49"/>
  <c r="F8" i="49"/>
  <c r="G8" i="49" s="1"/>
  <c r="P18" i="55" l="1"/>
  <c r="R19" i="55"/>
  <c r="R17" i="55"/>
  <c r="A9" i="49"/>
  <c r="B9" i="49"/>
  <c r="F9" i="49"/>
  <c r="G9" i="49" s="1"/>
  <c r="A10" i="49" l="1"/>
  <c r="B10" i="49"/>
  <c r="F10" i="49"/>
  <c r="G10" i="49" s="1"/>
  <c r="A11" i="49" l="1"/>
  <c r="B11" i="49"/>
  <c r="F11" i="49"/>
  <c r="G11" i="49" s="1"/>
  <c r="A12" i="49" l="1"/>
  <c r="B12" i="49"/>
  <c r="F12" i="49"/>
  <c r="G12" i="49" s="1"/>
  <c r="F13" i="49" l="1"/>
  <c r="G13" i="49" s="1"/>
  <c r="A13" i="49"/>
  <c r="B13" i="49"/>
  <c r="B14" i="49" l="1"/>
  <c r="F14" i="49"/>
  <c r="G14" i="49" s="1"/>
  <c r="G15" i="49" s="1"/>
  <c r="A14" i="49"/>
</calcChain>
</file>

<file path=xl/comments1.xml><?xml version="1.0" encoding="utf-8"?>
<comments xmlns="http://schemas.openxmlformats.org/spreadsheetml/2006/main">
  <authors>
    <author>PC-de Olivier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3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7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8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9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1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2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3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4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5" authorId="0" shapeId="0">
      <text>
        <r>
          <rPr>
            <b/>
            <sz val="9"/>
            <color indexed="81"/>
            <rFont val="Tahoma"/>
            <family val="2"/>
          </rPr>
          <t>PC-de Olivier: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<sst xmlns="http://schemas.openxmlformats.org/spreadsheetml/2006/main" count="68" uniqueCount="50">
  <si>
    <t>Bilan</t>
  </si>
  <si>
    <t>Date relevé</t>
  </si>
  <si>
    <t>Variation de conso.</t>
  </si>
  <si>
    <t>Cout mensuel</t>
  </si>
  <si>
    <t>Cumule</t>
  </si>
  <si>
    <t>Variation de conso.  N-1</t>
  </si>
  <si>
    <t>Moyenne journ.</t>
  </si>
  <si>
    <t>conso electrique</t>
  </si>
  <si>
    <t>conso chauffage</t>
  </si>
  <si>
    <t>N-1</t>
  </si>
  <si>
    <t>Total</t>
  </si>
  <si>
    <t>abo</t>
  </si>
  <si>
    <t>Hc</t>
  </si>
  <si>
    <t>Lave-linge</t>
  </si>
  <si>
    <t>Lave vaiselle</t>
  </si>
  <si>
    <t>ballon</t>
  </si>
  <si>
    <t>Chauffage</t>
  </si>
  <si>
    <t>février</t>
  </si>
  <si>
    <t>Avril</t>
  </si>
  <si>
    <t>Juin</t>
  </si>
  <si>
    <t>Août</t>
  </si>
  <si>
    <t>Octobre</t>
  </si>
  <si>
    <t>Décembre</t>
  </si>
  <si>
    <t>Payé</t>
  </si>
  <si>
    <t>Seche lin,</t>
  </si>
  <si>
    <t>CTA</t>
  </si>
  <si>
    <t>prix KW</t>
  </si>
  <si>
    <t>TVA</t>
  </si>
  <si>
    <t>tot HT</t>
  </si>
  <si>
    <t>CSPE</t>
  </si>
  <si>
    <t>TCFE</t>
  </si>
  <si>
    <t>prix HT</t>
  </si>
  <si>
    <t>conso</t>
  </si>
  <si>
    <t>Apres</t>
  </si>
  <si>
    <t>Avant</t>
  </si>
  <si>
    <t>Taxe</t>
  </si>
  <si>
    <t>Abo</t>
  </si>
  <si>
    <t>EDF</t>
  </si>
  <si>
    <t>clim froid</t>
  </si>
  <si>
    <t>clim chaud</t>
  </si>
  <si>
    <t>moy. Été</t>
  </si>
  <si>
    <t>N</t>
  </si>
  <si>
    <t xml:space="preserve">Cout </t>
  </si>
  <si>
    <t xml:space="preserve"> abo.     6 Kw</t>
  </si>
  <si>
    <t>Consom.</t>
  </si>
  <si>
    <t xml:space="preserve">N-1 </t>
  </si>
  <si>
    <t xml:space="preserve">Relevé </t>
  </si>
  <si>
    <t>Base</t>
  </si>
  <si>
    <t>Tot. TTC</t>
  </si>
  <si>
    <t>Total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</si>
</sst>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1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"/>
    <numFmt numFmtId="165" formatCode="[Red]\+#,##0.00%;[Green]\-#,##0.00%"/>
    <numFmt numFmtId="166" formatCode="0.0000"/>
    <numFmt numFmtId="169" formatCode="0&quot; Kw&quot;"/>
    <numFmt numFmtId="170" formatCode="0&quot; m3&quot;"/>
    <numFmt numFmtId="172" formatCode="[$-40C]d\-mmm;@"/>
    <numFmt numFmtId="175" formatCode="0.0%"/>
    <numFmt numFmtId="177" formatCode="0.00&quot; €/M3&quot;"/>
    <numFmt numFmtId="178" formatCode="_-* #,##0.0000\ &quot;€&quot;_-;\-* #,##0.0000\ &quot;€&quot;_-;_-* &quot;-&quot;??\ &quot;€&quot;_-;_-@_-"/>
    <numFmt numFmtId="179" formatCode="[Red]\+0;[Green]\-0"/>
    <numFmt numFmtId="180" formatCode="_-* #,##0.0000\ &quot;€&quot;_-;\-* #,##0.0000\ &quot;€&quot;_-;_-* &quot;-&quot;????\ &quot;€&quot;_-;_-@_-"/>
    <numFmt numFmtId="181" formatCode="#,##0.0000_ ;\-#,##0.0000\ "/>
    <numFmt numFmtId="182" formatCode="0&quot; L/Jour&quot;"/>
    <numFmt numFmtId="186" formatCode="_-* #,##0.00\ [$€-40C]_-;\-* #,##0.00\ [$€-40C]_-;_-* &quot;-&quot;??\ [$€-40C]_-;_-@_-"/>
    <numFmt numFmtId="187" formatCode="0.00000"/>
    <numFmt numFmtId="190" formatCode="0&quot; Kw&quot;;;;"/>
    <numFmt numFmtId="191" formatCode="dd/mm/yy;@"/>
    <numFmt numFmtId="194" formatCode="0.000000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10"/>
      <name val="Arial"/>
      <family val="2"/>
    </font>
    <font>
      <b/>
      <sz val="12"/>
      <name val="Times New Roman"/>
      <family val="1"/>
    </font>
    <font>
      <b/>
      <sz val="10"/>
      <color indexed="1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color rgb="FF0000FF"/>
      <name val="Arial"/>
      <family val="2"/>
    </font>
    <font>
      <sz val="10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00B050"/>
      <name val="Arial"/>
      <family val="2"/>
    </font>
    <font>
      <sz val="10"/>
      <color rgb="FF3399FF"/>
      <name val="Arial"/>
      <family val="2"/>
    </font>
    <font>
      <sz val="10"/>
      <color theme="9" tint="-0.249977111117893"/>
      <name val="Arial"/>
      <family val="2"/>
    </font>
    <font>
      <b/>
      <u val="singleAccounting"/>
      <sz val="10"/>
      <color theme="9" tint="-0.249977111117893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9" tint="-0.249977111117893"/>
      <name val="Arial"/>
      <family val="2"/>
    </font>
    <font>
      <sz val="10"/>
      <color theme="3" tint="0.39997558519241921"/>
      <name val="Arial"/>
      <family val="2"/>
    </font>
    <font>
      <b/>
      <u val="singleAccounting"/>
      <sz val="10"/>
      <color rgb="FFFF0000"/>
      <name val="Arial"/>
      <family val="2"/>
    </font>
    <font>
      <sz val="10"/>
      <color theme="0" tint="-0.249977111117893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/>
      <top style="hair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 style="double">
        <color auto="1"/>
      </top>
      <bottom style="hair">
        <color auto="1"/>
      </bottom>
      <diagonal/>
    </border>
    <border>
      <left style="hair">
        <color auto="1"/>
      </left>
      <right/>
      <top style="double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double">
        <color auto="1"/>
      </bottom>
      <diagonal/>
    </border>
    <border>
      <left/>
      <right style="hair">
        <color auto="1"/>
      </right>
      <top/>
      <bottom style="double">
        <color auto="1"/>
      </bottom>
      <diagonal/>
    </border>
    <border>
      <left style="hair">
        <color auto="1"/>
      </left>
      <right/>
      <top/>
      <bottom style="double">
        <color auto="1"/>
      </bottom>
      <diagonal/>
    </border>
    <border>
      <left/>
      <right/>
      <top style="hair">
        <color auto="1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0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153">
    <xf numFmtId="0" fontId="0" fillId="0" borderId="0" xfId="0"/>
    <xf numFmtId="165" fontId="3" fillId="0" borderId="7" xfId="2" applyNumberFormat="1" applyBorder="1" applyAlignment="1">
      <alignment horizontal="center"/>
    </xf>
    <xf numFmtId="10" fontId="0" fillId="0" borderId="0" xfId="2" applyNumberFormat="1" applyFont="1" applyAlignment="1">
      <alignment horizontal="center" vertical="center"/>
    </xf>
    <xf numFmtId="175" fontId="0" fillId="0" borderId="0" xfId="2" applyNumberFormat="1" applyFont="1"/>
    <xf numFmtId="44" fontId="0" fillId="0" borderId="0" xfId="3" applyFont="1"/>
    <xf numFmtId="177" fontId="0" fillId="0" borderId="0" xfId="3" applyNumberFormat="1" applyFont="1"/>
    <xf numFmtId="178" fontId="0" fillId="0" borderId="1" xfId="3" applyNumberFormat="1" applyFont="1" applyBorder="1" applyAlignment="1">
      <alignment horizontal="center"/>
    </xf>
    <xf numFmtId="44" fontId="0" fillId="0" borderId="0" xfId="3" applyFont="1" applyAlignment="1">
      <alignment horizontal="center" vertical="center"/>
    </xf>
    <xf numFmtId="180" fontId="0" fillId="0" borderId="1" xfId="3" applyNumberFormat="1" applyFont="1" applyBorder="1"/>
    <xf numFmtId="44" fontId="0" fillId="0" borderId="1" xfId="3" applyFont="1" applyBorder="1" applyAlignment="1">
      <alignment horizontal="right" vertical="center"/>
    </xf>
    <xf numFmtId="44" fontId="0" fillId="0" borderId="16" xfId="3" applyFont="1" applyBorder="1" applyAlignment="1">
      <alignment horizontal="right" vertical="center"/>
    </xf>
    <xf numFmtId="44" fontId="8" fillId="0" borderId="16" xfId="3" applyFont="1" applyBorder="1" applyAlignment="1">
      <alignment horizontal="right" vertical="center"/>
    </xf>
    <xf numFmtId="10" fontId="0" fillId="0" borderId="1" xfId="2" applyNumberFormat="1" applyFont="1" applyBorder="1" applyAlignment="1">
      <alignment horizontal="center" vertical="center"/>
    </xf>
    <xf numFmtId="44" fontId="7" fillId="0" borderId="0" xfId="1" applyFont="1" applyBorder="1" applyAlignment="1">
      <alignment horizontal="center"/>
    </xf>
    <xf numFmtId="44" fontId="0" fillId="0" borderId="16" xfId="3" applyFont="1" applyBorder="1" applyAlignment="1">
      <alignment horizontal="center"/>
    </xf>
    <xf numFmtId="44" fontId="0" fillId="0" borderId="16" xfId="3" applyFont="1" applyBorder="1"/>
    <xf numFmtId="10" fontId="7" fillId="0" borderId="5" xfId="2" applyNumberFormat="1" applyFont="1" applyBorder="1" applyAlignment="1">
      <alignment horizontal="center" vertical="center"/>
    </xf>
    <xf numFmtId="44" fontId="3" fillId="0" borderId="0" xfId="3" applyFont="1"/>
    <xf numFmtId="172" fontId="0" fillId="0" borderId="0" xfId="3" applyNumberFormat="1" applyFont="1" applyAlignment="1">
      <alignment horizontal="center" vertical="center"/>
    </xf>
    <xf numFmtId="44" fontId="14" fillId="0" borderId="3" xfId="3" applyFont="1" applyBorder="1" applyAlignment="1">
      <alignment horizontal="center"/>
    </xf>
    <xf numFmtId="44" fontId="7" fillId="0" borderId="0" xfId="1" applyFont="1" applyBorder="1" applyAlignment="1">
      <alignment horizontal="center" vertical="center"/>
    </xf>
    <xf numFmtId="44" fontId="9" fillId="0" borderId="22" xfId="7" applyFont="1" applyBorder="1" applyAlignment="1">
      <alignment horizontal="center" vertical="center"/>
    </xf>
    <xf numFmtId="44" fontId="17" fillId="0" borderId="28" xfId="7" applyFont="1" applyBorder="1" applyAlignment="1">
      <alignment horizontal="center" vertical="center"/>
    </xf>
    <xf numFmtId="44" fontId="9" fillId="0" borderId="26" xfId="7" applyFont="1" applyBorder="1" applyAlignment="1">
      <alignment horizontal="center" vertical="center"/>
    </xf>
    <xf numFmtId="16" fontId="19" fillId="0" borderId="11" xfId="6" applyNumberFormat="1" applyFont="1" applyBorder="1" applyAlignment="1">
      <alignment horizontal="center" vertical="center"/>
    </xf>
    <xf numFmtId="0" fontId="19" fillId="0" borderId="11" xfId="6" applyFont="1" applyBorder="1" applyAlignment="1">
      <alignment horizontal="center" vertical="center"/>
    </xf>
    <xf numFmtId="0" fontId="19" fillId="3" borderId="11" xfId="6" applyFont="1" applyFill="1" applyBorder="1" applyAlignment="1">
      <alignment horizontal="center" vertical="center"/>
    </xf>
    <xf numFmtId="0" fontId="19" fillId="6" borderId="11" xfId="6" applyFont="1" applyFill="1" applyBorder="1" applyAlignment="1">
      <alignment horizontal="center" vertical="center"/>
    </xf>
    <xf numFmtId="187" fontId="19" fillId="6" borderId="11" xfId="6" applyNumberFormat="1" applyFont="1" applyFill="1" applyBorder="1" applyAlignment="1">
      <alignment horizontal="center" vertical="center"/>
    </xf>
    <xf numFmtId="0" fontId="18" fillId="0" borderId="14" xfId="6" applyFont="1" applyBorder="1" applyAlignment="1">
      <alignment horizontal="center" vertical="center"/>
    </xf>
    <xf numFmtId="0" fontId="20" fillId="0" borderId="28" xfId="6" applyFont="1" applyBorder="1" applyAlignment="1">
      <alignment horizontal="center" vertical="center"/>
    </xf>
    <xf numFmtId="0" fontId="18" fillId="0" borderId="0" xfId="6" applyFont="1" applyAlignment="1">
      <alignment horizontal="center" vertical="center"/>
    </xf>
    <xf numFmtId="0" fontId="18" fillId="0" borderId="0" xfId="6" applyFont="1"/>
    <xf numFmtId="0" fontId="19" fillId="0" borderId="24" xfId="6" applyFont="1" applyBorder="1" applyAlignment="1">
      <alignment horizontal="center" vertical="center"/>
    </xf>
    <xf numFmtId="44" fontId="3" fillId="0" borderId="22" xfId="7" applyFont="1" applyBorder="1" applyAlignment="1">
      <alignment horizontal="center" vertical="center"/>
    </xf>
    <xf numFmtId="178" fontId="14" fillId="0" borderId="22" xfId="7" applyNumberFormat="1" applyFont="1" applyBorder="1" applyAlignment="1">
      <alignment horizontal="center" vertical="center"/>
    </xf>
    <xf numFmtId="10" fontId="19" fillId="0" borderId="28" xfId="2" applyNumberFormat="1" applyFont="1" applyBorder="1" applyAlignment="1">
      <alignment horizontal="center" vertical="center"/>
    </xf>
    <xf numFmtId="44" fontId="22" fillId="7" borderId="28" xfId="7" applyFont="1" applyFill="1" applyBorder="1" applyAlignment="1">
      <alignment horizontal="center" vertical="center"/>
    </xf>
    <xf numFmtId="0" fontId="18" fillId="0" borderId="29" xfId="6" applyFont="1" applyBorder="1" applyAlignment="1">
      <alignment horizontal="center" vertical="center"/>
    </xf>
    <xf numFmtId="166" fontId="18" fillId="0" borderId="29" xfId="6" applyNumberFormat="1" applyFont="1" applyBorder="1" applyAlignment="1">
      <alignment horizontal="center" vertical="center"/>
    </xf>
    <xf numFmtId="44" fontId="3" fillId="0" borderId="29" xfId="7" applyFont="1" applyBorder="1" applyAlignment="1">
      <alignment horizontal="center" vertical="center"/>
    </xf>
    <xf numFmtId="0" fontId="19" fillId="0" borderId="31" xfId="6" applyFont="1" applyBorder="1" applyAlignment="1">
      <alignment horizontal="center" vertical="center"/>
    </xf>
    <xf numFmtId="1" fontId="18" fillId="0" borderId="22" xfId="6" applyNumberFormat="1" applyFont="1" applyBorder="1" applyAlignment="1">
      <alignment horizontal="center" vertical="center"/>
    </xf>
    <xf numFmtId="0" fontId="19" fillId="0" borderId="26" xfId="6" applyFont="1" applyBorder="1" applyAlignment="1">
      <alignment horizontal="center" vertical="center"/>
    </xf>
    <xf numFmtId="0" fontId="18" fillId="0" borderId="26" xfId="6" applyFont="1" applyBorder="1" applyAlignment="1">
      <alignment horizontal="center" vertical="center"/>
    </xf>
    <xf numFmtId="44" fontId="15" fillId="0" borderId="26" xfId="7" applyFont="1" applyBorder="1" applyAlignment="1">
      <alignment horizontal="center" vertical="center"/>
    </xf>
    <xf numFmtId="0" fontId="19" fillId="0" borderId="27" xfId="6" applyFont="1" applyBorder="1" applyAlignment="1">
      <alignment horizontal="center" vertical="center"/>
    </xf>
    <xf numFmtId="186" fontId="16" fillId="0" borderId="26" xfId="6" applyNumberFormat="1" applyFont="1" applyBorder="1" applyAlignment="1">
      <alignment horizontal="center" vertical="center"/>
    </xf>
    <xf numFmtId="44" fontId="16" fillId="0" borderId="26" xfId="7" applyFont="1" applyBorder="1" applyAlignment="1">
      <alignment horizontal="center" vertical="center"/>
    </xf>
    <xf numFmtId="8" fontId="0" fillId="0" borderId="0" xfId="3" applyNumberFormat="1" applyFont="1"/>
    <xf numFmtId="1" fontId="18" fillId="0" borderId="26" xfId="6" applyNumberFormat="1" applyFont="1" applyBorder="1" applyAlignment="1">
      <alignment horizontal="center" vertical="center"/>
    </xf>
    <xf numFmtId="0" fontId="3" fillId="0" borderId="0" xfId="9"/>
    <xf numFmtId="0" fontId="5" fillId="0" borderId="0" xfId="9" applyFont="1"/>
    <xf numFmtId="14" fontId="3" fillId="0" borderId="0" xfId="9" applyNumberFormat="1" applyAlignment="1">
      <alignment horizontal="center" vertical="center"/>
    </xf>
    <xf numFmtId="44" fontId="3" fillId="0" borderId="0" xfId="9" applyNumberFormat="1"/>
    <xf numFmtId="190" fontId="3" fillId="0" borderId="0" xfId="9" applyNumberFormat="1"/>
    <xf numFmtId="8" fontId="3" fillId="0" borderId="0" xfId="9" applyNumberFormat="1"/>
    <xf numFmtId="0" fontId="3" fillId="0" borderId="1" xfId="9" applyBorder="1"/>
    <xf numFmtId="10" fontId="3" fillId="0" borderId="1" xfId="9" applyNumberFormat="1" applyBorder="1"/>
    <xf numFmtId="44" fontId="8" fillId="0" borderId="1" xfId="9" applyNumberFormat="1" applyFont="1" applyBorder="1" applyAlignment="1">
      <alignment horizontal="right" vertical="center"/>
    </xf>
    <xf numFmtId="8" fontId="3" fillId="0" borderId="1" xfId="9" applyNumberFormat="1" applyBorder="1" applyAlignment="1">
      <alignment horizontal="right" vertical="center"/>
    </xf>
    <xf numFmtId="0" fontId="3" fillId="0" borderId="1" xfId="9" applyBorder="1" applyAlignment="1">
      <alignment horizontal="center" vertical="center"/>
    </xf>
    <xf numFmtId="0" fontId="3" fillId="0" borderId="1" xfId="9" applyBorder="1" applyAlignment="1">
      <alignment horizontal="right" vertical="center"/>
    </xf>
    <xf numFmtId="1" fontId="3" fillId="0" borderId="0" xfId="9" applyNumberFormat="1"/>
    <xf numFmtId="169" fontId="3" fillId="0" borderId="1" xfId="9" applyNumberFormat="1" applyBorder="1" applyAlignment="1">
      <alignment horizontal="right" vertical="center"/>
    </xf>
    <xf numFmtId="0" fontId="3" fillId="0" borderId="0" xfId="9" applyAlignment="1">
      <alignment horizontal="center" vertical="center"/>
    </xf>
    <xf numFmtId="7" fontId="8" fillId="0" borderId="0" xfId="9" applyNumberFormat="1" applyFont="1"/>
    <xf numFmtId="172" fontId="3" fillId="0" borderId="0" xfId="9" applyNumberFormat="1"/>
    <xf numFmtId="182" fontId="3" fillId="0" borderId="0" xfId="9" applyNumberFormat="1"/>
    <xf numFmtId="172" fontId="3" fillId="0" borderId="0" xfId="9" applyNumberFormat="1" applyAlignment="1">
      <alignment horizontal="center" vertical="center"/>
    </xf>
    <xf numFmtId="170" fontId="3" fillId="0" borderId="0" xfId="9" applyNumberFormat="1"/>
    <xf numFmtId="8" fontId="10" fillId="0" borderId="0" xfId="3" applyNumberFormat="1" applyFont="1"/>
    <xf numFmtId="0" fontId="10" fillId="0" borderId="0" xfId="9" applyFont="1"/>
    <xf numFmtId="0" fontId="3" fillId="0" borderId="0" xfId="9" applyAlignment="1">
      <alignment horizontal="center"/>
    </xf>
    <xf numFmtId="2" fontId="7" fillId="0" borderId="5" xfId="9" applyNumberFormat="1" applyFont="1" applyBorder="1" applyAlignment="1">
      <alignment horizontal="center"/>
    </xf>
    <xf numFmtId="10" fontId="7" fillId="0" borderId="8" xfId="2" applyNumberFormat="1" applyFont="1" applyBorder="1" applyAlignment="1">
      <alignment horizontal="center"/>
    </xf>
    <xf numFmtId="164" fontId="7" fillId="0" borderId="5" xfId="9" applyNumberFormat="1" applyFont="1" applyBorder="1" applyAlignment="1">
      <alignment horizontal="center"/>
    </xf>
    <xf numFmtId="1" fontId="7" fillId="0" borderId="5" xfId="9" applyNumberFormat="1" applyFont="1" applyBorder="1" applyAlignment="1">
      <alignment horizontal="center"/>
    </xf>
    <xf numFmtId="1" fontId="3" fillId="0" borderId="5" xfId="9" applyNumberFormat="1" applyBorder="1" applyAlignment="1">
      <alignment horizontal="center"/>
    </xf>
    <xf numFmtId="0" fontId="3" fillId="0" borderId="5" xfId="9" applyBorder="1"/>
    <xf numFmtId="0" fontId="6" fillId="0" borderId="18" xfId="9" applyFont="1" applyBorder="1" applyAlignment="1">
      <alignment horizontal="center"/>
    </xf>
    <xf numFmtId="0" fontId="6" fillId="0" borderId="21" xfId="9" applyFont="1" applyBorder="1" applyAlignment="1">
      <alignment horizontal="center" vertical="center"/>
    </xf>
    <xf numFmtId="44" fontId="0" fillId="0" borderId="0" xfId="3" applyFont="1" applyBorder="1" applyAlignment="1">
      <alignment vertical="center"/>
    </xf>
    <xf numFmtId="8" fontId="3" fillId="0" borderId="3" xfId="9" applyNumberFormat="1" applyBorder="1" applyAlignment="1">
      <alignment horizontal="center"/>
    </xf>
    <xf numFmtId="2" fontId="3" fillId="0" borderId="10" xfId="9" applyNumberFormat="1" applyBorder="1" applyAlignment="1">
      <alignment horizontal="center"/>
    </xf>
    <xf numFmtId="2" fontId="3" fillId="0" borderId="9" xfId="9" applyNumberFormat="1" applyBorder="1" applyAlignment="1">
      <alignment horizontal="center"/>
    </xf>
    <xf numFmtId="2" fontId="3" fillId="0" borderId="1" xfId="9" applyNumberFormat="1" applyBorder="1" applyAlignment="1">
      <alignment horizontal="center"/>
    </xf>
    <xf numFmtId="164" fontId="3" fillId="0" borderId="1" xfId="9" applyNumberFormat="1" applyBorder="1" applyAlignment="1">
      <alignment horizontal="center"/>
    </xf>
    <xf numFmtId="1" fontId="3" fillId="0" borderId="1" xfId="9" applyNumberFormat="1" applyBorder="1" applyAlignment="1">
      <alignment horizontal="center"/>
    </xf>
    <xf numFmtId="179" fontId="5" fillId="0" borderId="1" xfId="9" applyNumberFormat="1" applyFont="1" applyBorder="1" applyAlignment="1">
      <alignment horizontal="center"/>
    </xf>
    <xf numFmtId="1" fontId="3" fillId="0" borderId="4" xfId="9" applyNumberFormat="1" applyBorder="1" applyAlignment="1">
      <alignment horizontal="center"/>
    </xf>
    <xf numFmtId="14" fontId="5" fillId="2" borderId="16" xfId="9" applyNumberFormat="1" applyFont="1" applyFill="1" applyBorder="1"/>
    <xf numFmtId="14" fontId="5" fillId="2" borderId="20" xfId="9" applyNumberFormat="1" applyFont="1" applyFill="1" applyBorder="1"/>
    <xf numFmtId="169" fontId="3" fillId="0" borderId="0" xfId="9" applyNumberFormat="1" applyAlignment="1">
      <alignment vertical="center"/>
    </xf>
    <xf numFmtId="0" fontId="3" fillId="0" borderId="1" xfId="9" applyBorder="1" applyAlignment="1">
      <alignment horizontal="center"/>
    </xf>
    <xf numFmtId="2" fontId="3" fillId="0" borderId="0" xfId="9" applyNumberFormat="1"/>
    <xf numFmtId="44" fontId="0" fillId="0" borderId="32" xfId="3" applyFont="1" applyBorder="1" applyAlignment="1">
      <alignment vertical="center"/>
    </xf>
    <xf numFmtId="0" fontId="3" fillId="0" borderId="0" xfId="9" applyAlignment="1">
      <alignment vertical="center"/>
    </xf>
    <xf numFmtId="169" fontId="3" fillId="0" borderId="33" xfId="9" applyNumberFormat="1" applyBorder="1" applyAlignment="1">
      <alignment vertical="center"/>
    </xf>
    <xf numFmtId="169" fontId="3" fillId="0" borderId="13" xfId="9" applyNumberFormat="1" applyBorder="1"/>
    <xf numFmtId="169" fontId="3" fillId="0" borderId="20" xfId="9" applyNumberFormat="1" applyBorder="1" applyAlignment="1">
      <alignment vertical="center"/>
    </xf>
    <xf numFmtId="0" fontId="3" fillId="0" borderId="13" xfId="9" applyBorder="1" applyAlignment="1">
      <alignment horizontal="center" vertical="center"/>
    </xf>
    <xf numFmtId="0" fontId="3" fillId="0" borderId="19" xfId="9" applyBorder="1" applyAlignment="1">
      <alignment vertical="center"/>
    </xf>
    <xf numFmtId="14" fontId="3" fillId="0" borderId="0" xfId="9" applyNumberFormat="1"/>
    <xf numFmtId="180" fontId="0" fillId="0" borderId="0" xfId="3" applyNumberFormat="1" applyFont="1" applyBorder="1"/>
    <xf numFmtId="178" fontId="0" fillId="0" borderId="0" xfId="3" applyNumberFormat="1" applyFont="1" applyBorder="1" applyAlignment="1">
      <alignment horizontal="center"/>
    </xf>
    <xf numFmtId="181" fontId="3" fillId="0" borderId="1" xfId="9" applyNumberFormat="1" applyBorder="1" applyAlignment="1">
      <alignment horizontal="center"/>
    </xf>
    <xf numFmtId="0" fontId="3" fillId="0" borderId="7" xfId="9" applyBorder="1" applyAlignment="1">
      <alignment horizontal="center"/>
    </xf>
    <xf numFmtId="1" fontId="3" fillId="0" borderId="0" xfId="9" applyNumberFormat="1" applyAlignment="1">
      <alignment horizontal="center" vertical="center"/>
    </xf>
    <xf numFmtId="14" fontId="3" fillId="0" borderId="7" xfId="9" applyNumberFormat="1" applyBorder="1"/>
    <xf numFmtId="0" fontId="3" fillId="0" borderId="13" xfId="9" applyBorder="1"/>
    <xf numFmtId="0" fontId="4" fillId="4" borderId="0" xfId="9" applyFont="1" applyFill="1" applyAlignment="1">
      <alignment horizontal="center" vertical="center" wrapText="1"/>
    </xf>
    <xf numFmtId="8" fontId="11" fillId="4" borderId="0" xfId="9" applyNumberFormat="1" applyFont="1" applyFill="1" applyAlignment="1">
      <alignment horizontal="center" wrapText="1"/>
    </xf>
    <xf numFmtId="0" fontId="4" fillId="2" borderId="10" xfId="9" applyFont="1" applyFill="1" applyBorder="1" applyAlignment="1">
      <alignment horizontal="center" vertical="center" wrapText="1"/>
    </xf>
    <xf numFmtId="0" fontId="4" fillId="2" borderId="9" xfId="9" applyFont="1" applyFill="1" applyBorder="1" applyAlignment="1">
      <alignment horizontal="center" vertical="center" wrapText="1"/>
    </xf>
    <xf numFmtId="0" fontId="4" fillId="2" borderId="1" xfId="9" applyFont="1" applyFill="1" applyBorder="1" applyAlignment="1">
      <alignment horizontal="center" vertical="center" wrapText="1"/>
    </xf>
    <xf numFmtId="0" fontId="4" fillId="2" borderId="6" xfId="9" applyFont="1" applyFill="1" applyBorder="1" applyAlignment="1">
      <alignment horizontal="center" vertical="center" wrapText="1"/>
    </xf>
    <xf numFmtId="0" fontId="4" fillId="2" borderId="2" xfId="9" applyFont="1" applyFill="1" applyBorder="1" applyAlignment="1">
      <alignment horizontal="center" vertical="center" wrapText="1"/>
    </xf>
    <xf numFmtId="0" fontId="4" fillId="2" borderId="17" xfId="9" applyFont="1" applyFill="1" applyBorder="1" applyAlignment="1">
      <alignment horizontal="center" vertical="center"/>
    </xf>
    <xf numFmtId="0" fontId="4" fillId="2" borderId="19" xfId="9" applyFont="1" applyFill="1" applyBorder="1" applyAlignment="1">
      <alignment horizontal="center" vertical="center"/>
    </xf>
    <xf numFmtId="44" fontId="3" fillId="0" borderId="1" xfId="9" applyNumberFormat="1" applyBorder="1" applyAlignment="1">
      <alignment horizontal="right" vertical="center"/>
    </xf>
    <xf numFmtId="44" fontId="14" fillId="0" borderId="26" xfId="3" applyFont="1" applyBorder="1" applyAlignment="1">
      <alignment horizontal="center" vertical="center"/>
    </xf>
    <xf numFmtId="166" fontId="18" fillId="0" borderId="34" xfId="6" applyNumberFormat="1" applyFont="1" applyBorder="1" applyAlignment="1">
      <alignment horizontal="center" vertical="center"/>
    </xf>
    <xf numFmtId="187" fontId="18" fillId="0" borderId="35" xfId="6" applyNumberFormat="1" applyFont="1" applyBorder="1" applyAlignment="1">
      <alignment horizontal="center" vertical="center"/>
    </xf>
    <xf numFmtId="44" fontId="15" fillId="9" borderId="26" xfId="7" applyFont="1" applyFill="1" applyBorder="1" applyAlignment="1">
      <alignment horizontal="center" vertical="center"/>
    </xf>
    <xf numFmtId="44" fontId="15" fillId="0" borderId="36" xfId="7" applyFont="1" applyBorder="1" applyAlignment="1">
      <alignment horizontal="center" vertical="center"/>
    </xf>
    <xf numFmtId="1" fontId="23" fillId="0" borderId="26" xfId="6" applyNumberFormat="1" applyFont="1" applyBorder="1" applyAlignment="1">
      <alignment horizontal="center" vertical="center"/>
    </xf>
    <xf numFmtId="44" fontId="16" fillId="0" borderId="25" xfId="7" applyFont="1" applyBorder="1" applyAlignment="1">
      <alignment horizontal="center" vertical="center"/>
    </xf>
    <xf numFmtId="187" fontId="18" fillId="9" borderId="22" xfId="6" applyNumberFormat="1" applyFont="1" applyFill="1" applyBorder="1" applyAlignment="1">
      <alignment horizontal="center" vertical="center"/>
    </xf>
    <xf numFmtId="186" fontId="16" fillId="0" borderId="23" xfId="6" applyNumberFormat="1" applyFont="1" applyBorder="1" applyAlignment="1">
      <alignment horizontal="center" vertical="center"/>
    </xf>
    <xf numFmtId="194" fontId="18" fillId="9" borderId="22" xfId="6" applyNumberFormat="1" applyFont="1" applyFill="1" applyBorder="1" applyAlignment="1">
      <alignment horizontal="center" vertical="center"/>
    </xf>
    <xf numFmtId="166" fontId="21" fillId="0" borderId="37" xfId="6" applyNumberFormat="1" applyFont="1" applyBorder="1" applyAlignment="1">
      <alignment horizontal="center" vertical="center"/>
    </xf>
    <xf numFmtId="0" fontId="21" fillId="9" borderId="22" xfId="6" applyFont="1" applyFill="1" applyBorder="1" applyAlignment="1">
      <alignment horizontal="center" vertical="center"/>
    </xf>
    <xf numFmtId="44" fontId="9" fillId="0" borderId="23" xfId="7" applyFont="1" applyBorder="1" applyAlignment="1">
      <alignment horizontal="center" vertical="center"/>
    </xf>
    <xf numFmtId="0" fontId="18" fillId="0" borderId="24" xfId="6" applyFont="1" applyBorder="1" applyAlignment="1">
      <alignment horizontal="center" vertical="center"/>
    </xf>
    <xf numFmtId="16" fontId="18" fillId="0" borderId="25" xfId="6" applyNumberFormat="1" applyFont="1" applyBorder="1" applyAlignment="1">
      <alignment horizontal="center" vertical="center"/>
    </xf>
    <xf numFmtId="44" fontId="3" fillId="0" borderId="0" xfId="7" applyFont="1" applyFill="1" applyBorder="1" applyAlignment="1">
      <alignment horizontal="center" vertical="center"/>
    </xf>
    <xf numFmtId="0" fontId="23" fillId="0" borderId="0" xfId="6" applyFont="1" applyAlignment="1">
      <alignment horizontal="center" vertical="center"/>
    </xf>
    <xf numFmtId="0" fontId="3" fillId="0" borderId="0" xfId="9" applyAlignment="1">
      <alignment horizontal="left" vertical="center"/>
    </xf>
    <xf numFmtId="191" fontId="18" fillId="0" borderId="24" xfId="6" applyNumberFormat="1" applyFont="1" applyBorder="1" applyAlignment="1">
      <alignment horizontal="center" vertical="center"/>
    </xf>
    <xf numFmtId="0" fontId="3" fillId="0" borderId="0" xfId="9" applyAlignment="1">
      <alignment horizontal="left" vertical="center"/>
    </xf>
    <xf numFmtId="44" fontId="7" fillId="0" borderId="8" xfId="1" applyFont="1" applyBorder="1" applyAlignment="1">
      <alignment horizontal="center" vertical="center"/>
    </xf>
    <xf numFmtId="44" fontId="7" fillId="0" borderId="12" xfId="1" applyFont="1" applyBorder="1" applyAlignment="1">
      <alignment horizontal="center" vertical="center"/>
    </xf>
    <xf numFmtId="0" fontId="18" fillId="5" borderId="30" xfId="6" applyFont="1" applyFill="1" applyBorder="1" applyAlignment="1">
      <alignment horizontal="center" vertical="center"/>
    </xf>
    <xf numFmtId="0" fontId="18" fillId="5" borderId="29" xfId="6" applyFont="1" applyFill="1" applyBorder="1" applyAlignment="1">
      <alignment horizontal="center" vertical="center"/>
    </xf>
    <xf numFmtId="166" fontId="19" fillId="8" borderId="14" xfId="6" applyNumberFormat="1" applyFont="1" applyFill="1" applyBorder="1" applyAlignment="1">
      <alignment horizontal="center" vertical="center"/>
    </xf>
    <xf numFmtId="166" fontId="19" fillId="8" borderId="15" xfId="6" applyNumberFormat="1" applyFont="1" applyFill="1" applyBorder="1" applyAlignment="1">
      <alignment horizontal="center" vertical="center"/>
    </xf>
    <xf numFmtId="187" fontId="19" fillId="8" borderId="14" xfId="6" applyNumberFormat="1" applyFont="1" applyFill="1" applyBorder="1" applyAlignment="1">
      <alignment horizontal="center" vertical="center"/>
    </xf>
    <xf numFmtId="187" fontId="19" fillId="8" borderId="15" xfId="6" applyNumberFormat="1" applyFont="1" applyFill="1" applyBorder="1" applyAlignment="1">
      <alignment horizontal="center" vertical="center"/>
    </xf>
    <xf numFmtId="1" fontId="18" fillId="0" borderId="24" xfId="6" applyNumberFormat="1" applyFont="1" applyBorder="1" applyAlignment="1">
      <alignment horizontal="center" vertical="center"/>
    </xf>
    <xf numFmtId="0" fontId="18" fillId="0" borderId="23" xfId="6" applyFont="1" applyBorder="1" applyAlignment="1">
      <alignment horizontal="center" vertical="center"/>
    </xf>
    <xf numFmtId="1" fontId="23" fillId="0" borderId="34" xfId="6" applyNumberFormat="1" applyFont="1" applyBorder="1" applyAlignment="1">
      <alignment horizontal="center" vertical="center"/>
    </xf>
    <xf numFmtId="1" fontId="18" fillId="0" borderId="38" xfId="6" applyNumberFormat="1" applyFont="1" applyBorder="1" applyAlignment="1">
      <alignment horizontal="center" vertical="center"/>
    </xf>
  </cellXfs>
  <cellStyles count="10">
    <cellStyle name="Euro" xfId="1"/>
    <cellStyle name="Monétaire" xfId="3" builtinId="4"/>
    <cellStyle name="Monétaire 2" xfId="5"/>
    <cellStyle name="Monétaire 3" xfId="7"/>
    <cellStyle name="Normal" xfId="0" builtinId="0"/>
    <cellStyle name="Normal 2" xfId="4"/>
    <cellStyle name="Normal 3" xfId="6"/>
    <cellStyle name="Normal 4" xfId="9"/>
    <cellStyle name="Pourcentage" xfId="2" builtinId="5"/>
    <cellStyle name="Pourcentage 2" xfId="8"/>
  </cellStyles>
  <dxfs count="31"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b/>
        <i val="0"/>
        <strike val="0"/>
        <color rgb="FFFF0000"/>
      </font>
      <fill>
        <patternFill>
          <bgColor theme="0" tint="-0.34998626667073579"/>
        </patternFill>
      </fill>
    </dxf>
    <dxf>
      <font>
        <color theme="0"/>
      </font>
    </dxf>
  </dxfs>
  <tableStyles count="0" defaultTableStyle="TableStyleMedium9" defaultPivotStyle="PivotStyleLight16"/>
  <colors>
    <mruColors>
      <color rgb="FF0000FF"/>
      <color rgb="FFFF0000"/>
      <color rgb="FFFF00FF"/>
      <color rgb="FF00FF00"/>
      <color rgb="FF3399FF"/>
      <color rgb="FFCCFFFF"/>
      <color rgb="FF0066FF"/>
      <color rgb="FF3333FF"/>
      <color rgb="FFCC00FF"/>
      <color rgb="FF66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8594748736421258E-2"/>
          <c:y val="5.0295857988165681E-2"/>
          <c:w val="0.84215927821856651"/>
          <c:h val="0.71597633136094652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'2025'!$E$1</c:f>
              <c:strCache>
                <c:ptCount val="1"/>
                <c:pt idx="0">
                  <c:v>Consom.</c:v>
                </c:pt>
              </c:strCache>
            </c:strRef>
          </c:tx>
          <c:spPr>
            <a:gradFill flip="none" rotWithShape="1">
              <a:gsLst>
                <a:gs pos="0">
                  <a:srgbClr val="0000FF"/>
                </a:gs>
                <a:gs pos="100000">
                  <a:srgbClr val="FF0000"/>
                </a:gs>
                <a:gs pos="13000">
                  <a:srgbClr val="0000FF"/>
                </a:gs>
              </a:gsLst>
              <a:path path="circle">
                <a:fillToRect l="50000" t="130000" r="50000" b="-30000"/>
              </a:path>
              <a:tileRect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'2025'!$B$3:$B$14</c:f>
              <c:numCache>
                <c:formatCode>m/d/yyyy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cat>
          <c:val>
            <c:numRef>
              <c:f>'2025'!$E$3:$E$14</c:f>
              <c:numCache>
                <c:formatCode>0</c:formatCode>
                <c:ptCount val="12"/>
                <c:pt idx="0">
                  <c:v>0</c:v>
                </c:pt>
                <c:pt idx="1">
                  <c:v>407</c:v>
                </c:pt>
                <c:pt idx="2">
                  <c:v>281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23-498A-9FF0-40344712F9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00"/>
        <c:axId val="370898504"/>
        <c:axId val="370896544"/>
      </c:barChart>
      <c:lineChart>
        <c:grouping val="standard"/>
        <c:varyColors val="0"/>
        <c:ser>
          <c:idx val="4"/>
          <c:order val="2"/>
          <c:tx>
            <c:v>2023</c:v>
          </c:tx>
          <c:spPr>
            <a:ln w="34925" cap="rnd">
              <a:solidFill>
                <a:schemeClr val="accent5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'2025'!$B$3:$B$15</c:f>
              <c:numCache>
                <c:formatCode>m/d/yyyy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cat>
          <c:val>
            <c:numRef>
              <c:f>'2025'!$U$3:$U$14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1-0023-498A-9FF0-40344712F904}"/>
            </c:ext>
          </c:extLst>
        </c:ser>
        <c:ser>
          <c:idx val="5"/>
          <c:order val="3"/>
          <c:tx>
            <c:v>2024</c:v>
          </c:tx>
          <c:spPr>
            <a:ln w="34925" cap="rnd">
              <a:solidFill>
                <a:schemeClr val="accent6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'2025'!$B$3:$B$15</c:f>
              <c:numCache>
                <c:formatCode>m/d/yyyy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cat>
          <c:val>
            <c:numRef>
              <c:f>'2025'!$V$3:$V$14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2-0023-498A-9FF0-40344712F9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0898504"/>
        <c:axId val="370896544"/>
      </c:lineChart>
      <c:lineChart>
        <c:grouping val="standard"/>
        <c:varyColors val="0"/>
        <c:ser>
          <c:idx val="3"/>
          <c:order val="1"/>
          <c:tx>
            <c:v>cumul mensuel</c:v>
          </c:tx>
          <c:spPr>
            <a:ln w="34925" cap="rnd">
              <a:solidFill>
                <a:srgbClr val="FFFF00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val>
            <c:numRef>
              <c:f>'2025'!$M$3:$M$14</c:f>
              <c:numCache>
                <c:formatCode>0.00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3-0023-498A-9FF0-40344712F9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70900072"/>
        <c:axId val="370898896"/>
      </c:lineChart>
      <c:dateAx>
        <c:axId val="370898504"/>
        <c:scaling>
          <c:orientation val="minMax"/>
        </c:scaling>
        <c:delete val="0"/>
        <c:axPos val="b"/>
        <c:numFmt formatCode="mmm\-yy" sourceLinked="0"/>
        <c:majorTickMark val="out"/>
        <c:minorTickMark val="in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896544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370896544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\K\w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898504"/>
        <c:crosses val="autoZero"/>
        <c:crossBetween val="between"/>
        <c:majorUnit val="200"/>
        <c:minorUnit val="200"/>
      </c:valAx>
      <c:catAx>
        <c:axId val="370900072"/>
        <c:scaling>
          <c:orientation val="minMax"/>
        </c:scaling>
        <c:delete val="0"/>
        <c:axPos val="b"/>
        <c:majorTickMark val="none"/>
        <c:minorTickMark val="none"/>
        <c:tickLblPos val="none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898896"/>
        <c:crosses val="autoZero"/>
        <c:auto val="1"/>
        <c:lblAlgn val="ctr"/>
        <c:lblOffset val="100"/>
        <c:noMultiLvlLbl val="0"/>
      </c:catAx>
      <c:valAx>
        <c:axId val="370898896"/>
        <c:scaling>
          <c:orientation val="minMax"/>
          <c:min val="0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0900072"/>
        <c:crosses val="max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</xdr:colOff>
      <xdr:row>15</xdr:row>
      <xdr:rowOff>28575</xdr:rowOff>
    </xdr:from>
    <xdr:to>
      <xdr:col>15</xdr:col>
      <xdr:colOff>485774</xdr:colOff>
      <xdr:row>34</xdr:row>
      <xdr:rowOff>152400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6940345B-6028-48DC-A5CF-0C1713E337E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6"/>
  <dimension ref="A1:AD41"/>
  <sheetViews>
    <sheetView workbookViewId="0">
      <selection activeCell="C5" sqref="C5"/>
    </sheetView>
  </sheetViews>
  <sheetFormatPr baseColWidth="10" defaultColWidth="11.42578125" defaultRowHeight="12.75" x14ac:dyDescent="0.2"/>
  <cols>
    <col min="1" max="1" width="12.7109375" style="51" customWidth="1"/>
    <col min="2" max="2" width="0.140625" style="51" customWidth="1"/>
    <col min="3" max="3" width="8.7109375" style="51" customWidth="1"/>
    <col min="4" max="4" width="8.5703125" style="51" customWidth="1"/>
    <col min="5" max="5" width="8.7109375" style="51" customWidth="1"/>
    <col min="6" max="6" width="0.140625" style="51" customWidth="1"/>
    <col min="7" max="8" width="8.7109375" style="51" customWidth="1"/>
    <col min="9" max="9" width="9.42578125" style="51" bestFit="1" customWidth="1"/>
    <col min="10" max="12" width="8.7109375" style="51" customWidth="1"/>
    <col min="13" max="13" width="10" style="51" customWidth="1"/>
    <col min="14" max="14" width="10.7109375" style="51" bestFit="1" customWidth="1"/>
    <col min="15" max="18" width="10.7109375" style="51" customWidth="1"/>
    <col min="19" max="19" width="11.85546875" style="51" bestFit="1" customWidth="1"/>
    <col min="20" max="22" width="10.140625" style="51" bestFit="1" customWidth="1"/>
    <col min="23" max="23" width="14.140625" style="51" bestFit="1" customWidth="1"/>
    <col min="24" max="24" width="10.140625" style="51" bestFit="1" customWidth="1"/>
    <col min="25" max="25" width="9.5703125" style="51" customWidth="1"/>
    <col min="26" max="26" width="12" style="51" customWidth="1"/>
    <col min="27" max="27" width="9.85546875" style="51" bestFit="1" customWidth="1"/>
    <col min="28" max="28" width="11.42578125" style="51"/>
    <col min="29" max="29" width="13.140625" style="51" customWidth="1"/>
    <col min="30" max="16384" width="11.42578125" style="51"/>
  </cols>
  <sheetData>
    <row r="1" spans="1:30" ht="45" customHeight="1" x14ac:dyDescent="0.2">
      <c r="A1" s="119" t="s">
        <v>1</v>
      </c>
      <c r="B1" s="118"/>
      <c r="C1" s="117" t="s">
        <v>46</v>
      </c>
      <c r="D1" s="116" t="s">
        <v>45</v>
      </c>
      <c r="E1" s="117" t="s">
        <v>44</v>
      </c>
      <c r="F1" s="117"/>
      <c r="G1" s="117" t="s">
        <v>6</v>
      </c>
      <c r="H1" s="116" t="s">
        <v>2</v>
      </c>
      <c r="I1" s="116" t="s">
        <v>5</v>
      </c>
      <c r="J1" s="115" t="s">
        <v>43</v>
      </c>
      <c r="K1" s="115" t="s">
        <v>42</v>
      </c>
      <c r="L1" s="114" t="s">
        <v>3</v>
      </c>
      <c r="M1" s="113" t="s">
        <v>4</v>
      </c>
      <c r="N1" s="112"/>
      <c r="O1" s="111" t="s">
        <v>11</v>
      </c>
      <c r="P1" s="111" t="s">
        <v>12</v>
      </c>
      <c r="U1" s="51">
        <v>2023</v>
      </c>
      <c r="V1" s="51">
        <v>2024</v>
      </c>
    </row>
    <row r="2" spans="1:30" ht="1.5" customHeight="1" x14ac:dyDescent="0.2">
      <c r="A2" s="110"/>
      <c r="B2" s="91" t="e">
        <f>EOMONTH(#REF!,1)</f>
        <v>#REF!</v>
      </c>
      <c r="C2" s="88" t="e">
        <f>#REF!</f>
        <v>#REF!</v>
      </c>
      <c r="D2" s="109">
        <f ca="1">TODAY()</f>
        <v>45736</v>
      </c>
      <c r="E2" s="108" t="e">
        <f>#REF!</f>
        <v>#REF!</v>
      </c>
      <c r="F2" s="94"/>
      <c r="G2" s="94"/>
      <c r="H2" s="107"/>
      <c r="I2" s="107"/>
      <c r="J2" s="86"/>
      <c r="K2" s="106"/>
      <c r="L2" s="94"/>
      <c r="M2" s="94"/>
      <c r="N2" s="73"/>
    </row>
    <row r="3" spans="1:30" ht="15" customHeight="1" x14ac:dyDescent="0.2">
      <c r="A3" s="92" t="e">
        <f t="shared" ref="A3:A14" ca="1" si="0">IF($D$2&lt;=B2,"",IF($D$2&gt;B3,B3,$D$2))</f>
        <v>#REF!</v>
      </c>
      <c r="B3" s="91" t="e">
        <f t="shared" ref="B3:B14" si="1">EOMONTH(B2,1)</f>
        <v>#REF!</v>
      </c>
      <c r="C3" s="94">
        <v>23698</v>
      </c>
      <c r="D3" s="89" t="e">
        <f t="shared" ref="D3:D14" si="2">IF(E3=0,0,E3-V3)</f>
        <v>#REF!</v>
      </c>
      <c r="E3" s="88" t="e">
        <f t="shared" ref="E3:E14" si="3">IF($C3-$C2&lt;=0,0,$C3-$C2)</f>
        <v>#REF!</v>
      </c>
      <c r="F3" s="87" t="e">
        <f t="shared" ref="F3:F14" ca="1" si="4">IF($D$2&gt;B2,IF($D$2&gt;B3,B3-B2,$D$2-B2),1)</f>
        <v>#REF!</v>
      </c>
      <c r="G3" s="88" t="e">
        <f t="shared" ref="G3:G14" ca="1" si="5">E3/F3</f>
        <v>#REF!</v>
      </c>
      <c r="H3" s="1" t="e">
        <f t="shared" ref="H3:H14" si="6">IF(C3=0,"",1/(E2/(E3-E2)))</f>
        <v>#REF!</v>
      </c>
      <c r="I3" s="1" t="e">
        <f t="shared" ref="I3:I14" si="7">IF(C3=0,"",1/(E3/(E3-V3)))</f>
        <v>#REF!</v>
      </c>
      <c r="J3" s="86">
        <f t="shared" ref="J3" si="8">$O$3/12</f>
        <v>12.67</v>
      </c>
      <c r="K3" s="86" t="e">
        <f>E3*$P$3</f>
        <v>#REF!</v>
      </c>
      <c r="L3" s="85" t="e">
        <f t="shared" ref="L3:L15" si="9">SUM(J3:K3)</f>
        <v>#REF!</v>
      </c>
      <c r="M3" s="84" t="e">
        <f>L3</f>
        <v>#REF!</v>
      </c>
      <c r="N3" s="19">
        <f>U29</f>
        <v>302.66000000000003</v>
      </c>
      <c r="O3" s="14">
        <v>152.04</v>
      </c>
      <c r="P3" s="6">
        <v>0.25164000000000003</v>
      </c>
      <c r="Q3" s="103"/>
      <c r="S3" s="103"/>
      <c r="U3" s="63" t="e">
        <f>#REF!</f>
        <v>#REF!</v>
      </c>
      <c r="V3" s="63" t="e">
        <f>#REF!</f>
        <v>#REF!</v>
      </c>
    </row>
    <row r="4" spans="1:30" ht="13.5" customHeight="1" x14ac:dyDescent="0.2">
      <c r="A4" s="92" t="e">
        <f t="shared" ca="1" si="0"/>
        <v>#REF!</v>
      </c>
      <c r="B4" s="91" t="e">
        <f t="shared" si="1"/>
        <v>#REF!</v>
      </c>
      <c r="C4" s="94">
        <v>24105</v>
      </c>
      <c r="D4" s="89" t="e">
        <f t="shared" si="2"/>
        <v>#REF!</v>
      </c>
      <c r="E4" s="88">
        <f t="shared" si="3"/>
        <v>407</v>
      </c>
      <c r="F4" s="87" t="e">
        <f t="shared" ca="1" si="4"/>
        <v>#REF!</v>
      </c>
      <c r="G4" s="88" t="e">
        <f t="shared" ca="1" si="5"/>
        <v>#REF!</v>
      </c>
      <c r="H4" s="1" t="e">
        <f t="shared" si="6"/>
        <v>#REF!</v>
      </c>
      <c r="I4" s="1" t="e">
        <f t="shared" si="7"/>
        <v>#REF!</v>
      </c>
      <c r="J4" s="86">
        <f>$O$4/12</f>
        <v>13.719999999999999</v>
      </c>
      <c r="K4" s="86">
        <f>E4*$P$4</f>
        <v>82.051199999999994</v>
      </c>
      <c r="L4" s="85">
        <f t="shared" si="9"/>
        <v>95.771199999999993</v>
      </c>
      <c r="M4" s="84" t="e">
        <f t="shared" ref="M4:M14" si="10">M3+L4</f>
        <v>#REF!</v>
      </c>
      <c r="N4" s="83" t="e">
        <f>(N3+N1)-M4</f>
        <v>#REF!</v>
      </c>
      <c r="O4" s="14">
        <v>164.64</v>
      </c>
      <c r="P4" s="6">
        <v>0.2016</v>
      </c>
      <c r="Q4" s="103">
        <v>45689</v>
      </c>
      <c r="S4" s="105"/>
      <c r="T4" s="103"/>
      <c r="U4" s="63" t="e">
        <f>#REF!</f>
        <v>#REF!</v>
      </c>
      <c r="V4" s="63" t="e">
        <f>#REF!</f>
        <v>#REF!</v>
      </c>
    </row>
    <row r="5" spans="1:30" ht="13.5" customHeight="1" x14ac:dyDescent="0.2">
      <c r="A5" s="92" t="e">
        <f t="shared" ca="1" si="0"/>
        <v>#REF!</v>
      </c>
      <c r="B5" s="91" t="e">
        <f t="shared" si="1"/>
        <v>#REF!</v>
      </c>
      <c r="C5" s="94">
        <v>24386</v>
      </c>
      <c r="D5" s="89" t="e">
        <f t="shared" si="2"/>
        <v>#REF!</v>
      </c>
      <c r="E5" s="88">
        <f t="shared" si="3"/>
        <v>281</v>
      </c>
      <c r="F5" s="87" t="e">
        <f t="shared" ca="1" si="4"/>
        <v>#REF!</v>
      </c>
      <c r="G5" s="88" t="e">
        <f t="shared" ca="1" si="5"/>
        <v>#REF!</v>
      </c>
      <c r="H5" s="1">
        <f t="shared" si="6"/>
        <v>-0.30958230958230959</v>
      </c>
      <c r="I5" s="1" t="e">
        <f t="shared" si="7"/>
        <v>#REF!</v>
      </c>
      <c r="J5" s="86">
        <f t="shared" ref="J5:J14" si="11">$O$4/12</f>
        <v>13.719999999999999</v>
      </c>
      <c r="K5" s="86">
        <f t="shared" ref="K5:K14" si="12">E5*$P$4</f>
        <v>56.6496</v>
      </c>
      <c r="L5" s="85">
        <f t="shared" si="9"/>
        <v>70.369599999999991</v>
      </c>
      <c r="M5" s="84" t="e">
        <f t="shared" si="10"/>
        <v>#REF!</v>
      </c>
      <c r="N5" s="19">
        <f>U30</f>
        <v>0</v>
      </c>
      <c r="O5" s="15"/>
      <c r="P5" s="8"/>
      <c r="Q5" s="103"/>
      <c r="S5" s="104"/>
      <c r="T5" s="103"/>
      <c r="U5" s="63" t="e">
        <f>#REF!</f>
        <v>#REF!</v>
      </c>
      <c r="V5" s="63" t="e">
        <f>#REF!</f>
        <v>#REF!</v>
      </c>
    </row>
    <row r="6" spans="1:30" ht="13.5" customHeight="1" thickBot="1" x14ac:dyDescent="0.25">
      <c r="A6" s="92" t="e">
        <f t="shared" ca="1" si="0"/>
        <v>#REF!</v>
      </c>
      <c r="B6" s="91" t="e">
        <f t="shared" si="1"/>
        <v>#REF!</v>
      </c>
      <c r="C6" s="94"/>
      <c r="D6" s="89">
        <f t="shared" si="2"/>
        <v>0</v>
      </c>
      <c r="E6" s="88">
        <f t="shared" si="3"/>
        <v>0</v>
      </c>
      <c r="F6" s="87" t="e">
        <f t="shared" ca="1" si="4"/>
        <v>#REF!</v>
      </c>
      <c r="G6" s="88" t="e">
        <f t="shared" ca="1" si="5"/>
        <v>#REF!</v>
      </c>
      <c r="H6" s="1" t="str">
        <f t="shared" si="6"/>
        <v/>
      </c>
      <c r="I6" s="1" t="str">
        <f t="shared" si="7"/>
        <v/>
      </c>
      <c r="J6" s="86">
        <f t="shared" si="11"/>
        <v>13.719999999999999</v>
      </c>
      <c r="K6" s="86">
        <f t="shared" si="12"/>
        <v>0</v>
      </c>
      <c r="L6" s="85">
        <f t="shared" si="9"/>
        <v>13.719999999999999</v>
      </c>
      <c r="M6" s="84" t="e">
        <f t="shared" si="10"/>
        <v>#REF!</v>
      </c>
      <c r="N6" s="83" t="e">
        <f>($N$5+$N$3+N1)-M6</f>
        <v>#REF!</v>
      </c>
      <c r="U6" s="63" t="e">
        <f>#REF!</f>
        <v>#REF!</v>
      </c>
      <c r="V6" s="63" t="e">
        <f>#REF!</f>
        <v>#REF!</v>
      </c>
    </row>
    <row r="7" spans="1:30" ht="13.5" customHeight="1" x14ac:dyDescent="0.2">
      <c r="A7" s="92" t="e">
        <f t="shared" ca="1" si="0"/>
        <v>#REF!</v>
      </c>
      <c r="B7" s="91" t="e">
        <f t="shared" si="1"/>
        <v>#REF!</v>
      </c>
      <c r="C7" s="94"/>
      <c r="D7" s="89">
        <f t="shared" si="2"/>
        <v>0</v>
      </c>
      <c r="E7" s="88">
        <f t="shared" si="3"/>
        <v>0</v>
      </c>
      <c r="F7" s="87" t="e">
        <f t="shared" ca="1" si="4"/>
        <v>#REF!</v>
      </c>
      <c r="G7" s="88" t="e">
        <f t="shared" ca="1" si="5"/>
        <v>#REF!</v>
      </c>
      <c r="H7" s="1" t="str">
        <f t="shared" si="6"/>
        <v/>
      </c>
      <c r="I7" s="1" t="str">
        <f t="shared" si="7"/>
        <v/>
      </c>
      <c r="J7" s="86">
        <f t="shared" si="11"/>
        <v>13.719999999999999</v>
      </c>
      <c r="K7" s="86">
        <f t="shared" si="12"/>
        <v>0</v>
      </c>
      <c r="L7" s="85">
        <f t="shared" si="9"/>
        <v>13.719999999999999</v>
      </c>
      <c r="M7" s="84" t="e">
        <f t="shared" si="10"/>
        <v>#REF!</v>
      </c>
      <c r="N7" s="19">
        <f>U31</f>
        <v>0</v>
      </c>
      <c r="O7" s="51">
        <f ca="1">IF(YEAR(TODAY())&lt;VALUE(MID(CELL("nomfichier",A1),FIND("]",CELL("nomfichier",A1))+1,20)),0,IF(YEAR(TODAY())&gt;VALUE(MID(CELL("nomfichier",A1),FIND("]",CELL("nomfichier",A1))+1,20)),12,MONTH(TODAY())))</f>
        <v>3</v>
      </c>
      <c r="P7" s="63">
        <f ca="1">IF(O7=12,R8,S8)</f>
        <v>215</v>
      </c>
      <c r="Q7" s="102" t="s">
        <v>10</v>
      </c>
      <c r="R7" s="101" t="s">
        <v>41</v>
      </c>
      <c r="S7" s="65" t="s">
        <v>9</v>
      </c>
      <c r="U7" s="63" t="e">
        <f>#REF!</f>
        <v>#REF!</v>
      </c>
      <c r="V7" s="63" t="e">
        <f>#REF!</f>
        <v>#REF!</v>
      </c>
      <c r="Z7" s="53"/>
      <c r="AA7" s="4"/>
    </row>
    <row r="8" spans="1:30" ht="13.5" customHeight="1" x14ac:dyDescent="0.2">
      <c r="A8" s="92" t="e">
        <f t="shared" ca="1" si="0"/>
        <v>#REF!</v>
      </c>
      <c r="B8" s="91" t="e">
        <f t="shared" si="1"/>
        <v>#REF!</v>
      </c>
      <c r="C8" s="88"/>
      <c r="D8" s="89">
        <f t="shared" si="2"/>
        <v>0</v>
      </c>
      <c r="E8" s="88">
        <f t="shared" si="3"/>
        <v>0</v>
      </c>
      <c r="F8" s="87" t="e">
        <f t="shared" ca="1" si="4"/>
        <v>#REF!</v>
      </c>
      <c r="G8" s="88" t="e">
        <f t="shared" ca="1" si="5"/>
        <v>#REF!</v>
      </c>
      <c r="H8" s="1" t="str">
        <f t="shared" si="6"/>
        <v/>
      </c>
      <c r="I8" s="1" t="str">
        <f t="shared" si="7"/>
        <v/>
      </c>
      <c r="J8" s="86">
        <f t="shared" si="11"/>
        <v>13.719999999999999</v>
      </c>
      <c r="K8" s="86">
        <f t="shared" si="12"/>
        <v>0</v>
      </c>
      <c r="L8" s="85">
        <f t="shared" si="9"/>
        <v>13.719999999999999</v>
      </c>
      <c r="M8" s="84" t="e">
        <f t="shared" si="10"/>
        <v>#REF!</v>
      </c>
      <c r="N8" s="83" t="e">
        <f>($N$5+$N$3+$N$7+N1)-M8</f>
        <v>#REF!</v>
      </c>
      <c r="O8" s="51" t="s">
        <v>7</v>
      </c>
      <c r="Q8" s="100">
        <f>AVERAGE(E7:E8,E11:E12)*12</f>
        <v>0</v>
      </c>
      <c r="R8" s="99">
        <f>(Q8)/12</f>
        <v>0</v>
      </c>
      <c r="S8" s="55">
        <v>215</v>
      </c>
      <c r="U8" s="63" t="e">
        <f>#REF!</f>
        <v>#REF!</v>
      </c>
      <c r="V8" s="63" t="e">
        <f>#REF!</f>
        <v>#REF!</v>
      </c>
      <c r="Z8" s="53"/>
      <c r="AA8" s="4"/>
    </row>
    <row r="9" spans="1:30" ht="13.5" customHeight="1" x14ac:dyDescent="0.2">
      <c r="A9" s="92" t="e">
        <f t="shared" ca="1" si="0"/>
        <v>#REF!</v>
      </c>
      <c r="B9" s="91" t="e">
        <f t="shared" si="1"/>
        <v>#REF!</v>
      </c>
      <c r="C9" s="88"/>
      <c r="D9" s="89">
        <f t="shared" si="2"/>
        <v>0</v>
      </c>
      <c r="E9" s="88">
        <f t="shared" si="3"/>
        <v>0</v>
      </c>
      <c r="F9" s="87" t="e">
        <f t="shared" ca="1" si="4"/>
        <v>#REF!</v>
      </c>
      <c r="G9" s="88" t="e">
        <f t="shared" ca="1" si="5"/>
        <v>#REF!</v>
      </c>
      <c r="H9" s="1" t="str">
        <f t="shared" si="6"/>
        <v/>
      </c>
      <c r="I9" s="1" t="str">
        <f t="shared" si="7"/>
        <v/>
      </c>
      <c r="J9" s="86">
        <f t="shared" si="11"/>
        <v>13.719999999999999</v>
      </c>
      <c r="K9" s="86">
        <f t="shared" si="12"/>
        <v>0</v>
      </c>
      <c r="L9" s="85">
        <f t="shared" si="9"/>
        <v>13.719999999999999</v>
      </c>
      <c r="M9" s="84" t="e">
        <f t="shared" si="10"/>
        <v>#REF!</v>
      </c>
      <c r="N9" s="19">
        <f>U32</f>
        <v>0</v>
      </c>
      <c r="O9" s="51" t="s">
        <v>8</v>
      </c>
      <c r="Q9" s="98" t="e">
        <f ca="1">SUM(E3:E14)-($P$7*$O$7)</f>
        <v>#REF!</v>
      </c>
      <c r="U9" s="63" t="e">
        <f>#REF!</f>
        <v>#REF!</v>
      </c>
      <c r="V9" s="63" t="e">
        <f>#REF!</f>
        <v>#REF!</v>
      </c>
      <c r="W9" s="97"/>
      <c r="Y9" s="95"/>
      <c r="Z9" s="53"/>
      <c r="AA9" s="7"/>
    </row>
    <row r="10" spans="1:30" ht="13.5" customHeight="1" thickBot="1" x14ac:dyDescent="0.25">
      <c r="A10" s="92" t="e">
        <f t="shared" ca="1" si="0"/>
        <v>#REF!</v>
      </c>
      <c r="B10" s="91" t="e">
        <f t="shared" si="1"/>
        <v>#REF!</v>
      </c>
      <c r="C10" s="88"/>
      <c r="D10" s="89">
        <f t="shared" si="2"/>
        <v>0</v>
      </c>
      <c r="E10" s="88">
        <f t="shared" si="3"/>
        <v>0</v>
      </c>
      <c r="F10" s="87" t="e">
        <f t="shared" ca="1" si="4"/>
        <v>#REF!</v>
      </c>
      <c r="G10" s="88" t="e">
        <f t="shared" ca="1" si="5"/>
        <v>#REF!</v>
      </c>
      <c r="H10" s="1" t="str">
        <f t="shared" si="6"/>
        <v/>
      </c>
      <c r="I10" s="1" t="str">
        <f t="shared" si="7"/>
        <v/>
      </c>
      <c r="J10" s="86">
        <f t="shared" si="11"/>
        <v>13.719999999999999</v>
      </c>
      <c r="K10" s="86">
        <f t="shared" si="12"/>
        <v>0</v>
      </c>
      <c r="L10" s="85">
        <f t="shared" si="9"/>
        <v>13.719999999999999</v>
      </c>
      <c r="M10" s="84" t="e">
        <f t="shared" si="10"/>
        <v>#REF!</v>
      </c>
      <c r="N10" s="83" t="e">
        <f>($N$5+$N$3+$N$7+$N$9+N1)-M10</f>
        <v>#REF!</v>
      </c>
      <c r="O10" s="54">
        <v>279.5052</v>
      </c>
      <c r="P10" s="51" t="s">
        <v>9</v>
      </c>
      <c r="Q10" s="96" t="e">
        <f ca="1">Q9*R3</f>
        <v>#REF!</v>
      </c>
      <c r="U10" s="63" t="e">
        <f>#REF!</f>
        <v>#REF!</v>
      </c>
      <c r="V10" s="63" t="e">
        <f>#REF!</f>
        <v>#REF!</v>
      </c>
      <c r="W10" s="68"/>
      <c r="X10" s="4"/>
      <c r="Y10" s="95"/>
      <c r="Z10" s="53"/>
      <c r="AA10" s="7"/>
    </row>
    <row r="11" spans="1:30" ht="13.5" customHeight="1" x14ac:dyDescent="0.2">
      <c r="A11" s="92" t="e">
        <f t="shared" ca="1" si="0"/>
        <v>#REF!</v>
      </c>
      <c r="B11" s="91" t="e">
        <f t="shared" si="1"/>
        <v>#REF!</v>
      </c>
      <c r="C11" s="94"/>
      <c r="D11" s="89">
        <f t="shared" si="2"/>
        <v>0</v>
      </c>
      <c r="E11" s="88">
        <f t="shared" si="3"/>
        <v>0</v>
      </c>
      <c r="F11" s="87" t="e">
        <f t="shared" ca="1" si="4"/>
        <v>#REF!</v>
      </c>
      <c r="G11" s="88" t="e">
        <f t="shared" ca="1" si="5"/>
        <v>#REF!</v>
      </c>
      <c r="H11" s="1" t="str">
        <f t="shared" si="6"/>
        <v/>
      </c>
      <c r="I11" s="1" t="str">
        <f t="shared" si="7"/>
        <v/>
      </c>
      <c r="J11" s="86">
        <f t="shared" si="11"/>
        <v>13.719999999999999</v>
      </c>
      <c r="K11" s="86">
        <f t="shared" si="12"/>
        <v>0</v>
      </c>
      <c r="L11" s="85">
        <f t="shared" si="9"/>
        <v>13.719999999999999</v>
      </c>
      <c r="M11" s="84" t="e">
        <f t="shared" si="10"/>
        <v>#REF!</v>
      </c>
      <c r="N11" s="19">
        <f>U33</f>
        <v>0</v>
      </c>
      <c r="U11" s="63" t="e">
        <f>#REF!</f>
        <v>#REF!</v>
      </c>
      <c r="V11" s="63" t="e">
        <f>#REF!</f>
        <v>#REF!</v>
      </c>
      <c r="W11" s="68"/>
      <c r="X11" s="4"/>
      <c r="Y11" s="5"/>
      <c r="Z11" s="53"/>
      <c r="AA11" s="18"/>
      <c r="AB11" s="67"/>
    </row>
    <row r="12" spans="1:30" ht="13.5" customHeight="1" x14ac:dyDescent="0.2">
      <c r="A12" s="92" t="e">
        <f t="shared" ca="1" si="0"/>
        <v>#REF!</v>
      </c>
      <c r="B12" s="91" t="e">
        <f t="shared" si="1"/>
        <v>#REF!</v>
      </c>
      <c r="C12" s="88"/>
      <c r="D12" s="89">
        <f t="shared" si="2"/>
        <v>0</v>
      </c>
      <c r="E12" s="88">
        <f t="shared" si="3"/>
        <v>0</v>
      </c>
      <c r="F12" s="87" t="e">
        <f t="shared" ca="1" si="4"/>
        <v>#REF!</v>
      </c>
      <c r="G12" s="88" t="e">
        <f t="shared" ca="1" si="5"/>
        <v>#REF!</v>
      </c>
      <c r="H12" s="1" t="str">
        <f t="shared" si="6"/>
        <v/>
      </c>
      <c r="I12" s="1" t="str">
        <f t="shared" si="7"/>
        <v/>
      </c>
      <c r="J12" s="86">
        <f t="shared" si="11"/>
        <v>13.719999999999999</v>
      </c>
      <c r="K12" s="86">
        <f t="shared" si="12"/>
        <v>0</v>
      </c>
      <c r="L12" s="85">
        <f t="shared" si="9"/>
        <v>13.719999999999999</v>
      </c>
      <c r="M12" s="84" t="e">
        <f t="shared" si="10"/>
        <v>#REF!</v>
      </c>
      <c r="N12" s="83" t="e">
        <f>($N$5+$N$3+$N$7+$N$9+$N$11+N1)-M12</f>
        <v>#REF!</v>
      </c>
      <c r="U12" s="63" t="e">
        <f>#REF!</f>
        <v>#REF!</v>
      </c>
      <c r="V12" s="63" t="e">
        <f>#REF!</f>
        <v>#REF!</v>
      </c>
      <c r="W12" s="68"/>
      <c r="X12" s="4"/>
      <c r="Y12" s="5"/>
      <c r="Z12" s="2"/>
      <c r="AA12" s="18"/>
      <c r="AB12" s="67"/>
    </row>
    <row r="13" spans="1:30" ht="13.5" customHeight="1" x14ac:dyDescent="0.2">
      <c r="A13" s="92" t="e">
        <f t="shared" ca="1" si="0"/>
        <v>#REF!</v>
      </c>
      <c r="B13" s="91" t="e">
        <f t="shared" si="1"/>
        <v>#REF!</v>
      </c>
      <c r="C13" s="88"/>
      <c r="D13" s="89">
        <f t="shared" si="2"/>
        <v>0</v>
      </c>
      <c r="E13" s="88">
        <f t="shared" si="3"/>
        <v>0</v>
      </c>
      <c r="F13" s="87" t="e">
        <f t="shared" ca="1" si="4"/>
        <v>#REF!</v>
      </c>
      <c r="G13" s="88" t="e">
        <f t="shared" ca="1" si="5"/>
        <v>#REF!</v>
      </c>
      <c r="H13" s="1" t="str">
        <f t="shared" si="6"/>
        <v/>
      </c>
      <c r="I13" s="1" t="str">
        <f t="shared" si="7"/>
        <v/>
      </c>
      <c r="J13" s="86">
        <f t="shared" si="11"/>
        <v>13.719999999999999</v>
      </c>
      <c r="K13" s="86">
        <f t="shared" si="12"/>
        <v>0</v>
      </c>
      <c r="L13" s="85">
        <f t="shared" si="9"/>
        <v>13.719999999999999</v>
      </c>
      <c r="M13" s="84" t="e">
        <f t="shared" si="10"/>
        <v>#REF!</v>
      </c>
      <c r="N13" s="19">
        <f>U34</f>
        <v>0</v>
      </c>
      <c r="T13" s="93"/>
      <c r="U13" s="63" t="e">
        <f>#REF!</f>
        <v>#REF!</v>
      </c>
      <c r="V13" s="63" t="e">
        <f>#REF!</f>
        <v>#REF!</v>
      </c>
      <c r="W13" s="68"/>
      <c r="X13" s="4"/>
      <c r="Y13" s="5"/>
      <c r="Z13" s="2"/>
      <c r="AA13" s="18"/>
      <c r="AB13" s="67"/>
    </row>
    <row r="14" spans="1:30" ht="13.5" customHeight="1" thickBot="1" x14ac:dyDescent="0.25">
      <c r="A14" s="92" t="e">
        <f t="shared" ca="1" si="0"/>
        <v>#REF!</v>
      </c>
      <c r="B14" s="91" t="e">
        <f t="shared" si="1"/>
        <v>#REF!</v>
      </c>
      <c r="C14" s="90"/>
      <c r="D14" s="89">
        <f t="shared" si="2"/>
        <v>0</v>
      </c>
      <c r="E14" s="88">
        <f t="shared" si="3"/>
        <v>0</v>
      </c>
      <c r="F14" s="87" t="e">
        <f t="shared" ca="1" si="4"/>
        <v>#REF!</v>
      </c>
      <c r="G14" s="88" t="e">
        <f t="shared" ca="1" si="5"/>
        <v>#REF!</v>
      </c>
      <c r="H14" s="1" t="str">
        <f t="shared" si="6"/>
        <v/>
      </c>
      <c r="I14" s="1" t="str">
        <f t="shared" si="7"/>
        <v/>
      </c>
      <c r="J14" s="86">
        <f t="shared" si="11"/>
        <v>13.719999999999999</v>
      </c>
      <c r="K14" s="86">
        <f t="shared" si="12"/>
        <v>0</v>
      </c>
      <c r="L14" s="85">
        <f t="shared" si="9"/>
        <v>13.719999999999999</v>
      </c>
      <c r="M14" s="84" t="e">
        <f t="shared" si="10"/>
        <v>#REF!</v>
      </c>
      <c r="N14" s="83" t="e">
        <f>($N$5+$N$3+$N$7+$N$9+$N$11+$N$13+N1)-M14</f>
        <v>#REF!</v>
      </c>
      <c r="T14" s="82"/>
      <c r="U14" s="63" t="e">
        <f>#REF!</f>
        <v>#REF!</v>
      </c>
      <c r="V14" s="63" t="e">
        <f>#REF!</f>
        <v>#REF!</v>
      </c>
      <c r="W14" s="68"/>
      <c r="X14" s="4"/>
      <c r="Y14" s="5"/>
      <c r="Z14" s="2"/>
      <c r="AA14" s="18"/>
      <c r="AB14" s="67"/>
    </row>
    <row r="15" spans="1:30" ht="13.5" customHeight="1" thickTop="1" thickBot="1" x14ac:dyDescent="0.3">
      <c r="A15" s="81" t="s">
        <v>0</v>
      </c>
      <c r="B15" s="80"/>
      <c r="C15" s="79"/>
      <c r="D15" s="78" t="e">
        <f>V15</f>
        <v>#REF!</v>
      </c>
      <c r="E15" s="77" t="e">
        <f>SUM(E3:E14)</f>
        <v>#REF!</v>
      </c>
      <c r="F15" s="76"/>
      <c r="G15" s="74" t="e">
        <f ca="1">AVERAGE(G3:G14)</f>
        <v>#REF!</v>
      </c>
      <c r="H15" s="75"/>
      <c r="I15" s="16" t="e">
        <f>1/(D15/(E15-D15))</f>
        <v>#REF!</v>
      </c>
      <c r="J15" s="74">
        <f>SUM(J3:J14)</f>
        <v>163.58999999999997</v>
      </c>
      <c r="K15" s="74" t="e">
        <f>SUM(K3:K14)</f>
        <v>#REF!</v>
      </c>
      <c r="L15" s="141" t="e">
        <f t="shared" si="9"/>
        <v>#REF!</v>
      </c>
      <c r="M15" s="142"/>
      <c r="O15" s="20"/>
      <c r="P15" s="20"/>
      <c r="Q15" s="20"/>
      <c r="R15" s="20"/>
      <c r="T15" s="13"/>
      <c r="V15" s="51" t="e">
        <f>SUM(V3:V14)</f>
        <v>#REF!</v>
      </c>
      <c r="W15" s="68"/>
      <c r="X15" s="4"/>
      <c r="Y15" s="5"/>
      <c r="Z15" s="2"/>
      <c r="AA15" s="18"/>
      <c r="AB15" s="67"/>
    </row>
    <row r="16" spans="1:30" x14ac:dyDescent="0.2">
      <c r="Q16" s="73"/>
      <c r="R16" s="73"/>
      <c r="S16" s="51">
        <v>1</v>
      </c>
      <c r="T16" s="56" t="e">
        <f>K3-$R$17</f>
        <v>#REF!</v>
      </c>
      <c r="X16" s="70"/>
      <c r="Y16" s="68"/>
      <c r="Z16" s="4"/>
      <c r="AA16" s="5"/>
      <c r="AB16" s="2"/>
      <c r="AC16" s="18"/>
      <c r="AD16" s="67"/>
    </row>
    <row r="17" spans="13:30" x14ac:dyDescent="0.2">
      <c r="Q17" s="51" t="s">
        <v>40</v>
      </c>
      <c r="R17" s="17">
        <f>AVERAGE(K7:K8,K11:K12)</f>
        <v>0</v>
      </c>
      <c r="S17" s="51">
        <v>2</v>
      </c>
      <c r="T17" s="56">
        <f>K4-$R$17</f>
        <v>82.051199999999994</v>
      </c>
      <c r="X17" s="70"/>
      <c r="Y17" s="68"/>
      <c r="Z17" s="17"/>
      <c r="AA17" s="5"/>
      <c r="AB17" s="2"/>
      <c r="AC17" s="18"/>
      <c r="AD17" s="67"/>
    </row>
    <row r="18" spans="13:30" x14ac:dyDescent="0.2">
      <c r="S18" s="51">
        <v>3</v>
      </c>
      <c r="T18" s="56">
        <f t="shared" ref="T18:T27" si="13">K5-$R$17</f>
        <v>56.6496</v>
      </c>
      <c r="X18" s="70"/>
      <c r="Y18" s="68"/>
      <c r="Z18" s="4"/>
      <c r="AA18" s="5"/>
      <c r="AB18" s="2"/>
      <c r="AC18" s="18"/>
      <c r="AD18" s="67"/>
    </row>
    <row r="19" spans="13:30" x14ac:dyDescent="0.2">
      <c r="Q19" s="72" t="s">
        <v>38</v>
      </c>
      <c r="R19" s="71">
        <f>SUM(T22:T23)</f>
        <v>0</v>
      </c>
      <c r="S19" s="51">
        <v>4</v>
      </c>
      <c r="T19" s="56">
        <f t="shared" si="13"/>
        <v>0</v>
      </c>
      <c r="X19" s="70"/>
      <c r="Y19" s="68"/>
      <c r="Z19" s="4"/>
      <c r="AA19" s="5"/>
      <c r="AB19" s="2"/>
      <c r="AC19" s="18"/>
      <c r="AD19" s="67"/>
    </row>
    <row r="20" spans="13:30" x14ac:dyDescent="0.2">
      <c r="S20" s="51">
        <v>5</v>
      </c>
      <c r="T20" s="56">
        <f t="shared" si="13"/>
        <v>0</v>
      </c>
      <c r="X20" s="70"/>
      <c r="Y20" s="68"/>
      <c r="Z20" s="4"/>
      <c r="AA20" s="5"/>
      <c r="AB20" s="2"/>
      <c r="AC20" s="18"/>
      <c r="AD20" s="67"/>
    </row>
    <row r="21" spans="13:30" x14ac:dyDescent="0.2">
      <c r="Q21" s="51" t="s">
        <v>39</v>
      </c>
      <c r="R21" s="49" t="e">
        <f>SUM(T16:T19,T26:T27)</f>
        <v>#REF!</v>
      </c>
      <c r="S21" s="51">
        <v>6</v>
      </c>
      <c r="T21" s="56">
        <f t="shared" si="13"/>
        <v>0</v>
      </c>
      <c r="X21" s="70"/>
      <c r="Y21" s="68"/>
      <c r="Z21" s="4"/>
      <c r="AA21" s="5"/>
      <c r="AB21" s="2"/>
      <c r="AC21" s="69"/>
      <c r="AD21" s="67"/>
    </row>
    <row r="22" spans="13:30" x14ac:dyDescent="0.2">
      <c r="S22" s="51">
        <v>7</v>
      </c>
      <c r="T22" s="56">
        <f t="shared" si="13"/>
        <v>0</v>
      </c>
      <c r="X22" s="70"/>
      <c r="Y22" s="68"/>
      <c r="Z22" s="4"/>
      <c r="AA22" s="5"/>
      <c r="AB22" s="2"/>
      <c r="AC22" s="69"/>
      <c r="AD22" s="67"/>
    </row>
    <row r="23" spans="13:30" x14ac:dyDescent="0.2">
      <c r="Q23" s="51" t="s">
        <v>10</v>
      </c>
      <c r="R23" s="17" t="e">
        <f>SUM(R19:R21)</f>
        <v>#REF!</v>
      </c>
      <c r="S23" s="51">
        <v>8</v>
      </c>
      <c r="T23" s="56">
        <f t="shared" si="13"/>
        <v>0</v>
      </c>
      <c r="Y23" s="68"/>
      <c r="AA23" s="5"/>
      <c r="AB23" s="2"/>
      <c r="AC23" s="67"/>
      <c r="AD23" s="67"/>
    </row>
    <row r="24" spans="13:30" x14ac:dyDescent="0.2">
      <c r="S24" s="51">
        <v>9</v>
      </c>
      <c r="T24" s="56">
        <f t="shared" si="13"/>
        <v>0</v>
      </c>
      <c r="Z24" s="65"/>
    </row>
    <row r="25" spans="13:30" x14ac:dyDescent="0.2">
      <c r="Q25" s="51" t="s">
        <v>36</v>
      </c>
      <c r="R25" s="4">
        <f>J15</f>
        <v>163.58999999999997</v>
      </c>
      <c r="S25" s="51">
        <v>10</v>
      </c>
      <c r="T25" s="56">
        <f t="shared" si="13"/>
        <v>0</v>
      </c>
    </row>
    <row r="26" spans="13:30" x14ac:dyDescent="0.2">
      <c r="M26" s="52"/>
      <c r="S26" s="51">
        <v>11</v>
      </c>
      <c r="T26" s="56">
        <f t="shared" si="13"/>
        <v>0</v>
      </c>
    </row>
    <row r="27" spans="13:30" x14ac:dyDescent="0.2">
      <c r="Q27" s="52" t="s">
        <v>10</v>
      </c>
      <c r="R27" s="66" t="e">
        <f>(R17*12)+R19+R21+R25</f>
        <v>#REF!</v>
      </c>
      <c r="S27" s="51">
        <v>12</v>
      </c>
      <c r="T27" s="56">
        <f t="shared" si="13"/>
        <v>0</v>
      </c>
    </row>
    <row r="28" spans="13:30" x14ac:dyDescent="0.2">
      <c r="Q28" s="57" t="s">
        <v>13</v>
      </c>
      <c r="R28" s="64">
        <v>156</v>
      </c>
      <c r="S28" s="9">
        <f>R28*$P$3</f>
        <v>39.255840000000006</v>
      </c>
      <c r="T28" s="12" t="e">
        <f t="shared" ref="T28:T33" si="14">1/($E$15/R28)</f>
        <v>#REF!</v>
      </c>
      <c r="U28" s="65" t="s">
        <v>23</v>
      </c>
    </row>
    <row r="29" spans="13:30" x14ac:dyDescent="0.2">
      <c r="Q29" s="57" t="s">
        <v>24</v>
      </c>
      <c r="R29" s="64">
        <v>250</v>
      </c>
      <c r="S29" s="9">
        <f>R29*$P$3</f>
        <v>62.910000000000011</v>
      </c>
      <c r="T29" s="12" t="e">
        <f t="shared" si="14"/>
        <v>#REF!</v>
      </c>
      <c r="U29" s="10">
        <v>302.66000000000003</v>
      </c>
      <c r="V29" s="57" t="s">
        <v>17</v>
      </c>
    </row>
    <row r="30" spans="13:30" x14ac:dyDescent="0.2">
      <c r="Q30" s="57" t="s">
        <v>14</v>
      </c>
      <c r="R30" s="64">
        <v>250</v>
      </c>
      <c r="S30" s="9">
        <f>R30*$P$3</f>
        <v>62.910000000000011</v>
      </c>
      <c r="T30" s="12" t="e">
        <f t="shared" si="14"/>
        <v>#REF!</v>
      </c>
      <c r="U30" s="10"/>
      <c r="V30" s="57" t="s">
        <v>18</v>
      </c>
    </row>
    <row r="31" spans="13:30" x14ac:dyDescent="0.2">
      <c r="Q31" s="57" t="s">
        <v>15</v>
      </c>
      <c r="R31" s="64">
        <v>1600</v>
      </c>
      <c r="S31" s="9">
        <f>R31*$P$3</f>
        <v>402.62400000000002</v>
      </c>
      <c r="T31" s="12" t="e">
        <f t="shared" si="14"/>
        <v>#REF!</v>
      </c>
      <c r="U31" s="10"/>
      <c r="V31" s="57" t="s">
        <v>19</v>
      </c>
    </row>
    <row r="32" spans="13:30" x14ac:dyDescent="0.2">
      <c r="Q32" s="57"/>
      <c r="R32" s="64"/>
      <c r="S32" s="120" t="e">
        <f ca="1">(K15)-(S28+S29+S30+S31+S33)</f>
        <v>#REF!</v>
      </c>
      <c r="T32" s="12" t="e">
        <f>1/($E$15/R32)</f>
        <v>#REF!</v>
      </c>
      <c r="U32" s="10"/>
      <c r="V32" s="57" t="s">
        <v>20</v>
      </c>
    </row>
    <row r="33" spans="1:29" x14ac:dyDescent="0.2">
      <c r="Q33" s="57" t="s">
        <v>16</v>
      </c>
      <c r="R33" s="64" t="e">
        <f ca="1">Q9-(R29+R31)</f>
        <v>#REF!</v>
      </c>
      <c r="S33" s="9" t="e">
        <f ca="1">Q10-S29</f>
        <v>#REF!</v>
      </c>
      <c r="T33" s="12" t="e">
        <f t="shared" ca="1" si="14"/>
        <v>#REF!</v>
      </c>
      <c r="U33" s="10"/>
      <c r="V33" s="57" t="s">
        <v>21</v>
      </c>
      <c r="AB33" s="53"/>
      <c r="AC33" s="7"/>
    </row>
    <row r="34" spans="1:29" x14ac:dyDescent="0.2">
      <c r="F34" s="63"/>
      <c r="Q34" s="57" t="s">
        <v>11</v>
      </c>
      <c r="R34" s="62"/>
      <c r="S34" s="9">
        <f>J15</f>
        <v>163.58999999999997</v>
      </c>
      <c r="T34" s="61"/>
      <c r="U34" s="10"/>
      <c r="V34" s="57" t="s">
        <v>22</v>
      </c>
      <c r="AB34" s="53"/>
      <c r="AC34" s="7"/>
    </row>
    <row r="35" spans="1:29" x14ac:dyDescent="0.2">
      <c r="Q35" s="57" t="s">
        <v>10</v>
      </c>
      <c r="R35" s="60" t="e">
        <f ca="1">U35-S35</f>
        <v>#REF!</v>
      </c>
      <c r="S35" s="59" t="e">
        <f ca="1">SUM(S28:S34)</f>
        <v>#REF!</v>
      </c>
      <c r="T35" s="58"/>
      <c r="U35" s="11">
        <f>SUM(U29:U34)</f>
        <v>302.66000000000003</v>
      </c>
      <c r="V35" s="57"/>
      <c r="AB35" s="53"/>
      <c r="AC35" s="7"/>
    </row>
    <row r="36" spans="1:29" x14ac:dyDescent="0.2">
      <c r="AB36" s="53"/>
      <c r="AC36" s="7"/>
    </row>
    <row r="37" spans="1:29" x14ac:dyDescent="0.2">
      <c r="I37" s="55"/>
      <c r="AB37" s="53"/>
      <c r="AC37" s="7"/>
    </row>
    <row r="38" spans="1:29" x14ac:dyDescent="0.2">
      <c r="AB38" s="53"/>
      <c r="AC38" s="7"/>
    </row>
    <row r="39" spans="1:29" x14ac:dyDescent="0.2">
      <c r="H39" s="54"/>
      <c r="I39" s="54"/>
      <c r="J39" s="54"/>
      <c r="K39" s="54"/>
      <c r="L39" s="54"/>
      <c r="X39" s="3"/>
      <c r="AB39" s="53"/>
      <c r="AC39" s="7"/>
    </row>
    <row r="40" spans="1:29" x14ac:dyDescent="0.2">
      <c r="AB40" s="53"/>
      <c r="AC40" s="7"/>
    </row>
    <row r="41" spans="1:29" x14ac:dyDescent="0.2">
      <c r="A41" s="52"/>
    </row>
  </sheetData>
  <dataConsolidate/>
  <mergeCells count="1">
    <mergeCell ref="L15:M15"/>
  </mergeCells>
  <conditionalFormatting sqref="L15">
    <cfRule type="colorScale" priority="3">
      <colorScale>
        <cfvo type="num" val="700"/>
        <cfvo type="num" val="800"/>
        <cfvo type="num" val="900"/>
        <color rgb="FF63BE7B"/>
        <color rgb="FFFFEB84"/>
        <color rgb="FFF8696B"/>
      </colorScale>
    </cfRule>
  </conditionalFormatting>
  <conditionalFormatting sqref="D3:D14">
    <cfRule type="expression" dxfId="30" priority="4">
      <formula>C3=""</formula>
    </cfRule>
  </conditionalFormatting>
  <conditionalFormatting sqref="E6:E12">
    <cfRule type="iconSet" priority="1">
      <iconSet iconSet="4TrafficLights" reverse="1">
        <cfvo type="percent" val="0"/>
        <cfvo type="num" val="250"/>
        <cfvo type="num" val="300"/>
        <cfvo type="num" val="350"/>
      </iconSet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BE5B8AAD-A933-43D2-BA4B-B24CB0068E98}">
            <x14:iconSet iconSet="4TrafficLights" custom="1">
              <x14:cfvo type="percent">
                <xm:f>0</xm:f>
              </x14:cfvo>
              <x14:cfvo type="num">
                <xm:f>500</xm:f>
              </x14:cfvo>
              <x14:cfvo type="num">
                <xm:f>650</xm:f>
              </x14:cfvo>
              <x14:cfvo type="num">
                <xm:f>800</xm:f>
              </x14:cfvo>
              <x14:cfIcon iconSet="3TrafficLights1" iconId="2"/>
              <x14:cfIcon iconSet="3TrafficLights1" iconId="1"/>
              <x14:cfIcon iconSet="3TrafficLights1" iconId="0"/>
              <x14:cfIcon iconSet="4TrafficLights" iconId="0"/>
            </x14:iconSet>
          </x14:cfRule>
          <xm:sqref>E3:E5 E13:E14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S23"/>
  <sheetViews>
    <sheetView tabSelected="1" workbookViewId="0">
      <pane ySplit="1" topLeftCell="A2" activePane="bottomLeft" state="frozen"/>
      <selection activeCell="H4" sqref="H4"/>
      <selection pane="bottomLeft" activeCell="F28" sqref="F28"/>
    </sheetView>
  </sheetViews>
  <sheetFormatPr baseColWidth="10" defaultRowHeight="12.75" x14ac:dyDescent="0.2"/>
  <cols>
    <col min="1" max="1" width="9.140625" style="51" customWidth="1"/>
    <col min="2" max="2" width="6.5703125" style="51" bestFit="1" customWidth="1"/>
    <col min="3" max="3" width="7.140625" style="51" bestFit="1" customWidth="1"/>
    <col min="4" max="4" width="6.28515625" style="51" bestFit="1" customWidth="1"/>
    <col min="5" max="7" width="9.28515625" style="51" bestFit="1" customWidth="1"/>
    <col min="8" max="8" width="8.28515625" style="51" bestFit="1" customWidth="1"/>
    <col min="9" max="9" width="9.28515625" style="51" customWidth="1"/>
    <col min="10" max="10" width="8.28515625" style="51" bestFit="1" customWidth="1"/>
    <col min="11" max="11" width="7.85546875" style="51" customWidth="1"/>
    <col min="12" max="12" width="8.28515625" style="51" bestFit="1" customWidth="1"/>
    <col min="13" max="13" width="9.28515625" style="51" bestFit="1" customWidth="1"/>
    <col min="14" max="14" width="8.28515625" style="51" bestFit="1" customWidth="1"/>
    <col min="15" max="16" width="9.28515625" style="51" bestFit="1" customWidth="1"/>
    <col min="17" max="17" width="3" style="51" hidden="1" customWidth="1"/>
    <col min="18" max="18" width="9.28515625" style="51" bestFit="1" customWidth="1"/>
    <col min="19" max="16384" width="11.42578125" style="51"/>
  </cols>
  <sheetData>
    <row r="1" spans="1:19" s="32" customFormat="1" ht="14.25" thickTop="1" thickBot="1" x14ac:dyDescent="0.25">
      <c r="A1" s="139">
        <f ca="1">TODAY()</f>
        <v>45736</v>
      </c>
      <c r="B1" s="24" t="s">
        <v>34</v>
      </c>
      <c r="C1" s="24" t="s">
        <v>33</v>
      </c>
      <c r="D1" s="25" t="s">
        <v>32</v>
      </c>
      <c r="E1" s="26" t="s">
        <v>31</v>
      </c>
      <c r="F1" s="25" t="s">
        <v>49</v>
      </c>
      <c r="G1" s="27" t="s">
        <v>11</v>
      </c>
      <c r="H1" s="28" t="s">
        <v>25</v>
      </c>
      <c r="I1" s="147" t="s">
        <v>30</v>
      </c>
      <c r="J1" s="148"/>
      <c r="K1" s="145" t="s">
        <v>29</v>
      </c>
      <c r="L1" s="146"/>
      <c r="M1" s="25" t="s">
        <v>28</v>
      </c>
      <c r="N1" s="25" t="s">
        <v>27</v>
      </c>
      <c r="O1" s="25" t="s">
        <v>48</v>
      </c>
      <c r="P1" s="25" t="s">
        <v>26</v>
      </c>
      <c r="Q1" s="29">
        <f ca="1">MONTH(A1)</f>
        <v>3</v>
      </c>
      <c r="R1" s="30" t="s">
        <v>35</v>
      </c>
      <c r="S1" s="31"/>
    </row>
    <row r="2" spans="1:19" ht="16.5" thickTop="1" thickBot="1" x14ac:dyDescent="0.25">
      <c r="A2" s="138">
        <v>2025</v>
      </c>
      <c r="C2" s="137"/>
      <c r="D2" s="143" t="s">
        <v>37</v>
      </c>
      <c r="E2" s="144"/>
      <c r="F2" s="143"/>
      <c r="G2" s="38"/>
      <c r="H2" s="136"/>
      <c r="I2" s="38"/>
      <c r="J2" s="38"/>
      <c r="K2" s="39"/>
      <c r="L2" s="40"/>
      <c r="Q2" s="41"/>
      <c r="R2" s="22">
        <f>J3+L3+H4</f>
        <v>32.723100000000002</v>
      </c>
    </row>
    <row r="3" spans="1:19" ht="14.25" thickTop="1" thickBot="1" x14ac:dyDescent="0.25">
      <c r="A3" s="135">
        <v>45676</v>
      </c>
      <c r="B3" s="42">
        <v>23512</v>
      </c>
      <c r="C3" s="42">
        <v>24375</v>
      </c>
      <c r="D3" s="134">
        <f>C3-B3</f>
        <v>863</v>
      </c>
      <c r="E3" s="128">
        <v>0.1343</v>
      </c>
      <c r="F3" s="133">
        <f>E3*D3</f>
        <v>115.90090000000001</v>
      </c>
      <c r="G3" s="132">
        <v>11.18</v>
      </c>
      <c r="H3" s="131">
        <v>1.82</v>
      </c>
      <c r="I3" s="130">
        <v>1.2699999999999999E-2</v>
      </c>
      <c r="J3" s="129">
        <f>D3*I3</f>
        <v>10.960099999999999</v>
      </c>
      <c r="K3" s="128">
        <v>2.1000000000000001E-2</v>
      </c>
      <c r="L3" s="127">
        <f>D3*K3</f>
        <v>18.123000000000001</v>
      </c>
      <c r="M3" s="34">
        <f>F3+J3+L3</f>
        <v>144.98400000000001</v>
      </c>
      <c r="N3" s="34">
        <f>M3*0.2</f>
        <v>28.996800000000004</v>
      </c>
      <c r="O3" s="21">
        <f>N3+M3</f>
        <v>173.98080000000002</v>
      </c>
      <c r="P3" s="35">
        <f>O3/D3</f>
        <v>0.20160000000000003</v>
      </c>
      <c r="Q3" s="33"/>
      <c r="R3" s="36"/>
    </row>
    <row r="4" spans="1:19" ht="16.5" thickTop="1" thickBot="1" x14ac:dyDescent="0.25">
      <c r="A4" s="43" t="s">
        <v>47</v>
      </c>
      <c r="B4" s="50">
        <v>2</v>
      </c>
      <c r="C4" s="126"/>
      <c r="D4" s="44"/>
      <c r="E4" s="122"/>
      <c r="F4" s="23"/>
      <c r="G4" s="125">
        <f>G3*B4</f>
        <v>22.36</v>
      </c>
      <c r="H4" s="124">
        <f>H3*B4</f>
        <v>3.64</v>
      </c>
      <c r="I4" s="123"/>
      <c r="J4" s="47"/>
      <c r="K4" s="122"/>
      <c r="L4" s="48"/>
      <c r="M4" s="45">
        <f>G4+H4</f>
        <v>26</v>
      </c>
      <c r="N4" s="45">
        <f>((G4+H4)*0.055)</f>
        <v>1.43</v>
      </c>
      <c r="O4" s="45">
        <f>N4+G4+H4</f>
        <v>27.43</v>
      </c>
      <c r="P4" s="121">
        <f>O4/B4</f>
        <v>13.715</v>
      </c>
      <c r="Q4" s="46"/>
      <c r="R4" s="37">
        <f>SUM(O3:O4)</f>
        <v>201.41080000000002</v>
      </c>
    </row>
    <row r="5" spans="1:19" ht="16.5" thickTop="1" thickBot="1" x14ac:dyDescent="0.25">
      <c r="A5" s="138">
        <v>2025</v>
      </c>
      <c r="C5" s="137"/>
      <c r="D5" s="143" t="s">
        <v>37</v>
      </c>
      <c r="E5" s="144"/>
      <c r="F5" s="143"/>
      <c r="G5" s="38"/>
      <c r="H5" s="136"/>
      <c r="I5" s="38"/>
      <c r="J5" s="38"/>
      <c r="K5" s="39"/>
      <c r="L5" s="40"/>
      <c r="Q5" s="41"/>
      <c r="R5" s="22">
        <f ca="1">J6+L6+H7</f>
        <v>4.0106999999999999</v>
      </c>
    </row>
    <row r="6" spans="1:19" ht="14.25" thickTop="1" thickBot="1" x14ac:dyDescent="0.25">
      <c r="A6" s="135">
        <f>EDATE(A3,2)</f>
        <v>45735</v>
      </c>
      <c r="B6" s="149">
        <f>C3</f>
        <v>24375</v>
      </c>
      <c r="C6" s="152">
        <f ca="1">IF(NOT(AND($A$1&gt;=A6,$A$1&lt;A9)),B6+1,IF($Q$1=3,'2025'!C5,IF($Q$1=4,'2025'!C6,'2025'!C7)))</f>
        <v>24386</v>
      </c>
      <c r="D6" s="150">
        <f ca="1">C6-B6</f>
        <v>11</v>
      </c>
      <c r="E6" s="128">
        <f>E3</f>
        <v>0.1343</v>
      </c>
      <c r="F6" s="133">
        <f ca="1">E6*D6</f>
        <v>1.4773000000000001</v>
      </c>
      <c r="G6" s="132">
        <f>G3</f>
        <v>11.18</v>
      </c>
      <c r="H6" s="131">
        <f>H3</f>
        <v>1.82</v>
      </c>
      <c r="I6" s="130">
        <f>I3</f>
        <v>1.2699999999999999E-2</v>
      </c>
      <c r="J6" s="129">
        <f ca="1">D6*I6</f>
        <v>0.13969999999999999</v>
      </c>
      <c r="K6" s="128">
        <f>K3</f>
        <v>2.1000000000000001E-2</v>
      </c>
      <c r="L6" s="127">
        <f ca="1">D6*K6</f>
        <v>0.23100000000000001</v>
      </c>
      <c r="M6" s="34">
        <f ca="1">F6+J6+L6</f>
        <v>1.8480000000000001</v>
      </c>
      <c r="N6" s="34">
        <f ca="1">M6*0.2</f>
        <v>0.36960000000000004</v>
      </c>
      <c r="O6" s="21">
        <f ca="1">N6+M6</f>
        <v>2.2176</v>
      </c>
      <c r="P6" s="35">
        <f ca="1">O6/D6</f>
        <v>0.2016</v>
      </c>
      <c r="Q6" s="33"/>
      <c r="R6" s="36"/>
    </row>
    <row r="7" spans="1:19" ht="16.5" thickTop="1" thickBot="1" x14ac:dyDescent="0.25">
      <c r="A7" s="43" t="s">
        <v>47</v>
      </c>
      <c r="B7" s="50">
        <v>2</v>
      </c>
      <c r="C7" s="151">
        <v>1</v>
      </c>
      <c r="D7" s="44"/>
      <c r="E7" s="122"/>
      <c r="F7" s="23"/>
      <c r="G7" s="125">
        <f>G6*B7</f>
        <v>22.36</v>
      </c>
      <c r="H7" s="124">
        <f>H6*B7</f>
        <v>3.64</v>
      </c>
      <c r="I7" s="123"/>
      <c r="J7" s="47"/>
      <c r="K7" s="122"/>
      <c r="L7" s="48"/>
      <c r="M7" s="45">
        <f>G7+H7</f>
        <v>26</v>
      </c>
      <c r="N7" s="45">
        <f>((G7+H7)*0.055)</f>
        <v>1.43</v>
      </c>
      <c r="O7" s="45">
        <f>N7+G7+H7</f>
        <v>27.43</v>
      </c>
      <c r="P7" s="121">
        <f>O7/B7</f>
        <v>13.715</v>
      </c>
      <c r="Q7" s="46"/>
      <c r="R7" s="37">
        <f ca="1">SUM(O6:O7)</f>
        <v>29.647600000000001</v>
      </c>
    </row>
    <row r="8" spans="1:19" ht="16.5" thickTop="1" thickBot="1" x14ac:dyDescent="0.25">
      <c r="A8" s="138">
        <v>2025</v>
      </c>
      <c r="C8" s="137"/>
      <c r="D8" s="143" t="s">
        <v>37</v>
      </c>
      <c r="E8" s="144"/>
      <c r="F8" s="143"/>
      <c r="G8" s="38"/>
      <c r="H8" s="136"/>
      <c r="I8" s="38"/>
      <c r="J8" s="38"/>
      <c r="K8" s="39"/>
      <c r="L8" s="40"/>
      <c r="Q8" s="41"/>
      <c r="R8" s="22">
        <f ca="1">J9+L9+H10</f>
        <v>3.6737000000000002</v>
      </c>
    </row>
    <row r="9" spans="1:19" ht="14.25" thickTop="1" thickBot="1" x14ac:dyDescent="0.25">
      <c r="A9" s="135">
        <f>EDATE(A6,2)</f>
        <v>45796</v>
      </c>
      <c r="B9" s="42">
        <f ca="1">C6</f>
        <v>24386</v>
      </c>
      <c r="C9" s="42">
        <f ca="1">IF(NOT(AND($A$1&gt;=A9,$A$1&lt;A12)),B9+1,IF($Q$1=5,'2025'!C7,IF($Q$1=6,'2025'!C8,'2025'!C9)))</f>
        <v>24387</v>
      </c>
      <c r="D9" s="134">
        <f ca="1">C9-B9</f>
        <v>1</v>
      </c>
      <c r="E9" s="128">
        <f>E6</f>
        <v>0.1343</v>
      </c>
      <c r="F9" s="133">
        <f ca="1">E9*D9</f>
        <v>0.1343</v>
      </c>
      <c r="G9" s="132">
        <f>G6</f>
        <v>11.18</v>
      </c>
      <c r="H9" s="131">
        <f>H6</f>
        <v>1.82</v>
      </c>
      <c r="I9" s="130">
        <f>I6</f>
        <v>1.2699999999999999E-2</v>
      </c>
      <c r="J9" s="129">
        <f ca="1">D9*I9</f>
        <v>1.2699999999999999E-2</v>
      </c>
      <c r="K9" s="128">
        <f>K6</f>
        <v>2.1000000000000001E-2</v>
      </c>
      <c r="L9" s="127">
        <f ca="1">D9*K9</f>
        <v>2.1000000000000001E-2</v>
      </c>
      <c r="M9" s="34">
        <f ca="1">F9+J9+L9</f>
        <v>0.16799999999999998</v>
      </c>
      <c r="N9" s="34">
        <f ca="1">M9*0.2</f>
        <v>3.3599999999999998E-2</v>
      </c>
      <c r="O9" s="21">
        <f ca="1">N9+M9</f>
        <v>0.20159999999999997</v>
      </c>
      <c r="P9" s="35">
        <f ca="1">O9/D9</f>
        <v>0.20159999999999997</v>
      </c>
      <c r="Q9" s="33"/>
      <c r="R9" s="36"/>
    </row>
    <row r="10" spans="1:19" ht="16.5" thickTop="1" thickBot="1" x14ac:dyDescent="0.25">
      <c r="A10" s="43" t="s">
        <v>47</v>
      </c>
      <c r="B10" s="50">
        <v>2</v>
      </c>
      <c r="C10" s="126"/>
      <c r="D10" s="44"/>
      <c r="E10" s="122"/>
      <c r="F10" s="23"/>
      <c r="G10" s="125">
        <f>G9*B10</f>
        <v>22.36</v>
      </c>
      <c r="H10" s="124">
        <f>H9*B10</f>
        <v>3.64</v>
      </c>
      <c r="I10" s="123"/>
      <c r="J10" s="47"/>
      <c r="K10" s="122"/>
      <c r="L10" s="48"/>
      <c r="M10" s="45">
        <f>G10+H10</f>
        <v>26</v>
      </c>
      <c r="N10" s="45">
        <f>((G10+H10)*0.055)</f>
        <v>1.43</v>
      </c>
      <c r="O10" s="45">
        <f>N10+G10+H10</f>
        <v>27.43</v>
      </c>
      <c r="P10" s="121">
        <f>O10/B10</f>
        <v>13.715</v>
      </c>
      <c r="Q10" s="46"/>
      <c r="R10" s="37">
        <f ca="1">SUM(O9:O10)</f>
        <v>27.631599999999999</v>
      </c>
    </row>
    <row r="11" spans="1:19" ht="16.5" thickTop="1" thickBot="1" x14ac:dyDescent="0.25">
      <c r="A11" s="140">
        <v>2025</v>
      </c>
      <c r="C11" s="137"/>
      <c r="D11" s="143" t="s">
        <v>37</v>
      </c>
      <c r="E11" s="143"/>
      <c r="F11" s="143"/>
      <c r="G11" s="38"/>
      <c r="H11" s="136"/>
      <c r="I11" s="38"/>
      <c r="J11" s="38"/>
      <c r="K11" s="39"/>
      <c r="L11" s="40"/>
      <c r="Q11" s="41"/>
      <c r="R11" s="22">
        <f ca="1">J12+L12+H13</f>
        <v>3.6737000000000002</v>
      </c>
    </row>
    <row r="12" spans="1:19" ht="14.25" thickTop="1" thickBot="1" x14ac:dyDescent="0.25">
      <c r="A12" s="135">
        <f>EDATE(A9,2)</f>
        <v>45857</v>
      </c>
      <c r="B12" s="42">
        <f ca="1">C9</f>
        <v>24387</v>
      </c>
      <c r="C12" s="42">
        <f ca="1">IF(NOT(AND($A$1&gt;=A12,$A$1&lt;A15)),B12+1,IF($Q$1=5,'2025'!C10,IF($Q$1=6,'2025'!C11,'2025'!C12)))</f>
        <v>24388</v>
      </c>
      <c r="D12" s="134">
        <f ca="1">C12-B12</f>
        <v>1</v>
      </c>
      <c r="E12" s="128">
        <f>E9</f>
        <v>0.1343</v>
      </c>
      <c r="F12" s="133">
        <f ca="1">E12*D12</f>
        <v>0.1343</v>
      </c>
      <c r="G12" s="132">
        <f>G9</f>
        <v>11.18</v>
      </c>
      <c r="H12" s="131">
        <f>H9</f>
        <v>1.82</v>
      </c>
      <c r="I12" s="130">
        <f>I9</f>
        <v>1.2699999999999999E-2</v>
      </c>
      <c r="J12" s="129">
        <f ca="1">D12*I12</f>
        <v>1.2699999999999999E-2</v>
      </c>
      <c r="K12" s="128">
        <f>K9</f>
        <v>2.1000000000000001E-2</v>
      </c>
      <c r="L12" s="127">
        <f ca="1">D12*K12</f>
        <v>2.1000000000000001E-2</v>
      </c>
      <c r="M12" s="34">
        <f ca="1">F12+J12+L12</f>
        <v>0.16799999999999998</v>
      </c>
      <c r="N12" s="34">
        <f ca="1">M12*0.2</f>
        <v>3.3599999999999998E-2</v>
      </c>
      <c r="O12" s="21">
        <f ca="1">N12+M12</f>
        <v>0.20159999999999997</v>
      </c>
      <c r="P12" s="35">
        <f ca="1">O12/D12</f>
        <v>0.20159999999999997</v>
      </c>
      <c r="Q12" s="33"/>
      <c r="R12" s="36"/>
    </row>
    <row r="13" spans="1:19" ht="16.5" thickTop="1" thickBot="1" x14ac:dyDescent="0.25">
      <c r="A13" s="43" t="s">
        <v>47</v>
      </c>
      <c r="B13" s="50">
        <v>2</v>
      </c>
      <c r="C13" s="126"/>
      <c r="D13" s="44"/>
      <c r="E13" s="122"/>
      <c r="F13" s="23"/>
      <c r="G13" s="125">
        <f>G12*B13</f>
        <v>22.36</v>
      </c>
      <c r="H13" s="124">
        <f>H12*B13</f>
        <v>3.64</v>
      </c>
      <c r="I13" s="123"/>
      <c r="J13" s="47"/>
      <c r="K13" s="122"/>
      <c r="L13" s="48"/>
      <c r="M13" s="45">
        <f>G13+H13</f>
        <v>26</v>
      </c>
      <c r="N13" s="45">
        <f>((G13+H13)*0.055)</f>
        <v>1.43</v>
      </c>
      <c r="O13" s="45">
        <f>N13+G13+H13</f>
        <v>27.43</v>
      </c>
      <c r="P13" s="121">
        <f>O13/B13</f>
        <v>13.715</v>
      </c>
      <c r="Q13" s="46"/>
      <c r="R13" s="37">
        <f ca="1">SUM(O12:O13)</f>
        <v>27.631599999999999</v>
      </c>
    </row>
    <row r="14" spans="1:19" ht="16.5" thickTop="1" thickBot="1" x14ac:dyDescent="0.25">
      <c r="A14" s="140">
        <v>2025</v>
      </c>
      <c r="C14" s="137"/>
      <c r="D14" s="143" t="s">
        <v>37</v>
      </c>
      <c r="E14" s="143"/>
      <c r="F14" s="143"/>
      <c r="G14" s="38"/>
      <c r="H14" s="136"/>
      <c r="I14" s="38"/>
      <c r="J14" s="38"/>
      <c r="K14" s="39"/>
      <c r="L14" s="40"/>
      <c r="Q14" s="41"/>
      <c r="R14" s="22">
        <f ca="1">J15+L15+H16</f>
        <v>3.6737000000000002</v>
      </c>
    </row>
    <row r="15" spans="1:19" ht="14.25" thickTop="1" thickBot="1" x14ac:dyDescent="0.25">
      <c r="A15" s="135">
        <f>EDATE(A12,2)</f>
        <v>45919</v>
      </c>
      <c r="B15" s="42">
        <f ca="1">C12</f>
        <v>24388</v>
      </c>
      <c r="C15" s="42">
        <f ca="1">IF(NOT(AND($A$1&gt;=A15,$A$1&lt;A18)),B15+1,IF($Q$1=5,'2025'!C13,IF($Q$1=6,'2025'!C14,'2025'!C15)))</f>
        <v>24389</v>
      </c>
      <c r="D15" s="134">
        <f ca="1">C15-B15</f>
        <v>1</v>
      </c>
      <c r="E15" s="128">
        <f>E12</f>
        <v>0.1343</v>
      </c>
      <c r="F15" s="133">
        <f ca="1">E15*D15</f>
        <v>0.1343</v>
      </c>
      <c r="G15" s="132">
        <f>G12</f>
        <v>11.18</v>
      </c>
      <c r="H15" s="131">
        <f>H12</f>
        <v>1.82</v>
      </c>
      <c r="I15" s="130">
        <f>I12</f>
        <v>1.2699999999999999E-2</v>
      </c>
      <c r="J15" s="129">
        <f ca="1">D15*I15</f>
        <v>1.2699999999999999E-2</v>
      </c>
      <c r="K15" s="128">
        <f>K12</f>
        <v>2.1000000000000001E-2</v>
      </c>
      <c r="L15" s="127">
        <f ca="1">D15*K15</f>
        <v>2.1000000000000001E-2</v>
      </c>
      <c r="M15" s="34">
        <f ca="1">F15+J15+L15</f>
        <v>0.16799999999999998</v>
      </c>
      <c r="N15" s="34">
        <f ca="1">M15*0.2</f>
        <v>3.3599999999999998E-2</v>
      </c>
      <c r="O15" s="21">
        <f ca="1">N15+M15</f>
        <v>0.20159999999999997</v>
      </c>
      <c r="P15" s="35">
        <f ca="1">O15/D15</f>
        <v>0.20159999999999997</v>
      </c>
      <c r="Q15" s="33"/>
      <c r="R15" s="36"/>
    </row>
    <row r="16" spans="1:19" ht="16.5" thickTop="1" thickBot="1" x14ac:dyDescent="0.25">
      <c r="A16" s="43" t="s">
        <v>47</v>
      </c>
      <c r="B16" s="50">
        <v>2</v>
      </c>
      <c r="C16" s="126"/>
      <c r="D16" s="44"/>
      <c r="E16" s="122"/>
      <c r="F16" s="23"/>
      <c r="G16" s="125">
        <f>G15*B16</f>
        <v>22.36</v>
      </c>
      <c r="H16" s="124">
        <f>H15*B16</f>
        <v>3.64</v>
      </c>
      <c r="I16" s="123"/>
      <c r="J16" s="47"/>
      <c r="K16" s="122"/>
      <c r="L16" s="48"/>
      <c r="M16" s="45">
        <f>G16+H16</f>
        <v>26</v>
      </c>
      <c r="N16" s="45">
        <f>((G16+H16)*0.055)</f>
        <v>1.43</v>
      </c>
      <c r="O16" s="45">
        <f>N16+G16+H16</f>
        <v>27.43</v>
      </c>
      <c r="P16" s="121">
        <f>O16/B16</f>
        <v>13.715</v>
      </c>
      <c r="Q16" s="46"/>
      <c r="R16" s="37">
        <f ca="1">SUM(O15:O16)</f>
        <v>27.631599999999999</v>
      </c>
    </row>
    <row r="17" spans="1:18" ht="16.5" thickTop="1" thickBot="1" x14ac:dyDescent="0.25">
      <c r="A17" s="140">
        <v>2025</v>
      </c>
      <c r="C17" s="137"/>
      <c r="D17" s="143" t="s">
        <v>37</v>
      </c>
      <c r="E17" s="143"/>
      <c r="F17" s="143"/>
      <c r="G17" s="38"/>
      <c r="H17" s="136"/>
      <c r="I17" s="38"/>
      <c r="J17" s="38"/>
      <c r="K17" s="39"/>
      <c r="L17" s="40"/>
      <c r="Q17" s="41"/>
      <c r="R17" s="22">
        <f ca="1">J18+L18+H19</f>
        <v>3.6737000000000002</v>
      </c>
    </row>
    <row r="18" spans="1:18" ht="14.25" thickTop="1" thickBot="1" x14ac:dyDescent="0.25">
      <c r="A18" s="135">
        <f>EDATE(A15,2)</f>
        <v>45980</v>
      </c>
      <c r="B18" s="42">
        <f ca="1">C15</f>
        <v>24389</v>
      </c>
      <c r="C18" s="42">
        <f ca="1">IF(NOT(AND($A$1&gt;=A18,$A$1&lt;A21)),B18+1,IF($Q$1=5,'2025'!C16,IF($Q$1=6,'2025'!C17,'2025'!C18)))</f>
        <v>24390</v>
      </c>
      <c r="D18" s="134">
        <f ca="1">C18-B18</f>
        <v>1</v>
      </c>
      <c r="E18" s="128">
        <f>E15</f>
        <v>0.1343</v>
      </c>
      <c r="F18" s="133">
        <f ca="1">E18*D18</f>
        <v>0.1343</v>
      </c>
      <c r="G18" s="132">
        <f>G15</f>
        <v>11.18</v>
      </c>
      <c r="H18" s="131">
        <f>H15</f>
        <v>1.82</v>
      </c>
      <c r="I18" s="130">
        <f>I15</f>
        <v>1.2699999999999999E-2</v>
      </c>
      <c r="J18" s="129">
        <f ca="1">D18*I18</f>
        <v>1.2699999999999999E-2</v>
      </c>
      <c r="K18" s="128">
        <f>K15</f>
        <v>2.1000000000000001E-2</v>
      </c>
      <c r="L18" s="127">
        <f ca="1">D18*K18</f>
        <v>2.1000000000000001E-2</v>
      </c>
      <c r="M18" s="34">
        <f ca="1">F18+J18+L18</f>
        <v>0.16799999999999998</v>
      </c>
      <c r="N18" s="34">
        <f ca="1">M18*0.2</f>
        <v>3.3599999999999998E-2</v>
      </c>
      <c r="O18" s="21">
        <f ca="1">N18+M18</f>
        <v>0.20159999999999997</v>
      </c>
      <c r="P18" s="35">
        <f ca="1">O18/D18</f>
        <v>0.20159999999999997</v>
      </c>
      <c r="Q18" s="33"/>
      <c r="R18" s="36"/>
    </row>
    <row r="19" spans="1:18" ht="16.5" thickTop="1" thickBot="1" x14ac:dyDescent="0.25">
      <c r="A19" s="43" t="s">
        <v>47</v>
      </c>
      <c r="B19" s="50">
        <v>2</v>
      </c>
      <c r="C19" s="126"/>
      <c r="D19" s="44"/>
      <c r="E19" s="122"/>
      <c r="F19" s="23"/>
      <c r="G19" s="125">
        <f>G18*B19</f>
        <v>22.36</v>
      </c>
      <c r="H19" s="124">
        <f>H18*B19</f>
        <v>3.64</v>
      </c>
      <c r="I19" s="123"/>
      <c r="J19" s="47"/>
      <c r="K19" s="122"/>
      <c r="L19" s="48"/>
      <c r="M19" s="45">
        <f>G19+H19</f>
        <v>26</v>
      </c>
      <c r="N19" s="45">
        <f>((G19+H19)*0.055)</f>
        <v>1.43</v>
      </c>
      <c r="O19" s="45">
        <f>N19+G19+H19</f>
        <v>27.43</v>
      </c>
      <c r="P19" s="121">
        <f>O19/B19</f>
        <v>13.715</v>
      </c>
      <c r="Q19" s="46"/>
      <c r="R19" s="37">
        <f ca="1">SUM(O18:O19)</f>
        <v>27.631599999999999</v>
      </c>
    </row>
    <row r="20" spans="1:18" ht="16.5" thickTop="1" thickBot="1" x14ac:dyDescent="0.25">
      <c r="A20" s="140">
        <v>2026</v>
      </c>
      <c r="C20" s="137"/>
      <c r="D20" s="143" t="s">
        <v>37</v>
      </c>
      <c r="E20" s="143"/>
      <c r="F20" s="143"/>
      <c r="G20" s="38"/>
      <c r="H20" s="136"/>
      <c r="I20" s="38"/>
      <c r="J20" s="38"/>
      <c r="K20" s="39"/>
      <c r="L20" s="40"/>
      <c r="Q20" s="41"/>
      <c r="R20" s="22">
        <f ca="1">J21+L21+H22</f>
        <v>3.6737000000000002</v>
      </c>
    </row>
    <row r="21" spans="1:18" ht="14.25" thickTop="1" thickBot="1" x14ac:dyDescent="0.25">
      <c r="A21" s="135">
        <f>EDATE(A18,2)</f>
        <v>46041</v>
      </c>
      <c r="B21" s="42">
        <f ca="1">C18</f>
        <v>24390</v>
      </c>
      <c r="C21" s="42">
        <f ca="1">IF(NOT(AND($A$1&gt;=A21,$A$1&lt;A24)),B21+1,IF($Q$1=5,'2025'!C19,IF($Q$1=6,'2025'!C20,'2025'!C21)))</f>
        <v>24391</v>
      </c>
      <c r="D21" s="134">
        <f ca="1">C21-B21</f>
        <v>1</v>
      </c>
      <c r="E21" s="128">
        <f>E18</f>
        <v>0.1343</v>
      </c>
      <c r="F21" s="133">
        <f ca="1">E21*D21</f>
        <v>0.1343</v>
      </c>
      <c r="G21" s="132">
        <f>G18</f>
        <v>11.18</v>
      </c>
      <c r="H21" s="131">
        <f>H18</f>
        <v>1.82</v>
      </c>
      <c r="I21" s="130">
        <f>I18</f>
        <v>1.2699999999999999E-2</v>
      </c>
      <c r="J21" s="129">
        <f ca="1">D21*I21</f>
        <v>1.2699999999999999E-2</v>
      </c>
      <c r="K21" s="128">
        <f>K18</f>
        <v>2.1000000000000001E-2</v>
      </c>
      <c r="L21" s="127">
        <f ca="1">D21*K21</f>
        <v>2.1000000000000001E-2</v>
      </c>
      <c r="M21" s="34">
        <f ca="1">F21+J21+L21</f>
        <v>0.16799999999999998</v>
      </c>
      <c r="N21" s="34">
        <f ca="1">M21*0.2</f>
        <v>3.3599999999999998E-2</v>
      </c>
      <c r="O21" s="21">
        <f ca="1">N21+M21</f>
        <v>0.20159999999999997</v>
      </c>
      <c r="P21" s="35">
        <f ca="1">O21/D21</f>
        <v>0.20159999999999997</v>
      </c>
      <c r="Q21" s="33"/>
      <c r="R21" s="36"/>
    </row>
    <row r="22" spans="1:18" ht="16.5" thickTop="1" thickBot="1" x14ac:dyDescent="0.25">
      <c r="A22" s="43" t="s">
        <v>47</v>
      </c>
      <c r="B22" s="50">
        <v>2</v>
      </c>
      <c r="C22" s="126"/>
      <c r="D22" s="44"/>
      <c r="E22" s="122"/>
      <c r="F22" s="23"/>
      <c r="G22" s="125">
        <f>G21*B22</f>
        <v>22.36</v>
      </c>
      <c r="H22" s="124">
        <f>H21*B22</f>
        <v>3.64</v>
      </c>
      <c r="I22" s="123"/>
      <c r="J22" s="47"/>
      <c r="K22" s="122"/>
      <c r="L22" s="48"/>
      <c r="M22" s="45">
        <f>G22+H22</f>
        <v>26</v>
      </c>
      <c r="N22" s="45">
        <f>((G22+H22)*0.055)</f>
        <v>1.43</v>
      </c>
      <c r="O22" s="45">
        <f>N22+G22+H22</f>
        <v>27.43</v>
      </c>
      <c r="P22" s="121">
        <f>O22/B22</f>
        <v>13.715</v>
      </c>
      <c r="Q22" s="46"/>
      <c r="R22" s="37">
        <f ca="1">SUM(O21:O22)</f>
        <v>27.631599999999999</v>
      </c>
    </row>
    <row r="23" spans="1:18" ht="13.5" thickTop="1" x14ac:dyDescent="0.2"/>
  </sheetData>
  <mergeCells count="9">
    <mergeCell ref="D20:F20"/>
    <mergeCell ref="D11:F11"/>
    <mergeCell ref="D14:F14"/>
    <mergeCell ref="D17:F17"/>
    <mergeCell ref="K1:L1"/>
    <mergeCell ref="I1:J1"/>
    <mergeCell ref="D5:F5"/>
    <mergeCell ref="D8:F8"/>
    <mergeCell ref="D2:F2"/>
  </mergeCells>
  <conditionalFormatting sqref="A3 A6 A9">
    <cfRule type="expression" dxfId="11" priority="12">
      <formula>$C4=1</formula>
    </cfRule>
  </conditionalFormatting>
  <conditionalFormatting sqref="A3">
    <cfRule type="expression" dxfId="10" priority="11">
      <formula>$C4=1</formula>
    </cfRule>
  </conditionalFormatting>
  <conditionalFormatting sqref="A6">
    <cfRule type="expression" dxfId="9" priority="10">
      <formula>$C7=1</formula>
    </cfRule>
  </conditionalFormatting>
  <conditionalFormatting sqref="A9">
    <cfRule type="expression" dxfId="8" priority="9">
      <formula>$C10=1</formula>
    </cfRule>
  </conditionalFormatting>
  <conditionalFormatting sqref="A12">
    <cfRule type="expression" dxfId="7" priority="8">
      <formula>$C13=1</formula>
    </cfRule>
  </conditionalFormatting>
  <conditionalFormatting sqref="A12">
    <cfRule type="expression" dxfId="6" priority="7">
      <formula>$C13=1</formula>
    </cfRule>
  </conditionalFormatting>
  <conditionalFormatting sqref="A15">
    <cfRule type="expression" dxfId="5" priority="6">
      <formula>$C16=1</formula>
    </cfRule>
  </conditionalFormatting>
  <conditionalFormatting sqref="A15">
    <cfRule type="expression" dxfId="4" priority="5">
      <formula>$C16=1</formula>
    </cfRule>
  </conditionalFormatting>
  <conditionalFormatting sqref="A18">
    <cfRule type="expression" dxfId="3" priority="4">
      <formula>$C19=1</formula>
    </cfRule>
  </conditionalFormatting>
  <conditionalFormatting sqref="A18">
    <cfRule type="expression" dxfId="2" priority="3">
      <formula>$C19=1</formula>
    </cfRule>
  </conditionalFormatting>
  <conditionalFormatting sqref="A21">
    <cfRule type="expression" dxfId="1" priority="2">
      <formula>$C22=1</formula>
    </cfRule>
  </conditionalFormatting>
  <conditionalFormatting sqref="A21">
    <cfRule type="expression" dxfId="0" priority="1">
      <formula>$C22=1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2025</vt:lpstr>
      <vt:lpstr>Prix electricitée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BONNET</dc:creator>
  <cp:lastModifiedBy>OLIVIER BONNET</cp:lastModifiedBy>
  <cp:lastPrinted>2016-11-28T15:30:03Z</cp:lastPrinted>
  <dcterms:created xsi:type="dcterms:W3CDTF">2005-10-17T07:57:16Z</dcterms:created>
  <dcterms:modified xsi:type="dcterms:W3CDTF">2025-03-20T15:03:46Z</dcterms:modified>
</cp:coreProperties>
</file>