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/>
  <xr:revisionPtr revIDLastSave="0" documentId="13_ncr:1_{AB82E429-337B-4FBD-A2EF-82AAEED98C86}" xr6:coauthVersionLast="45" xr6:coauthVersionMax="45" xr10:uidLastSave="{00000000-0000-0000-0000-000000000000}"/>
  <bookViews>
    <workbookView xWindow="0" yWindow="0" windowWidth="23040" windowHeight="12336" activeTab="1" xr2:uid="{00000000-000D-0000-FFFF-FFFF00000000}"/>
  </bookViews>
  <sheets>
    <sheet name="EQUIPMENT" sheetId="10" r:id="rId1"/>
    <sheet name="PC&amp;NPC List" sheetId="7" r:id="rId2"/>
    <sheet name="Chrothieldis" sheetId="8" r:id="rId3"/>
  </sheets>
  <definedNames>
    <definedName name="_xlnm._FilterDatabase" localSheetId="2" hidden="1">Chrothieldis!$I$37:$J$63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9" i="8" l="1"/>
  <c r="K19" i="8" s="1"/>
  <c r="N11" i="8"/>
  <c r="N12" i="8"/>
  <c r="N13" i="8"/>
  <c r="I16" i="8"/>
  <c r="J16" i="8" s="1"/>
  <c r="P11" i="8"/>
  <c r="P12" i="8"/>
  <c r="P13" i="8"/>
  <c r="O11" i="8"/>
  <c r="O12" i="8"/>
  <c r="O13" i="8"/>
  <c r="M11" i="8"/>
  <c r="M12" i="8"/>
  <c r="M13" i="8"/>
  <c r="J11" i="8"/>
  <c r="J12" i="8"/>
  <c r="K12" i="8" s="1"/>
  <c r="J13" i="8"/>
  <c r="K13" i="8" s="1"/>
  <c r="I10" i="8"/>
  <c r="N10" i="8" s="1"/>
  <c r="E6" i="8"/>
  <c r="G5" i="8"/>
  <c r="G4" i="8"/>
  <c r="G3" i="8"/>
  <c r="C5" i="8"/>
  <c r="E39" i="8"/>
  <c r="E38" i="8"/>
  <c r="E37" i="8"/>
  <c r="E36" i="8"/>
  <c r="E35" i="8"/>
  <c r="E34" i="8"/>
  <c r="E33" i="8"/>
  <c r="E32" i="8"/>
  <c r="E31" i="8"/>
  <c r="E30" i="8"/>
  <c r="E29" i="8"/>
  <c r="G33" i="8"/>
  <c r="G32" i="8"/>
  <c r="G31" i="8"/>
  <c r="G30" i="8"/>
  <c r="G29" i="8"/>
  <c r="C34" i="8"/>
  <c r="C33" i="8"/>
  <c r="C32" i="8"/>
  <c r="C31" i="8"/>
  <c r="C30" i="8"/>
  <c r="C29" i="8"/>
  <c r="G25" i="8"/>
  <c r="G24" i="8"/>
  <c r="G23" i="8"/>
  <c r="G22" i="8"/>
  <c r="G21" i="8"/>
  <c r="G20" i="8"/>
  <c r="G19" i="8"/>
  <c r="G18" i="8"/>
  <c r="G17" i="8"/>
  <c r="G16" i="8"/>
  <c r="E25" i="8"/>
  <c r="E24" i="8"/>
  <c r="E23" i="8"/>
  <c r="E22" i="8"/>
  <c r="E21" i="8"/>
  <c r="E20" i="8"/>
  <c r="E19" i="8"/>
  <c r="E18" i="8"/>
  <c r="E17" i="8"/>
  <c r="E16" i="8"/>
  <c r="C25" i="8"/>
  <c r="C24" i="8"/>
  <c r="C23" i="8"/>
  <c r="C22" i="8"/>
  <c r="C21" i="8"/>
  <c r="C20" i="8"/>
  <c r="C19" i="8"/>
  <c r="C18" i="8"/>
  <c r="C17" i="8"/>
  <c r="C16" i="8"/>
  <c r="G12" i="8"/>
  <c r="G11" i="8"/>
  <c r="G10" i="8"/>
  <c r="E12" i="8"/>
  <c r="E11" i="8"/>
  <c r="E10" i="8"/>
  <c r="C12" i="8"/>
  <c r="C11" i="8"/>
  <c r="C10" i="8"/>
  <c r="C4" i="8"/>
  <c r="C3" i="8"/>
  <c r="CS23" i="7"/>
  <c r="CR23" i="7"/>
  <c r="CQ23" i="7"/>
  <c r="CP23" i="7"/>
  <c r="CO23" i="7"/>
  <c r="CS22" i="7"/>
  <c r="CR22" i="7"/>
  <c r="CQ22" i="7"/>
  <c r="CP22" i="7"/>
  <c r="CO22" i="7"/>
  <c r="CS21" i="7"/>
  <c r="CR21" i="7"/>
  <c r="CQ21" i="7"/>
  <c r="CP21" i="7"/>
  <c r="CO21" i="7"/>
  <c r="CS20" i="7"/>
  <c r="CR20" i="7"/>
  <c r="CQ20" i="7"/>
  <c r="CP20" i="7"/>
  <c r="CO20" i="7"/>
  <c r="CS19" i="7"/>
  <c r="CR19" i="7"/>
  <c r="CQ19" i="7"/>
  <c r="CP19" i="7"/>
  <c r="CO19" i="7"/>
  <c r="CS18" i="7"/>
  <c r="CR18" i="7"/>
  <c r="CQ18" i="7"/>
  <c r="CP18" i="7"/>
  <c r="CO18" i="7"/>
  <c r="CS17" i="7"/>
  <c r="CR17" i="7"/>
  <c r="CQ17" i="7"/>
  <c r="CP17" i="7"/>
  <c r="CO17" i="7"/>
  <c r="CS16" i="7"/>
  <c r="CR16" i="7"/>
  <c r="CQ16" i="7"/>
  <c r="CP16" i="7"/>
  <c r="CO16" i="7"/>
  <c r="CS15" i="7"/>
  <c r="CR15" i="7"/>
  <c r="CQ15" i="7"/>
  <c r="CP15" i="7"/>
  <c r="CO15" i="7"/>
  <c r="CS14" i="7"/>
  <c r="CR14" i="7"/>
  <c r="CQ14" i="7"/>
  <c r="CP14" i="7"/>
  <c r="CO14" i="7"/>
  <c r="CS13" i="7"/>
  <c r="CR13" i="7"/>
  <c r="CQ13" i="7"/>
  <c r="CP13" i="7"/>
  <c r="CO13" i="7"/>
  <c r="CS12" i="7"/>
  <c r="CR12" i="7"/>
  <c r="CQ12" i="7"/>
  <c r="CP12" i="7"/>
  <c r="CO12" i="7"/>
  <c r="CS11" i="7"/>
  <c r="CR11" i="7"/>
  <c r="CQ11" i="7"/>
  <c r="CP11" i="7"/>
  <c r="CO11" i="7"/>
  <c r="CS10" i="7"/>
  <c r="CR10" i="7"/>
  <c r="CQ10" i="7"/>
  <c r="CP10" i="7"/>
  <c r="CO10" i="7"/>
  <c r="CS9" i="7"/>
  <c r="CR9" i="7"/>
  <c r="CQ9" i="7"/>
  <c r="CP9" i="7"/>
  <c r="CO9" i="7"/>
  <c r="CS8" i="7"/>
  <c r="CR8" i="7"/>
  <c r="CQ8" i="7"/>
  <c r="CP8" i="7"/>
  <c r="CO8" i="7"/>
  <c r="CS7" i="7"/>
  <c r="CR7" i="7"/>
  <c r="CQ7" i="7"/>
  <c r="CP7" i="7"/>
  <c r="CO7" i="7"/>
  <c r="CS6" i="7"/>
  <c r="CR6" i="7"/>
  <c r="CQ6" i="7"/>
  <c r="CP6" i="7"/>
  <c r="CO6" i="7"/>
  <c r="CS5" i="7"/>
  <c r="CR5" i="7"/>
  <c r="CQ5" i="7"/>
  <c r="CP5" i="7"/>
  <c r="CO5" i="7"/>
  <c r="CS4" i="7"/>
  <c r="CR4" i="7"/>
  <c r="CQ4" i="7"/>
  <c r="CP4" i="7"/>
  <c r="CO4" i="7"/>
  <c r="K16" i="8" l="1"/>
  <c r="J19" i="8"/>
  <c r="J10" i="8"/>
  <c r="M10" i="8"/>
  <c r="O10" i="8"/>
  <c r="P10" i="8"/>
  <c r="L11" i="8"/>
  <c r="K11" i="8"/>
  <c r="L12" i="8"/>
  <c r="L13" i="8"/>
  <c r="L10" i="8" l="1"/>
  <c r="K1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E8" authorId="0" shapeId="0" xr:uid="{2EB987B8-0C76-4AD2-8DEA-E12CADEBACDE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Enluminures</t>
        </r>
      </text>
    </comment>
    <comment ref="AE11" authorId="0" shapeId="0" xr:uid="{23574D67-4236-4C35-9E6F-DCF02CC5964D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Alchimie</t>
        </r>
      </text>
    </comment>
    <comment ref="AL11" authorId="0" shapeId="0" xr:uid="{BD6C327D-79A0-4C3A-92D4-2908191F8439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Histoire de Jérusalem 3
Histoire de Constantinople 3</t>
        </r>
      </text>
    </comment>
    <comment ref="AQ11" authorId="0" shapeId="0" xr:uid="{CD984DB8-F8CD-4D94-8780-B25D488087A0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Anatomy</t>
        </r>
      </text>
    </comment>
    <comment ref="AR11" authorId="0" shapeId="0" xr:uid="{492ABF6D-4F4D-4949-A694-C07294B67BFD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Nécromancie</t>
        </r>
      </text>
    </comment>
    <comment ref="AL12" authorId="0" shapeId="0" xr:uid="{065191C1-8EAE-40E6-97BC-2EBF251C6674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Philosophie</t>
        </r>
      </text>
    </comment>
    <comment ref="AL13" authorId="0" shapeId="0" xr:uid="{E82C8698-9792-4DA6-85B7-B2A74C503E68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Architecture</t>
        </r>
      </text>
    </comment>
    <comment ref="BX16" authorId="0" shapeId="0" xr:uid="{9BB2BE64-B8A6-41BF-ACF5-03C70C4141AE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Chrothieldis</t>
        </r>
      </text>
    </comment>
    <comment ref="A19" authorId="0" shapeId="0" xr:uid="{5EAA6CBE-BC56-4ACB-8676-F5F4BC406047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Infante de Doukas</t>
        </r>
      </text>
    </comment>
    <comment ref="AE19" authorId="0" shapeId="0" xr:uid="{16C6BC98-49C2-494E-BDA7-8D7D0BA0C48F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Alchimie</t>
        </r>
      </text>
    </comment>
    <comment ref="AQ19" authorId="0" shapeId="0" xr:uid="{72C38DA6-3646-4C57-93FA-86E189AD84FC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Epidemiologie</t>
        </r>
      </text>
    </comment>
    <comment ref="AE20" authorId="0" shapeId="0" xr:uid="{8F155C7F-5FE3-4276-A76E-01B939E2CB35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Mason - Statues</t>
        </r>
      </text>
    </comment>
    <comment ref="AL20" authorId="0" shapeId="0" xr:uid="{4671E954-E84D-4DE1-BF60-F956CEF6E4B6}">
      <text>
        <r>
          <rPr>
            <b/>
            <sz val="8"/>
            <color indexed="81"/>
            <rFont val="Tahoma"/>
            <charset val="1"/>
          </rPr>
          <t>Author:</t>
        </r>
        <r>
          <rPr>
            <sz val="8"/>
            <color indexed="81"/>
            <rFont val="Tahoma"/>
            <charset val="1"/>
          </rPr>
          <t xml:space="preserve">
Architecture</t>
        </r>
      </text>
    </comment>
  </commentList>
</comments>
</file>

<file path=xl/sharedStrings.xml><?xml version="1.0" encoding="utf-8"?>
<sst xmlns="http://schemas.openxmlformats.org/spreadsheetml/2006/main" count="584" uniqueCount="279">
  <si>
    <t>Strength</t>
  </si>
  <si>
    <t>Dexterity</t>
  </si>
  <si>
    <t>Stamina</t>
  </si>
  <si>
    <t>Charisma</t>
  </si>
  <si>
    <t>Manipulation</t>
  </si>
  <si>
    <t>Perception</t>
  </si>
  <si>
    <t>Intelligence</t>
  </si>
  <si>
    <t>Wits</t>
  </si>
  <si>
    <t>Alertness</t>
  </si>
  <si>
    <t>Athletics</t>
  </si>
  <si>
    <t>Awareness</t>
  </si>
  <si>
    <t>Brawl</t>
  </si>
  <si>
    <t>Empathy</t>
  </si>
  <si>
    <t>Expression</t>
  </si>
  <si>
    <t>Intimidation</t>
  </si>
  <si>
    <t>Leadership</t>
  </si>
  <si>
    <t>Legerdemain</t>
  </si>
  <si>
    <t>Subterfuge</t>
  </si>
  <si>
    <t>Animal Ken</t>
  </si>
  <si>
    <t>Archery</t>
  </si>
  <si>
    <t>Commerce</t>
  </si>
  <si>
    <t>Crafts</t>
  </si>
  <si>
    <t>Etiquette</t>
  </si>
  <si>
    <t>Melee</t>
  </si>
  <si>
    <t>Performance</t>
  </si>
  <si>
    <t>Ride</t>
  </si>
  <si>
    <t>Stealth</t>
  </si>
  <si>
    <t>Survival</t>
  </si>
  <si>
    <t>Academics</t>
  </si>
  <si>
    <t>Enigmas</t>
  </si>
  <si>
    <t>Hearth Wisdom</t>
  </si>
  <si>
    <t>Investigation</t>
  </si>
  <si>
    <t>Law</t>
  </si>
  <si>
    <t>Medicine</t>
  </si>
  <si>
    <t>Occult</t>
  </si>
  <si>
    <t>Politics</t>
  </si>
  <si>
    <t>Seneschal</t>
  </si>
  <si>
    <t>Theology</t>
  </si>
  <si>
    <t>Animalism</t>
  </si>
  <si>
    <t>Auspex</t>
  </si>
  <si>
    <t>Bardo</t>
  </si>
  <si>
    <t>Celerity</t>
  </si>
  <si>
    <t>Chimerstry</t>
  </si>
  <si>
    <t>Daimonion</t>
  </si>
  <si>
    <t>Dementation</t>
  </si>
  <si>
    <t>Dominate</t>
  </si>
  <si>
    <t>Flight</t>
  </si>
  <si>
    <t>Fortitude</t>
  </si>
  <si>
    <t>Obfuscate</t>
  </si>
  <si>
    <t>Obtenebration</t>
  </si>
  <si>
    <t>Potence</t>
  </si>
  <si>
    <t>Presence</t>
  </si>
  <si>
    <t>Protean</t>
  </si>
  <si>
    <t>Quietus Cruscitus</t>
  </si>
  <si>
    <t>Quietus Hematus</t>
  </si>
  <si>
    <t>Serpentis</t>
  </si>
  <si>
    <t>Spiritus</t>
  </si>
  <si>
    <t>Temporis</t>
  </si>
  <si>
    <t>Valeren Healer</t>
  </si>
  <si>
    <t>Valeren Warrior</t>
  </si>
  <si>
    <t>Vicissitude</t>
  </si>
  <si>
    <t>Grave's Decay</t>
  </si>
  <si>
    <t>Corpse in the Monster</t>
  </si>
  <si>
    <t>Allies</t>
  </si>
  <si>
    <t>Alternate Identity</t>
  </si>
  <si>
    <t>Contacts</t>
  </si>
  <si>
    <t>Domain</t>
  </si>
  <si>
    <t>Fame</t>
  </si>
  <si>
    <t>Herd</t>
  </si>
  <si>
    <t>Influence</t>
  </si>
  <si>
    <t>Mentor</t>
  </si>
  <si>
    <t>Resources</t>
  </si>
  <si>
    <t>Retainers</t>
  </si>
  <si>
    <t>Status</t>
  </si>
  <si>
    <t>Conscience</t>
  </si>
  <si>
    <t>Conviction</t>
  </si>
  <si>
    <t>Instinct</t>
  </si>
  <si>
    <t>Self-Control</t>
  </si>
  <si>
    <t>Courage</t>
  </si>
  <si>
    <t>Willpower</t>
  </si>
  <si>
    <t>Blood Pool</t>
  </si>
  <si>
    <t>Blood</t>
  </si>
  <si>
    <t>Chrothieldis</t>
  </si>
  <si>
    <t>Generation</t>
  </si>
  <si>
    <t>Max Stat</t>
  </si>
  <si>
    <t>Vampire</t>
  </si>
  <si>
    <t>Attack Melee</t>
  </si>
  <si>
    <t>Attack Brawl</t>
  </si>
  <si>
    <t>Dhiib Al Jahim</t>
  </si>
  <si>
    <t>Age</t>
  </si>
  <si>
    <t>Godefroy de Bouillon</t>
  </si>
  <si>
    <t>Sœur Ende</t>
  </si>
  <si>
    <t>Clan</t>
  </si>
  <si>
    <t>Brujah</t>
  </si>
  <si>
    <t>Gangrel</t>
  </si>
  <si>
    <t>Assamites</t>
  </si>
  <si>
    <t>Toreador</t>
  </si>
  <si>
    <t>Ventrue</t>
  </si>
  <si>
    <t>Mahamat Adoum</t>
  </si>
  <si>
    <t>Nosferatu</t>
  </si>
  <si>
    <t>Kings</t>
  </si>
  <si>
    <t>Road Name</t>
  </si>
  <si>
    <t>Road Score</t>
  </si>
  <si>
    <t>Hunter</t>
  </si>
  <si>
    <t>Humanity</t>
  </si>
  <si>
    <t>Basileus Andronic Doukas</t>
  </si>
  <si>
    <t>Al Khayzuran Bint Atta</t>
  </si>
  <si>
    <t>Cappadocien</t>
  </si>
  <si>
    <t>Bones</t>
  </si>
  <si>
    <t>Melee Base Damage</t>
  </si>
  <si>
    <t>Attack Distance</t>
  </si>
  <si>
    <t>Attack Throw</t>
  </si>
  <si>
    <t>Hohenstauffen</t>
  </si>
  <si>
    <t>Sibela de Santander</t>
  </si>
  <si>
    <t>Lasombra</t>
  </si>
  <si>
    <t>Christ</t>
  </si>
  <si>
    <t>Prophet</t>
  </si>
  <si>
    <t>Hugues d'Ibelin</t>
  </si>
  <si>
    <t>Salubri W</t>
  </si>
  <si>
    <t>Jeanne la Blanche</t>
  </si>
  <si>
    <t>Salubri H</t>
  </si>
  <si>
    <t>Zenouba Khaled</t>
  </si>
  <si>
    <t>Marhi</t>
  </si>
  <si>
    <t>Baali</t>
  </si>
  <si>
    <t>Blood per Turn</t>
  </si>
  <si>
    <t>Appearance</t>
  </si>
  <si>
    <t>Antoine</t>
  </si>
  <si>
    <t>Chevalerie</t>
  </si>
  <si>
    <t>Fatima Fekr</t>
  </si>
  <si>
    <t>Assamite</t>
  </si>
  <si>
    <t>Martinello Della Torre</t>
  </si>
  <si>
    <t>Ventru</t>
  </si>
  <si>
    <t>Hyacinthia Happostali</t>
  </si>
  <si>
    <t>Calixte</t>
  </si>
  <si>
    <t>Toréador</t>
  </si>
  <si>
    <t>Ben</t>
  </si>
  <si>
    <t>Tremere</t>
  </si>
  <si>
    <t>Ignis</t>
  </si>
  <si>
    <t>Vitae</t>
  </si>
  <si>
    <t>Alexis</t>
  </si>
  <si>
    <t>NATURE</t>
  </si>
  <si>
    <t>DEMEANOR</t>
  </si>
  <si>
    <t>CONCEPT</t>
  </si>
  <si>
    <t>CLAN</t>
  </si>
  <si>
    <t>GENERATION</t>
  </si>
  <si>
    <t>SIRE</t>
  </si>
  <si>
    <t>PHYSICAL</t>
  </si>
  <si>
    <t>SOCIAL</t>
  </si>
  <si>
    <t>MENTAL</t>
  </si>
  <si>
    <t>TALENT</t>
  </si>
  <si>
    <t>SKILLS</t>
  </si>
  <si>
    <t>KNOWLEDGE</t>
  </si>
  <si>
    <t>ABILITIES</t>
  </si>
  <si>
    <t>ATTRIBUTES</t>
  </si>
  <si>
    <t>ADVANTAGES</t>
  </si>
  <si>
    <t>DISCIPLINES</t>
  </si>
  <si>
    <t>BACKGROUND</t>
  </si>
  <si>
    <t>VIRTUES</t>
  </si>
  <si>
    <t>WILLPOWER</t>
  </si>
  <si>
    <t>COMBAT</t>
  </si>
  <si>
    <t>ARMOR</t>
  </si>
  <si>
    <t>BLOOD</t>
  </si>
  <si>
    <t>ROAD SCORE</t>
  </si>
  <si>
    <t>AURA</t>
  </si>
  <si>
    <t>CHROTHIELDIS</t>
  </si>
  <si>
    <t>Self Control</t>
  </si>
  <si>
    <t>AGE</t>
  </si>
  <si>
    <t>ROAD NAME</t>
  </si>
  <si>
    <t>WEAPON</t>
  </si>
  <si>
    <t xml:space="preserve">Damage </t>
  </si>
  <si>
    <t>Conceal</t>
  </si>
  <si>
    <t>Notes</t>
  </si>
  <si>
    <t xml:space="preserve">Min. Str </t>
  </si>
  <si>
    <t xml:space="preserve">Hatchet </t>
  </si>
  <si>
    <t xml:space="preserve">C </t>
  </si>
  <si>
    <t>N</t>
  </si>
  <si>
    <t>B</t>
  </si>
  <si>
    <t>A</t>
  </si>
  <si>
    <t>C</t>
  </si>
  <si>
    <t>Can be thrown</t>
  </si>
  <si>
    <t>DMG</t>
  </si>
  <si>
    <t>DMG TYPE</t>
  </si>
  <si>
    <t xml:space="preserve">L </t>
  </si>
  <si>
    <t>L</t>
  </si>
  <si>
    <t>Two-Handed</t>
  </si>
  <si>
    <t xml:space="preserve">N </t>
  </si>
  <si>
    <t>Armor Piercing: 3</t>
  </si>
  <si>
    <t xml:space="preserve">Club </t>
  </si>
  <si>
    <t>P</t>
  </si>
  <si>
    <t xml:space="preserve">Mace </t>
  </si>
  <si>
    <t xml:space="preserve">B </t>
  </si>
  <si>
    <t xml:space="preserve">Morning Star </t>
  </si>
  <si>
    <t xml:space="preserve">Quarterstaff </t>
  </si>
  <si>
    <t>+2 dice to Sweep</t>
  </si>
  <si>
    <t>Hand Axe</t>
  </si>
  <si>
    <t>Battle-Axe</t>
  </si>
  <si>
    <t>Pick Axe</t>
  </si>
  <si>
    <t xml:space="preserve">Warhammer </t>
  </si>
  <si>
    <t xml:space="preserve">Knife </t>
  </si>
  <si>
    <t xml:space="preserve">P </t>
  </si>
  <si>
    <t xml:space="preserve">Dagger </t>
  </si>
  <si>
    <t>Armor Piercing: 2</t>
  </si>
  <si>
    <t>Saber</t>
  </si>
  <si>
    <t xml:space="preserve">Broadsword </t>
  </si>
  <si>
    <t>May be used Two-Handed, with Min Str 2, Str + 3L</t>
  </si>
  <si>
    <t xml:space="preserve">Greatsword </t>
  </si>
  <si>
    <t xml:space="preserve">Halberd </t>
  </si>
  <si>
    <t>Difficulty +1, Two-Handed</t>
  </si>
  <si>
    <t>AP</t>
  </si>
  <si>
    <t xml:space="preserve">Javelin </t>
  </si>
  <si>
    <t xml:space="preserve">Lance (Mounted) </t>
  </si>
  <si>
    <t xml:space="preserve">Pitchfork </t>
  </si>
  <si>
    <t>Armor Piercing: 1, Two-Handed</t>
  </si>
  <si>
    <t xml:space="preserve">Spear </t>
  </si>
  <si>
    <t>Armor Piercing: 2, may be used Two-Handed, with Min Str 3, Str +3L</t>
  </si>
  <si>
    <t xml:space="preserve">Melee Weapons </t>
  </si>
  <si>
    <t>Ranged Weapons</t>
  </si>
  <si>
    <t xml:space="preserve">Range </t>
  </si>
  <si>
    <t xml:space="preserve">Conceal </t>
  </si>
  <si>
    <t xml:space="preserve">Min Str </t>
  </si>
  <si>
    <t>D-TYPE</t>
  </si>
  <si>
    <t xml:space="preserve">Crossbow </t>
  </si>
  <si>
    <t xml:space="preserve"> Armor Piercing: 2</t>
  </si>
  <si>
    <t xml:space="preserve">Heavy Crossbow </t>
  </si>
  <si>
    <t xml:space="preserve">Longbow </t>
  </si>
  <si>
    <t>Armor Piercing: 4</t>
  </si>
  <si>
    <t xml:space="preserve">Shortbow </t>
  </si>
  <si>
    <t xml:space="preserve">Sling </t>
  </si>
  <si>
    <t>+1 difficulty</t>
  </si>
  <si>
    <t xml:space="preserve">Rock </t>
  </si>
  <si>
    <t>Thrown Weapons</t>
  </si>
  <si>
    <t>Item</t>
  </si>
  <si>
    <t>Small Shield</t>
  </si>
  <si>
    <t>Standard Shield</t>
  </si>
  <si>
    <t>Dagger</t>
  </si>
  <si>
    <t>Sword</t>
  </si>
  <si>
    <t>Parry Diff</t>
  </si>
  <si>
    <t>ATK PEN</t>
  </si>
  <si>
    <t>TOT DMG</t>
  </si>
  <si>
    <t>RANGE</t>
  </si>
  <si>
    <t>CONCEAL</t>
  </si>
  <si>
    <t>ATK</t>
  </si>
  <si>
    <t>Feral</t>
  </si>
  <si>
    <t>Armor</t>
  </si>
  <si>
    <t>Heavy Clothing</t>
  </si>
  <si>
    <t>Textile Armor</t>
  </si>
  <si>
    <t>Composite Armor</t>
  </si>
  <si>
    <t>Heavy Armor</t>
  </si>
  <si>
    <t>Knight's Armor</t>
  </si>
  <si>
    <t>Rating</t>
  </si>
  <si>
    <t>Penalty</t>
  </si>
  <si>
    <t>Armor Class</t>
  </si>
  <si>
    <t>Nothing</t>
  </si>
  <si>
    <t>Range</t>
  </si>
  <si>
    <t>CàC</t>
  </si>
  <si>
    <t>Fav. Weapon</t>
  </si>
  <si>
    <t>TYPE</t>
  </si>
  <si>
    <t>Ranged</t>
  </si>
  <si>
    <t>Thrown</t>
  </si>
  <si>
    <t>Dagger, Thrown</t>
  </si>
  <si>
    <t>Hatchet, Thrown</t>
  </si>
  <si>
    <t>Javelin, Thrown</t>
  </si>
  <si>
    <t>Knife, Thrown</t>
  </si>
  <si>
    <t>Spear, Thrown</t>
  </si>
  <si>
    <t>Shield</t>
  </si>
  <si>
    <t>WPN TYPE</t>
  </si>
  <si>
    <t>Fist</t>
  </si>
  <si>
    <t>Rien</t>
  </si>
  <si>
    <t>ATK Penalty</t>
  </si>
  <si>
    <t>Bruised</t>
  </si>
  <si>
    <t>HEALTH</t>
  </si>
  <si>
    <t>Damage Level</t>
  </si>
  <si>
    <t>Hurt</t>
  </si>
  <si>
    <t>Injured</t>
  </si>
  <si>
    <t>Wounded</t>
  </si>
  <si>
    <t>Mauled</t>
  </si>
  <si>
    <t>Crippled</t>
  </si>
  <si>
    <t>Incapacitated</t>
  </si>
  <si>
    <t>Alternate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</si>
</sst>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0" fillId="2" borderId="3" xfId="0" applyFont="1" applyFill="1" applyBorder="1"/>
    <xf numFmtId="0" fontId="0" fillId="3" borderId="3" xfId="0" applyFont="1" applyFill="1" applyBorder="1"/>
    <xf numFmtId="0" fontId="0" fillId="4" borderId="3" xfId="0" applyFont="1" applyFill="1" applyBorder="1"/>
    <xf numFmtId="0" fontId="0" fillId="5" borderId="3" xfId="0" applyFont="1" applyFill="1" applyBorder="1"/>
    <xf numFmtId="0" fontId="0" fillId="6" borderId="3" xfId="0" applyFont="1" applyFill="1" applyBorder="1"/>
    <xf numFmtId="0" fontId="0" fillId="7" borderId="3" xfId="0" applyFont="1" applyFill="1" applyBorder="1"/>
    <xf numFmtId="0" fontId="0" fillId="8" borderId="3" xfId="0" applyFont="1" applyFill="1" applyBorder="1"/>
    <xf numFmtId="0" fontId="0" fillId="9" borderId="3" xfId="0" applyFont="1" applyFill="1" applyBorder="1"/>
    <xf numFmtId="0" fontId="0" fillId="10" borderId="3" xfId="0" applyFont="1" applyFill="1" applyBorder="1"/>
    <xf numFmtId="0" fontId="0" fillId="2" borderId="4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10" borderId="4" xfId="0" applyFont="1" applyFill="1" applyBorder="1" applyAlignment="1">
      <alignment horizontal="center"/>
    </xf>
    <xf numFmtId="0" fontId="5" fillId="12" borderId="3" xfId="0" applyFont="1" applyFill="1" applyBorder="1"/>
    <xf numFmtId="0" fontId="5" fillId="11" borderId="1" xfId="0" applyFont="1" applyFill="1" applyBorder="1"/>
    <xf numFmtId="0" fontId="5" fillId="12" borderId="1" xfId="0" applyFont="1" applyFill="1" applyBorder="1"/>
    <xf numFmtId="0" fontId="5" fillId="12" borderId="4" xfId="0" applyFont="1" applyFill="1" applyBorder="1"/>
    <xf numFmtId="0" fontId="0" fillId="2" borderId="1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5" borderId="8" xfId="0" applyFill="1" applyBorder="1"/>
    <xf numFmtId="0" fontId="0" fillId="5" borderId="9" xfId="0" applyFill="1" applyBorder="1" applyAlignment="1">
      <alignment horizontal="left"/>
    </xf>
    <xf numFmtId="0" fontId="0" fillId="5" borderId="10" xfId="0" applyFill="1" applyBorder="1"/>
    <xf numFmtId="0" fontId="0" fillId="5" borderId="12" xfId="0" applyFill="1" applyBorder="1" applyAlignment="1">
      <alignment horizontal="left"/>
    </xf>
    <xf numFmtId="0" fontId="0" fillId="3" borderId="8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/>
    <xf numFmtId="0" fontId="0" fillId="3" borderId="12" xfId="0" applyFill="1" applyBorder="1" applyAlignment="1">
      <alignment horizontal="left"/>
    </xf>
    <xf numFmtId="0" fontId="0" fillId="7" borderId="8" xfId="0" applyFill="1" applyBorder="1"/>
    <xf numFmtId="0" fontId="0" fillId="7" borderId="9" xfId="0" applyFill="1" applyBorder="1" applyAlignment="1">
      <alignment horizontal="left"/>
    </xf>
    <xf numFmtId="0" fontId="0" fillId="7" borderId="10" xfId="0" applyFill="1" applyBorder="1"/>
    <xf numFmtId="0" fontId="0" fillId="7" borderId="12" xfId="0" applyFill="1" applyBorder="1" applyAlignment="1">
      <alignment horizontal="left"/>
    </xf>
    <xf numFmtId="0" fontId="0" fillId="7" borderId="0" xfId="0" applyFill="1" applyBorder="1"/>
    <xf numFmtId="0" fontId="0" fillId="7" borderId="11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 applyAlignment="1">
      <alignment horizontal="left"/>
    </xf>
    <xf numFmtId="0" fontId="0" fillId="0" borderId="8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9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 applyAlignment="1">
      <alignment horizontal="left"/>
    </xf>
    <xf numFmtId="0" fontId="0" fillId="0" borderId="2" xfId="0" applyFont="1" applyBorder="1" applyAlignment="1">
      <alignment horizontal="left"/>
    </xf>
    <xf numFmtId="0" fontId="4" fillId="9" borderId="20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6" fillId="17" borderId="5" xfId="0" applyFont="1" applyFill="1" applyBorder="1" applyAlignment="1">
      <alignment horizontal="center" vertical="center"/>
    </xf>
    <xf numFmtId="0" fontId="6" fillId="17" borderId="6" xfId="0" applyFont="1" applyFill="1" applyBorder="1" applyAlignment="1">
      <alignment horizontal="center" vertical="center"/>
    </xf>
    <xf numFmtId="0" fontId="6" fillId="17" borderId="7" xfId="0" applyFont="1" applyFill="1" applyBorder="1" applyAlignment="1">
      <alignment horizontal="center" vertical="center"/>
    </xf>
    <xf numFmtId="0" fontId="3" fillId="14" borderId="13" xfId="0" applyFont="1" applyFill="1" applyBorder="1" applyAlignment="1">
      <alignment horizontal="center"/>
    </xf>
    <xf numFmtId="0" fontId="3" fillId="14" borderId="14" xfId="0" applyFont="1" applyFill="1" applyBorder="1" applyAlignment="1">
      <alignment horizontal="center"/>
    </xf>
    <xf numFmtId="0" fontId="3" fillId="14" borderId="15" xfId="0" applyFont="1" applyFill="1" applyBorder="1" applyAlignment="1">
      <alignment horizontal="center"/>
    </xf>
    <xf numFmtId="0" fontId="3" fillId="15" borderId="5" xfId="0" applyFont="1" applyFill="1" applyBorder="1" applyAlignment="1">
      <alignment horizontal="center"/>
    </xf>
    <xf numFmtId="0" fontId="3" fillId="15" borderId="6" xfId="0" applyFont="1" applyFill="1" applyBorder="1" applyAlignment="1">
      <alignment horizontal="center"/>
    </xf>
    <xf numFmtId="0" fontId="3" fillId="15" borderId="17" xfId="0" applyFont="1" applyFill="1" applyBorder="1" applyAlignment="1">
      <alignment horizontal="center"/>
    </xf>
    <xf numFmtId="0" fontId="3" fillId="15" borderId="18" xfId="0" applyFont="1" applyFill="1" applyBorder="1" applyAlignment="1">
      <alignment horizontal="center"/>
    </xf>
    <xf numFmtId="0" fontId="3" fillId="13" borderId="5" xfId="0" applyFont="1" applyFill="1" applyBorder="1" applyAlignment="1">
      <alignment horizontal="center"/>
    </xf>
    <xf numFmtId="0" fontId="3" fillId="13" borderId="6" xfId="0" applyFont="1" applyFill="1" applyBorder="1" applyAlignment="1">
      <alignment horizontal="center"/>
    </xf>
    <xf numFmtId="0" fontId="3" fillId="13" borderId="7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3" fillId="12" borderId="19" xfId="0" applyFont="1" applyFill="1" applyBorder="1" applyAlignment="1">
      <alignment horizontal="center"/>
    </xf>
    <xf numFmtId="0" fontId="3" fillId="12" borderId="0" xfId="0" applyFont="1" applyFill="1" applyBorder="1" applyAlignment="1">
      <alignment horizontal="center"/>
    </xf>
    <xf numFmtId="0" fontId="3" fillId="16" borderId="16" xfId="0" applyFont="1" applyFill="1" applyBorder="1" applyAlignment="1">
      <alignment horizontal="center"/>
    </xf>
    <xf numFmtId="0" fontId="3" fillId="16" borderId="17" xfId="0" applyFont="1" applyFill="1" applyBorder="1" applyAlignment="1">
      <alignment horizontal="center"/>
    </xf>
    <xf numFmtId="0" fontId="3" fillId="16" borderId="18" xfId="0" applyFont="1" applyFill="1" applyBorder="1" applyAlignment="1">
      <alignment horizontal="center"/>
    </xf>
    <xf numFmtId="0" fontId="4" fillId="7" borderId="5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DDDD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5" tint="0.39997558519241921"/>
        </top>
        <bottom style="thin">
          <color theme="5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5"/>
          <bgColor theme="5"/>
        </patternFill>
      </fill>
      <border diagonalUp="0" diagonalDown="0" outline="0">
        <left/>
        <right/>
        <top style="thin">
          <color theme="5" tint="0.39997558519241921"/>
        </top>
        <bottom style="thin">
          <color theme="5" tint="0.39997558519241921"/>
        </bottom>
      </border>
    </dxf>
    <dxf>
      <border outline="0">
        <top style="thin">
          <color theme="5" tint="0.39997558519241921"/>
        </top>
      </border>
    </dxf>
    <dxf>
      <border outline="0"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</dxf>
  </dxfs>
  <tableStyles count="0" defaultTableStyle="TableStyleMedium2" defaultPivotStyle="PivotStyleLight16"/>
  <colors>
    <mruColors>
      <color rgb="FFFFDDDD"/>
      <color rgb="FFFFA7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613C641-F3F7-4E10-9E4F-77FDD0E65DDB}" name="Table8" displayName="Table8" ref="C1:K34" totalsRowShown="0">
  <autoFilter ref="C1:K34" xr:uid="{C963000B-156F-404C-A711-05FCDD220C86}"/>
  <tableColumns count="9">
    <tableColumn id="1" xr3:uid="{E073950A-A48C-487C-A246-F122B9E60E6C}" name="Melee Weapons "/>
    <tableColumn id="10" xr3:uid="{58EA9BF5-A688-4CA1-A254-42957CE48522}" name="TYPE"/>
    <tableColumn id="2" xr3:uid="{E4564AC9-63ED-4DB9-A81D-1BAAC328056C}" name="DMG"/>
    <tableColumn id="3" xr3:uid="{F807449B-5711-486A-BB34-0317B435AB69}" name="D-TYPE"/>
    <tableColumn id="8" xr3:uid="{99DD58BE-3590-4798-87D5-E80ABABAD179}" name="Range"/>
    <tableColumn id="4" xr3:uid="{AFA89742-3AB4-4F65-9BCE-D82E23E66E79}" name="Conceal"/>
    <tableColumn id="5" xr3:uid="{1FF8BE4D-A2E3-4D47-AA76-EB54C140BFD0}" name="Min. Str "/>
    <tableColumn id="6" xr3:uid="{20D83FD8-915B-46C3-8E82-1696F7B97A63}" name="AP"/>
    <tableColumn id="7" xr3:uid="{E8FC085C-2299-4A71-AB84-38C166DC61B4}" name="Notes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EAE1AC4-1C35-456B-9852-FEBD7ABB0E17}" name="Table9" displayName="Table9" ref="M1:T6" totalsRowShown="0">
  <autoFilter ref="M1:T6" xr:uid="{22698DFA-C502-49B3-8FF4-EDADD5773016}"/>
  <tableColumns count="8">
    <tableColumn id="1" xr3:uid="{FDCD8B95-F3C1-4453-A550-04EDB23BAFAA}" name="Ranged Weapons"/>
    <tableColumn id="2" xr3:uid="{A6132B03-D0CE-454A-9FEF-ACFA2EE401C6}" name="Damage "/>
    <tableColumn id="3" xr3:uid="{25CAB5B5-6CB5-4F54-BFDC-124BD4B143DA}" name="D-TYPE"/>
    <tableColumn id="4" xr3:uid="{C8E206AF-D7D4-429E-A6E9-8B362E4A7096}" name="Range "/>
    <tableColumn id="5" xr3:uid="{1E79AAB4-78FC-45D4-A193-16D18CE907EC}" name="Conceal "/>
    <tableColumn id="6" xr3:uid="{D7FF038E-1EDA-4092-BBF8-72B3291D5119}" name="Min Str "/>
    <tableColumn id="7" xr3:uid="{DCA094FD-5E0F-40AC-95ED-FC4176B9E012}" name="AP"/>
    <tableColumn id="8" xr3:uid="{78DD4279-E349-4F9D-966E-3FE9BDCC515C}" name="Notes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F103228-B4BF-4E55-B220-3FDC55595F33}" name="Table10" displayName="Table10" ref="M8:T14" totalsRowShown="0">
  <autoFilter ref="M8:T14" xr:uid="{202645F1-9F51-4A83-A039-AF1BE1CE6B52}"/>
  <tableColumns count="8">
    <tableColumn id="1" xr3:uid="{C11C8B95-4A39-46D2-9A99-23C4B6FCF3DC}" name="Thrown Weapons"/>
    <tableColumn id="2" xr3:uid="{D6869B4E-61F6-4B32-8C29-EA3B86BA2451}" name="Damage "/>
    <tableColumn id="3" xr3:uid="{A61A796A-2776-456E-A1B3-A8464DB411E3}" name="D-TYPE"/>
    <tableColumn id="4" xr3:uid="{0302070F-DDDB-44CA-B6E5-39B4DF807762}" name="Range "/>
    <tableColumn id="5" xr3:uid="{1D5F1BA6-B440-4E4C-8D75-09234523BD94}" name="Conceal "/>
    <tableColumn id="6" xr3:uid="{D23CF476-DC53-499D-A84B-22EBE3D2753F}" name="Min Str "/>
    <tableColumn id="7" xr3:uid="{AA1665DA-30BD-4BC0-86E7-0835BA194767}" name="AP"/>
    <tableColumn id="8" xr3:uid="{1519AFED-3D6A-42AA-9A8B-EFF3D24A6298}" name="Notes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2759509-661C-499A-9B84-72737C0CB711}" name="Table11" displayName="Table11" ref="M16:O21" totalsRowShown="0">
  <autoFilter ref="M16:O21" xr:uid="{949C5CC1-21EC-4123-AAA3-FEEEC24BE975}"/>
  <tableColumns count="3">
    <tableColumn id="1" xr3:uid="{6EA11E58-2035-4EA4-A8C0-55AE5ED78372}" name="Item"/>
    <tableColumn id="2" xr3:uid="{A9FE655C-D739-496C-9FFC-C98D831DF5E1}" name="Parry Diff"/>
    <tableColumn id="3" xr3:uid="{6FB77219-F6FB-4679-A382-9B351FF3A18D}" name="ATK PEN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6ACB1974-1A1A-47BE-BF56-015CE28FB621}" name="Table12" displayName="Table12" ref="M23:O29" totalsRowShown="0">
  <autoFilter ref="M23:O29" xr:uid="{442DD0C8-767B-47A7-90BF-68BC4AD9DFCD}"/>
  <tableColumns count="3">
    <tableColumn id="1" xr3:uid="{24F056A5-3F77-437C-BBB1-820CE16950A9}" name="Armor"/>
    <tableColumn id="2" xr3:uid="{57149E52-FF0D-45E4-8EFE-A20E717B7AD4}" name="Rating"/>
    <tableColumn id="3" xr3:uid="{B71B23C4-91CD-4BC0-8FF9-8F0D4F2CC106}" name="Penalty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1B52B2F-5D5F-4DE6-B70F-9322CCC6B381}" name="Table17" displayName="Table17" ref="Q16:Q19" totalsRowShown="0">
  <autoFilter ref="Q16:Q19" xr:uid="{564E63F6-23C5-4912-9C70-83304223167B}"/>
  <tableColumns count="1">
    <tableColumn id="1" xr3:uid="{A7BBC814-92E2-4E3B-A4C5-660E14DC8883}" name="DMG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95737F2-E671-46D6-8317-811213317A21}" name="Table7" displayName="Table7" ref="A3:CV23" totalsRowShown="0" headerRowDxfId="114" dataDxfId="112" headerRowBorderDxfId="113" tableBorderDxfId="111" totalsRowBorderDxfId="110">
  <autoFilter ref="A3:CV23" xr:uid="{027BD446-38C4-4758-BDEF-AB4E02581400}"/>
  <tableColumns count="100">
    <tableColumn id="1" xr3:uid="{3EA14E6F-74C7-42F0-A48F-F4BE398E25C9}" name="Vampire" dataDxfId="109"/>
    <tableColumn id="2" xr3:uid="{E33BE766-DB59-4D9E-A3A1-CF599B0207D2}" name="Clan" dataDxfId="108"/>
    <tableColumn id="3" xr3:uid="{F3627936-E69A-4186-AAAB-F72E15ABC980}" name="Age" dataDxfId="107"/>
    <tableColumn id="4" xr3:uid="{DA048261-2B50-483B-9964-704C95E280C6}" name="Generation" dataDxfId="106"/>
    <tableColumn id="5" xr3:uid="{3C5B02E8-B720-49D0-AC8C-A67BB7CE4531}" name="Max Stat" dataDxfId="105"/>
    <tableColumn id="6" xr3:uid="{67BADB3F-C503-4D24-9999-6CF7E201A0E8}" name="Willpower" dataDxfId="104"/>
    <tableColumn id="7" xr3:uid="{5EA01A89-17DB-49A0-80F9-15A465600C7C}" name="Blood Pool" dataDxfId="103"/>
    <tableColumn id="8" xr3:uid="{F563B512-2522-4F3A-99A2-60135B892A24}" name="Blood per Turn" dataDxfId="102"/>
    <tableColumn id="9" xr3:uid="{AA86E343-8542-4737-9550-5288127DCD63}" name="Strength" dataDxfId="101"/>
    <tableColumn id="10" xr3:uid="{3B5A9273-36CD-4E67-ABB4-79F6C30A0638}" name="Dexterity" dataDxfId="100"/>
    <tableColumn id="11" xr3:uid="{04670BCF-1150-4F27-B009-ED6B60A77C4E}" name="Stamina" dataDxfId="99"/>
    <tableColumn id="12" xr3:uid="{3D370C8D-D0E6-4806-B142-6B120FE0207C}" name="Charisma" dataDxfId="98"/>
    <tableColumn id="13" xr3:uid="{BB499950-5537-40B1-95D6-706FEBEFE7EE}" name="Manipulation" dataDxfId="97"/>
    <tableColumn id="14" xr3:uid="{C6183D12-2595-44C5-B333-E202BB8B131F}" name="Appearance" dataDxfId="96"/>
    <tableColumn id="15" xr3:uid="{BC7F3B85-CBFC-415A-9195-233048C56877}" name="Perception" dataDxfId="95"/>
    <tableColumn id="16" xr3:uid="{052020AA-1609-4E4D-8D33-89ECCCD53900}" name="Intelligence" dataDxfId="94"/>
    <tableColumn id="17" xr3:uid="{8BC14F99-D1A5-4890-85EE-37029342861E}" name="Wits" dataDxfId="93"/>
    <tableColumn id="18" xr3:uid="{4D560F1A-1212-42D5-9604-9D6CFAAF6A39}" name="Alertness" dataDxfId="92"/>
    <tableColumn id="19" xr3:uid="{AE889BC9-53F3-4688-987B-16820476BCEB}" name="Athletics" dataDxfId="91"/>
    <tableColumn id="20" xr3:uid="{10FFB9EB-975F-41D6-A1C4-8BDF8D822632}" name="Awareness" dataDxfId="90"/>
    <tableColumn id="21" xr3:uid="{02D94A46-948A-46B4-A966-6369FCC2B01F}" name="Brawl" dataDxfId="89"/>
    <tableColumn id="22" xr3:uid="{681294C1-FDEB-4BAE-8405-D26CFE85C6A6}" name="Empathy" dataDxfId="88"/>
    <tableColumn id="23" xr3:uid="{2643F475-2597-4F0D-90D9-E4A631115F11}" name="Expression" dataDxfId="87"/>
    <tableColumn id="24" xr3:uid="{09B9C79D-4394-455D-A546-E185D2B78634}" name="Intimidation" dataDxfId="86"/>
    <tableColumn id="25" xr3:uid="{C42B1FDF-4D1E-4521-BD0B-3B28F592367D}" name="Leadership" dataDxfId="85"/>
    <tableColumn id="26" xr3:uid="{286167B6-BAEC-4512-A375-052AC8967822}" name="Legerdemain" dataDxfId="84"/>
    <tableColumn id="27" xr3:uid="{350FA68A-FBA2-4E81-8362-8C08CE7415A8}" name="Subterfuge" dataDxfId="83"/>
    <tableColumn id="28" xr3:uid="{CBEA4AA8-9DD3-4794-8C00-7CA9FBF502FB}" name="Animal Ken" dataDxfId="82"/>
    <tableColumn id="29" xr3:uid="{2ADA6AC6-8EA4-434A-9A3F-6889E656ECE2}" name="Archery" dataDxfId="81"/>
    <tableColumn id="30" xr3:uid="{7D5C0552-2492-4743-B229-62FD083E9D6D}" name="Commerce" dataDxfId="80"/>
    <tableColumn id="31" xr3:uid="{1B705A45-96F1-420F-9213-E81AE2554ED2}" name="Crafts" dataDxfId="79"/>
    <tableColumn id="32" xr3:uid="{2C4DA476-C13D-4F5A-8989-5C579C5CC441}" name="Etiquette" dataDxfId="78"/>
    <tableColumn id="33" xr3:uid="{95F92ED9-2432-4D01-B2CC-DAFD56303A9A}" name="Melee" dataDxfId="77"/>
    <tableColumn id="34" xr3:uid="{2640202A-EA54-4353-9AAD-8641D7ECC788}" name="Performance" dataDxfId="76"/>
    <tableColumn id="35" xr3:uid="{9860CD2A-A5A1-4F4A-9A45-03EBBE79FB07}" name="Ride" dataDxfId="75"/>
    <tableColumn id="36" xr3:uid="{911A6646-0180-498D-8769-F68A83723EF9}" name="Stealth" dataDxfId="74"/>
    <tableColumn id="37" xr3:uid="{6785D8B6-9509-4A5E-AA2C-AA85981B1616}" name="Survival" dataDxfId="73"/>
    <tableColumn id="38" xr3:uid="{F8F1F3A3-C7C3-43E2-B495-9640537422F1}" name="Academics" dataDxfId="72"/>
    <tableColumn id="39" xr3:uid="{7DD39C80-78E7-41A9-BAF2-50FDA7D6ACE3}" name="Enigmas" dataDxfId="71"/>
    <tableColumn id="40" xr3:uid="{D7DADE89-54A5-4803-9FCF-D071F95AECDF}" name="Hearth Wisdom" dataDxfId="70"/>
    <tableColumn id="41" xr3:uid="{8091B313-5425-45FF-B58E-EF51E5B52209}" name="Investigation" dataDxfId="69"/>
    <tableColumn id="42" xr3:uid="{3CBFD87C-D208-49DB-BCE4-33FADB261D98}" name="Law" dataDxfId="68"/>
    <tableColumn id="43" xr3:uid="{34231EF5-87FC-456A-BE14-28745CCB2E75}" name="Medicine" dataDxfId="67"/>
    <tableColumn id="44" xr3:uid="{C278B95E-DD94-4E4E-93BD-3B22504AB16A}" name="Occult" dataDxfId="66"/>
    <tableColumn id="45" xr3:uid="{FFD0D209-8DBC-4087-9C1B-A0495C88CA69}" name="Politics" dataDxfId="65"/>
    <tableColumn id="46" xr3:uid="{F929D76D-F479-43F4-98B0-A81DAB16FBF7}" name="Seneschal" dataDxfId="64"/>
    <tableColumn id="47" xr3:uid="{3D709535-B024-4466-B7E8-723FEE55EE8E}" name="Theology" dataDxfId="63"/>
    <tableColumn id="48" xr3:uid="{CEAD0DAF-83D3-4BA3-9F4F-40AB73679188}" name="Animalism" dataDxfId="62"/>
    <tableColumn id="49" xr3:uid="{6EE57D9A-A226-46D8-A5AB-C5FB3F6913F1}" name="Auspex" dataDxfId="61"/>
    <tableColumn id="50" xr3:uid="{16970FAA-CB1D-4F60-A26C-24B284A1106B}" name="Bardo" dataDxfId="60"/>
    <tableColumn id="51" xr3:uid="{286302AC-07B6-4DAF-926D-D7719C20A3FC}" name="Celerity" dataDxfId="59"/>
    <tableColumn id="52" xr3:uid="{9C5B35BA-BC60-4535-B578-CAE48910F6D7}" name="Chimerstry" dataDxfId="58"/>
    <tableColumn id="53" xr3:uid="{36277DC4-12DC-4339-8C08-9659EE22EE4F}" name="Daimonion" dataDxfId="57"/>
    <tableColumn id="54" xr3:uid="{F2F81A8A-D235-4B86-B3C2-81D91F8F5949}" name="Dementation" dataDxfId="56"/>
    <tableColumn id="55" xr3:uid="{BC5AAEFB-BB4E-4497-A09D-ADCB98925AB6}" name="Dominate" dataDxfId="55"/>
    <tableColumn id="56" xr3:uid="{3CAC73D2-6960-48B0-9D04-4BB08001EF7F}" name="Flight" dataDxfId="54"/>
    <tableColumn id="57" xr3:uid="{5280DDA5-DFF2-4948-9A84-54C6FF5C2A5A}" name="Fortitude" dataDxfId="53"/>
    <tableColumn id="58" xr3:uid="{D1826257-D527-42F5-A8B6-DC3559502762}" name="Obfuscate" dataDxfId="52"/>
    <tableColumn id="59" xr3:uid="{2E3343EC-5F10-4FA0-92BC-150AE034A1B1}" name="Obtenebration" dataDxfId="51"/>
    <tableColumn id="60" xr3:uid="{1F5211FF-B1B5-417A-AACF-191ABBEAB4D8}" name="Potence" dataDxfId="50"/>
    <tableColumn id="61" xr3:uid="{8F41AAE3-60F5-48F2-A475-86117346D1FD}" name="Presence" dataDxfId="49"/>
    <tableColumn id="62" xr3:uid="{54ED59A5-6C11-499C-8847-199101AB51C5}" name="Protean" dataDxfId="48"/>
    <tableColumn id="63" xr3:uid="{DC88221A-D6A8-43A4-9FA8-EA93A105AE4B}" name="Quietus Cruscitus" dataDxfId="47"/>
    <tableColumn id="64" xr3:uid="{6C769CD6-69E9-4B5F-826D-043561310C0E}" name="Quietus Hematus" dataDxfId="46"/>
    <tableColumn id="65" xr3:uid="{AFD049F5-6BCA-475A-987C-38F20872A0D8}" name="Serpentis" dataDxfId="45"/>
    <tableColumn id="66" xr3:uid="{525428A9-C056-40F8-BC12-11AF39506EC2}" name="Spiritus" dataDxfId="44"/>
    <tableColumn id="67" xr3:uid="{5F376301-321B-4709-BBAA-0440D6347ABE}" name="Temporis" dataDxfId="43"/>
    <tableColumn id="68" xr3:uid="{052F128C-202C-4CEE-B23A-004D487C0D36}" name="Valeren Healer" dataDxfId="42"/>
    <tableColumn id="69" xr3:uid="{E63AC3F6-2F68-4804-9129-214ECED149E2}" name="Valeren Warrior" dataDxfId="41"/>
    <tableColumn id="70" xr3:uid="{F5FFA347-0A1C-42F5-9851-1324E15C203A}" name="Vicissitude" dataDxfId="40"/>
    <tableColumn id="71" xr3:uid="{8FE945B9-B953-4528-B6BF-1116B2040928}" name="Grave's Decay" dataDxfId="39"/>
    <tableColumn id="72" xr3:uid="{8CE88012-4236-4950-85A8-E4BE3657EDFC}" name="Corpse in the Monster" dataDxfId="38"/>
    <tableColumn id="73" xr3:uid="{DAC04A0D-6B61-4AE7-92E7-B2F3BBD1B79C}" name="Ignis" dataDxfId="37"/>
    <tableColumn id="74" xr3:uid="{108ED093-EE46-4F63-836F-CEEE8D5A9A9E}" name="Vitae" dataDxfId="36"/>
    <tableColumn id="75" xr3:uid="{F8074EF2-70D4-43E8-9947-A0D0EBE41303}" name="Allies" dataDxfId="35"/>
    <tableColumn id="76" xr3:uid="{AF67FD72-DE55-4143-8641-FAD36FD2BEB9}" name="Alternate Identity" dataDxfId="34"/>
    <tableColumn id="77" xr3:uid="{483D8CDD-1EAB-47FF-ADF9-EBBCCD6C17B6}" name="Contacts" dataDxfId="33"/>
    <tableColumn id="78" xr3:uid="{E31AF181-5B42-4E16-9456-A55DF2482A5C}" name="Domain" dataDxfId="32"/>
    <tableColumn id="79" xr3:uid="{0E8610E2-60FA-46E6-9978-8B9FC2B6BB19}" name="Fame" dataDxfId="31"/>
    <tableColumn id="80" xr3:uid="{A074FC3E-F59C-4DC4-AEF8-4D8F83BEB538}" name="Herd" dataDxfId="30"/>
    <tableColumn id="81" xr3:uid="{4ED05BF2-2449-4428-AB97-D835B4A03655}" name="Influence" dataDxfId="29"/>
    <tableColumn id="82" xr3:uid="{39F12D9F-9D30-4334-AFA9-3DBE97BB7C99}" name="Mentor" dataDxfId="28"/>
    <tableColumn id="83" xr3:uid="{FB04EABA-EA59-4FAD-BB42-12F838061217}" name="Resources" dataDxfId="27"/>
    <tableColumn id="84" xr3:uid="{1F404530-BEA6-4BF1-A21C-8F5141885F88}" name="Retainers" dataDxfId="26"/>
    <tableColumn id="85" xr3:uid="{8E39C294-EA69-4B85-8BBE-0ACF76F21733}" name="Status" dataDxfId="25"/>
    <tableColumn id="86" xr3:uid="{3847DB6C-2C2F-407E-856F-829BCDEF2629}" name="Road Name" dataDxfId="24"/>
    <tableColumn id="87" xr3:uid="{670405C8-DE63-4E21-AA2B-0BF495ED02B7}" name="Road Score" dataDxfId="23"/>
    <tableColumn id="88" xr3:uid="{5EFD5390-C113-4681-8E0A-D1EA54C0B6D6}" name="Conscience" dataDxfId="22"/>
    <tableColumn id="89" xr3:uid="{1687EE97-204B-4CEC-96D1-0C53DFE2EBFE}" name="Conviction" dataDxfId="21"/>
    <tableColumn id="90" xr3:uid="{1F77FB01-C824-473C-9A80-8AFB7A2A96FB}" name="Instinct" dataDxfId="20"/>
    <tableColumn id="91" xr3:uid="{DACF5C38-EF65-43F3-9878-6F38EE644835}" name="Self-Control" dataDxfId="19"/>
    <tableColumn id="92" xr3:uid="{BD655820-1F2D-4C98-9006-ECEF1C64DC24}" name="Courage" dataDxfId="18"/>
    <tableColumn id="93" xr3:uid="{E55A3174-C94B-4A56-966B-3F177E728C5F}" name="Attack Melee" dataDxfId="17">
      <calculatedColumnFormula>J4+AG4+AY4</calculatedColumnFormula>
    </tableColumn>
    <tableColumn id="94" xr3:uid="{C3D6BEC5-8906-4389-B7C0-332399E7E71A}" name="Attack Brawl" dataDxfId="16">
      <calculatedColumnFormula>J4+U4+AY4</calculatedColumnFormula>
    </tableColumn>
    <tableColumn id="95" xr3:uid="{70D097C0-6591-4906-B5FC-BB748BD5D6A2}" name="Melee Base Damage" dataDxfId="15">
      <calculatedColumnFormula>I4+BH4</calculatedColumnFormula>
    </tableColumn>
    <tableColumn id="96" xr3:uid="{693E4CFB-81A4-4403-9B45-9C21127E682E}" name="Attack Distance" dataDxfId="14">
      <calculatedColumnFormula>J4+AC4+AY4</calculatedColumnFormula>
    </tableColumn>
    <tableColumn id="97" xr3:uid="{78E459FF-FD3C-4FD4-BD85-3982DC567954}" name="Attack Throw" dataDxfId="13">
      <calculatedColumnFormula>J4+S4+AY4</calculatedColumnFormula>
    </tableColumn>
    <tableColumn id="100" xr3:uid="{9B2B5231-1F53-49F6-AA18-4871BF66DBB9}" name="Fav. Weapon" dataDxfId="12"/>
    <tableColumn id="99" xr3:uid="{B1C748BC-739B-464C-9789-6A8A8464A7F6}" name="Armor Class" dataDxfId="11"/>
    <tableColumn id="98" xr3:uid="{C0AB18D2-4199-4FA2-ABC1-67282C5F40CF}" name="Shield" dataDxfId="10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2ADED5B-4DAF-4968-B3DA-B8948703D979}" name="Table14" displayName="Table14" ref="I9:P13" totalsRowShown="0" headerRowDxfId="9">
  <autoFilter ref="I9:P13" xr:uid="{4FC3C259-76AA-42FF-AD2C-FE2B81F303C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F2675806-107E-46BD-8121-E346B6739572}" name="WEAPON"/>
    <tableColumn id="2" xr3:uid="{82FDD869-C4CA-4EFB-92ED-6E733CBEE588}" name="WPN TYPE" dataDxfId="8">
      <calculatedColumnFormula>_xlfn.XLOOKUP($I10,Table8[[Melee Weapons ]],Table8[TYPE])</calculatedColumnFormula>
    </tableColumn>
    <tableColumn id="3" xr3:uid="{B5D53899-A149-43EF-9DD2-BDC08E0C4CE4}" name="ATK" dataDxfId="7">
      <calculatedColumnFormula>IF($J10="THROWN",_xlfn.XLOOKUP($B$2,Table7[Vampire],Table7[Attack Throw]),IF($J10="Ranged",_xlfn.XLOOKUP($B$2,Table7[Vampire],Table7[Attack Distance]),IF($J10="MELEE",_xlfn.XLOOKUP($B$2,Table7[Vampire],Table7[Attack Melee]),IF($J10="Brawl",_xlfn.XLOOKUP($B$2,Table7[Vampire],Table7[Attack Brawl]),"0"))))</calculatedColumnFormula>
    </tableColumn>
    <tableColumn id="4" xr3:uid="{31698ED4-E84D-4BD2-9AF1-99B8F8A62B8B}" name="TOT DMG" dataDxfId="6">
      <calculatedColumnFormula>IF($J10="RANGED",_xlfn.XLOOKUP($I$10,Table8[[Melee Weapons ]],Table8[DMG]),_xlfn.XLOOKUP($I$10,Table8[[Melee Weapons ]],Table8[DMG])+_xlfn.XLOOKUP($B$2,Table7[Vampire],Table7[Melee Base Damage]))</calculatedColumnFormula>
    </tableColumn>
    <tableColumn id="5" xr3:uid="{4B921E0D-1E98-4FD3-9EB2-1393DE9D1440}" name="DMG TYPE" dataDxfId="5">
      <calculatedColumnFormula>_xlfn.XLOOKUP($I10,Table8[[Melee Weapons ]],Table8[D-TYPE])</calculatedColumnFormula>
    </tableColumn>
    <tableColumn id="8" xr3:uid="{18DDFFA7-64C5-4429-B978-47066541CB46}" name="AP" dataDxfId="4">
      <calculatedColumnFormula>_xlfn.XLOOKUP(Table14[[#This Row],[WEAPON]],Table8[[Melee Weapons ]],Table8[AP])</calculatedColumnFormula>
    </tableColumn>
    <tableColumn id="6" xr3:uid="{5FD8650F-5AF4-4A78-9EE1-3C88B9B5292E}" name="RANGE" dataDxfId="3">
      <calculatedColumnFormula>_xlfn.XLOOKUP($I10,Table8[[Melee Weapons ]],Table8[Range])</calculatedColumnFormula>
    </tableColumn>
    <tableColumn id="7" xr3:uid="{2CC00F1B-AB3D-4148-A980-25D40FEBBDA5}" name="CONCEAL" dataDxfId="2">
      <calculatedColumnFormula>_xlfn.XLOOKUP($I10,Table8[[Melee Weapons ]],Table8[Conceal])</calculatedColumnFormula>
    </tableColumn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057E41F-F38A-46FF-BCA4-A922FBF69ACD}" name="Table15" displayName="Table15" ref="I15:K16" totalsRowShown="0">
  <autoFilter ref="I15:K16" xr:uid="{C577B2D8-E7EC-4621-98FD-D8030A58DF63}">
    <filterColumn colId="0" hiddenButton="1"/>
    <filterColumn colId="1" hiddenButton="1"/>
    <filterColumn colId="2" hiddenButton="1"/>
  </autoFilter>
  <tableColumns count="3">
    <tableColumn id="1" xr3:uid="{D45F5C21-F7AF-49FF-BB21-984F543353F4}" name="ARMOR" dataDxfId="1">
      <calculatedColumnFormula>_xlfn.XLOOKUP($B$2,Table7[Vampire],Table7[Armor Class])</calculatedColumnFormula>
    </tableColumn>
    <tableColumn id="2" xr3:uid="{C7938CD7-C95E-4ED0-B9AC-C877E76DCA85}" name="Rating">
      <calculatedColumnFormula>_xlfn.XLOOKUP(I16,Table12[Armor],Table12[Rating])</calculatedColumnFormula>
    </tableColumn>
    <tableColumn id="3" xr3:uid="{C7920DCF-1ECB-4C45-AD35-18D4665C0F82}" name="Penalty">
      <calculatedColumnFormula>_xlfn.XLOOKUP(I16,Table12[Armor],Table12[Penalty])</calculatedColumnFormula>
    </tableColumn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72ABC0E-BB4B-475D-879C-490D273B8B41}" name="Table16" displayName="Table16" ref="I18:K19" totalsRowShown="0">
  <autoFilter ref="I18:K19" xr:uid="{3998FD0A-A00B-4C1D-BA47-E48ED383593B}">
    <filterColumn colId="0" hiddenButton="1"/>
    <filterColumn colId="1" hiddenButton="1"/>
    <filterColumn colId="2" hiddenButton="1"/>
  </autoFilter>
  <tableColumns count="3">
    <tableColumn id="1" xr3:uid="{72FC7BCE-204C-4DD6-9D19-D72898E60D93}" name="Shield" dataDxfId="0">
      <calculatedColumnFormula>_xlfn.XLOOKUP($B$2,Table7[Vampire],Table7[Shield])</calculatedColumnFormula>
    </tableColumn>
    <tableColumn id="2" xr3:uid="{C7A4FC89-99BE-42FF-95F6-CA8CB0D67BBC}" name="Parry Diff">
      <calculatedColumnFormula>_xlfn.XLOOKUP($I$19,Table11[Item],Table11[Parry Diff])</calculatedColumnFormula>
    </tableColumn>
    <tableColumn id="3" xr3:uid="{D7853086-643A-44B3-AB1A-FB45073547F0}" name="ATK Penalty">
      <calculatedColumnFormula>_xlfn.XLOOKUP($I$19,Table11[Item],Table11[ATK PEN])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6665F-069A-4A72-99D6-4C5A9D5BD8E8}">
  <dimension ref="C1:T34"/>
  <sheetViews>
    <sheetView topLeftCell="E4" workbookViewId="0">
      <selection activeCell="Q23" sqref="Q23"/>
    </sheetView>
  </sheetViews>
  <sheetFormatPr defaultRowHeight="14.4" x14ac:dyDescent="0.3"/>
  <cols>
    <col min="1" max="2" width="3" customWidth="1"/>
    <col min="3" max="3" width="16.44140625" bestFit="1" customWidth="1"/>
    <col min="4" max="4" width="7.21875" bestFit="1" customWidth="1"/>
    <col min="5" max="5" width="7.33203125" bestFit="1" customWidth="1"/>
    <col min="6" max="6" width="9.109375" bestFit="1" customWidth="1"/>
    <col min="7" max="7" width="9.109375" customWidth="1"/>
    <col min="8" max="8" width="9.33203125" customWidth="1"/>
    <col min="9" max="9" width="9.5546875" customWidth="1"/>
    <col min="11" max="11" width="56.5546875" bestFit="1" customWidth="1"/>
    <col min="12" max="12" width="3.5546875" customWidth="1"/>
    <col min="13" max="13" width="17.109375" customWidth="1"/>
    <col min="14" max="14" width="10.44140625" customWidth="1"/>
    <col min="15" max="15" width="9.6640625" customWidth="1"/>
    <col min="17" max="17" width="9.77734375" customWidth="1"/>
    <col min="18" max="18" width="9" customWidth="1"/>
    <col min="20" max="20" width="15.44140625" bestFit="1" customWidth="1"/>
  </cols>
  <sheetData>
    <row r="1" spans="3:20" x14ac:dyDescent="0.3">
      <c r="C1" t="s">
        <v>215</v>
      </c>
      <c r="D1" t="s">
        <v>256</v>
      </c>
      <c r="E1" t="s">
        <v>180</v>
      </c>
      <c r="F1" t="s">
        <v>220</v>
      </c>
      <c r="G1" t="s">
        <v>253</v>
      </c>
      <c r="H1" t="s">
        <v>170</v>
      </c>
      <c r="I1" t="s">
        <v>172</v>
      </c>
      <c r="J1" t="s">
        <v>208</v>
      </c>
      <c r="K1" t="s">
        <v>171</v>
      </c>
      <c r="M1" t="s">
        <v>216</v>
      </c>
      <c r="N1" t="s">
        <v>169</v>
      </c>
      <c r="O1" t="s">
        <v>220</v>
      </c>
      <c r="P1" t="s">
        <v>217</v>
      </c>
      <c r="Q1" t="s">
        <v>218</v>
      </c>
      <c r="R1" t="s">
        <v>219</v>
      </c>
      <c r="S1" t="s">
        <v>208</v>
      </c>
      <c r="T1" t="s">
        <v>171</v>
      </c>
    </row>
    <row r="2" spans="3:20" x14ac:dyDescent="0.3">
      <c r="C2" t="s">
        <v>267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M2" t="s">
        <v>221</v>
      </c>
      <c r="N2">
        <v>3</v>
      </c>
      <c r="O2" t="s">
        <v>183</v>
      </c>
      <c r="P2">
        <v>90</v>
      </c>
      <c r="Q2" t="s">
        <v>183</v>
      </c>
      <c r="R2">
        <v>3</v>
      </c>
      <c r="S2">
        <v>2</v>
      </c>
      <c r="T2" t="s">
        <v>222</v>
      </c>
    </row>
    <row r="3" spans="3:20" x14ac:dyDescent="0.3">
      <c r="C3" t="s">
        <v>173</v>
      </c>
      <c r="D3" t="s">
        <v>23</v>
      </c>
      <c r="E3">
        <v>1</v>
      </c>
      <c r="F3" t="s">
        <v>182</v>
      </c>
      <c r="G3" t="s">
        <v>254</v>
      </c>
      <c r="H3" t="s">
        <v>174</v>
      </c>
      <c r="I3">
        <v>2</v>
      </c>
      <c r="K3" t="s">
        <v>179</v>
      </c>
      <c r="M3" t="s">
        <v>223</v>
      </c>
      <c r="N3">
        <v>4</v>
      </c>
      <c r="O3" t="s">
        <v>182</v>
      </c>
      <c r="P3">
        <v>90</v>
      </c>
      <c r="Q3" t="s">
        <v>175</v>
      </c>
      <c r="R3">
        <v>4</v>
      </c>
      <c r="S3">
        <v>3</v>
      </c>
      <c r="T3" t="s">
        <v>186</v>
      </c>
    </row>
    <row r="4" spans="3:20" x14ac:dyDescent="0.3">
      <c r="C4" t="s">
        <v>194</v>
      </c>
      <c r="D4" t="s">
        <v>23</v>
      </c>
      <c r="E4">
        <v>2</v>
      </c>
      <c r="F4" t="s">
        <v>182</v>
      </c>
      <c r="G4" t="s">
        <v>254</v>
      </c>
      <c r="H4" t="s">
        <v>183</v>
      </c>
      <c r="I4">
        <v>3</v>
      </c>
      <c r="M4" t="s">
        <v>224</v>
      </c>
      <c r="N4">
        <v>4</v>
      </c>
      <c r="O4" t="s">
        <v>183</v>
      </c>
      <c r="P4">
        <v>120</v>
      </c>
      <c r="Q4" t="s">
        <v>175</v>
      </c>
      <c r="R4">
        <v>4</v>
      </c>
      <c r="S4">
        <v>4</v>
      </c>
      <c r="T4" t="s">
        <v>225</v>
      </c>
    </row>
    <row r="5" spans="3:20" x14ac:dyDescent="0.3">
      <c r="C5" t="s">
        <v>195</v>
      </c>
      <c r="D5" t="s">
        <v>23</v>
      </c>
      <c r="E5">
        <v>4</v>
      </c>
      <c r="F5" t="s">
        <v>183</v>
      </c>
      <c r="G5" t="s">
        <v>254</v>
      </c>
      <c r="H5" t="s">
        <v>175</v>
      </c>
      <c r="I5">
        <v>4</v>
      </c>
      <c r="K5" t="s">
        <v>184</v>
      </c>
      <c r="M5" t="s">
        <v>226</v>
      </c>
      <c r="N5">
        <v>2</v>
      </c>
      <c r="O5" t="s">
        <v>183</v>
      </c>
      <c r="P5">
        <v>60</v>
      </c>
      <c r="Q5" t="s">
        <v>183</v>
      </c>
      <c r="R5">
        <v>3</v>
      </c>
      <c r="S5">
        <v>2</v>
      </c>
      <c r="T5" t="s">
        <v>201</v>
      </c>
    </row>
    <row r="6" spans="3:20" x14ac:dyDescent="0.3">
      <c r="C6" t="s">
        <v>196</v>
      </c>
      <c r="D6" t="s">
        <v>23</v>
      </c>
      <c r="E6">
        <v>2</v>
      </c>
      <c r="F6" t="s">
        <v>182</v>
      </c>
      <c r="G6" t="s">
        <v>254</v>
      </c>
      <c r="H6" t="s">
        <v>185</v>
      </c>
      <c r="I6">
        <v>4</v>
      </c>
      <c r="J6">
        <v>3</v>
      </c>
      <c r="K6" t="s">
        <v>186</v>
      </c>
      <c r="M6" t="s">
        <v>227</v>
      </c>
      <c r="N6">
        <v>3</v>
      </c>
      <c r="O6" t="s">
        <v>176</v>
      </c>
      <c r="P6">
        <v>40</v>
      </c>
      <c r="Q6" t="s">
        <v>188</v>
      </c>
      <c r="R6">
        <v>2</v>
      </c>
    </row>
    <row r="7" spans="3:20" x14ac:dyDescent="0.3">
      <c r="C7" t="s">
        <v>187</v>
      </c>
      <c r="D7" t="s">
        <v>23</v>
      </c>
      <c r="E7">
        <v>2</v>
      </c>
      <c r="F7" t="s">
        <v>176</v>
      </c>
      <c r="G7" t="s">
        <v>254</v>
      </c>
      <c r="H7" t="s">
        <v>174</v>
      </c>
      <c r="I7">
        <v>2</v>
      </c>
    </row>
    <row r="8" spans="3:20" x14ac:dyDescent="0.3">
      <c r="C8" t="s">
        <v>189</v>
      </c>
      <c r="D8" t="s">
        <v>23</v>
      </c>
      <c r="E8">
        <v>3</v>
      </c>
      <c r="F8" t="s">
        <v>190</v>
      </c>
      <c r="G8" t="s">
        <v>254</v>
      </c>
      <c r="H8" t="s">
        <v>182</v>
      </c>
      <c r="I8">
        <v>3</v>
      </c>
      <c r="M8" t="s">
        <v>230</v>
      </c>
      <c r="N8" t="s">
        <v>169</v>
      </c>
      <c r="O8" t="s">
        <v>220</v>
      </c>
      <c r="P8" t="s">
        <v>217</v>
      </c>
      <c r="Q8" t="s">
        <v>218</v>
      </c>
      <c r="R8" t="s">
        <v>219</v>
      </c>
      <c r="S8" t="s">
        <v>208</v>
      </c>
      <c r="T8" t="s">
        <v>171</v>
      </c>
    </row>
    <row r="9" spans="3:20" x14ac:dyDescent="0.3">
      <c r="C9" t="s">
        <v>191</v>
      </c>
      <c r="D9" t="s">
        <v>23</v>
      </c>
      <c r="E9">
        <v>3</v>
      </c>
      <c r="F9" t="s">
        <v>182</v>
      </c>
      <c r="G9" t="s">
        <v>254</v>
      </c>
      <c r="H9" t="s">
        <v>182</v>
      </c>
      <c r="I9">
        <v>3</v>
      </c>
      <c r="M9" t="s">
        <v>200</v>
      </c>
      <c r="N9">
        <v>1</v>
      </c>
      <c r="O9" t="s">
        <v>183</v>
      </c>
      <c r="P9">
        <v>20</v>
      </c>
      <c r="Q9" t="s">
        <v>178</v>
      </c>
    </row>
    <row r="10" spans="3:20" x14ac:dyDescent="0.3">
      <c r="C10" t="s">
        <v>192</v>
      </c>
      <c r="D10" t="s">
        <v>23</v>
      </c>
      <c r="E10">
        <v>3</v>
      </c>
      <c r="F10" t="s">
        <v>176</v>
      </c>
      <c r="G10" t="s">
        <v>254</v>
      </c>
      <c r="H10" t="s">
        <v>185</v>
      </c>
      <c r="I10">
        <v>2</v>
      </c>
      <c r="K10" t="s">
        <v>193</v>
      </c>
      <c r="M10" t="s">
        <v>173</v>
      </c>
      <c r="N10">
        <v>1</v>
      </c>
      <c r="O10" t="s">
        <v>182</v>
      </c>
      <c r="P10">
        <v>20</v>
      </c>
      <c r="Q10" t="s">
        <v>178</v>
      </c>
      <c r="R10">
        <v>2</v>
      </c>
      <c r="S10">
        <v>0</v>
      </c>
      <c r="T10" t="s">
        <v>228</v>
      </c>
    </row>
    <row r="11" spans="3:20" x14ac:dyDescent="0.3">
      <c r="C11" t="s">
        <v>197</v>
      </c>
      <c r="D11" t="s">
        <v>23</v>
      </c>
      <c r="E11">
        <v>4</v>
      </c>
      <c r="F11" t="s">
        <v>190</v>
      </c>
      <c r="G11" t="s">
        <v>254</v>
      </c>
      <c r="H11" t="s">
        <v>185</v>
      </c>
      <c r="I11">
        <v>4</v>
      </c>
      <c r="K11" t="s">
        <v>184</v>
      </c>
      <c r="M11" t="s">
        <v>209</v>
      </c>
      <c r="N11">
        <v>2</v>
      </c>
      <c r="O11" t="s">
        <v>183</v>
      </c>
      <c r="P11">
        <v>50</v>
      </c>
      <c r="Q11" t="s">
        <v>175</v>
      </c>
      <c r="R11">
        <v>2</v>
      </c>
      <c r="S11">
        <v>2</v>
      </c>
      <c r="T11" t="s">
        <v>201</v>
      </c>
    </row>
    <row r="12" spans="3:20" x14ac:dyDescent="0.3">
      <c r="C12" t="s">
        <v>198</v>
      </c>
      <c r="D12" t="s">
        <v>23</v>
      </c>
      <c r="E12">
        <v>0</v>
      </c>
      <c r="F12" t="s">
        <v>182</v>
      </c>
      <c r="G12" t="s">
        <v>254</v>
      </c>
      <c r="H12" t="s">
        <v>199</v>
      </c>
      <c r="I12">
        <v>2</v>
      </c>
      <c r="M12" t="s">
        <v>198</v>
      </c>
      <c r="N12">
        <v>0</v>
      </c>
      <c r="O12" t="s">
        <v>182</v>
      </c>
      <c r="P12">
        <v>15</v>
      </c>
      <c r="Q12" t="s">
        <v>188</v>
      </c>
      <c r="R12">
        <v>2</v>
      </c>
      <c r="T12" t="s">
        <v>228</v>
      </c>
    </row>
    <row r="13" spans="3:20" x14ac:dyDescent="0.3">
      <c r="C13" t="s">
        <v>200</v>
      </c>
      <c r="D13" t="s">
        <v>23</v>
      </c>
      <c r="E13">
        <v>1</v>
      </c>
      <c r="F13" t="s">
        <v>182</v>
      </c>
      <c r="G13" t="s">
        <v>254</v>
      </c>
      <c r="H13" t="s">
        <v>174</v>
      </c>
      <c r="I13">
        <v>1</v>
      </c>
      <c r="J13">
        <v>2</v>
      </c>
      <c r="K13" t="s">
        <v>201</v>
      </c>
      <c r="M13" t="s">
        <v>229</v>
      </c>
      <c r="N13">
        <v>0</v>
      </c>
      <c r="O13" t="s">
        <v>190</v>
      </c>
      <c r="P13">
        <v>40</v>
      </c>
      <c r="Q13" t="s">
        <v>188</v>
      </c>
      <c r="R13">
        <v>2</v>
      </c>
      <c r="T13" t="s">
        <v>228</v>
      </c>
    </row>
    <row r="14" spans="3:20" x14ac:dyDescent="0.3">
      <c r="C14" t="s">
        <v>202</v>
      </c>
      <c r="D14" t="s">
        <v>23</v>
      </c>
      <c r="E14">
        <v>2</v>
      </c>
      <c r="F14" t="s">
        <v>182</v>
      </c>
      <c r="G14" t="s">
        <v>254</v>
      </c>
      <c r="H14" t="s">
        <v>182</v>
      </c>
      <c r="I14">
        <v>3</v>
      </c>
      <c r="M14" t="s">
        <v>213</v>
      </c>
      <c r="N14">
        <v>2</v>
      </c>
      <c r="O14" t="s">
        <v>182</v>
      </c>
      <c r="P14">
        <v>40</v>
      </c>
      <c r="Q14" t="s">
        <v>175</v>
      </c>
      <c r="R14">
        <v>3</v>
      </c>
      <c r="T14" t="s">
        <v>201</v>
      </c>
    </row>
    <row r="15" spans="3:20" x14ac:dyDescent="0.3">
      <c r="C15" t="s">
        <v>203</v>
      </c>
      <c r="D15" t="s">
        <v>23</v>
      </c>
      <c r="E15">
        <v>2</v>
      </c>
      <c r="F15" t="s">
        <v>182</v>
      </c>
      <c r="G15" t="s">
        <v>254</v>
      </c>
      <c r="H15" t="s">
        <v>185</v>
      </c>
      <c r="I15">
        <v>3</v>
      </c>
      <c r="K15" t="s">
        <v>204</v>
      </c>
    </row>
    <row r="16" spans="3:20" x14ac:dyDescent="0.3">
      <c r="C16" t="s">
        <v>205</v>
      </c>
      <c r="D16" t="s">
        <v>23</v>
      </c>
      <c r="E16">
        <v>4</v>
      </c>
      <c r="F16" t="s">
        <v>182</v>
      </c>
      <c r="G16" t="s">
        <v>254</v>
      </c>
      <c r="H16" t="s">
        <v>185</v>
      </c>
      <c r="I16">
        <v>4</v>
      </c>
      <c r="K16" t="s">
        <v>184</v>
      </c>
      <c r="M16" t="s">
        <v>231</v>
      </c>
      <c r="N16" t="s">
        <v>236</v>
      </c>
      <c r="O16" t="s">
        <v>237</v>
      </c>
      <c r="Q16" t="s">
        <v>180</v>
      </c>
    </row>
    <row r="17" spans="3:17" x14ac:dyDescent="0.3">
      <c r="C17" t="s">
        <v>206</v>
      </c>
      <c r="D17" t="s">
        <v>23</v>
      </c>
      <c r="E17">
        <v>4</v>
      </c>
      <c r="F17" t="s">
        <v>182</v>
      </c>
      <c r="G17" t="s">
        <v>254</v>
      </c>
      <c r="H17" t="s">
        <v>185</v>
      </c>
      <c r="I17">
        <v>3</v>
      </c>
      <c r="K17" t="s">
        <v>207</v>
      </c>
      <c r="M17" t="s">
        <v>252</v>
      </c>
      <c r="N17">
        <v>0</v>
      </c>
      <c r="O17">
        <v>0</v>
      </c>
      <c r="Q17" t="s">
        <v>176</v>
      </c>
    </row>
    <row r="18" spans="3:17" x14ac:dyDescent="0.3">
      <c r="C18" t="s">
        <v>209</v>
      </c>
      <c r="D18" t="s">
        <v>23</v>
      </c>
      <c r="E18">
        <v>0</v>
      </c>
      <c r="F18" t="s">
        <v>182</v>
      </c>
      <c r="G18" t="s">
        <v>254</v>
      </c>
      <c r="H18" t="s">
        <v>185</v>
      </c>
      <c r="I18">
        <v>2</v>
      </c>
      <c r="M18" t="s">
        <v>232</v>
      </c>
      <c r="N18">
        <v>4</v>
      </c>
      <c r="O18">
        <v>0</v>
      </c>
      <c r="Q18" t="s">
        <v>183</v>
      </c>
    </row>
    <row r="19" spans="3:17" x14ac:dyDescent="0.3">
      <c r="C19" t="s">
        <v>210</v>
      </c>
      <c r="D19" t="s">
        <v>23</v>
      </c>
      <c r="E19">
        <v>3</v>
      </c>
      <c r="F19" t="s">
        <v>182</v>
      </c>
      <c r="G19" t="s">
        <v>254</v>
      </c>
      <c r="H19" t="s">
        <v>185</v>
      </c>
      <c r="I19">
        <v>3</v>
      </c>
      <c r="J19">
        <v>3</v>
      </c>
      <c r="K19" t="s">
        <v>186</v>
      </c>
      <c r="M19" t="s">
        <v>233</v>
      </c>
      <c r="N19">
        <v>6</v>
      </c>
      <c r="O19">
        <v>1</v>
      </c>
      <c r="Q19" t="s">
        <v>177</v>
      </c>
    </row>
    <row r="20" spans="3:17" x14ac:dyDescent="0.3">
      <c r="C20" t="s">
        <v>211</v>
      </c>
      <c r="D20" t="s">
        <v>23</v>
      </c>
      <c r="E20">
        <v>1</v>
      </c>
      <c r="F20" t="s">
        <v>182</v>
      </c>
      <c r="G20" t="s">
        <v>254</v>
      </c>
      <c r="H20" t="s">
        <v>185</v>
      </c>
      <c r="I20">
        <v>2</v>
      </c>
      <c r="J20">
        <v>1</v>
      </c>
      <c r="K20" t="s">
        <v>212</v>
      </c>
      <c r="M20" t="s">
        <v>234</v>
      </c>
      <c r="N20">
        <v>5</v>
      </c>
      <c r="O20">
        <v>0</v>
      </c>
    </row>
    <row r="21" spans="3:17" x14ac:dyDescent="0.3">
      <c r="C21" t="s">
        <v>213</v>
      </c>
      <c r="D21" t="s">
        <v>23</v>
      </c>
      <c r="E21">
        <v>2</v>
      </c>
      <c r="F21" t="s">
        <v>182</v>
      </c>
      <c r="G21" t="s">
        <v>254</v>
      </c>
      <c r="H21" t="s">
        <v>185</v>
      </c>
      <c r="I21">
        <v>2</v>
      </c>
      <c r="J21">
        <v>2</v>
      </c>
      <c r="K21" t="s">
        <v>214</v>
      </c>
      <c r="M21" t="s">
        <v>235</v>
      </c>
      <c r="N21">
        <v>6</v>
      </c>
      <c r="O21">
        <v>1</v>
      </c>
    </row>
    <row r="22" spans="3:17" x14ac:dyDescent="0.3">
      <c r="C22" t="s">
        <v>266</v>
      </c>
      <c r="D22" t="s">
        <v>11</v>
      </c>
      <c r="E22">
        <v>0</v>
      </c>
      <c r="F22" t="s">
        <v>176</v>
      </c>
      <c r="G22" t="s">
        <v>254</v>
      </c>
      <c r="H22" t="s">
        <v>188</v>
      </c>
      <c r="I22">
        <v>0</v>
      </c>
    </row>
    <row r="23" spans="3:17" x14ac:dyDescent="0.3">
      <c r="C23" t="s">
        <v>242</v>
      </c>
      <c r="D23" t="s">
        <v>11</v>
      </c>
      <c r="E23">
        <v>1</v>
      </c>
      <c r="F23" t="s">
        <v>177</v>
      </c>
      <c r="G23" t="s">
        <v>254</v>
      </c>
      <c r="H23" t="s">
        <v>199</v>
      </c>
      <c r="I23">
        <v>0</v>
      </c>
      <c r="M23" t="s">
        <v>243</v>
      </c>
      <c r="N23" t="s">
        <v>249</v>
      </c>
      <c r="O23" t="s">
        <v>250</v>
      </c>
    </row>
    <row r="24" spans="3:17" x14ac:dyDescent="0.3">
      <c r="C24" t="s">
        <v>221</v>
      </c>
      <c r="D24" t="s">
        <v>257</v>
      </c>
      <c r="E24">
        <v>3</v>
      </c>
      <c r="F24" t="s">
        <v>183</v>
      </c>
      <c r="G24">
        <v>90</v>
      </c>
      <c r="H24" t="s">
        <v>183</v>
      </c>
      <c r="I24">
        <v>3</v>
      </c>
      <c r="J24">
        <v>2</v>
      </c>
      <c r="K24" t="s">
        <v>222</v>
      </c>
      <c r="M24" t="s">
        <v>252</v>
      </c>
      <c r="N24">
        <v>0</v>
      </c>
    </row>
    <row r="25" spans="3:17" x14ac:dyDescent="0.3">
      <c r="C25" t="s">
        <v>223</v>
      </c>
      <c r="D25" t="s">
        <v>257</v>
      </c>
      <c r="E25">
        <v>4</v>
      </c>
      <c r="F25" t="s">
        <v>182</v>
      </c>
      <c r="G25">
        <v>90</v>
      </c>
      <c r="H25" t="s">
        <v>175</v>
      </c>
      <c r="I25">
        <v>4</v>
      </c>
      <c r="J25">
        <v>3</v>
      </c>
      <c r="K25" t="s">
        <v>186</v>
      </c>
      <c r="M25" t="s">
        <v>244</v>
      </c>
      <c r="N25">
        <v>1</v>
      </c>
    </row>
    <row r="26" spans="3:17" x14ac:dyDescent="0.3">
      <c r="C26" t="s">
        <v>224</v>
      </c>
      <c r="D26" t="s">
        <v>257</v>
      </c>
      <c r="E26">
        <v>4</v>
      </c>
      <c r="F26" t="s">
        <v>183</v>
      </c>
      <c r="G26">
        <v>120</v>
      </c>
      <c r="H26" t="s">
        <v>175</v>
      </c>
      <c r="I26">
        <v>4</v>
      </c>
      <c r="J26">
        <v>4</v>
      </c>
      <c r="K26" t="s">
        <v>225</v>
      </c>
      <c r="M26" t="s">
        <v>245</v>
      </c>
      <c r="N26">
        <v>2</v>
      </c>
      <c r="O26">
        <v>1</v>
      </c>
    </row>
    <row r="27" spans="3:17" x14ac:dyDescent="0.3">
      <c r="C27" t="s">
        <v>226</v>
      </c>
      <c r="D27" t="s">
        <v>257</v>
      </c>
      <c r="E27">
        <v>2</v>
      </c>
      <c r="F27" t="s">
        <v>183</v>
      </c>
      <c r="G27">
        <v>60</v>
      </c>
      <c r="H27" t="s">
        <v>183</v>
      </c>
      <c r="I27">
        <v>3</v>
      </c>
      <c r="J27">
        <v>2</v>
      </c>
      <c r="K27" t="s">
        <v>201</v>
      </c>
      <c r="M27" t="s">
        <v>246</v>
      </c>
      <c r="N27">
        <v>3</v>
      </c>
      <c r="O27">
        <v>1</v>
      </c>
    </row>
    <row r="28" spans="3:17" x14ac:dyDescent="0.3">
      <c r="C28" t="s">
        <v>227</v>
      </c>
      <c r="D28" t="s">
        <v>257</v>
      </c>
      <c r="E28">
        <v>3</v>
      </c>
      <c r="F28" t="s">
        <v>176</v>
      </c>
      <c r="G28">
        <v>40</v>
      </c>
      <c r="H28" t="s">
        <v>188</v>
      </c>
      <c r="I28">
        <v>2</v>
      </c>
      <c r="M28" t="s">
        <v>247</v>
      </c>
      <c r="N28">
        <v>4</v>
      </c>
      <c r="O28">
        <v>2</v>
      </c>
    </row>
    <row r="29" spans="3:17" x14ac:dyDescent="0.3">
      <c r="C29" t="s">
        <v>259</v>
      </c>
      <c r="D29" t="s">
        <v>258</v>
      </c>
      <c r="E29">
        <v>1</v>
      </c>
      <c r="F29" t="s">
        <v>183</v>
      </c>
      <c r="G29">
        <v>20</v>
      </c>
      <c r="H29" t="s">
        <v>178</v>
      </c>
      <c r="M29" t="s">
        <v>248</v>
      </c>
      <c r="N29">
        <v>5</v>
      </c>
      <c r="O29">
        <v>3</v>
      </c>
    </row>
    <row r="30" spans="3:17" x14ac:dyDescent="0.3">
      <c r="C30" t="s">
        <v>260</v>
      </c>
      <c r="D30" t="s">
        <v>258</v>
      </c>
      <c r="E30">
        <v>1</v>
      </c>
      <c r="F30" t="s">
        <v>182</v>
      </c>
      <c r="G30">
        <v>20</v>
      </c>
      <c r="H30" t="s">
        <v>178</v>
      </c>
      <c r="I30">
        <v>2</v>
      </c>
      <c r="J30">
        <v>0</v>
      </c>
      <c r="K30" t="s">
        <v>228</v>
      </c>
    </row>
    <row r="31" spans="3:17" x14ac:dyDescent="0.3">
      <c r="C31" t="s">
        <v>261</v>
      </c>
      <c r="D31" t="s">
        <v>258</v>
      </c>
      <c r="E31">
        <v>2</v>
      </c>
      <c r="F31" t="s">
        <v>183</v>
      </c>
      <c r="G31">
        <v>50</v>
      </c>
      <c r="H31" t="s">
        <v>175</v>
      </c>
      <c r="I31">
        <v>2</v>
      </c>
      <c r="J31">
        <v>2</v>
      </c>
      <c r="K31" t="s">
        <v>201</v>
      </c>
    </row>
    <row r="32" spans="3:17" x14ac:dyDescent="0.3">
      <c r="C32" t="s">
        <v>262</v>
      </c>
      <c r="D32" t="s">
        <v>258</v>
      </c>
      <c r="E32">
        <v>0</v>
      </c>
      <c r="F32" t="s">
        <v>182</v>
      </c>
      <c r="G32">
        <v>15</v>
      </c>
      <c r="H32" t="s">
        <v>188</v>
      </c>
      <c r="I32">
        <v>2</v>
      </c>
      <c r="K32" t="s">
        <v>228</v>
      </c>
    </row>
    <row r="33" spans="3:11" x14ac:dyDescent="0.3">
      <c r="C33" t="s">
        <v>229</v>
      </c>
      <c r="D33" t="s">
        <v>258</v>
      </c>
      <c r="E33">
        <v>0</v>
      </c>
      <c r="F33" t="s">
        <v>190</v>
      </c>
      <c r="G33">
        <v>40</v>
      </c>
      <c r="H33" t="s">
        <v>188</v>
      </c>
      <c r="I33">
        <v>2</v>
      </c>
      <c r="K33" t="s">
        <v>228</v>
      </c>
    </row>
    <row r="34" spans="3:11" x14ac:dyDescent="0.3">
      <c r="C34" t="s">
        <v>263</v>
      </c>
      <c r="D34" t="s">
        <v>258</v>
      </c>
      <c r="E34">
        <v>2</v>
      </c>
      <c r="F34" t="s">
        <v>182</v>
      </c>
      <c r="G34">
        <v>40</v>
      </c>
      <c r="H34" t="s">
        <v>175</v>
      </c>
      <c r="I34">
        <v>3</v>
      </c>
      <c r="K34" t="s">
        <v>201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B5A2D-5506-46EE-A64B-EA9E1A934359}">
  <dimension ref="A3:CV23"/>
  <sheetViews>
    <sheetView tabSelected="1" workbookViewId="0">
      <pane xSplit="1" topLeftCell="BS1" activePane="topRight" state="frozen"/>
      <selection pane="topRight" activeCell="BA6" sqref="BA6"/>
    </sheetView>
  </sheetViews>
  <sheetFormatPr defaultRowHeight="14.4" x14ac:dyDescent="0.3"/>
  <cols>
    <col min="1" max="1" width="22.77734375" bestFit="1" customWidth="1"/>
    <col min="2" max="2" width="11.5546875" bestFit="1" customWidth="1"/>
    <col min="4" max="4" width="11.88671875" customWidth="1"/>
    <col min="5" max="5" width="10" customWidth="1"/>
    <col min="6" max="6" width="11.109375" customWidth="1"/>
    <col min="7" max="7" width="11.6640625" customWidth="1"/>
    <col min="8" max="8" width="14.77734375" customWidth="1"/>
    <col min="9" max="9" width="9.5546875" customWidth="1"/>
    <col min="10" max="10" width="10.21875" customWidth="1"/>
    <col min="11" max="11" width="9.33203125" customWidth="1"/>
    <col min="12" max="12" width="10.33203125" customWidth="1"/>
    <col min="13" max="13" width="13.5546875" customWidth="1"/>
    <col min="14" max="14" width="12.44140625" customWidth="1"/>
    <col min="15" max="15" width="11.5546875" customWidth="1"/>
    <col min="16" max="16" width="12.109375" customWidth="1"/>
    <col min="18" max="18" width="10.21875" customWidth="1"/>
    <col min="19" max="19" width="9.77734375" customWidth="1"/>
    <col min="20" max="20" width="11.5546875" customWidth="1"/>
    <col min="22" max="22" width="9.88671875" customWidth="1"/>
    <col min="23" max="23" width="11.44140625" customWidth="1"/>
    <col min="24" max="24" width="12.6640625" customWidth="1"/>
    <col min="25" max="25" width="11.5546875" customWidth="1"/>
    <col min="26" max="26" width="13.21875" customWidth="1"/>
    <col min="27" max="27" width="11.5546875" customWidth="1"/>
    <col min="28" max="28" width="11.77734375" customWidth="1"/>
    <col min="29" max="29" width="9" customWidth="1"/>
    <col min="30" max="30" width="11.6640625" customWidth="1"/>
    <col min="32" max="32" width="10.21875" customWidth="1"/>
    <col min="34" max="34" width="13.33203125" customWidth="1"/>
    <col min="37" max="37" width="9" customWidth="1"/>
    <col min="38" max="38" width="11.44140625" customWidth="1"/>
    <col min="39" max="39" width="9.44140625" customWidth="1"/>
    <col min="40" max="40" width="15.44140625" customWidth="1"/>
    <col min="41" max="41" width="13.21875" customWidth="1"/>
    <col min="43" max="43" width="10.21875" customWidth="1"/>
    <col min="46" max="46" width="10.77734375" customWidth="1"/>
    <col min="47" max="47" width="10.21875" customWidth="1"/>
    <col min="48" max="48" width="11.109375" customWidth="1"/>
    <col min="51" max="51" width="9" customWidth="1"/>
    <col min="52" max="52" width="11.5546875" customWidth="1"/>
    <col min="53" max="53" width="11.6640625" customWidth="1"/>
    <col min="54" max="54" width="13.44140625" customWidth="1"/>
    <col min="55" max="55" width="10.77734375" customWidth="1"/>
    <col min="57" max="57" width="10.21875" customWidth="1"/>
    <col min="58" max="58" width="11.109375" customWidth="1"/>
    <col min="59" max="59" width="14.6640625" customWidth="1"/>
    <col min="60" max="60" width="9.44140625" customWidth="1"/>
    <col min="61" max="61" width="10.109375" customWidth="1"/>
    <col min="62" max="62" width="9.21875" customWidth="1"/>
    <col min="63" max="63" width="16.77734375" customWidth="1"/>
    <col min="64" max="64" width="16.6640625" customWidth="1"/>
    <col min="65" max="65" width="10.21875" customWidth="1"/>
    <col min="67" max="67" width="10.33203125" customWidth="1"/>
    <col min="68" max="68" width="14.77734375" customWidth="1"/>
    <col min="69" max="69" width="15.77734375" customWidth="1"/>
    <col min="70" max="70" width="11.33203125" customWidth="1"/>
    <col min="71" max="71" width="14.21875" customWidth="1"/>
    <col min="72" max="72" width="20.77734375" customWidth="1"/>
    <col min="76" max="76" width="17" customWidth="1"/>
    <col min="77" max="77" width="10" customWidth="1"/>
    <col min="78" max="78" width="9.109375" customWidth="1"/>
    <col min="81" max="81" width="10.33203125" customWidth="1"/>
    <col min="83" max="83" width="11.109375" customWidth="1"/>
    <col min="84" max="84" width="10.44140625" customWidth="1"/>
    <col min="86" max="86" width="12.33203125" customWidth="1"/>
    <col min="87" max="88" width="12" customWidth="1"/>
    <col min="89" max="89" width="11.44140625" customWidth="1"/>
    <col min="91" max="91" width="12.5546875" customWidth="1"/>
    <col min="92" max="92" width="9.5546875" customWidth="1"/>
    <col min="93" max="93" width="13.5546875" customWidth="1"/>
    <col min="94" max="94" width="13.109375" customWidth="1"/>
    <col min="95" max="95" width="19.33203125" customWidth="1"/>
    <col min="96" max="96" width="15.44140625" customWidth="1"/>
    <col min="97" max="98" width="13.6640625" customWidth="1"/>
    <col min="99" max="99" width="15.44140625" bestFit="1" customWidth="1"/>
    <col min="100" max="100" width="13.5546875" bestFit="1" customWidth="1"/>
  </cols>
  <sheetData>
    <row r="3" spans="1:100" x14ac:dyDescent="0.3">
      <c r="A3" s="28" t="s">
        <v>85</v>
      </c>
      <c r="B3" s="10" t="s">
        <v>92</v>
      </c>
      <c r="C3" s="10" t="s">
        <v>89</v>
      </c>
      <c r="D3" s="10" t="s">
        <v>83</v>
      </c>
      <c r="E3" s="10" t="s">
        <v>84</v>
      </c>
      <c r="F3" s="10" t="s">
        <v>79</v>
      </c>
      <c r="G3" s="10" t="s">
        <v>80</v>
      </c>
      <c r="H3" s="10" t="s">
        <v>124</v>
      </c>
      <c r="I3" s="11" t="s">
        <v>0</v>
      </c>
      <c r="J3" s="11" t="s">
        <v>1</v>
      </c>
      <c r="K3" s="11" t="s">
        <v>2</v>
      </c>
      <c r="L3" s="11" t="s">
        <v>3</v>
      </c>
      <c r="M3" s="11" t="s">
        <v>4</v>
      </c>
      <c r="N3" s="11" t="s">
        <v>125</v>
      </c>
      <c r="O3" s="11" t="s">
        <v>5</v>
      </c>
      <c r="P3" s="11" t="s">
        <v>6</v>
      </c>
      <c r="Q3" s="11" t="s">
        <v>7</v>
      </c>
      <c r="R3" s="12" t="s">
        <v>8</v>
      </c>
      <c r="S3" s="12" t="s">
        <v>9</v>
      </c>
      <c r="T3" s="12" t="s">
        <v>10</v>
      </c>
      <c r="U3" s="12" t="s">
        <v>11</v>
      </c>
      <c r="V3" s="12" t="s">
        <v>12</v>
      </c>
      <c r="W3" s="12" t="s">
        <v>13</v>
      </c>
      <c r="X3" s="12" t="s">
        <v>14</v>
      </c>
      <c r="Y3" s="12" t="s">
        <v>15</v>
      </c>
      <c r="Z3" s="12" t="s">
        <v>16</v>
      </c>
      <c r="AA3" s="12" t="s">
        <v>17</v>
      </c>
      <c r="AB3" s="13" t="s">
        <v>18</v>
      </c>
      <c r="AC3" s="13" t="s">
        <v>19</v>
      </c>
      <c r="AD3" s="13" t="s">
        <v>20</v>
      </c>
      <c r="AE3" s="13" t="s">
        <v>21</v>
      </c>
      <c r="AF3" s="13" t="s">
        <v>22</v>
      </c>
      <c r="AG3" s="13" t="s">
        <v>23</v>
      </c>
      <c r="AH3" s="13" t="s">
        <v>24</v>
      </c>
      <c r="AI3" s="13" t="s">
        <v>25</v>
      </c>
      <c r="AJ3" s="13" t="s">
        <v>26</v>
      </c>
      <c r="AK3" s="13" t="s">
        <v>27</v>
      </c>
      <c r="AL3" s="14" t="s">
        <v>28</v>
      </c>
      <c r="AM3" s="14" t="s">
        <v>29</v>
      </c>
      <c r="AN3" s="14" t="s">
        <v>30</v>
      </c>
      <c r="AO3" s="14" t="s">
        <v>31</v>
      </c>
      <c r="AP3" s="14" t="s">
        <v>32</v>
      </c>
      <c r="AQ3" s="14" t="s">
        <v>33</v>
      </c>
      <c r="AR3" s="14" t="s">
        <v>34</v>
      </c>
      <c r="AS3" s="14" t="s">
        <v>35</v>
      </c>
      <c r="AT3" s="14" t="s">
        <v>36</v>
      </c>
      <c r="AU3" s="14" t="s">
        <v>37</v>
      </c>
      <c r="AV3" s="15" t="s">
        <v>38</v>
      </c>
      <c r="AW3" s="15" t="s">
        <v>39</v>
      </c>
      <c r="AX3" s="15" t="s">
        <v>40</v>
      </c>
      <c r="AY3" s="15" t="s">
        <v>41</v>
      </c>
      <c r="AZ3" s="15" t="s">
        <v>42</v>
      </c>
      <c r="BA3" s="15" t="s">
        <v>43</v>
      </c>
      <c r="BB3" s="15" t="s">
        <v>44</v>
      </c>
      <c r="BC3" s="15" t="s">
        <v>45</v>
      </c>
      <c r="BD3" s="15" t="s">
        <v>46</v>
      </c>
      <c r="BE3" s="15" t="s">
        <v>47</v>
      </c>
      <c r="BF3" s="15" t="s">
        <v>48</v>
      </c>
      <c r="BG3" s="15" t="s">
        <v>49</v>
      </c>
      <c r="BH3" s="15" t="s">
        <v>50</v>
      </c>
      <c r="BI3" s="15" t="s">
        <v>51</v>
      </c>
      <c r="BJ3" s="15" t="s">
        <v>52</v>
      </c>
      <c r="BK3" s="15" t="s">
        <v>53</v>
      </c>
      <c r="BL3" s="15" t="s">
        <v>54</v>
      </c>
      <c r="BM3" s="15" t="s">
        <v>55</v>
      </c>
      <c r="BN3" s="15" t="s">
        <v>56</v>
      </c>
      <c r="BO3" s="15" t="s">
        <v>57</v>
      </c>
      <c r="BP3" s="15" t="s">
        <v>58</v>
      </c>
      <c r="BQ3" s="15" t="s">
        <v>59</v>
      </c>
      <c r="BR3" s="15" t="s">
        <v>60</v>
      </c>
      <c r="BS3" s="15" t="s">
        <v>61</v>
      </c>
      <c r="BT3" s="15" t="s">
        <v>62</v>
      </c>
      <c r="BU3" s="15" t="s">
        <v>137</v>
      </c>
      <c r="BV3" s="15" t="s">
        <v>138</v>
      </c>
      <c r="BW3" s="16" t="s">
        <v>63</v>
      </c>
      <c r="BX3" s="16" t="s">
        <v>64</v>
      </c>
      <c r="BY3" s="16" t="s">
        <v>65</v>
      </c>
      <c r="BZ3" s="16" t="s">
        <v>66</v>
      </c>
      <c r="CA3" s="16" t="s">
        <v>67</v>
      </c>
      <c r="CB3" s="16" t="s">
        <v>68</v>
      </c>
      <c r="CC3" s="16" t="s">
        <v>69</v>
      </c>
      <c r="CD3" s="16" t="s">
        <v>70</v>
      </c>
      <c r="CE3" s="16" t="s">
        <v>71</v>
      </c>
      <c r="CF3" s="16" t="s">
        <v>72</v>
      </c>
      <c r="CG3" s="16" t="s">
        <v>73</v>
      </c>
      <c r="CH3" s="17" t="s">
        <v>101</v>
      </c>
      <c r="CI3" s="17" t="s">
        <v>102</v>
      </c>
      <c r="CJ3" s="17" t="s">
        <v>74</v>
      </c>
      <c r="CK3" s="17" t="s">
        <v>75</v>
      </c>
      <c r="CL3" s="17" t="s">
        <v>76</v>
      </c>
      <c r="CM3" s="17" t="s">
        <v>77</v>
      </c>
      <c r="CN3" s="17" t="s">
        <v>78</v>
      </c>
      <c r="CO3" s="18" t="s">
        <v>86</v>
      </c>
      <c r="CP3" s="18" t="s">
        <v>87</v>
      </c>
      <c r="CQ3" s="18" t="s">
        <v>109</v>
      </c>
      <c r="CR3" s="18" t="s">
        <v>110</v>
      </c>
      <c r="CS3" s="18" t="s">
        <v>111</v>
      </c>
      <c r="CT3" s="18" t="s">
        <v>255</v>
      </c>
      <c r="CU3" s="18" t="s">
        <v>251</v>
      </c>
      <c r="CV3" s="18" t="s">
        <v>264</v>
      </c>
    </row>
    <row r="4" spans="1:100" x14ac:dyDescent="0.3">
      <c r="A4" s="29" t="s">
        <v>82</v>
      </c>
      <c r="B4" s="32" t="s">
        <v>93</v>
      </c>
      <c r="C4" s="1">
        <v>737</v>
      </c>
      <c r="D4" s="1">
        <v>5</v>
      </c>
      <c r="E4" s="1">
        <v>8</v>
      </c>
      <c r="F4" s="1">
        <v>9</v>
      </c>
      <c r="G4" s="1">
        <v>40</v>
      </c>
      <c r="H4" s="1">
        <v>8</v>
      </c>
      <c r="I4" s="2">
        <v>4</v>
      </c>
      <c r="J4" s="2">
        <v>4</v>
      </c>
      <c r="K4" s="2">
        <v>3</v>
      </c>
      <c r="L4" s="2">
        <v>7</v>
      </c>
      <c r="M4" s="2">
        <v>5</v>
      </c>
      <c r="N4" s="2">
        <v>4</v>
      </c>
      <c r="O4" s="2">
        <v>2</v>
      </c>
      <c r="P4" s="2">
        <v>4</v>
      </c>
      <c r="Q4" s="2">
        <v>3</v>
      </c>
      <c r="R4" s="3">
        <v>3</v>
      </c>
      <c r="S4" s="3">
        <v>2</v>
      </c>
      <c r="T4" s="3">
        <v>1</v>
      </c>
      <c r="U4" s="3">
        <v>2</v>
      </c>
      <c r="V4" s="3">
        <v>1</v>
      </c>
      <c r="W4" s="3">
        <v>2</v>
      </c>
      <c r="X4" s="3">
        <v>4</v>
      </c>
      <c r="Y4" s="3">
        <v>4</v>
      </c>
      <c r="Z4" s="3"/>
      <c r="AA4" s="3">
        <v>3</v>
      </c>
      <c r="AB4" s="4"/>
      <c r="AC4" s="4"/>
      <c r="AD4" s="4"/>
      <c r="AE4" s="4"/>
      <c r="AF4" s="4">
        <v>5</v>
      </c>
      <c r="AG4" s="4">
        <v>4</v>
      </c>
      <c r="AH4" s="4">
        <v>2</v>
      </c>
      <c r="AI4" s="4">
        <v>1</v>
      </c>
      <c r="AJ4" s="4">
        <v>2</v>
      </c>
      <c r="AK4" s="4">
        <v>2</v>
      </c>
      <c r="AL4" s="5">
        <v>2</v>
      </c>
      <c r="AM4" s="5">
        <v>1</v>
      </c>
      <c r="AN4" s="5"/>
      <c r="AO4" s="5">
        <v>1</v>
      </c>
      <c r="AP4" s="5">
        <v>3</v>
      </c>
      <c r="AQ4" s="5">
        <v>2</v>
      </c>
      <c r="AR4" s="5">
        <v>4</v>
      </c>
      <c r="AS4" s="5">
        <v>6</v>
      </c>
      <c r="AT4" s="5">
        <v>2</v>
      </c>
      <c r="AU4" s="5">
        <v>3</v>
      </c>
      <c r="AV4" s="6"/>
      <c r="AW4" s="6">
        <v>3</v>
      </c>
      <c r="AX4" s="6"/>
      <c r="AY4" s="6">
        <v>5</v>
      </c>
      <c r="AZ4" s="6"/>
      <c r="BA4" s="6"/>
      <c r="BB4" s="6">
        <v>2</v>
      </c>
      <c r="BC4" s="6">
        <v>4</v>
      </c>
      <c r="BD4" s="6"/>
      <c r="BE4" s="6"/>
      <c r="BF4" s="6"/>
      <c r="BG4" s="6"/>
      <c r="BH4" s="6">
        <v>5</v>
      </c>
      <c r="BI4" s="6">
        <v>7</v>
      </c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7">
        <v>4</v>
      </c>
      <c r="BX4" s="7">
        <v>10</v>
      </c>
      <c r="BY4" s="7">
        <v>4</v>
      </c>
      <c r="BZ4" s="7">
        <v>5</v>
      </c>
      <c r="CA4" s="7">
        <v>4</v>
      </c>
      <c r="CB4" s="7">
        <v>1</v>
      </c>
      <c r="CC4" s="7">
        <v>4</v>
      </c>
      <c r="CD4" s="7"/>
      <c r="CE4" s="7">
        <v>4</v>
      </c>
      <c r="CF4" s="7">
        <v>3</v>
      </c>
      <c r="CG4" s="7">
        <v>4</v>
      </c>
      <c r="CH4" s="8" t="s">
        <v>100</v>
      </c>
      <c r="CI4" s="8">
        <v>8</v>
      </c>
      <c r="CJ4" s="8">
        <v>4</v>
      </c>
      <c r="CK4" s="8"/>
      <c r="CL4" s="8"/>
      <c r="CM4" s="8">
        <v>5</v>
      </c>
      <c r="CN4" s="8">
        <v>5</v>
      </c>
      <c r="CO4" s="9">
        <f t="shared" ref="CO4:CO23" si="0">J4+AG4+AY4</f>
        <v>13</v>
      </c>
      <c r="CP4" s="9">
        <f t="shared" ref="CP4:CP23" si="1">J4+U4+AY4</f>
        <v>11</v>
      </c>
      <c r="CQ4" s="9">
        <f t="shared" ref="CQ4:CQ23" si="2">I4+BH4</f>
        <v>9</v>
      </c>
      <c r="CR4" s="9">
        <f t="shared" ref="CR4:CR23" si="3">J4+AC4+AY4</f>
        <v>9</v>
      </c>
      <c r="CS4" s="9">
        <f t="shared" ref="CS4:CS23" si="4">J4+S4+AY4</f>
        <v>11</v>
      </c>
      <c r="CT4" s="9" t="s">
        <v>242</v>
      </c>
      <c r="CU4" s="9" t="s">
        <v>246</v>
      </c>
      <c r="CV4" s="9" t="s">
        <v>252</v>
      </c>
    </row>
    <row r="5" spans="1:100" x14ac:dyDescent="0.3">
      <c r="A5" s="29" t="s">
        <v>88</v>
      </c>
      <c r="B5" s="32" t="s">
        <v>94</v>
      </c>
      <c r="C5" s="1">
        <v>1000</v>
      </c>
      <c r="D5" s="1">
        <v>5</v>
      </c>
      <c r="E5" s="1">
        <v>8</v>
      </c>
      <c r="F5" s="1">
        <v>9</v>
      </c>
      <c r="G5" s="1">
        <v>40</v>
      </c>
      <c r="H5" s="1">
        <v>8</v>
      </c>
      <c r="I5" s="2">
        <v>8</v>
      </c>
      <c r="J5" s="2">
        <v>7</v>
      </c>
      <c r="K5" s="2">
        <v>8</v>
      </c>
      <c r="L5" s="2">
        <v>1</v>
      </c>
      <c r="M5" s="2">
        <v>3</v>
      </c>
      <c r="N5" s="2">
        <v>1</v>
      </c>
      <c r="O5" s="2">
        <v>7</v>
      </c>
      <c r="P5" s="2">
        <v>3</v>
      </c>
      <c r="Q5" s="2">
        <v>1</v>
      </c>
      <c r="R5" s="3">
        <v>8</v>
      </c>
      <c r="S5" s="3">
        <v>8</v>
      </c>
      <c r="T5" s="3">
        <v>8</v>
      </c>
      <c r="U5" s="3">
        <v>8</v>
      </c>
      <c r="V5" s="3"/>
      <c r="W5" s="3"/>
      <c r="X5" s="3">
        <v>7</v>
      </c>
      <c r="Y5" s="3">
        <v>4</v>
      </c>
      <c r="Z5" s="3"/>
      <c r="AA5" s="3"/>
      <c r="AB5" s="4">
        <v>7</v>
      </c>
      <c r="AC5" s="4"/>
      <c r="AD5" s="4"/>
      <c r="AE5" s="4">
        <v>3</v>
      </c>
      <c r="AF5" s="4"/>
      <c r="AG5" s="4">
        <v>2</v>
      </c>
      <c r="AH5" s="4"/>
      <c r="AI5" s="4"/>
      <c r="AJ5" s="4">
        <v>8</v>
      </c>
      <c r="AK5" s="4">
        <v>8</v>
      </c>
      <c r="AL5" s="5"/>
      <c r="AM5" s="5"/>
      <c r="AN5" s="5"/>
      <c r="AO5" s="5">
        <v>4</v>
      </c>
      <c r="AP5" s="5"/>
      <c r="AQ5" s="5">
        <v>2</v>
      </c>
      <c r="AR5" s="5"/>
      <c r="AS5" s="5"/>
      <c r="AT5" s="5"/>
      <c r="AU5" s="5"/>
      <c r="AV5" s="6">
        <v>6</v>
      </c>
      <c r="AW5" s="6">
        <v>3</v>
      </c>
      <c r="AX5" s="6"/>
      <c r="AY5" s="6">
        <v>7</v>
      </c>
      <c r="AZ5" s="6"/>
      <c r="BA5" s="6"/>
      <c r="BB5" s="6"/>
      <c r="BC5" s="6"/>
      <c r="BD5" s="6"/>
      <c r="BE5" s="6">
        <v>7</v>
      </c>
      <c r="BF5" s="6">
        <v>2</v>
      </c>
      <c r="BG5" s="6"/>
      <c r="BH5" s="6">
        <v>6</v>
      </c>
      <c r="BI5" s="6"/>
      <c r="BJ5" s="6">
        <v>3</v>
      </c>
      <c r="BK5" s="6"/>
      <c r="BL5" s="6"/>
      <c r="BM5" s="6"/>
      <c r="BN5" s="6"/>
      <c r="BO5" s="6"/>
      <c r="BP5" s="6"/>
      <c r="BQ5" s="6"/>
      <c r="BR5" s="6">
        <v>3</v>
      </c>
      <c r="BS5" s="6"/>
      <c r="BT5" s="6"/>
      <c r="BU5" s="6"/>
      <c r="BV5" s="6"/>
      <c r="BW5" s="7">
        <v>3</v>
      </c>
      <c r="BX5" s="7"/>
      <c r="BY5" s="7"/>
      <c r="BZ5" s="7"/>
      <c r="CA5" s="7"/>
      <c r="CB5" s="7"/>
      <c r="CC5" s="7"/>
      <c r="CD5" s="7"/>
      <c r="CE5" s="7"/>
      <c r="CF5" s="7"/>
      <c r="CG5" s="7"/>
      <c r="CH5" s="8" t="s">
        <v>103</v>
      </c>
      <c r="CI5" s="8"/>
      <c r="CJ5" s="8"/>
      <c r="CK5" s="8"/>
      <c r="CL5" s="8"/>
      <c r="CM5" s="8"/>
      <c r="CN5" s="8">
        <v>5</v>
      </c>
      <c r="CO5" s="9">
        <f t="shared" si="0"/>
        <v>16</v>
      </c>
      <c r="CP5" s="9">
        <f t="shared" si="1"/>
        <v>22</v>
      </c>
      <c r="CQ5" s="9">
        <f t="shared" si="2"/>
        <v>14</v>
      </c>
      <c r="CR5" s="9">
        <f t="shared" si="3"/>
        <v>14</v>
      </c>
      <c r="CS5" s="9">
        <f t="shared" si="4"/>
        <v>22</v>
      </c>
      <c r="CT5" s="9" t="s">
        <v>242</v>
      </c>
      <c r="CU5" s="9" t="s">
        <v>246</v>
      </c>
      <c r="CV5" s="9" t="s">
        <v>252</v>
      </c>
    </row>
    <row r="6" spans="1:100" x14ac:dyDescent="0.3">
      <c r="A6" s="29" t="s">
        <v>106</v>
      </c>
      <c r="B6" s="32" t="s">
        <v>95</v>
      </c>
      <c r="C6" s="1">
        <v>508</v>
      </c>
      <c r="D6" s="1">
        <v>7</v>
      </c>
      <c r="E6" s="1">
        <v>6</v>
      </c>
      <c r="F6" s="1">
        <v>8</v>
      </c>
      <c r="G6" s="1">
        <v>20</v>
      </c>
      <c r="H6" s="1">
        <v>4</v>
      </c>
      <c r="I6" s="2">
        <v>4</v>
      </c>
      <c r="J6" s="2">
        <v>4</v>
      </c>
      <c r="K6" s="2">
        <v>3</v>
      </c>
      <c r="L6" s="2">
        <v>3</v>
      </c>
      <c r="M6" s="2">
        <v>6</v>
      </c>
      <c r="N6" s="2">
        <v>4</v>
      </c>
      <c r="O6" s="2">
        <v>3</v>
      </c>
      <c r="P6" s="2">
        <v>4</v>
      </c>
      <c r="Q6" s="2">
        <v>3</v>
      </c>
      <c r="R6" s="3">
        <v>3</v>
      </c>
      <c r="S6" s="3">
        <v>4</v>
      </c>
      <c r="T6" s="3">
        <v>2</v>
      </c>
      <c r="U6" s="3">
        <v>1</v>
      </c>
      <c r="V6" s="3">
        <v>2</v>
      </c>
      <c r="W6" s="3">
        <v>3</v>
      </c>
      <c r="X6" s="3">
        <v>4</v>
      </c>
      <c r="Y6" s="3">
        <v>2</v>
      </c>
      <c r="Z6" s="3"/>
      <c r="AA6" s="3">
        <v>5</v>
      </c>
      <c r="AB6" s="4"/>
      <c r="AC6" s="4"/>
      <c r="AD6" s="4"/>
      <c r="AE6" s="4"/>
      <c r="AF6" s="4">
        <v>2</v>
      </c>
      <c r="AG6" s="4">
        <v>4</v>
      </c>
      <c r="AH6" s="4">
        <v>3</v>
      </c>
      <c r="AI6" s="4"/>
      <c r="AJ6" s="4">
        <v>4</v>
      </c>
      <c r="AK6" s="4">
        <v>1</v>
      </c>
      <c r="AL6" s="5"/>
      <c r="AM6" s="5">
        <v>1</v>
      </c>
      <c r="AN6" s="5"/>
      <c r="AO6" s="5">
        <v>4</v>
      </c>
      <c r="AP6" s="5"/>
      <c r="AQ6" s="5"/>
      <c r="AR6" s="5"/>
      <c r="AS6" s="5">
        <v>4</v>
      </c>
      <c r="AT6" s="5"/>
      <c r="AU6" s="5">
        <v>3</v>
      </c>
      <c r="AV6" s="6"/>
      <c r="AW6" s="6">
        <v>4</v>
      </c>
      <c r="AX6" s="6"/>
      <c r="AY6" s="6"/>
      <c r="AZ6" s="6"/>
      <c r="BA6" s="6"/>
      <c r="BB6" s="6"/>
      <c r="BC6" s="6"/>
      <c r="BD6" s="6"/>
      <c r="BE6" s="6"/>
      <c r="BF6" s="6">
        <v>4</v>
      </c>
      <c r="BG6" s="6"/>
      <c r="BH6" s="6"/>
      <c r="BI6" s="6">
        <v>5</v>
      </c>
      <c r="BJ6" s="6"/>
      <c r="BK6" s="6">
        <v>5</v>
      </c>
      <c r="BL6" s="6">
        <v>4</v>
      </c>
      <c r="BM6" s="6"/>
      <c r="BN6" s="6"/>
      <c r="BO6" s="6"/>
      <c r="BP6" s="6"/>
      <c r="BQ6" s="6"/>
      <c r="BR6" s="6"/>
      <c r="BS6" s="6"/>
      <c r="BT6" s="6"/>
      <c r="BU6" s="6"/>
      <c r="BV6" s="6"/>
      <c r="BW6" s="7">
        <v>3</v>
      </c>
      <c r="BX6" s="7"/>
      <c r="BY6" s="7">
        <v>3</v>
      </c>
      <c r="BZ6" s="7">
        <v>2</v>
      </c>
      <c r="CA6" s="7">
        <v>2</v>
      </c>
      <c r="CB6" s="7">
        <v>1</v>
      </c>
      <c r="CC6" s="7">
        <v>3</v>
      </c>
      <c r="CD6" s="7">
        <v>2</v>
      </c>
      <c r="CE6" s="7">
        <v>3</v>
      </c>
      <c r="CF6" s="7">
        <v>2</v>
      </c>
      <c r="CG6" s="7">
        <v>2</v>
      </c>
      <c r="CH6" s="8" t="s">
        <v>81</v>
      </c>
      <c r="CI6" s="8">
        <v>7</v>
      </c>
      <c r="CJ6" s="8"/>
      <c r="CK6" s="8">
        <v>4</v>
      </c>
      <c r="CL6" s="8">
        <v>4</v>
      </c>
      <c r="CM6" s="8"/>
      <c r="CN6" s="8">
        <v>4</v>
      </c>
      <c r="CO6" s="9">
        <f t="shared" si="0"/>
        <v>8</v>
      </c>
      <c r="CP6" s="9">
        <f t="shared" si="1"/>
        <v>5</v>
      </c>
      <c r="CQ6" s="9">
        <f t="shared" si="2"/>
        <v>4</v>
      </c>
      <c r="CR6" s="9">
        <f t="shared" si="3"/>
        <v>4</v>
      </c>
      <c r="CS6" s="9">
        <f t="shared" si="4"/>
        <v>8</v>
      </c>
      <c r="CT6" s="9" t="s">
        <v>202</v>
      </c>
      <c r="CU6" s="9" t="s">
        <v>246</v>
      </c>
      <c r="CV6" s="9" t="s">
        <v>252</v>
      </c>
    </row>
    <row r="7" spans="1:100" x14ac:dyDescent="0.3">
      <c r="A7" s="29" t="s">
        <v>90</v>
      </c>
      <c r="B7" s="32" t="s">
        <v>93</v>
      </c>
      <c r="C7" s="1">
        <v>180</v>
      </c>
      <c r="D7" s="1">
        <v>9</v>
      </c>
      <c r="E7" s="1">
        <v>5</v>
      </c>
      <c r="F7" s="1">
        <v>8</v>
      </c>
      <c r="G7" s="1">
        <v>14</v>
      </c>
      <c r="H7" s="1">
        <v>2</v>
      </c>
      <c r="I7" s="2">
        <v>5</v>
      </c>
      <c r="J7" s="2">
        <v>3</v>
      </c>
      <c r="K7" s="2">
        <v>3</v>
      </c>
      <c r="L7" s="2">
        <v>4</v>
      </c>
      <c r="M7" s="2">
        <v>2</v>
      </c>
      <c r="N7" s="2">
        <v>2</v>
      </c>
      <c r="O7" s="2">
        <v>4</v>
      </c>
      <c r="P7" s="2">
        <v>3</v>
      </c>
      <c r="Q7" s="2">
        <v>2</v>
      </c>
      <c r="R7" s="3">
        <v>2</v>
      </c>
      <c r="S7" s="3">
        <v>3</v>
      </c>
      <c r="T7" s="3">
        <v>1</v>
      </c>
      <c r="U7" s="3">
        <v>2</v>
      </c>
      <c r="V7" s="3"/>
      <c r="W7" s="3">
        <v>2</v>
      </c>
      <c r="X7" s="3">
        <v>2</v>
      </c>
      <c r="Y7" s="3">
        <v>3</v>
      </c>
      <c r="Z7" s="3"/>
      <c r="AA7" s="3"/>
      <c r="AB7" s="4">
        <v>2</v>
      </c>
      <c r="AC7" s="4">
        <v>2</v>
      </c>
      <c r="AD7" s="4">
        <v>1</v>
      </c>
      <c r="AE7" s="4"/>
      <c r="AF7" s="4">
        <v>1</v>
      </c>
      <c r="AG7" s="4">
        <v>4</v>
      </c>
      <c r="AH7" s="4"/>
      <c r="AI7" s="4">
        <v>2</v>
      </c>
      <c r="AJ7" s="4">
        <v>1</v>
      </c>
      <c r="AK7" s="4">
        <v>2</v>
      </c>
      <c r="AL7" s="5"/>
      <c r="AM7" s="5"/>
      <c r="AN7" s="5"/>
      <c r="AO7" s="5"/>
      <c r="AP7" s="5">
        <v>1</v>
      </c>
      <c r="AQ7" s="5"/>
      <c r="AR7" s="5"/>
      <c r="AS7" s="5">
        <v>3</v>
      </c>
      <c r="AT7" s="5">
        <v>1</v>
      </c>
      <c r="AU7" s="5">
        <v>1</v>
      </c>
      <c r="AV7" s="6"/>
      <c r="AW7" s="6"/>
      <c r="AX7" s="6"/>
      <c r="AY7" s="6">
        <v>4</v>
      </c>
      <c r="AZ7" s="6"/>
      <c r="BA7" s="6"/>
      <c r="BB7" s="6"/>
      <c r="BC7" s="6"/>
      <c r="BD7" s="6"/>
      <c r="BE7" s="6">
        <v>2</v>
      </c>
      <c r="BF7" s="6"/>
      <c r="BG7" s="6"/>
      <c r="BH7" s="6">
        <v>4</v>
      </c>
      <c r="BI7" s="6">
        <v>3</v>
      </c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7">
        <v>2</v>
      </c>
      <c r="BX7" s="7"/>
      <c r="BY7" s="7">
        <v>1</v>
      </c>
      <c r="BZ7" s="7">
        <v>2</v>
      </c>
      <c r="CA7" s="7"/>
      <c r="CB7" s="7"/>
      <c r="CC7" s="7"/>
      <c r="CD7" s="7"/>
      <c r="CE7" s="7">
        <v>2</v>
      </c>
      <c r="CF7" s="7"/>
      <c r="CG7" s="7"/>
      <c r="CH7" s="8" t="s">
        <v>100</v>
      </c>
      <c r="CI7" s="8"/>
      <c r="CJ7" s="8"/>
      <c r="CK7" s="8">
        <v>4</v>
      </c>
      <c r="CL7" s="8"/>
      <c r="CM7" s="8">
        <v>1</v>
      </c>
      <c r="CN7" s="8">
        <v>3</v>
      </c>
      <c r="CO7" s="9">
        <f t="shared" si="0"/>
        <v>11</v>
      </c>
      <c r="CP7" s="9">
        <f t="shared" si="1"/>
        <v>9</v>
      </c>
      <c r="CQ7" s="9">
        <f t="shared" si="2"/>
        <v>9</v>
      </c>
      <c r="CR7" s="9">
        <f t="shared" si="3"/>
        <v>9</v>
      </c>
      <c r="CS7" s="9">
        <f t="shared" si="4"/>
        <v>10</v>
      </c>
      <c r="CT7" s="9" t="s">
        <v>203</v>
      </c>
      <c r="CU7" s="9" t="s">
        <v>247</v>
      </c>
      <c r="CV7" s="9" t="s">
        <v>233</v>
      </c>
    </row>
    <row r="8" spans="1:100" x14ac:dyDescent="0.3">
      <c r="A8" s="29" t="s">
        <v>91</v>
      </c>
      <c r="B8" s="32" t="s">
        <v>96</v>
      </c>
      <c r="C8" s="1">
        <v>236</v>
      </c>
      <c r="D8" s="1">
        <v>8</v>
      </c>
      <c r="E8" s="1">
        <v>5</v>
      </c>
      <c r="F8" s="1">
        <v>6</v>
      </c>
      <c r="G8" s="1">
        <v>15</v>
      </c>
      <c r="H8" s="1">
        <v>3</v>
      </c>
      <c r="I8" s="2">
        <v>2</v>
      </c>
      <c r="J8" s="2">
        <v>4</v>
      </c>
      <c r="K8" s="2">
        <v>2</v>
      </c>
      <c r="L8" s="2">
        <v>5</v>
      </c>
      <c r="M8" s="2">
        <v>2</v>
      </c>
      <c r="N8" s="2">
        <v>3</v>
      </c>
      <c r="O8" s="2">
        <v>4</v>
      </c>
      <c r="P8" s="2">
        <v>3</v>
      </c>
      <c r="Q8" s="2">
        <v>3</v>
      </c>
      <c r="R8" s="3"/>
      <c r="S8" s="3"/>
      <c r="T8" s="3">
        <v>2</v>
      </c>
      <c r="U8" s="3"/>
      <c r="V8" s="3">
        <v>3</v>
      </c>
      <c r="W8" s="3">
        <v>3</v>
      </c>
      <c r="X8" s="3"/>
      <c r="Y8" s="3"/>
      <c r="Z8" s="3"/>
      <c r="AA8" s="3"/>
      <c r="AB8" s="4">
        <v>1</v>
      </c>
      <c r="AC8" s="4"/>
      <c r="AD8" s="4">
        <v>2</v>
      </c>
      <c r="AE8" s="4">
        <v>5</v>
      </c>
      <c r="AF8" s="4">
        <v>3</v>
      </c>
      <c r="AG8" s="4"/>
      <c r="AH8" s="4">
        <v>2</v>
      </c>
      <c r="AI8" s="4"/>
      <c r="AJ8" s="4"/>
      <c r="AK8" s="4">
        <v>2</v>
      </c>
      <c r="AL8" s="5">
        <v>3</v>
      </c>
      <c r="AM8" s="5">
        <v>2</v>
      </c>
      <c r="AN8" s="5">
        <v>3</v>
      </c>
      <c r="AO8" s="5"/>
      <c r="AP8" s="5"/>
      <c r="AQ8" s="5"/>
      <c r="AR8" s="5">
        <v>2</v>
      </c>
      <c r="AS8" s="5"/>
      <c r="AT8" s="5">
        <v>1</v>
      </c>
      <c r="AU8" s="5">
        <v>4</v>
      </c>
      <c r="AV8" s="6"/>
      <c r="AW8" s="6">
        <v>4</v>
      </c>
      <c r="AX8" s="6"/>
      <c r="AY8" s="6">
        <v>3</v>
      </c>
      <c r="AZ8" s="6">
        <v>3</v>
      </c>
      <c r="BA8" s="6"/>
      <c r="BB8" s="6"/>
      <c r="BC8" s="6"/>
      <c r="BD8" s="6"/>
      <c r="BE8" s="6"/>
      <c r="BF8" s="6">
        <v>2</v>
      </c>
      <c r="BG8" s="6"/>
      <c r="BH8" s="6"/>
      <c r="BI8" s="6">
        <v>3</v>
      </c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7"/>
      <c r="BX8" s="7"/>
      <c r="BY8" s="7"/>
      <c r="BZ8" s="7"/>
      <c r="CA8" s="7">
        <v>2</v>
      </c>
      <c r="CB8" s="7">
        <v>2</v>
      </c>
      <c r="CC8" s="7">
        <v>1</v>
      </c>
      <c r="CD8" s="7">
        <v>3</v>
      </c>
      <c r="CE8" s="7">
        <v>2</v>
      </c>
      <c r="CF8" s="7"/>
      <c r="CG8" s="7"/>
      <c r="CH8" s="8" t="s">
        <v>104</v>
      </c>
      <c r="CI8" s="8"/>
      <c r="CJ8" s="8"/>
      <c r="CK8" s="8"/>
      <c r="CL8" s="8"/>
      <c r="CM8" s="8"/>
      <c r="CN8" s="8"/>
      <c r="CO8" s="9">
        <f t="shared" si="0"/>
        <v>7</v>
      </c>
      <c r="CP8" s="9">
        <f t="shared" si="1"/>
        <v>7</v>
      </c>
      <c r="CQ8" s="9">
        <f t="shared" si="2"/>
        <v>2</v>
      </c>
      <c r="CR8" s="9">
        <f t="shared" si="3"/>
        <v>7</v>
      </c>
      <c r="CS8" s="9">
        <f t="shared" si="4"/>
        <v>7</v>
      </c>
      <c r="CT8" s="9" t="s">
        <v>200</v>
      </c>
      <c r="CU8" s="9" t="s">
        <v>252</v>
      </c>
      <c r="CV8" s="9" t="s">
        <v>252</v>
      </c>
    </row>
    <row r="9" spans="1:100" x14ac:dyDescent="0.3">
      <c r="A9" s="29" t="s">
        <v>112</v>
      </c>
      <c r="B9" s="32" t="s">
        <v>97</v>
      </c>
      <c r="C9" s="1">
        <v>219</v>
      </c>
      <c r="D9" s="1">
        <v>9</v>
      </c>
      <c r="E9" s="1">
        <v>5</v>
      </c>
      <c r="F9" s="1">
        <v>7</v>
      </c>
      <c r="G9" s="1">
        <v>14</v>
      </c>
      <c r="H9" s="1">
        <v>2</v>
      </c>
      <c r="I9" s="2">
        <v>2</v>
      </c>
      <c r="J9" s="2">
        <v>2</v>
      </c>
      <c r="K9" s="2">
        <v>3</v>
      </c>
      <c r="L9" s="2">
        <v>4</v>
      </c>
      <c r="M9" s="2">
        <v>5</v>
      </c>
      <c r="N9" s="2">
        <v>3</v>
      </c>
      <c r="O9" s="2">
        <v>2</v>
      </c>
      <c r="P9" s="2">
        <v>4</v>
      </c>
      <c r="Q9" s="2">
        <v>3</v>
      </c>
      <c r="R9" s="3"/>
      <c r="S9" s="3"/>
      <c r="T9" s="3"/>
      <c r="U9" s="3"/>
      <c r="V9" s="3">
        <v>2</v>
      </c>
      <c r="W9" s="3">
        <v>3</v>
      </c>
      <c r="X9" s="3">
        <v>3</v>
      </c>
      <c r="Y9" s="3">
        <v>3</v>
      </c>
      <c r="Z9" s="3"/>
      <c r="AA9" s="3">
        <v>2</v>
      </c>
      <c r="AB9" s="4">
        <v>3</v>
      </c>
      <c r="AC9" s="4"/>
      <c r="AD9" s="4">
        <v>3</v>
      </c>
      <c r="AE9" s="4"/>
      <c r="AF9" s="4">
        <v>4</v>
      </c>
      <c r="AG9" s="4">
        <v>3</v>
      </c>
      <c r="AH9" s="4"/>
      <c r="AI9" s="4">
        <v>1</v>
      </c>
      <c r="AJ9" s="4">
        <v>1</v>
      </c>
      <c r="AK9" s="4"/>
      <c r="AL9" s="5"/>
      <c r="AM9" s="5"/>
      <c r="AN9" s="5"/>
      <c r="AO9" s="5"/>
      <c r="AP9" s="5">
        <v>3</v>
      </c>
      <c r="AQ9" s="5"/>
      <c r="AR9" s="5"/>
      <c r="AS9" s="5">
        <v>4</v>
      </c>
      <c r="AT9" s="5">
        <v>3</v>
      </c>
      <c r="AU9" s="5"/>
      <c r="AV9" s="6">
        <v>3</v>
      </c>
      <c r="AW9" s="6"/>
      <c r="AX9" s="6"/>
      <c r="AY9" s="6"/>
      <c r="AZ9" s="6"/>
      <c r="BA9" s="6"/>
      <c r="BB9" s="6"/>
      <c r="BC9" s="6">
        <v>5</v>
      </c>
      <c r="BD9" s="6"/>
      <c r="BE9" s="6">
        <v>3</v>
      </c>
      <c r="BF9" s="6"/>
      <c r="BG9" s="6"/>
      <c r="BH9" s="6"/>
      <c r="BI9" s="6">
        <v>4</v>
      </c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7">
        <v>3</v>
      </c>
      <c r="BX9" s="7"/>
      <c r="BY9" s="7"/>
      <c r="BZ9" s="7">
        <v>2</v>
      </c>
      <c r="CA9" s="7"/>
      <c r="CB9" s="7"/>
      <c r="CC9" s="7">
        <v>3</v>
      </c>
      <c r="CD9" s="7"/>
      <c r="CE9" s="7">
        <v>4</v>
      </c>
      <c r="CF9" s="7"/>
      <c r="CG9" s="7">
        <v>2</v>
      </c>
      <c r="CH9" s="8" t="s">
        <v>100</v>
      </c>
      <c r="CI9" s="8"/>
      <c r="CJ9" s="8"/>
      <c r="CK9" s="8">
        <v>3</v>
      </c>
      <c r="CL9" s="8">
        <v>4</v>
      </c>
      <c r="CM9" s="8"/>
      <c r="CN9" s="8">
        <v>4</v>
      </c>
      <c r="CO9" s="9">
        <f t="shared" si="0"/>
        <v>5</v>
      </c>
      <c r="CP9" s="9">
        <f t="shared" si="1"/>
        <v>2</v>
      </c>
      <c r="CQ9" s="9">
        <f t="shared" si="2"/>
        <v>2</v>
      </c>
      <c r="CR9" s="9">
        <f t="shared" si="3"/>
        <v>2</v>
      </c>
      <c r="CS9" s="9">
        <f t="shared" si="4"/>
        <v>2</v>
      </c>
      <c r="CT9" s="9" t="s">
        <v>191</v>
      </c>
      <c r="CU9" s="9" t="s">
        <v>246</v>
      </c>
      <c r="CV9" s="9" t="s">
        <v>232</v>
      </c>
    </row>
    <row r="10" spans="1:100" x14ac:dyDescent="0.3">
      <c r="A10" s="30" t="s">
        <v>98</v>
      </c>
      <c r="B10" s="32" t="s">
        <v>99</v>
      </c>
      <c r="C10" s="1">
        <v>32</v>
      </c>
      <c r="D10" s="1">
        <v>12</v>
      </c>
      <c r="E10" s="1">
        <v>5</v>
      </c>
      <c r="F10" s="1">
        <v>3</v>
      </c>
      <c r="G10" s="1">
        <v>11</v>
      </c>
      <c r="H10" s="1">
        <v>1</v>
      </c>
      <c r="I10" s="2">
        <v>3</v>
      </c>
      <c r="J10" s="2">
        <v>4</v>
      </c>
      <c r="K10" s="2">
        <v>3</v>
      </c>
      <c r="L10" s="2">
        <v>2</v>
      </c>
      <c r="M10" s="2">
        <v>3</v>
      </c>
      <c r="N10" s="2">
        <v>0</v>
      </c>
      <c r="O10" s="2">
        <v>4</v>
      </c>
      <c r="P10" s="2">
        <v>2</v>
      </c>
      <c r="Q10" s="2">
        <v>3</v>
      </c>
      <c r="R10" s="3">
        <v>2</v>
      </c>
      <c r="S10" s="3">
        <v>2</v>
      </c>
      <c r="T10" s="3">
        <v>2</v>
      </c>
      <c r="U10" s="3"/>
      <c r="V10" s="3"/>
      <c r="W10" s="3"/>
      <c r="X10" s="3"/>
      <c r="Y10" s="3"/>
      <c r="Z10" s="3">
        <v>3</v>
      </c>
      <c r="AA10" s="3"/>
      <c r="AB10" s="4"/>
      <c r="AC10" s="4"/>
      <c r="AD10" s="4"/>
      <c r="AE10" s="4"/>
      <c r="AF10" s="4"/>
      <c r="AG10" s="4">
        <v>2</v>
      </c>
      <c r="AH10" s="4"/>
      <c r="AI10" s="4"/>
      <c r="AJ10" s="4">
        <v>2</v>
      </c>
      <c r="AK10" s="4">
        <v>1</v>
      </c>
      <c r="AL10" s="5"/>
      <c r="AM10" s="5">
        <v>4</v>
      </c>
      <c r="AN10" s="5">
        <v>3</v>
      </c>
      <c r="AO10" s="5">
        <v>3</v>
      </c>
      <c r="AP10" s="5"/>
      <c r="AQ10" s="5"/>
      <c r="AR10" s="5">
        <v>2</v>
      </c>
      <c r="AS10" s="5"/>
      <c r="AT10" s="5"/>
      <c r="AU10" s="5">
        <v>1</v>
      </c>
      <c r="AV10" s="6"/>
      <c r="AW10" s="6"/>
      <c r="AX10" s="6"/>
      <c r="AY10" s="6"/>
      <c r="AZ10" s="6"/>
      <c r="BA10" s="6"/>
      <c r="BB10" s="6"/>
      <c r="BC10" s="6"/>
      <c r="BD10" s="6"/>
      <c r="BE10" s="6">
        <v>2</v>
      </c>
      <c r="BF10" s="6">
        <v>2</v>
      </c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7"/>
      <c r="BX10" s="7"/>
      <c r="BY10" s="7">
        <v>2</v>
      </c>
      <c r="BZ10" s="7"/>
      <c r="CA10" s="7"/>
      <c r="CB10" s="7"/>
      <c r="CC10" s="7"/>
      <c r="CD10" s="7">
        <v>2</v>
      </c>
      <c r="CE10" s="7"/>
      <c r="CF10" s="7"/>
      <c r="CG10" s="7"/>
      <c r="CH10" s="8" t="s">
        <v>116</v>
      </c>
      <c r="CI10" s="8"/>
      <c r="CJ10" s="8">
        <v>2</v>
      </c>
      <c r="CK10" s="8"/>
      <c r="CL10" s="8"/>
      <c r="CM10" s="8">
        <v>1</v>
      </c>
      <c r="CN10" s="8">
        <v>2</v>
      </c>
      <c r="CO10" s="9">
        <f t="shared" si="0"/>
        <v>6</v>
      </c>
      <c r="CP10" s="9">
        <f t="shared" si="1"/>
        <v>4</v>
      </c>
      <c r="CQ10" s="9">
        <f t="shared" si="2"/>
        <v>3</v>
      </c>
      <c r="CR10" s="9">
        <f t="shared" si="3"/>
        <v>4</v>
      </c>
      <c r="CS10" s="9">
        <f t="shared" si="4"/>
        <v>6</v>
      </c>
      <c r="CT10" s="9" t="s">
        <v>200</v>
      </c>
      <c r="CU10" s="9" t="s">
        <v>244</v>
      </c>
      <c r="CV10" s="9" t="s">
        <v>252</v>
      </c>
    </row>
    <row r="11" spans="1:100" x14ac:dyDescent="0.3">
      <c r="A11" s="30" t="s">
        <v>105</v>
      </c>
      <c r="B11" s="32" t="s">
        <v>107</v>
      </c>
      <c r="C11" s="1">
        <v>161</v>
      </c>
      <c r="D11" s="1">
        <v>9</v>
      </c>
      <c r="E11" s="1">
        <v>5</v>
      </c>
      <c r="F11" s="1">
        <v>6</v>
      </c>
      <c r="G11" s="1">
        <v>14</v>
      </c>
      <c r="H11" s="1">
        <v>2</v>
      </c>
      <c r="I11" s="2">
        <v>3</v>
      </c>
      <c r="J11" s="2">
        <v>3</v>
      </c>
      <c r="K11" s="2">
        <v>4</v>
      </c>
      <c r="L11" s="2">
        <v>2</v>
      </c>
      <c r="M11" s="2">
        <v>2</v>
      </c>
      <c r="N11" s="2">
        <v>3</v>
      </c>
      <c r="O11" s="2">
        <v>3</v>
      </c>
      <c r="P11" s="2">
        <v>5</v>
      </c>
      <c r="Q11" s="2">
        <v>2</v>
      </c>
      <c r="R11" s="3"/>
      <c r="S11" s="3"/>
      <c r="T11" s="3">
        <v>2</v>
      </c>
      <c r="U11" s="3">
        <v>3</v>
      </c>
      <c r="V11" s="3">
        <v>1</v>
      </c>
      <c r="W11" s="3">
        <v>1</v>
      </c>
      <c r="X11" s="3"/>
      <c r="Y11" s="3"/>
      <c r="Z11" s="3"/>
      <c r="AA11" s="3">
        <v>1</v>
      </c>
      <c r="AB11" s="4"/>
      <c r="AC11" s="4"/>
      <c r="AD11" s="4"/>
      <c r="AE11" s="4">
        <v>2</v>
      </c>
      <c r="AF11" s="4">
        <v>1</v>
      </c>
      <c r="AG11" s="4">
        <v>2</v>
      </c>
      <c r="AH11" s="4"/>
      <c r="AI11" s="4"/>
      <c r="AJ11" s="4">
        <v>2</v>
      </c>
      <c r="AK11" s="4"/>
      <c r="AL11" s="5">
        <v>6</v>
      </c>
      <c r="AM11" s="5">
        <v>3</v>
      </c>
      <c r="AN11" s="5"/>
      <c r="AO11" s="5"/>
      <c r="AP11" s="5"/>
      <c r="AQ11" s="5">
        <v>5</v>
      </c>
      <c r="AR11" s="5">
        <v>5</v>
      </c>
      <c r="AS11" s="5"/>
      <c r="AT11" s="5"/>
      <c r="AU11" s="5">
        <v>2</v>
      </c>
      <c r="AV11" s="6"/>
      <c r="AW11" s="6">
        <v>1</v>
      </c>
      <c r="AX11" s="6"/>
      <c r="AY11" s="6"/>
      <c r="AZ11" s="6"/>
      <c r="BA11" s="6"/>
      <c r="BB11" s="6"/>
      <c r="BC11" s="6"/>
      <c r="BD11" s="6"/>
      <c r="BE11" s="6">
        <v>1</v>
      </c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>
        <v>5</v>
      </c>
      <c r="BT11" s="6">
        <v>5</v>
      </c>
      <c r="BU11" s="6"/>
      <c r="BV11" s="6"/>
      <c r="BW11" s="7"/>
      <c r="BX11" s="7"/>
      <c r="BY11" s="7"/>
      <c r="BZ11" s="7">
        <v>1</v>
      </c>
      <c r="CA11" s="7">
        <v>2</v>
      </c>
      <c r="CB11" s="7">
        <v>3</v>
      </c>
      <c r="CC11" s="7"/>
      <c r="CD11" s="7"/>
      <c r="CE11" s="7">
        <v>2</v>
      </c>
      <c r="CF11" s="7"/>
      <c r="CG11" s="7"/>
      <c r="CH11" s="8" t="s">
        <v>108</v>
      </c>
      <c r="CI11" s="8">
        <v>7</v>
      </c>
      <c r="CJ11" s="8"/>
      <c r="CK11" s="8">
        <v>3</v>
      </c>
      <c r="CL11" s="8"/>
      <c r="CM11" s="8">
        <v>3</v>
      </c>
      <c r="CN11" s="8">
        <v>4</v>
      </c>
      <c r="CO11" s="9">
        <f t="shared" si="0"/>
        <v>5</v>
      </c>
      <c r="CP11" s="9">
        <f t="shared" si="1"/>
        <v>6</v>
      </c>
      <c r="CQ11" s="9">
        <f t="shared" si="2"/>
        <v>3</v>
      </c>
      <c r="CR11" s="9">
        <f t="shared" si="3"/>
        <v>3</v>
      </c>
      <c r="CS11" s="9">
        <f t="shared" si="4"/>
        <v>3</v>
      </c>
      <c r="CT11" s="9" t="s">
        <v>191</v>
      </c>
      <c r="CU11" s="9" t="s">
        <v>247</v>
      </c>
      <c r="CV11" s="9" t="s">
        <v>232</v>
      </c>
    </row>
    <row r="12" spans="1:100" x14ac:dyDescent="0.3">
      <c r="A12" s="30" t="s">
        <v>113</v>
      </c>
      <c r="B12" s="32" t="s">
        <v>114</v>
      </c>
      <c r="C12" s="1">
        <v>73</v>
      </c>
      <c r="D12" s="1">
        <v>12</v>
      </c>
      <c r="E12" s="1">
        <v>5</v>
      </c>
      <c r="F12" s="1">
        <v>6</v>
      </c>
      <c r="G12" s="1">
        <v>11</v>
      </c>
      <c r="H12" s="1">
        <v>1</v>
      </c>
      <c r="I12" s="2">
        <v>3</v>
      </c>
      <c r="J12" s="2">
        <v>2</v>
      </c>
      <c r="K12" s="2">
        <v>2</v>
      </c>
      <c r="L12" s="2">
        <v>2</v>
      </c>
      <c r="M12" s="2">
        <v>2</v>
      </c>
      <c r="N12" s="2">
        <v>2</v>
      </c>
      <c r="O12" s="2">
        <v>5</v>
      </c>
      <c r="P12" s="2">
        <v>4</v>
      </c>
      <c r="Q12" s="2">
        <v>4</v>
      </c>
      <c r="R12" s="3"/>
      <c r="S12" s="3"/>
      <c r="T12" s="3">
        <v>3</v>
      </c>
      <c r="U12" s="3"/>
      <c r="V12" s="3"/>
      <c r="W12" s="3">
        <v>3</v>
      </c>
      <c r="X12" s="3"/>
      <c r="Y12" s="3">
        <v>3</v>
      </c>
      <c r="Z12" s="3"/>
      <c r="AA12" s="3">
        <v>3</v>
      </c>
      <c r="AB12" s="4"/>
      <c r="AC12" s="4"/>
      <c r="AD12" s="4">
        <v>1</v>
      </c>
      <c r="AE12" s="4"/>
      <c r="AF12" s="4">
        <v>2</v>
      </c>
      <c r="AG12" s="4">
        <v>3</v>
      </c>
      <c r="AH12" s="4"/>
      <c r="AI12" s="4"/>
      <c r="AJ12" s="4"/>
      <c r="AK12" s="4"/>
      <c r="AL12" s="5">
        <v>3</v>
      </c>
      <c r="AM12" s="5"/>
      <c r="AN12" s="5">
        <v>3</v>
      </c>
      <c r="AO12" s="5"/>
      <c r="AP12" s="5"/>
      <c r="AQ12" s="5"/>
      <c r="AR12" s="5">
        <v>4</v>
      </c>
      <c r="AS12" s="5"/>
      <c r="AT12" s="5"/>
      <c r="AU12" s="5">
        <v>3</v>
      </c>
      <c r="AV12" s="6"/>
      <c r="AW12" s="6"/>
      <c r="AX12" s="6"/>
      <c r="AY12" s="6"/>
      <c r="AZ12" s="6"/>
      <c r="BA12" s="6"/>
      <c r="BB12" s="6"/>
      <c r="BC12" s="6">
        <v>3</v>
      </c>
      <c r="BD12" s="6"/>
      <c r="BE12" s="6"/>
      <c r="BF12" s="6"/>
      <c r="BG12" s="6">
        <v>2</v>
      </c>
      <c r="BH12" s="6">
        <v>3</v>
      </c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8" t="s">
        <v>115</v>
      </c>
      <c r="CI12" s="8"/>
      <c r="CJ12" s="8">
        <v>4</v>
      </c>
      <c r="CK12" s="8"/>
      <c r="CL12" s="8"/>
      <c r="CM12" s="8">
        <v>4</v>
      </c>
      <c r="CN12" s="8">
        <v>4</v>
      </c>
      <c r="CO12" s="9">
        <f t="shared" si="0"/>
        <v>5</v>
      </c>
      <c r="CP12" s="9">
        <f t="shared" si="1"/>
        <v>2</v>
      </c>
      <c r="CQ12" s="9">
        <f t="shared" si="2"/>
        <v>6</v>
      </c>
      <c r="CR12" s="9">
        <f t="shared" si="3"/>
        <v>2</v>
      </c>
      <c r="CS12" s="9">
        <f t="shared" si="4"/>
        <v>2</v>
      </c>
      <c r="CT12" s="9" t="s">
        <v>200</v>
      </c>
      <c r="CU12" s="9" t="s">
        <v>245</v>
      </c>
      <c r="CV12" s="9" t="s">
        <v>252</v>
      </c>
    </row>
    <row r="13" spans="1:100" x14ac:dyDescent="0.3">
      <c r="A13" s="30" t="s">
        <v>117</v>
      </c>
      <c r="B13" s="32" t="s">
        <v>118</v>
      </c>
      <c r="C13" s="1">
        <v>68</v>
      </c>
      <c r="D13" s="1">
        <v>11</v>
      </c>
      <c r="E13" s="1">
        <v>5</v>
      </c>
      <c r="F13" s="1">
        <v>5</v>
      </c>
      <c r="G13" s="1">
        <v>12</v>
      </c>
      <c r="H13" s="1">
        <v>1</v>
      </c>
      <c r="I13" s="2">
        <v>4</v>
      </c>
      <c r="J13" s="2">
        <v>3</v>
      </c>
      <c r="K13" s="2">
        <v>4</v>
      </c>
      <c r="L13" s="2">
        <v>3</v>
      </c>
      <c r="M13" s="2">
        <v>1</v>
      </c>
      <c r="N13" s="2">
        <v>3</v>
      </c>
      <c r="O13" s="2">
        <v>3</v>
      </c>
      <c r="P13" s="2">
        <v>2</v>
      </c>
      <c r="Q13" s="2">
        <v>2</v>
      </c>
      <c r="R13" s="3">
        <v>3</v>
      </c>
      <c r="S13" s="3">
        <v>4</v>
      </c>
      <c r="T13" s="3">
        <v>2</v>
      </c>
      <c r="U13" s="3">
        <v>2</v>
      </c>
      <c r="V13" s="3"/>
      <c r="W13" s="3"/>
      <c r="X13" s="3"/>
      <c r="Y13" s="3">
        <v>4</v>
      </c>
      <c r="Z13" s="3"/>
      <c r="AA13" s="3"/>
      <c r="AB13" s="4"/>
      <c r="AC13" s="4">
        <v>3</v>
      </c>
      <c r="AD13" s="4"/>
      <c r="AE13" s="4"/>
      <c r="AF13" s="4">
        <v>1</v>
      </c>
      <c r="AG13" s="4">
        <v>4</v>
      </c>
      <c r="AH13" s="4"/>
      <c r="AI13" s="4">
        <v>1</v>
      </c>
      <c r="AJ13" s="4"/>
      <c r="AK13" s="4">
        <v>1</v>
      </c>
      <c r="AL13" s="5">
        <v>3</v>
      </c>
      <c r="AM13" s="5"/>
      <c r="AN13" s="5"/>
      <c r="AO13" s="5"/>
      <c r="AP13" s="5"/>
      <c r="AQ13" s="5"/>
      <c r="AR13" s="5"/>
      <c r="AS13" s="5"/>
      <c r="AT13" s="5">
        <v>2</v>
      </c>
      <c r="AU13" s="5"/>
      <c r="AV13" s="6"/>
      <c r="AW13" s="6">
        <v>2</v>
      </c>
      <c r="AX13" s="6"/>
      <c r="AY13" s="6"/>
      <c r="AZ13" s="6"/>
      <c r="BA13" s="6"/>
      <c r="BB13" s="6"/>
      <c r="BC13" s="6"/>
      <c r="BD13" s="6"/>
      <c r="BE13" s="6">
        <v>3</v>
      </c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>
        <v>3</v>
      </c>
      <c r="BR13" s="6"/>
      <c r="BS13" s="6"/>
      <c r="BT13" s="6"/>
      <c r="BU13" s="6"/>
      <c r="BV13" s="6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8" t="s">
        <v>104</v>
      </c>
      <c r="CI13" s="8"/>
      <c r="CJ13" s="8">
        <v>3</v>
      </c>
      <c r="CK13" s="8"/>
      <c r="CL13" s="8"/>
      <c r="CM13" s="8">
        <v>3</v>
      </c>
      <c r="CN13" s="8">
        <v>4</v>
      </c>
      <c r="CO13" s="9">
        <f t="shared" si="0"/>
        <v>7</v>
      </c>
      <c r="CP13" s="9">
        <f t="shared" si="1"/>
        <v>5</v>
      </c>
      <c r="CQ13" s="9">
        <f t="shared" si="2"/>
        <v>4</v>
      </c>
      <c r="CR13" s="9">
        <f t="shared" si="3"/>
        <v>6</v>
      </c>
      <c r="CS13" s="9">
        <f t="shared" si="4"/>
        <v>7</v>
      </c>
      <c r="CT13" s="9" t="s">
        <v>203</v>
      </c>
      <c r="CU13" s="9" t="s">
        <v>247</v>
      </c>
      <c r="CV13" s="9" t="s">
        <v>233</v>
      </c>
    </row>
    <row r="14" spans="1:100" x14ac:dyDescent="0.3">
      <c r="A14" s="30" t="s">
        <v>119</v>
      </c>
      <c r="B14" s="32" t="s">
        <v>120</v>
      </c>
      <c r="C14" s="1">
        <v>137</v>
      </c>
      <c r="D14" s="1">
        <v>9</v>
      </c>
      <c r="E14" s="1">
        <v>5</v>
      </c>
      <c r="F14" s="1">
        <v>7</v>
      </c>
      <c r="G14" s="1">
        <v>14</v>
      </c>
      <c r="H14" s="1">
        <v>2</v>
      </c>
      <c r="I14" s="2">
        <v>2</v>
      </c>
      <c r="J14" s="2">
        <v>3</v>
      </c>
      <c r="K14" s="2">
        <v>2</v>
      </c>
      <c r="L14" s="2">
        <v>3</v>
      </c>
      <c r="M14" s="2">
        <v>2</v>
      </c>
      <c r="N14" s="2">
        <v>3</v>
      </c>
      <c r="O14" s="2">
        <v>5</v>
      </c>
      <c r="P14" s="2">
        <v>4</v>
      </c>
      <c r="Q14" s="2">
        <v>3</v>
      </c>
      <c r="R14" s="3">
        <v>2</v>
      </c>
      <c r="S14" s="3"/>
      <c r="T14" s="3">
        <v>1</v>
      </c>
      <c r="U14" s="3"/>
      <c r="V14" s="3">
        <v>4</v>
      </c>
      <c r="W14" s="3">
        <v>3</v>
      </c>
      <c r="X14" s="3"/>
      <c r="Y14" s="3">
        <v>3</v>
      </c>
      <c r="Z14" s="3"/>
      <c r="AA14" s="3"/>
      <c r="AB14" s="4"/>
      <c r="AC14" s="4"/>
      <c r="AD14" s="4">
        <v>1</v>
      </c>
      <c r="AE14" s="4">
        <v>3</v>
      </c>
      <c r="AF14" s="4"/>
      <c r="AG14" s="4"/>
      <c r="AH14" s="4"/>
      <c r="AI14" s="4"/>
      <c r="AJ14" s="4"/>
      <c r="AK14" s="4">
        <v>2</v>
      </c>
      <c r="AL14" s="5"/>
      <c r="AM14" s="5">
        <v>1</v>
      </c>
      <c r="AN14" s="5">
        <v>4</v>
      </c>
      <c r="AO14" s="5"/>
      <c r="AP14" s="5"/>
      <c r="AQ14" s="5">
        <v>5</v>
      </c>
      <c r="AR14" s="5">
        <v>1</v>
      </c>
      <c r="AS14" s="5"/>
      <c r="AT14" s="5">
        <v>2</v>
      </c>
      <c r="AU14" s="5">
        <v>2</v>
      </c>
      <c r="AV14" s="6"/>
      <c r="AW14" s="6">
        <v>3</v>
      </c>
      <c r="AX14" s="6"/>
      <c r="AY14" s="6">
        <v>2</v>
      </c>
      <c r="AZ14" s="6"/>
      <c r="BA14" s="6"/>
      <c r="BB14" s="6"/>
      <c r="BC14" s="6"/>
      <c r="BD14" s="6"/>
      <c r="BE14" s="6"/>
      <c r="BF14" s="6"/>
      <c r="BG14" s="6"/>
      <c r="BH14" s="6"/>
      <c r="BI14" s="6">
        <v>3</v>
      </c>
      <c r="BJ14" s="6"/>
      <c r="BK14" s="6"/>
      <c r="BL14" s="6"/>
      <c r="BM14" s="6"/>
      <c r="BN14" s="6"/>
      <c r="BO14" s="6"/>
      <c r="BP14" s="6">
        <v>4</v>
      </c>
      <c r="BQ14" s="6"/>
      <c r="BR14" s="6"/>
      <c r="BS14" s="6"/>
      <c r="BT14" s="6"/>
      <c r="BU14" s="6"/>
      <c r="BV14" s="6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8" t="s">
        <v>104</v>
      </c>
      <c r="CI14" s="8">
        <v>8</v>
      </c>
      <c r="CJ14" s="8">
        <v>5</v>
      </c>
      <c r="CK14" s="8"/>
      <c r="CL14" s="8"/>
      <c r="CM14" s="8">
        <v>2</v>
      </c>
      <c r="CN14" s="8">
        <v>4</v>
      </c>
      <c r="CO14" s="9">
        <f t="shared" si="0"/>
        <v>5</v>
      </c>
      <c r="CP14" s="9">
        <f t="shared" si="1"/>
        <v>5</v>
      </c>
      <c r="CQ14" s="9">
        <f t="shared" si="2"/>
        <v>2</v>
      </c>
      <c r="CR14" s="9">
        <f t="shared" si="3"/>
        <v>5</v>
      </c>
      <c r="CS14" s="9">
        <f t="shared" si="4"/>
        <v>5</v>
      </c>
      <c r="CT14" s="9" t="s">
        <v>194</v>
      </c>
      <c r="CU14" s="9" t="s">
        <v>246</v>
      </c>
      <c r="CV14" s="9" t="s">
        <v>232</v>
      </c>
    </row>
    <row r="15" spans="1:100" x14ac:dyDescent="0.3">
      <c r="A15" s="30" t="s">
        <v>121</v>
      </c>
      <c r="B15" s="32" t="s">
        <v>99</v>
      </c>
      <c r="C15" s="1">
        <v>210</v>
      </c>
      <c r="D15" s="1">
        <v>9</v>
      </c>
      <c r="E15" s="1">
        <v>5</v>
      </c>
      <c r="F15" s="1">
        <v>6</v>
      </c>
      <c r="G15" s="1">
        <v>14</v>
      </c>
      <c r="H15" s="1">
        <v>2</v>
      </c>
      <c r="I15" s="2">
        <v>5</v>
      </c>
      <c r="J15" s="2">
        <v>3</v>
      </c>
      <c r="K15" s="2">
        <v>4</v>
      </c>
      <c r="L15" s="2">
        <v>2</v>
      </c>
      <c r="M15" s="2">
        <v>3</v>
      </c>
      <c r="N15" s="2">
        <v>0</v>
      </c>
      <c r="O15" s="2">
        <v>5</v>
      </c>
      <c r="P15" s="2">
        <v>4</v>
      </c>
      <c r="Q15" s="2">
        <v>2</v>
      </c>
      <c r="R15" s="3">
        <v>3</v>
      </c>
      <c r="S15" s="3">
        <v>2</v>
      </c>
      <c r="T15" s="3">
        <v>2</v>
      </c>
      <c r="U15" s="3"/>
      <c r="V15" s="3">
        <v>3</v>
      </c>
      <c r="W15" s="3">
        <v>2</v>
      </c>
      <c r="X15" s="3">
        <v>3</v>
      </c>
      <c r="Y15" s="3"/>
      <c r="Z15" s="3">
        <v>2</v>
      </c>
      <c r="AA15" s="3"/>
      <c r="AB15" s="4"/>
      <c r="AC15" s="4"/>
      <c r="AD15" s="4"/>
      <c r="AE15" s="4"/>
      <c r="AF15" s="4"/>
      <c r="AG15" s="4">
        <v>2</v>
      </c>
      <c r="AH15" s="4"/>
      <c r="AI15" s="4"/>
      <c r="AJ15" s="4">
        <v>2</v>
      </c>
      <c r="AK15" s="4">
        <v>2</v>
      </c>
      <c r="AL15" s="5"/>
      <c r="AM15" s="5">
        <v>4</v>
      </c>
      <c r="AN15" s="5">
        <v>4</v>
      </c>
      <c r="AO15" s="5">
        <v>5</v>
      </c>
      <c r="AP15" s="5"/>
      <c r="AQ15" s="5"/>
      <c r="AR15" s="5">
        <v>1</v>
      </c>
      <c r="AS15" s="5"/>
      <c r="AT15" s="5"/>
      <c r="AU15" s="5"/>
      <c r="AV15" s="6">
        <v>3</v>
      </c>
      <c r="AW15" s="6"/>
      <c r="AX15" s="6"/>
      <c r="AY15" s="6"/>
      <c r="AZ15" s="6"/>
      <c r="BA15" s="6"/>
      <c r="BB15" s="6"/>
      <c r="BC15" s="6"/>
      <c r="BD15" s="6"/>
      <c r="BE15" s="6"/>
      <c r="BF15" s="6">
        <v>5</v>
      </c>
      <c r="BG15" s="6"/>
      <c r="BH15" s="6">
        <v>4</v>
      </c>
      <c r="BI15" s="6"/>
      <c r="BJ15" s="6">
        <v>2</v>
      </c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8" t="s">
        <v>104</v>
      </c>
      <c r="CI15" s="8">
        <v>6</v>
      </c>
      <c r="CJ15" s="8">
        <v>3</v>
      </c>
      <c r="CK15" s="8"/>
      <c r="CL15" s="8"/>
      <c r="CM15" s="8">
        <v>3</v>
      </c>
      <c r="CN15" s="8">
        <v>2</v>
      </c>
      <c r="CO15" s="9">
        <f t="shared" si="0"/>
        <v>5</v>
      </c>
      <c r="CP15" s="9">
        <f t="shared" si="1"/>
        <v>3</v>
      </c>
      <c r="CQ15" s="9">
        <f t="shared" si="2"/>
        <v>9</v>
      </c>
      <c r="CR15" s="9">
        <f t="shared" si="3"/>
        <v>3</v>
      </c>
      <c r="CS15" s="9">
        <f t="shared" si="4"/>
        <v>5</v>
      </c>
      <c r="CT15" s="9" t="s">
        <v>200</v>
      </c>
      <c r="CU15" s="9" t="s">
        <v>245</v>
      </c>
      <c r="CV15" s="9" t="s">
        <v>252</v>
      </c>
    </row>
    <row r="16" spans="1:100" x14ac:dyDescent="0.3">
      <c r="A16" s="30" t="s">
        <v>122</v>
      </c>
      <c r="B16" s="32" t="s">
        <v>123</v>
      </c>
      <c r="C16" s="1">
        <v>2700</v>
      </c>
      <c r="D16" s="1">
        <v>5</v>
      </c>
      <c r="E16" s="1">
        <v>8</v>
      </c>
      <c r="F16" s="1">
        <v>9</v>
      </c>
      <c r="G16" s="1">
        <v>40</v>
      </c>
      <c r="H16" s="1">
        <v>8</v>
      </c>
      <c r="I16" s="2">
        <v>6</v>
      </c>
      <c r="J16" s="2">
        <v>5</v>
      </c>
      <c r="K16" s="2">
        <v>6</v>
      </c>
      <c r="L16" s="2">
        <v>8</v>
      </c>
      <c r="M16" s="2">
        <v>7</v>
      </c>
      <c r="N16" s="2">
        <v>8</v>
      </c>
      <c r="O16" s="2">
        <v>6</v>
      </c>
      <c r="P16" s="2">
        <v>7</v>
      </c>
      <c r="Q16" s="2">
        <v>6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7"/>
      <c r="BX16" s="7">
        <v>5</v>
      </c>
      <c r="BY16" s="7"/>
      <c r="BZ16" s="7"/>
      <c r="CA16" s="7"/>
      <c r="CB16" s="7"/>
      <c r="CC16" s="7"/>
      <c r="CD16" s="7"/>
      <c r="CE16" s="7"/>
      <c r="CF16" s="7"/>
      <c r="CG16" s="7"/>
      <c r="CH16" s="8"/>
      <c r="CI16" s="8"/>
      <c r="CJ16" s="8"/>
      <c r="CK16" s="8"/>
      <c r="CL16" s="8"/>
      <c r="CM16" s="8"/>
      <c r="CN16" s="8"/>
      <c r="CO16" s="9">
        <f t="shared" si="0"/>
        <v>5</v>
      </c>
      <c r="CP16" s="9">
        <f t="shared" si="1"/>
        <v>5</v>
      </c>
      <c r="CQ16" s="9">
        <f t="shared" si="2"/>
        <v>6</v>
      </c>
      <c r="CR16" s="9">
        <f t="shared" si="3"/>
        <v>5</v>
      </c>
      <c r="CS16" s="9">
        <f t="shared" si="4"/>
        <v>5</v>
      </c>
      <c r="CT16" s="9" t="s">
        <v>242</v>
      </c>
      <c r="CU16" s="9" t="s">
        <v>252</v>
      </c>
      <c r="CV16" s="9" t="s">
        <v>252</v>
      </c>
    </row>
    <row r="17" spans="1:100" x14ac:dyDescent="0.3">
      <c r="A17" s="30" t="s">
        <v>128</v>
      </c>
      <c r="B17" s="32" t="s">
        <v>129</v>
      </c>
      <c r="C17" s="1">
        <v>267</v>
      </c>
      <c r="D17" s="1">
        <v>8</v>
      </c>
      <c r="E17" s="1">
        <v>5</v>
      </c>
      <c r="F17" s="1">
        <v>5</v>
      </c>
      <c r="G17" s="1">
        <v>15</v>
      </c>
      <c r="H17" s="1">
        <v>3</v>
      </c>
      <c r="I17" s="2">
        <v>2</v>
      </c>
      <c r="J17" s="2">
        <v>3</v>
      </c>
      <c r="K17" s="2">
        <v>2</v>
      </c>
      <c r="L17" s="2">
        <v>5</v>
      </c>
      <c r="M17" s="2">
        <v>4</v>
      </c>
      <c r="N17" s="2">
        <v>3</v>
      </c>
      <c r="O17" s="2">
        <v>4</v>
      </c>
      <c r="P17" s="2">
        <v>4</v>
      </c>
      <c r="Q17" s="2">
        <v>2</v>
      </c>
      <c r="R17" s="3">
        <v>2</v>
      </c>
      <c r="S17" s="3">
        <v>1</v>
      </c>
      <c r="T17" s="3"/>
      <c r="U17" s="3"/>
      <c r="V17" s="3">
        <v>3</v>
      </c>
      <c r="W17" s="3">
        <v>4</v>
      </c>
      <c r="X17" s="3">
        <v>2</v>
      </c>
      <c r="Y17" s="3">
        <v>2</v>
      </c>
      <c r="Z17" s="3"/>
      <c r="AA17" s="3">
        <v>2</v>
      </c>
      <c r="AB17" s="4"/>
      <c r="AC17" s="4"/>
      <c r="AD17" s="4"/>
      <c r="AE17" s="4"/>
      <c r="AF17" s="4">
        <v>3</v>
      </c>
      <c r="AG17" s="4">
        <v>2</v>
      </c>
      <c r="AH17" s="4"/>
      <c r="AI17" s="4"/>
      <c r="AJ17" s="4">
        <v>2</v>
      </c>
      <c r="AK17" s="4"/>
      <c r="AL17" s="5"/>
      <c r="AM17" s="5"/>
      <c r="AN17" s="5">
        <v>2</v>
      </c>
      <c r="AO17" s="5">
        <v>4</v>
      </c>
      <c r="AP17" s="5">
        <v>4</v>
      </c>
      <c r="AQ17" s="5"/>
      <c r="AR17" s="5"/>
      <c r="AS17" s="5">
        <v>3</v>
      </c>
      <c r="AT17" s="5">
        <v>2</v>
      </c>
      <c r="AU17" s="5">
        <v>2</v>
      </c>
      <c r="AV17" s="6">
        <v>2</v>
      </c>
      <c r="AW17" s="6">
        <v>3</v>
      </c>
      <c r="AX17" s="6"/>
      <c r="AY17" s="6"/>
      <c r="AZ17" s="6"/>
      <c r="BA17" s="6"/>
      <c r="BB17" s="6"/>
      <c r="BC17" s="6">
        <v>1</v>
      </c>
      <c r="BD17" s="6"/>
      <c r="BE17" s="6"/>
      <c r="BF17" s="6"/>
      <c r="BG17" s="6"/>
      <c r="BH17" s="6"/>
      <c r="BI17" s="6">
        <v>3</v>
      </c>
      <c r="BJ17" s="6"/>
      <c r="BK17" s="6">
        <v>2</v>
      </c>
      <c r="BL17" s="6">
        <v>5</v>
      </c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8" t="s">
        <v>81</v>
      </c>
      <c r="CI17" s="8">
        <v>7</v>
      </c>
      <c r="CJ17" s="8"/>
      <c r="CK17" s="8">
        <v>4</v>
      </c>
      <c r="CL17" s="8">
        <v>3</v>
      </c>
      <c r="CM17" s="8"/>
      <c r="CN17" s="8">
        <v>3</v>
      </c>
      <c r="CO17" s="9">
        <f t="shared" si="0"/>
        <v>5</v>
      </c>
      <c r="CP17" s="9">
        <f t="shared" si="1"/>
        <v>3</v>
      </c>
      <c r="CQ17" s="9">
        <f t="shared" si="2"/>
        <v>2</v>
      </c>
      <c r="CR17" s="9">
        <f t="shared" si="3"/>
        <v>3</v>
      </c>
      <c r="CS17" s="9">
        <f t="shared" si="4"/>
        <v>4</v>
      </c>
      <c r="CT17" s="9" t="s">
        <v>202</v>
      </c>
      <c r="CU17" s="9" t="s">
        <v>246</v>
      </c>
      <c r="CV17" s="9" t="s">
        <v>232</v>
      </c>
    </row>
    <row r="18" spans="1:100" x14ac:dyDescent="0.3">
      <c r="A18" s="30" t="s">
        <v>130</v>
      </c>
      <c r="B18" s="32" t="s">
        <v>131</v>
      </c>
      <c r="C18" s="1">
        <v>92</v>
      </c>
      <c r="D18" s="1">
        <v>12</v>
      </c>
      <c r="E18" s="1">
        <v>5</v>
      </c>
      <c r="F18" s="1">
        <v>6</v>
      </c>
      <c r="G18" s="1">
        <v>11</v>
      </c>
      <c r="H18" s="1">
        <v>1</v>
      </c>
      <c r="I18" s="2">
        <v>5</v>
      </c>
      <c r="J18" s="2">
        <v>2</v>
      </c>
      <c r="K18" s="2">
        <v>5</v>
      </c>
      <c r="L18" s="2">
        <v>2</v>
      </c>
      <c r="M18" s="2">
        <v>4</v>
      </c>
      <c r="N18" s="2">
        <v>2</v>
      </c>
      <c r="O18" s="2">
        <v>3</v>
      </c>
      <c r="P18" s="2">
        <v>2</v>
      </c>
      <c r="Q18" s="2">
        <v>1</v>
      </c>
      <c r="R18" s="3">
        <v>4</v>
      </c>
      <c r="S18" s="3">
        <v>4</v>
      </c>
      <c r="T18" s="3"/>
      <c r="U18" s="3">
        <v>3</v>
      </c>
      <c r="V18" s="3"/>
      <c r="W18" s="3">
        <v>1</v>
      </c>
      <c r="X18" s="3">
        <v>3</v>
      </c>
      <c r="Y18" s="3">
        <v>2</v>
      </c>
      <c r="Z18" s="3"/>
      <c r="AA18" s="3"/>
      <c r="AB18" s="4">
        <v>2</v>
      </c>
      <c r="AC18" s="4">
        <v>2</v>
      </c>
      <c r="AD18" s="4"/>
      <c r="AE18" s="4"/>
      <c r="AF18" s="4"/>
      <c r="AG18" s="4">
        <v>3</v>
      </c>
      <c r="AH18" s="4"/>
      <c r="AI18" s="4">
        <v>1</v>
      </c>
      <c r="AJ18" s="4"/>
      <c r="AK18" s="4">
        <v>2</v>
      </c>
      <c r="AL18" s="5"/>
      <c r="AM18" s="5"/>
      <c r="AN18" s="5">
        <v>1</v>
      </c>
      <c r="AO18" s="5">
        <v>2</v>
      </c>
      <c r="AP18" s="5">
        <v>1</v>
      </c>
      <c r="AQ18" s="5"/>
      <c r="AR18" s="5"/>
      <c r="AS18" s="5"/>
      <c r="AT18" s="5">
        <v>1</v>
      </c>
      <c r="AU18" s="5"/>
      <c r="AV18" s="6"/>
      <c r="AW18" s="6"/>
      <c r="AX18" s="6"/>
      <c r="AY18" s="6"/>
      <c r="AZ18" s="6"/>
      <c r="BA18" s="6"/>
      <c r="BB18" s="6"/>
      <c r="BC18" s="6">
        <v>3</v>
      </c>
      <c r="BD18" s="6"/>
      <c r="BE18" s="6">
        <v>5</v>
      </c>
      <c r="BF18" s="6"/>
      <c r="BG18" s="6"/>
      <c r="BH18" s="6"/>
      <c r="BI18" s="6">
        <v>2</v>
      </c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8" t="s">
        <v>104</v>
      </c>
      <c r="CI18" s="8">
        <v>3</v>
      </c>
      <c r="CJ18" s="8">
        <v>2</v>
      </c>
      <c r="CK18" s="8"/>
      <c r="CL18" s="8"/>
      <c r="CM18" s="8">
        <v>1</v>
      </c>
      <c r="CN18" s="8">
        <v>5</v>
      </c>
      <c r="CO18" s="9">
        <f t="shared" si="0"/>
        <v>5</v>
      </c>
      <c r="CP18" s="9">
        <f t="shared" si="1"/>
        <v>5</v>
      </c>
      <c r="CQ18" s="9">
        <f t="shared" si="2"/>
        <v>5</v>
      </c>
      <c r="CR18" s="9">
        <f t="shared" si="3"/>
        <v>4</v>
      </c>
      <c r="CS18" s="9">
        <f t="shared" si="4"/>
        <v>6</v>
      </c>
      <c r="CT18" s="9" t="s">
        <v>205</v>
      </c>
      <c r="CU18" s="9" t="s">
        <v>247</v>
      </c>
      <c r="CV18" s="9" t="s">
        <v>233</v>
      </c>
    </row>
    <row r="19" spans="1:100" x14ac:dyDescent="0.3">
      <c r="A19" s="30" t="s">
        <v>132</v>
      </c>
      <c r="B19" s="32" t="s">
        <v>107</v>
      </c>
      <c r="C19" s="1">
        <v>90</v>
      </c>
      <c r="D19" s="1">
        <v>10</v>
      </c>
      <c r="E19" s="1">
        <v>5</v>
      </c>
      <c r="F19" s="1">
        <v>5</v>
      </c>
      <c r="G19" s="1">
        <v>13</v>
      </c>
      <c r="H19" s="1">
        <v>1</v>
      </c>
      <c r="I19" s="2">
        <v>2</v>
      </c>
      <c r="J19" s="2">
        <v>4</v>
      </c>
      <c r="K19" s="2">
        <v>3</v>
      </c>
      <c r="L19" s="2">
        <v>2</v>
      </c>
      <c r="M19" s="2">
        <v>2</v>
      </c>
      <c r="N19" s="2">
        <v>2</v>
      </c>
      <c r="O19" s="2">
        <v>4</v>
      </c>
      <c r="P19" s="2">
        <v>5</v>
      </c>
      <c r="Q19" s="2">
        <v>2</v>
      </c>
      <c r="R19" s="3">
        <v>2</v>
      </c>
      <c r="S19" s="3"/>
      <c r="T19" s="3">
        <v>3</v>
      </c>
      <c r="U19" s="3"/>
      <c r="V19" s="3">
        <v>1</v>
      </c>
      <c r="W19" s="3">
        <v>3</v>
      </c>
      <c r="X19" s="3"/>
      <c r="Y19" s="3"/>
      <c r="Z19" s="3"/>
      <c r="AA19" s="3"/>
      <c r="AB19" s="4"/>
      <c r="AC19" s="4"/>
      <c r="AD19" s="4"/>
      <c r="AE19" s="4">
        <v>2</v>
      </c>
      <c r="AF19" s="4">
        <v>2</v>
      </c>
      <c r="AG19" s="4"/>
      <c r="AH19" s="4"/>
      <c r="AI19" s="4"/>
      <c r="AJ19" s="4">
        <v>3</v>
      </c>
      <c r="AK19" s="4">
        <v>2</v>
      </c>
      <c r="AL19" s="5">
        <v>4</v>
      </c>
      <c r="AM19" s="5">
        <v>2</v>
      </c>
      <c r="AN19" s="5">
        <v>2</v>
      </c>
      <c r="AO19" s="5"/>
      <c r="AP19" s="5"/>
      <c r="AQ19" s="5">
        <v>4</v>
      </c>
      <c r="AR19" s="5">
        <v>2</v>
      </c>
      <c r="AS19" s="5"/>
      <c r="AT19" s="5"/>
      <c r="AU19" s="5"/>
      <c r="AV19" s="6"/>
      <c r="AW19" s="6">
        <v>3</v>
      </c>
      <c r="AX19" s="6"/>
      <c r="AY19" s="6"/>
      <c r="AZ19" s="6"/>
      <c r="BA19" s="6"/>
      <c r="BB19" s="6"/>
      <c r="BC19" s="6"/>
      <c r="BD19" s="6"/>
      <c r="BE19" s="6">
        <v>1</v>
      </c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>
        <v>4</v>
      </c>
      <c r="BT19" s="6">
        <v>2</v>
      </c>
      <c r="BU19" s="6"/>
      <c r="BV19" s="6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8" t="s">
        <v>108</v>
      </c>
      <c r="CI19" s="8">
        <v>4</v>
      </c>
      <c r="CJ19" s="8"/>
      <c r="CK19" s="8">
        <v>2</v>
      </c>
      <c r="CL19" s="8"/>
      <c r="CM19" s="8">
        <v>2</v>
      </c>
      <c r="CN19" s="8">
        <v>3</v>
      </c>
      <c r="CO19" s="9">
        <f t="shared" si="0"/>
        <v>4</v>
      </c>
      <c r="CP19" s="9">
        <f t="shared" si="1"/>
        <v>4</v>
      </c>
      <c r="CQ19" s="9">
        <f t="shared" si="2"/>
        <v>2</v>
      </c>
      <c r="CR19" s="9">
        <f t="shared" si="3"/>
        <v>4</v>
      </c>
      <c r="CS19" s="9">
        <f t="shared" si="4"/>
        <v>4</v>
      </c>
      <c r="CT19" s="9" t="s">
        <v>189</v>
      </c>
      <c r="CU19" s="9" t="s">
        <v>246</v>
      </c>
      <c r="CV19" s="9" t="s">
        <v>232</v>
      </c>
    </row>
    <row r="20" spans="1:100" x14ac:dyDescent="0.3">
      <c r="A20" s="30" t="s">
        <v>133</v>
      </c>
      <c r="B20" s="32" t="s">
        <v>134</v>
      </c>
      <c r="C20" s="1">
        <v>312</v>
      </c>
      <c r="D20" s="1">
        <v>8</v>
      </c>
      <c r="E20" s="1">
        <v>5</v>
      </c>
      <c r="F20" s="1">
        <v>5</v>
      </c>
      <c r="G20" s="1">
        <v>15</v>
      </c>
      <c r="H20" s="1">
        <v>3</v>
      </c>
      <c r="I20" s="2">
        <v>2</v>
      </c>
      <c r="J20" s="2">
        <v>4</v>
      </c>
      <c r="K20" s="2">
        <v>2</v>
      </c>
      <c r="L20" s="2">
        <v>4</v>
      </c>
      <c r="M20" s="2">
        <v>2</v>
      </c>
      <c r="N20" s="2">
        <v>4</v>
      </c>
      <c r="O20" s="2">
        <v>4</v>
      </c>
      <c r="P20" s="2">
        <v>3</v>
      </c>
      <c r="Q20" s="2">
        <v>5</v>
      </c>
      <c r="R20" s="3"/>
      <c r="S20" s="3">
        <v>2</v>
      </c>
      <c r="T20" s="3"/>
      <c r="U20" s="3">
        <v>2</v>
      </c>
      <c r="V20" s="3">
        <v>5</v>
      </c>
      <c r="W20" s="3">
        <v>5</v>
      </c>
      <c r="X20" s="3"/>
      <c r="Y20" s="3"/>
      <c r="Z20" s="3"/>
      <c r="AA20" s="3">
        <v>4</v>
      </c>
      <c r="AB20" s="4"/>
      <c r="AC20" s="4"/>
      <c r="AD20" s="4">
        <v>2</v>
      </c>
      <c r="AE20" s="4">
        <v>4</v>
      </c>
      <c r="AF20" s="4">
        <v>4</v>
      </c>
      <c r="AG20" s="4">
        <v>2</v>
      </c>
      <c r="AH20" s="4">
        <v>3</v>
      </c>
      <c r="AI20" s="4"/>
      <c r="AJ20" s="4"/>
      <c r="AK20" s="4"/>
      <c r="AL20" s="5">
        <v>6</v>
      </c>
      <c r="AM20" s="5"/>
      <c r="AN20" s="5"/>
      <c r="AO20" s="5"/>
      <c r="AP20" s="5"/>
      <c r="AQ20" s="5"/>
      <c r="AR20" s="5"/>
      <c r="AS20" s="5">
        <v>1</v>
      </c>
      <c r="AT20" s="5">
        <v>1</v>
      </c>
      <c r="AU20" s="5">
        <v>2</v>
      </c>
      <c r="AV20" s="6"/>
      <c r="AW20" s="6">
        <v>2</v>
      </c>
      <c r="AX20" s="6"/>
      <c r="AY20" s="6">
        <v>5</v>
      </c>
      <c r="AZ20" s="6">
        <v>3</v>
      </c>
      <c r="BA20" s="6"/>
      <c r="BB20" s="6"/>
      <c r="BC20" s="6"/>
      <c r="BD20" s="6"/>
      <c r="BE20" s="6"/>
      <c r="BF20" s="6"/>
      <c r="BG20" s="6"/>
      <c r="BH20" s="6">
        <v>2</v>
      </c>
      <c r="BI20" s="6">
        <v>5</v>
      </c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8"/>
      <c r="CI20" s="8"/>
      <c r="CJ20" s="8"/>
      <c r="CK20" s="8"/>
      <c r="CL20" s="8"/>
      <c r="CM20" s="8"/>
      <c r="CN20" s="8"/>
      <c r="CO20" s="9">
        <f t="shared" si="0"/>
        <v>11</v>
      </c>
      <c r="CP20" s="9">
        <f t="shared" si="1"/>
        <v>11</v>
      </c>
      <c r="CQ20" s="9">
        <f t="shared" si="2"/>
        <v>4</v>
      </c>
      <c r="CR20" s="9">
        <f t="shared" si="3"/>
        <v>9</v>
      </c>
      <c r="CS20" s="9">
        <f t="shared" si="4"/>
        <v>11</v>
      </c>
      <c r="CT20" s="9" t="s">
        <v>202</v>
      </c>
      <c r="CU20" s="9" t="s">
        <v>244</v>
      </c>
      <c r="CV20" s="9" t="s">
        <v>232</v>
      </c>
    </row>
    <row r="21" spans="1:100" x14ac:dyDescent="0.3">
      <c r="A21" s="30" t="s">
        <v>126</v>
      </c>
      <c r="B21" s="32" t="s">
        <v>93</v>
      </c>
      <c r="C21" s="1"/>
      <c r="D21" s="1">
        <v>11</v>
      </c>
      <c r="E21" s="1">
        <v>5</v>
      </c>
      <c r="F21" s="1">
        <v>6</v>
      </c>
      <c r="G21" s="1">
        <v>12</v>
      </c>
      <c r="H21" s="1">
        <v>1</v>
      </c>
      <c r="I21" s="2">
        <v>4</v>
      </c>
      <c r="J21" s="2">
        <v>4</v>
      </c>
      <c r="K21" s="2">
        <v>3</v>
      </c>
      <c r="L21" s="2">
        <v>3</v>
      </c>
      <c r="M21" s="2">
        <v>1</v>
      </c>
      <c r="N21" s="2">
        <v>2</v>
      </c>
      <c r="O21" s="2">
        <v>4</v>
      </c>
      <c r="P21" s="2">
        <v>2</v>
      </c>
      <c r="Q21" s="2">
        <v>2</v>
      </c>
      <c r="R21" s="3">
        <v>3</v>
      </c>
      <c r="S21" s="3">
        <v>3</v>
      </c>
      <c r="T21" s="3"/>
      <c r="U21" s="3">
        <v>2</v>
      </c>
      <c r="V21" s="3">
        <v>1</v>
      </c>
      <c r="W21" s="3">
        <v>1</v>
      </c>
      <c r="X21" s="3">
        <v>1</v>
      </c>
      <c r="Y21" s="3">
        <v>2</v>
      </c>
      <c r="Z21" s="3"/>
      <c r="AA21" s="3"/>
      <c r="AB21" s="4"/>
      <c r="AC21" s="4">
        <v>2</v>
      </c>
      <c r="AD21" s="4"/>
      <c r="AE21" s="4"/>
      <c r="AF21" s="4"/>
      <c r="AG21" s="4">
        <v>3</v>
      </c>
      <c r="AH21" s="4"/>
      <c r="AI21" s="4">
        <v>1</v>
      </c>
      <c r="AJ21" s="4">
        <v>1</v>
      </c>
      <c r="AK21" s="4">
        <v>2</v>
      </c>
      <c r="AL21" s="5"/>
      <c r="AM21" s="5"/>
      <c r="AN21" s="5">
        <v>1</v>
      </c>
      <c r="AO21" s="5"/>
      <c r="AP21" s="5"/>
      <c r="AQ21" s="5">
        <v>1</v>
      </c>
      <c r="AR21" s="5"/>
      <c r="AS21" s="5"/>
      <c r="AT21" s="5"/>
      <c r="AU21" s="5">
        <v>3</v>
      </c>
      <c r="AV21" s="6"/>
      <c r="AW21" s="6"/>
      <c r="AX21" s="6"/>
      <c r="AY21" s="6">
        <v>3</v>
      </c>
      <c r="AZ21" s="6"/>
      <c r="BA21" s="6"/>
      <c r="BB21" s="6"/>
      <c r="BC21" s="6"/>
      <c r="BD21" s="6"/>
      <c r="BE21" s="6"/>
      <c r="BF21" s="6"/>
      <c r="BG21" s="6"/>
      <c r="BH21" s="6">
        <v>2</v>
      </c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7">
        <v>1</v>
      </c>
      <c r="BX21" s="7"/>
      <c r="BY21" s="7">
        <v>2</v>
      </c>
      <c r="BZ21" s="7"/>
      <c r="CA21" s="7"/>
      <c r="CB21" s="7"/>
      <c r="CC21" s="7"/>
      <c r="CD21" s="7">
        <v>1</v>
      </c>
      <c r="CE21" s="7"/>
      <c r="CF21" s="7"/>
      <c r="CG21" s="7"/>
      <c r="CH21" s="8" t="s">
        <v>127</v>
      </c>
      <c r="CI21" s="8">
        <v>7</v>
      </c>
      <c r="CJ21" s="8"/>
      <c r="CK21" s="8"/>
      <c r="CL21" s="8"/>
      <c r="CM21" s="8"/>
      <c r="CN21" s="8"/>
      <c r="CO21" s="9">
        <f t="shared" si="0"/>
        <v>10</v>
      </c>
      <c r="CP21" s="9">
        <f t="shared" si="1"/>
        <v>9</v>
      </c>
      <c r="CQ21" s="9">
        <f t="shared" si="2"/>
        <v>6</v>
      </c>
      <c r="CR21" s="9">
        <f t="shared" si="3"/>
        <v>9</v>
      </c>
      <c r="CS21" s="9">
        <f t="shared" si="4"/>
        <v>10</v>
      </c>
      <c r="CT21" s="9"/>
      <c r="CU21" s="9" t="s">
        <v>247</v>
      </c>
      <c r="CV21" s="9"/>
    </row>
    <row r="22" spans="1:100" x14ac:dyDescent="0.3">
      <c r="A22" s="30" t="s">
        <v>135</v>
      </c>
      <c r="B22" s="32" t="s">
        <v>136</v>
      </c>
      <c r="C22" s="1"/>
      <c r="D22" s="1">
        <v>9</v>
      </c>
      <c r="E22" s="1">
        <v>5</v>
      </c>
      <c r="F22" s="1">
        <v>8</v>
      </c>
      <c r="G22" s="1">
        <v>14</v>
      </c>
      <c r="H22" s="1">
        <v>2</v>
      </c>
      <c r="I22" s="2">
        <v>2</v>
      </c>
      <c r="J22" s="2">
        <v>2</v>
      </c>
      <c r="K22" s="2">
        <v>2</v>
      </c>
      <c r="L22" s="2">
        <v>2</v>
      </c>
      <c r="M22" s="2">
        <v>4</v>
      </c>
      <c r="N22" s="2">
        <v>2</v>
      </c>
      <c r="O22" s="2">
        <v>3</v>
      </c>
      <c r="P22" s="2">
        <v>5</v>
      </c>
      <c r="Q22" s="2">
        <v>2</v>
      </c>
      <c r="R22" s="3">
        <v>1</v>
      </c>
      <c r="S22" s="3"/>
      <c r="T22" s="3"/>
      <c r="U22" s="3"/>
      <c r="V22" s="3">
        <v>2</v>
      </c>
      <c r="W22" s="3">
        <v>3</v>
      </c>
      <c r="X22" s="3">
        <v>1</v>
      </c>
      <c r="Y22" s="3"/>
      <c r="Z22" s="3"/>
      <c r="AA22" s="3">
        <v>3</v>
      </c>
      <c r="AB22" s="4"/>
      <c r="AC22" s="4"/>
      <c r="AD22" s="4"/>
      <c r="AE22" s="4"/>
      <c r="AF22" s="4">
        <v>3</v>
      </c>
      <c r="AG22" s="4">
        <v>1</v>
      </c>
      <c r="AH22" s="4">
        <v>1</v>
      </c>
      <c r="AI22" s="4"/>
      <c r="AJ22" s="4"/>
      <c r="AK22" s="4"/>
      <c r="AL22" s="5">
        <v>1</v>
      </c>
      <c r="AM22" s="5"/>
      <c r="AN22" s="5">
        <v>1</v>
      </c>
      <c r="AO22" s="5">
        <v>2</v>
      </c>
      <c r="AP22" s="5">
        <v>3</v>
      </c>
      <c r="AQ22" s="5"/>
      <c r="AR22" s="5">
        <v>3</v>
      </c>
      <c r="AS22" s="5">
        <v>3</v>
      </c>
      <c r="AT22" s="5"/>
      <c r="AU22" s="5"/>
      <c r="AV22" s="6"/>
      <c r="AW22" s="6">
        <v>1</v>
      </c>
      <c r="AX22" s="6"/>
      <c r="AY22" s="6"/>
      <c r="AZ22" s="6"/>
      <c r="BA22" s="6"/>
      <c r="BB22" s="6"/>
      <c r="BC22" s="6">
        <v>1</v>
      </c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>
        <v>2</v>
      </c>
      <c r="BV22" s="6">
        <v>1</v>
      </c>
      <c r="BW22" s="7"/>
      <c r="BX22" s="7"/>
      <c r="BY22" s="7">
        <v>1</v>
      </c>
      <c r="BZ22" s="7"/>
      <c r="CA22" s="7"/>
      <c r="CB22" s="7"/>
      <c r="CC22" s="7"/>
      <c r="CD22" s="7"/>
      <c r="CE22" s="7"/>
      <c r="CF22" s="7">
        <v>1</v>
      </c>
      <c r="CG22" s="7"/>
      <c r="CH22" s="8"/>
      <c r="CI22" s="8"/>
      <c r="CJ22" s="8"/>
      <c r="CK22" s="8"/>
      <c r="CL22" s="8"/>
      <c r="CM22" s="8"/>
      <c r="CN22" s="8"/>
      <c r="CO22" s="9">
        <f t="shared" si="0"/>
        <v>3</v>
      </c>
      <c r="CP22" s="9">
        <f t="shared" si="1"/>
        <v>2</v>
      </c>
      <c r="CQ22" s="9">
        <f t="shared" si="2"/>
        <v>2</v>
      </c>
      <c r="CR22" s="9">
        <f t="shared" si="3"/>
        <v>2</v>
      </c>
      <c r="CS22" s="9">
        <f t="shared" si="4"/>
        <v>2</v>
      </c>
      <c r="CT22" s="9"/>
      <c r="CU22" s="9" t="s">
        <v>246</v>
      </c>
      <c r="CV22" s="9"/>
    </row>
    <row r="23" spans="1:100" x14ac:dyDescent="0.3">
      <c r="A23" s="31" t="s">
        <v>139</v>
      </c>
      <c r="B23" s="33" t="s">
        <v>107</v>
      </c>
      <c r="C23" s="19"/>
      <c r="D23" s="19">
        <v>12</v>
      </c>
      <c r="E23" s="19">
        <v>5</v>
      </c>
      <c r="F23" s="19">
        <v>7</v>
      </c>
      <c r="G23" s="19">
        <v>11</v>
      </c>
      <c r="H23" s="19">
        <v>1</v>
      </c>
      <c r="I23" s="20">
        <v>1</v>
      </c>
      <c r="J23" s="20">
        <v>3</v>
      </c>
      <c r="K23" s="20">
        <v>4</v>
      </c>
      <c r="L23" s="20">
        <v>3</v>
      </c>
      <c r="M23" s="20">
        <v>1</v>
      </c>
      <c r="N23" s="20">
        <v>2</v>
      </c>
      <c r="O23" s="20">
        <v>2</v>
      </c>
      <c r="P23" s="20">
        <v>5</v>
      </c>
      <c r="Q23" s="20">
        <v>3</v>
      </c>
      <c r="R23" s="21">
        <v>1</v>
      </c>
      <c r="S23" s="21">
        <v>2</v>
      </c>
      <c r="T23" s="21"/>
      <c r="U23" s="21">
        <v>3</v>
      </c>
      <c r="V23" s="21">
        <v>1</v>
      </c>
      <c r="W23" s="21">
        <v>2</v>
      </c>
      <c r="X23" s="21"/>
      <c r="Y23" s="21"/>
      <c r="Z23" s="21"/>
      <c r="AA23" s="21"/>
      <c r="AB23" s="22"/>
      <c r="AC23" s="22"/>
      <c r="AD23" s="22"/>
      <c r="AE23" s="22"/>
      <c r="AF23" s="22">
        <v>1</v>
      </c>
      <c r="AG23" s="22">
        <v>1</v>
      </c>
      <c r="AH23" s="22"/>
      <c r="AI23" s="22"/>
      <c r="AJ23" s="22">
        <v>1</v>
      </c>
      <c r="AK23" s="22">
        <v>2</v>
      </c>
      <c r="AL23" s="23">
        <v>3</v>
      </c>
      <c r="AM23" s="23">
        <v>1</v>
      </c>
      <c r="AN23" s="23"/>
      <c r="AO23" s="23">
        <v>1</v>
      </c>
      <c r="AP23" s="23"/>
      <c r="AQ23" s="23"/>
      <c r="AR23" s="23">
        <v>3</v>
      </c>
      <c r="AS23" s="23"/>
      <c r="AT23" s="23">
        <v>1</v>
      </c>
      <c r="AU23" s="23">
        <v>3</v>
      </c>
      <c r="AV23" s="24"/>
      <c r="AW23" s="24">
        <v>1</v>
      </c>
      <c r="AX23" s="24"/>
      <c r="AY23" s="24"/>
      <c r="AZ23" s="24"/>
      <c r="BA23" s="24"/>
      <c r="BB23" s="24"/>
      <c r="BC23" s="24"/>
      <c r="BD23" s="24"/>
      <c r="BE23" s="24">
        <v>1</v>
      </c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>
        <v>3</v>
      </c>
      <c r="BT23" s="24"/>
      <c r="BU23" s="24"/>
      <c r="BV23" s="24"/>
      <c r="BW23" s="25"/>
      <c r="BX23" s="25"/>
      <c r="BY23" s="25">
        <v>1</v>
      </c>
      <c r="BZ23" s="25">
        <v>1</v>
      </c>
      <c r="CA23" s="25"/>
      <c r="CB23" s="25">
        <v>1</v>
      </c>
      <c r="CC23" s="25"/>
      <c r="CD23" s="25"/>
      <c r="CE23" s="25">
        <v>1</v>
      </c>
      <c r="CF23" s="25">
        <v>1</v>
      </c>
      <c r="CG23" s="25"/>
      <c r="CH23" s="26"/>
      <c r="CI23" s="26"/>
      <c r="CJ23" s="26"/>
      <c r="CK23" s="26"/>
      <c r="CL23" s="26"/>
      <c r="CM23" s="26"/>
      <c r="CN23" s="26"/>
      <c r="CO23" s="27">
        <f t="shared" si="0"/>
        <v>4</v>
      </c>
      <c r="CP23" s="27">
        <f t="shared" si="1"/>
        <v>6</v>
      </c>
      <c r="CQ23" s="27">
        <f t="shared" si="2"/>
        <v>1</v>
      </c>
      <c r="CR23" s="27">
        <f t="shared" si="3"/>
        <v>3</v>
      </c>
      <c r="CS23" s="27">
        <f t="shared" si="4"/>
        <v>5</v>
      </c>
      <c r="CT23" s="27"/>
      <c r="CU23" s="27" t="s">
        <v>244</v>
      </c>
      <c r="CV23" s="9"/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3B8F597-1B6C-40C5-B614-46F537145720}">
          <x14:formula1>
            <xm:f>EQUIPMENT!$M$24:$M$29</xm:f>
          </x14:formula1>
          <xm:sqref>CU4:CU23</xm:sqref>
        </x14:dataValidation>
        <x14:dataValidation type="list" allowBlank="1" showInputMessage="1" showErrorMessage="1" xr:uid="{7689666E-1549-4BF0-AA6B-3B116A1E71E5}">
          <x14:formula1>
            <xm:f>EQUIPMENT!$M$17:$M$19</xm:f>
          </x14:formula1>
          <xm:sqref>CV4:CV23</xm:sqref>
        </x14:dataValidation>
        <x14:dataValidation type="list" allowBlank="1" showInputMessage="1" showErrorMessage="1" xr:uid="{883DBE87-C0DC-4DD3-B798-7F191C52B691}">
          <x14:formula1>
            <xm:f>EQUIPMENT!$C$3:$C$34</xm:f>
          </x14:formula1>
          <xm:sqref>CT4:CT23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E10FB-0548-4F23-8F7C-A0E25CEB4997}">
  <dimension ref="B1:P39"/>
  <sheetViews>
    <sheetView showGridLines="0" topLeftCell="A16" workbookViewId="0">
      <selection activeCell="B29" sqref="B29"/>
    </sheetView>
  </sheetViews>
  <sheetFormatPr defaultRowHeight="14.4" x14ac:dyDescent="0.3"/>
  <cols>
    <col min="2" max="2" width="17" bestFit="1" customWidth="1"/>
    <col min="3" max="3" width="17.6640625" bestFit="1" customWidth="1"/>
    <col min="4" max="4" width="11.6640625" bestFit="1" customWidth="1"/>
    <col min="5" max="5" width="10.77734375" bestFit="1" customWidth="1"/>
    <col min="6" max="6" width="13.77734375" bestFit="1" customWidth="1"/>
    <col min="9" max="9" width="16.6640625" customWidth="1"/>
    <col min="10" max="10" width="11.33203125" customWidth="1"/>
    <col min="11" max="11" width="12.33203125" customWidth="1"/>
    <col min="12" max="12" width="10.6640625" customWidth="1"/>
    <col min="13" max="14" width="11.33203125" customWidth="1"/>
    <col min="16" max="16" width="10.6640625" customWidth="1"/>
  </cols>
  <sheetData>
    <row r="1" spans="2:16" ht="5.4" customHeight="1" thickBot="1" x14ac:dyDescent="0.35"/>
    <row r="2" spans="2:16" ht="28.8" customHeight="1" thickBot="1" x14ac:dyDescent="0.35">
      <c r="B2" s="68" t="s">
        <v>164</v>
      </c>
      <c r="C2" s="69"/>
      <c r="D2" s="69"/>
      <c r="E2" s="69"/>
      <c r="F2" s="69"/>
      <c r="G2" s="70"/>
      <c r="H2" s="35"/>
    </row>
    <row r="3" spans="2:16" x14ac:dyDescent="0.3">
      <c r="B3" s="50" t="s">
        <v>143</v>
      </c>
      <c r="C3" s="51" t="str">
        <f>_xlfn.XLOOKUP($B$2,Table7[Vampire],Table7[Clan])</f>
        <v>Brujah</v>
      </c>
      <c r="D3" s="51" t="s">
        <v>140</v>
      </c>
      <c r="E3" s="51"/>
      <c r="F3" s="51" t="s">
        <v>167</v>
      </c>
      <c r="G3" s="52" t="str">
        <f>_xlfn.XLOOKUP($B$2,Table7[Vampire],Table7[Road Name])</f>
        <v>Kings</v>
      </c>
    </row>
    <row r="4" spans="2:16" x14ac:dyDescent="0.3">
      <c r="B4" s="53" t="s">
        <v>144</v>
      </c>
      <c r="C4" s="54">
        <f>_xlfn.XLOOKUP($B$2,Table7[Vampire],Table7[Generation])</f>
        <v>5</v>
      </c>
      <c r="D4" s="55" t="s">
        <v>141</v>
      </c>
      <c r="E4" s="55"/>
      <c r="F4" s="55" t="s">
        <v>162</v>
      </c>
      <c r="G4" s="56">
        <f>_xlfn.XLOOKUP($B$2,Table7[Vampire],Table7[Road Score])</f>
        <v>8</v>
      </c>
      <c r="I4" s="55"/>
      <c r="J4" s="55"/>
      <c r="K4" s="55"/>
    </row>
    <row r="5" spans="2:16" x14ac:dyDescent="0.3">
      <c r="B5" s="53" t="s">
        <v>166</v>
      </c>
      <c r="C5" s="57">
        <f>_xlfn.XLOOKUP($B$2,Table7[Vampire],Table7[Age])</f>
        <v>737</v>
      </c>
      <c r="D5" s="55" t="s">
        <v>142</v>
      </c>
      <c r="E5" s="55"/>
      <c r="F5" s="55" t="s">
        <v>158</v>
      </c>
      <c r="G5" s="56">
        <f>_xlfn.XLOOKUP($B$2,Table7[Vampire],Table7[Willpower])</f>
        <v>9</v>
      </c>
      <c r="I5" s="55"/>
      <c r="J5" s="55"/>
      <c r="K5" s="55"/>
    </row>
    <row r="6" spans="2:16" ht="15" thickBot="1" x14ac:dyDescent="0.35">
      <c r="B6" s="58" t="s">
        <v>145</v>
      </c>
      <c r="C6" s="59"/>
      <c r="D6" s="59" t="s">
        <v>161</v>
      </c>
      <c r="E6" s="59" t="str">
        <f>CONCATENATE(_xlfn.XLOOKUP($B$2,Table7[Vampire],Table7[Blood Pool])," / ",_xlfn.XLOOKUP($B$2,Table7[Vampire],Table7[Blood per Turn]))</f>
        <v>40 / 8</v>
      </c>
      <c r="F6" s="59" t="s">
        <v>163</v>
      </c>
      <c r="G6" s="60"/>
      <c r="I6" s="57"/>
      <c r="J6" s="57"/>
      <c r="K6" s="57"/>
    </row>
    <row r="7" spans="2:16" ht="15" thickBot="1" x14ac:dyDescent="0.35">
      <c r="I7" s="55"/>
      <c r="J7" s="55"/>
      <c r="K7" s="55"/>
      <c r="L7" s="55"/>
      <c r="M7" s="55"/>
      <c r="N7" s="55"/>
      <c r="O7" s="55"/>
      <c r="P7" s="55"/>
    </row>
    <row r="8" spans="2:16" ht="15" thickBot="1" x14ac:dyDescent="0.35">
      <c r="B8" s="71" t="s">
        <v>153</v>
      </c>
      <c r="C8" s="72"/>
      <c r="D8" s="72"/>
      <c r="E8" s="72"/>
      <c r="F8" s="72"/>
      <c r="G8" s="73"/>
      <c r="I8" s="85" t="s">
        <v>159</v>
      </c>
      <c r="J8" s="86"/>
      <c r="K8" s="86"/>
      <c r="L8" s="86"/>
      <c r="M8" s="86"/>
      <c r="N8" s="86"/>
      <c r="O8" s="86"/>
      <c r="P8" s="86"/>
    </row>
    <row r="9" spans="2:16" x14ac:dyDescent="0.3">
      <c r="B9" s="81" t="s">
        <v>146</v>
      </c>
      <c r="C9" s="82"/>
      <c r="D9" s="81" t="s">
        <v>147</v>
      </c>
      <c r="E9" s="82"/>
      <c r="F9" s="81" t="s">
        <v>148</v>
      </c>
      <c r="G9" s="82"/>
      <c r="I9" s="55" t="s">
        <v>168</v>
      </c>
      <c r="J9" s="54" t="s">
        <v>265</v>
      </c>
      <c r="K9" s="54" t="s">
        <v>241</v>
      </c>
      <c r="L9" s="54" t="s">
        <v>238</v>
      </c>
      <c r="M9" s="54" t="s">
        <v>181</v>
      </c>
      <c r="N9" s="54" t="s">
        <v>208</v>
      </c>
      <c r="O9" s="54" t="s">
        <v>239</v>
      </c>
      <c r="P9" s="54" t="s">
        <v>240</v>
      </c>
    </row>
    <row r="10" spans="2:16" x14ac:dyDescent="0.3">
      <c r="B10" s="40" t="s">
        <v>0</v>
      </c>
      <c r="C10" s="41">
        <f>_xlfn.XLOOKUP($B$2,Table7[Vampire],Table7[Strength])</f>
        <v>4</v>
      </c>
      <c r="D10" s="40" t="s">
        <v>3</v>
      </c>
      <c r="E10" s="41">
        <f>_xlfn.XLOOKUP($B$2,Table7[Vampire],Table7[Charisma])</f>
        <v>7</v>
      </c>
      <c r="F10" s="40" t="s">
        <v>5</v>
      </c>
      <c r="G10" s="41">
        <f>_xlfn.XLOOKUP($B$2,Table7[Vampire],Table7[Perception])</f>
        <v>2</v>
      </c>
      <c r="I10" s="57" t="str">
        <f>_xlfn.XLOOKUP($B$2,Table7[Vampire],Table7[Fav. Weapon])</f>
        <v>Feral</v>
      </c>
      <c r="J10" s="54" t="str">
        <f>_xlfn.XLOOKUP($I10,Table8[[Melee Weapons ]],Table8[TYPE])</f>
        <v>Brawl</v>
      </c>
      <c r="K10" s="54">
        <f>IF($J10="THROWN",_xlfn.XLOOKUP($B$2,Table7[Vampire],Table7[Attack Throw]),IF($J10="Ranged",_xlfn.XLOOKUP($B$2,Table7[Vampire],Table7[Attack Distance]),IF($J10="MELEE",_xlfn.XLOOKUP($B$2,Table7[Vampire],Table7[Attack Melee]),IF($J10="Brawl",_xlfn.XLOOKUP($B$2,Table7[Vampire],Table7[Attack Brawl]),"0"))))</f>
        <v>11</v>
      </c>
      <c r="L10" s="54">
        <f>IF($J10="RANGED",_xlfn.XLOOKUP($I$10,Table8[[Melee Weapons ]],Table8[DMG]),_xlfn.XLOOKUP($I$10,Table8[[Melee Weapons ]],Table8[DMG])+_xlfn.XLOOKUP($B$2,Table7[Vampire],Table7[Melee Base Damage]))</f>
        <v>10</v>
      </c>
      <c r="M10" s="54" t="str">
        <f>_xlfn.XLOOKUP($I10,Table8[[Melee Weapons ]],Table8[D-TYPE])</f>
        <v>A</v>
      </c>
      <c r="N10" s="54">
        <f>_xlfn.XLOOKUP(Table14[[#This Row],[WEAPON]],Table8[[Melee Weapons ]],Table8[AP])</f>
        <v>0</v>
      </c>
      <c r="O10" s="54" t="str">
        <f>_xlfn.XLOOKUP($I10,Table8[[Melee Weapons ]],Table8[Range])</f>
        <v>CàC</v>
      </c>
      <c r="P10" s="54" t="str">
        <f>_xlfn.XLOOKUP($I10,Table8[[Melee Weapons ]],Table8[Conceal])</f>
        <v xml:space="preserve">P </v>
      </c>
    </row>
    <row r="11" spans="2:16" x14ac:dyDescent="0.3">
      <c r="B11" s="40" t="s">
        <v>1</v>
      </c>
      <c r="C11" s="41">
        <f>_xlfn.XLOOKUP($B$2,Table7[Vampire],Table7[Dexterity])</f>
        <v>4</v>
      </c>
      <c r="D11" s="40" t="s">
        <v>4</v>
      </c>
      <c r="E11" s="41">
        <f>_xlfn.XLOOKUP($B$2,Table7[Vampire],Table7[Manipulation])</f>
        <v>5</v>
      </c>
      <c r="F11" s="40" t="s">
        <v>6</v>
      </c>
      <c r="G11" s="41">
        <f>_xlfn.XLOOKUP($B$2,Table7[Vampire],Table7[Intelligence])</f>
        <v>4</v>
      </c>
      <c r="I11" t="s">
        <v>267</v>
      </c>
      <c r="J11" s="54">
        <f>_xlfn.XLOOKUP($I11,Table8[[Melee Weapons ]],Table8[TYPE])</f>
        <v>0</v>
      </c>
      <c r="K11" s="54" t="str">
        <f>IF($J11="THROWN",_xlfn.XLOOKUP($B$2,Table7[Vampire],Table7[Attack Throw]),IF($J11="Ranged",_xlfn.XLOOKUP($B$2,Table7[Vampire],Table7[Attack Distance]),IF($J11="MELEE",_xlfn.XLOOKUP($B$2,Table7[Vampire],Table7[Attack Melee]),IF($J11="Brawl",_xlfn.XLOOKUP($B$2,Table7[Vampire],Table7[Attack Brawl]),"0"))))</f>
        <v>0</v>
      </c>
      <c r="L11" s="34">
        <f>IF($J11="RANGED",_xlfn.XLOOKUP($I$10,Table8[[Melee Weapons ]],Table8[DMG]),_xlfn.XLOOKUP($I$10,Table8[[Melee Weapons ]],Table8[DMG])+_xlfn.XLOOKUP($B$2,Table7[Vampire],Table7[Melee Base Damage]))</f>
        <v>10</v>
      </c>
      <c r="M11" s="34">
        <f>_xlfn.XLOOKUP($I11,Table8[[Melee Weapons ]],Table8[D-TYPE])</f>
        <v>0</v>
      </c>
      <c r="N11" s="34">
        <f>_xlfn.XLOOKUP(Table14[[#This Row],[WEAPON]],Table8[[Melee Weapons ]],Table8[AP])</f>
        <v>0</v>
      </c>
      <c r="O11" s="34">
        <f>_xlfn.XLOOKUP($I11,Table8[[Melee Weapons ]],Table8[Range])</f>
        <v>0</v>
      </c>
      <c r="P11" s="34">
        <f>_xlfn.XLOOKUP($I11,Table8[[Melee Weapons ]],Table8[Conceal])</f>
        <v>0</v>
      </c>
    </row>
    <row r="12" spans="2:16" ht="15" thickBot="1" x14ac:dyDescent="0.35">
      <c r="B12" s="42" t="s">
        <v>2</v>
      </c>
      <c r="C12" s="43">
        <f>_xlfn.XLOOKUP($B$2,Table7[Vampire],Table7[Stamina])</f>
        <v>3</v>
      </c>
      <c r="D12" s="42" t="s">
        <v>125</v>
      </c>
      <c r="E12" s="43">
        <f>_xlfn.XLOOKUP($B$2,Table7[Vampire],Table7[Appearance])</f>
        <v>4</v>
      </c>
      <c r="F12" s="42" t="s">
        <v>7</v>
      </c>
      <c r="G12" s="43">
        <f>_xlfn.XLOOKUP($B$2,Table7[Vampire],Table7[Wits])</f>
        <v>3</v>
      </c>
      <c r="I12" t="s">
        <v>267</v>
      </c>
      <c r="J12" s="54">
        <f>_xlfn.XLOOKUP($I12,Table8[[Melee Weapons ]],Table8[TYPE])</f>
        <v>0</v>
      </c>
      <c r="K12" s="54" t="str">
        <f>IF($J12="THROWN",_xlfn.XLOOKUP($B$2,Table7[Vampire],Table7[Attack Throw]),IF($J12="Ranged",_xlfn.XLOOKUP($B$2,Table7[Vampire],Table7[Attack Distance]),IF($J12="MELEE",_xlfn.XLOOKUP($B$2,Table7[Vampire],Table7[Attack Melee]),IF($J12="Brawl",_xlfn.XLOOKUP($B$2,Table7[Vampire],Table7[Attack Brawl]),"0"))))</f>
        <v>0</v>
      </c>
      <c r="L12" s="34">
        <f>IF($J12="RANGED",_xlfn.XLOOKUP($I$10,Table8[[Melee Weapons ]],Table8[DMG]),_xlfn.XLOOKUP($I$10,Table8[[Melee Weapons ]],Table8[DMG])+_xlfn.XLOOKUP($B$2,Table7[Vampire],Table7[Melee Base Damage]))</f>
        <v>10</v>
      </c>
      <c r="M12" s="34">
        <f>_xlfn.XLOOKUP($I12,Table8[[Melee Weapons ]],Table8[D-TYPE])</f>
        <v>0</v>
      </c>
      <c r="N12" s="34">
        <f>_xlfn.XLOOKUP(Table14[[#This Row],[WEAPON]],Table8[[Melee Weapons ]],Table8[AP])</f>
        <v>0</v>
      </c>
      <c r="O12" s="34">
        <f>_xlfn.XLOOKUP($I12,Table8[[Melee Weapons ]],Table8[Range])</f>
        <v>0</v>
      </c>
      <c r="P12" s="34">
        <f>_xlfn.XLOOKUP($I12,Table8[[Melee Weapons ]],Table8[Conceal])</f>
        <v>0</v>
      </c>
    </row>
    <row r="13" spans="2:16" ht="15" thickBot="1" x14ac:dyDescent="0.35">
      <c r="I13" t="s">
        <v>267</v>
      </c>
      <c r="J13" s="54">
        <f>_xlfn.XLOOKUP($I13,Table8[[Melee Weapons ]],Table8[TYPE])</f>
        <v>0</v>
      </c>
      <c r="K13" s="54" t="str">
        <f>IF($J13="THROWN",_xlfn.XLOOKUP($B$2,Table7[Vampire],Table7[Attack Throw]),IF($J13="Ranged",_xlfn.XLOOKUP($B$2,Table7[Vampire],Table7[Attack Distance]),IF($J13="MELEE",_xlfn.XLOOKUP($B$2,Table7[Vampire],Table7[Attack Melee]),IF($J13="Brawl",_xlfn.XLOOKUP($B$2,Table7[Vampire],Table7[Attack Brawl]),"0"))))</f>
        <v>0</v>
      </c>
      <c r="L13" s="34">
        <f>IF($J13="RANGED",_xlfn.XLOOKUP($I$10,Table8[[Melee Weapons ]],Table8[DMG]),_xlfn.XLOOKUP($I$10,Table8[[Melee Weapons ]],Table8[DMG])+_xlfn.XLOOKUP($B$2,Table7[Vampire],Table7[Melee Base Damage]))</f>
        <v>10</v>
      </c>
      <c r="M13" s="34">
        <f>_xlfn.XLOOKUP($I13,Table8[[Melee Weapons ]],Table8[D-TYPE])</f>
        <v>0</v>
      </c>
      <c r="N13" s="34">
        <f>_xlfn.XLOOKUP(Table14[[#This Row],[WEAPON]],Table8[[Melee Weapons ]],Table8[AP])</f>
        <v>0</v>
      </c>
      <c r="O13" s="34">
        <f>_xlfn.XLOOKUP($I13,Table8[[Melee Weapons ]],Table8[Range])</f>
        <v>0</v>
      </c>
      <c r="P13" s="34">
        <f>_xlfn.XLOOKUP($I13,Table8[[Melee Weapons ]],Table8[Conceal])</f>
        <v>0</v>
      </c>
    </row>
    <row r="14" spans="2:16" ht="15" thickBot="1" x14ac:dyDescent="0.35">
      <c r="B14" s="78" t="s">
        <v>152</v>
      </c>
      <c r="C14" s="79"/>
      <c r="D14" s="79"/>
      <c r="E14" s="79"/>
      <c r="F14" s="79"/>
      <c r="G14" s="80"/>
      <c r="H14" s="35"/>
    </row>
    <row r="15" spans="2:16" x14ac:dyDescent="0.3">
      <c r="B15" s="83" t="s">
        <v>149</v>
      </c>
      <c r="C15" s="84"/>
      <c r="D15" s="83" t="s">
        <v>150</v>
      </c>
      <c r="E15" s="84"/>
      <c r="F15" s="83" t="s">
        <v>151</v>
      </c>
      <c r="G15" s="84"/>
      <c r="I15" t="s">
        <v>160</v>
      </c>
      <c r="J15" t="s">
        <v>249</v>
      </c>
      <c r="K15" t="s">
        <v>250</v>
      </c>
    </row>
    <row r="16" spans="2:16" x14ac:dyDescent="0.3">
      <c r="B16" s="36" t="s">
        <v>8</v>
      </c>
      <c r="C16" s="37">
        <f>_xlfn.XLOOKUP($B$2,Table7[Vampire],Table7[Alertness])</f>
        <v>3</v>
      </c>
      <c r="D16" s="36" t="s">
        <v>18</v>
      </c>
      <c r="E16" s="37">
        <f>_xlfn.XLOOKUP($B$2,Table7[Vampire],Table7[Animal Ken])</f>
        <v>0</v>
      </c>
      <c r="F16" s="36" t="s">
        <v>28</v>
      </c>
      <c r="G16" s="37">
        <f>_xlfn.XLOOKUP($B$2,Table7[Vampire],Table7[Academics])</f>
        <v>2</v>
      </c>
      <c r="I16" s="61" t="str">
        <f>_xlfn.XLOOKUP($B$2,Table7[Vampire],Table7[Armor Class])</f>
        <v>Composite Armor</v>
      </c>
      <c r="J16">
        <f>_xlfn.XLOOKUP(I16,Table12[Armor],Table12[Rating])</f>
        <v>3</v>
      </c>
      <c r="K16">
        <f>_xlfn.XLOOKUP(I16,Table12[Armor],Table12[Penalty])</f>
        <v>1</v>
      </c>
    </row>
    <row r="17" spans="2:11" x14ac:dyDescent="0.3">
      <c r="B17" s="36" t="s">
        <v>9</v>
      </c>
      <c r="C17" s="37">
        <f>_xlfn.XLOOKUP($B$2,Table7[Vampire],Table7[Athletics])</f>
        <v>2</v>
      </c>
      <c r="D17" s="36" t="s">
        <v>19</v>
      </c>
      <c r="E17" s="37">
        <f>_xlfn.XLOOKUP($B$2,Table7[Vampire],Table7[Archery])</f>
        <v>0</v>
      </c>
      <c r="F17" s="36" t="s">
        <v>29</v>
      </c>
      <c r="G17" s="37">
        <f>_xlfn.XLOOKUP($B$2,Table7[Vampire],Table7[Enigmas])</f>
        <v>1</v>
      </c>
    </row>
    <row r="18" spans="2:11" x14ac:dyDescent="0.3">
      <c r="B18" s="36" t="s">
        <v>10</v>
      </c>
      <c r="C18" s="37">
        <f>_xlfn.XLOOKUP($B$2,Table7[Vampire],Table7[Awareness])</f>
        <v>1</v>
      </c>
      <c r="D18" s="36" t="s">
        <v>20</v>
      </c>
      <c r="E18" s="37">
        <f>_xlfn.XLOOKUP($B$2,Table7[Vampire],Table7[Commerce])</f>
        <v>0</v>
      </c>
      <c r="F18" s="36" t="s">
        <v>30</v>
      </c>
      <c r="G18" s="37">
        <f>_xlfn.XLOOKUP($B$2,Table7[Vampire],Table7[Hearth Wisdom])</f>
        <v>0</v>
      </c>
      <c r="I18" t="s">
        <v>264</v>
      </c>
      <c r="J18" t="s">
        <v>236</v>
      </c>
      <c r="K18" t="s">
        <v>268</v>
      </c>
    </row>
    <row r="19" spans="2:11" x14ac:dyDescent="0.3">
      <c r="B19" s="36" t="s">
        <v>11</v>
      </c>
      <c r="C19" s="37">
        <f>_xlfn.XLOOKUP($B$2,Table7[Vampire],Table7[Brawl])</f>
        <v>2</v>
      </c>
      <c r="D19" s="36" t="s">
        <v>21</v>
      </c>
      <c r="E19" s="37">
        <f>_xlfn.XLOOKUP($B$2,Table7[Vampire],Table7[Crafts])</f>
        <v>0</v>
      </c>
      <c r="F19" s="36" t="s">
        <v>31</v>
      </c>
      <c r="G19" s="37">
        <f>_xlfn.XLOOKUP($B$2,Table7[Vampire],Table7[Investigation])</f>
        <v>1</v>
      </c>
      <c r="I19" s="61" t="str">
        <f>_xlfn.XLOOKUP($B$2,Table7[Vampire],Table7[Shield])</f>
        <v>Nothing</v>
      </c>
      <c r="J19">
        <f>_xlfn.XLOOKUP($I$19,Table11[Item],Table11[Parry Diff])</f>
        <v>0</v>
      </c>
      <c r="K19">
        <f>_xlfn.XLOOKUP($I$19,Table11[Item],Table11[ATK PEN])</f>
        <v>0</v>
      </c>
    </row>
    <row r="20" spans="2:11" ht="15" thickBot="1" x14ac:dyDescent="0.35">
      <c r="B20" s="36" t="s">
        <v>12</v>
      </c>
      <c r="C20" s="37">
        <f>_xlfn.XLOOKUP($B$2,Table7[Vampire],Table7[Empathy])</f>
        <v>1</v>
      </c>
      <c r="D20" s="36" t="s">
        <v>22</v>
      </c>
      <c r="E20" s="37">
        <f>_xlfn.XLOOKUP($B$2,Table7[Vampire],Table7[Etiquette])</f>
        <v>5</v>
      </c>
      <c r="F20" s="36" t="s">
        <v>32</v>
      </c>
      <c r="G20" s="37">
        <f>_xlfn.XLOOKUP($B$2,Table7[Vampire],Table7[Law])</f>
        <v>3</v>
      </c>
    </row>
    <row r="21" spans="2:11" ht="15" thickBot="1" x14ac:dyDescent="0.35">
      <c r="B21" s="36" t="s">
        <v>13</v>
      </c>
      <c r="C21" s="37">
        <f>_xlfn.XLOOKUP($B$2,Table7[Vampire],Table7[Expression])</f>
        <v>2</v>
      </c>
      <c r="D21" s="36" t="s">
        <v>23</v>
      </c>
      <c r="E21" s="37">
        <f>_xlfn.XLOOKUP($B$2,Table7[Vampire],Table7[Melee])</f>
        <v>4</v>
      </c>
      <c r="F21" s="36" t="s">
        <v>33</v>
      </c>
      <c r="G21" s="37">
        <f>_xlfn.XLOOKUP($B$2,Table7[Vampire],Table7[Medicine])</f>
        <v>2</v>
      </c>
      <c r="I21" s="87" t="s">
        <v>270</v>
      </c>
      <c r="J21" s="88"/>
      <c r="K21" s="89"/>
    </row>
    <row r="22" spans="2:11" x14ac:dyDescent="0.3">
      <c r="B22" s="36" t="s">
        <v>14</v>
      </c>
      <c r="C22" s="37">
        <f>_xlfn.XLOOKUP($B$2,Table7[Vampire],Table7[Intimidation])</f>
        <v>4</v>
      </c>
      <c r="D22" s="36" t="s">
        <v>24</v>
      </c>
      <c r="E22" s="37">
        <f>_xlfn.XLOOKUP($B$2,Table7[Vampire],Table7[Performance])</f>
        <v>2</v>
      </c>
      <c r="F22" s="36" t="s">
        <v>34</v>
      </c>
      <c r="G22" s="37">
        <f>_xlfn.XLOOKUP($B$2,Table7[Vampire],Table7[Occult])</f>
        <v>4</v>
      </c>
      <c r="I22" s="62" t="s">
        <v>271</v>
      </c>
      <c r="J22" s="62" t="s">
        <v>250</v>
      </c>
      <c r="K22" s="63" t="s">
        <v>73</v>
      </c>
    </row>
    <row r="23" spans="2:11" x14ac:dyDescent="0.3">
      <c r="B23" s="36" t="s">
        <v>15</v>
      </c>
      <c r="C23" s="37">
        <f>_xlfn.XLOOKUP($B$2,Table7[Vampire],Table7[Leadership])</f>
        <v>4</v>
      </c>
      <c r="D23" s="36" t="s">
        <v>25</v>
      </c>
      <c r="E23" s="37">
        <f>_xlfn.XLOOKUP($B$2,Table7[Vampire],Table7[Ride])</f>
        <v>1</v>
      </c>
      <c r="F23" s="36" t="s">
        <v>35</v>
      </c>
      <c r="G23" s="37">
        <f>_xlfn.XLOOKUP($B$2,Table7[Vampire],Table7[Politics])</f>
        <v>6</v>
      </c>
      <c r="I23" s="64" t="s">
        <v>269</v>
      </c>
      <c r="J23" s="64"/>
      <c r="K23" s="65"/>
    </row>
    <row r="24" spans="2:11" x14ac:dyDescent="0.3">
      <c r="B24" s="36" t="s">
        <v>16</v>
      </c>
      <c r="C24" s="37">
        <f>_xlfn.XLOOKUP($B$2,Table7[Vampire],Table7[Legerdemain])</f>
        <v>0</v>
      </c>
      <c r="D24" s="36" t="s">
        <v>26</v>
      </c>
      <c r="E24" s="37">
        <f>_xlfn.XLOOKUP($B$2,Table7[Vampire],Table7[Stealth])</f>
        <v>2</v>
      </c>
      <c r="F24" s="36" t="s">
        <v>36</v>
      </c>
      <c r="G24" s="37">
        <f>_xlfn.XLOOKUP($B$2,Table7[Vampire],Table7[Seneschal])</f>
        <v>2</v>
      </c>
      <c r="I24" s="64" t="s">
        <v>272</v>
      </c>
      <c r="J24" s="64">
        <v>-1</v>
      </c>
      <c r="K24" s="65"/>
    </row>
    <row r="25" spans="2:11" ht="15" thickBot="1" x14ac:dyDescent="0.35">
      <c r="B25" s="38" t="s">
        <v>17</v>
      </c>
      <c r="C25" s="39">
        <f>_xlfn.XLOOKUP($B$2,Table7[Vampire],Table7[Subterfuge])</f>
        <v>3</v>
      </c>
      <c r="D25" s="38" t="s">
        <v>27</v>
      </c>
      <c r="E25" s="39">
        <f>_xlfn.XLOOKUP($B$2,Table7[Vampire],Table7[Survival])</f>
        <v>2</v>
      </c>
      <c r="F25" s="38" t="s">
        <v>37</v>
      </c>
      <c r="G25" s="39">
        <f>_xlfn.XLOOKUP($B$2,Table7[Vampire],Table7[Theology])</f>
        <v>3</v>
      </c>
      <c r="I25" s="64" t="s">
        <v>273</v>
      </c>
      <c r="J25" s="64">
        <v>-1</v>
      </c>
      <c r="K25" s="65"/>
    </row>
    <row r="26" spans="2:11" ht="15" thickBot="1" x14ac:dyDescent="0.35">
      <c r="I26" s="64" t="s">
        <v>274</v>
      </c>
      <c r="J26" s="64">
        <v>-2</v>
      </c>
      <c r="K26" s="65"/>
    </row>
    <row r="27" spans="2:11" ht="15" thickBot="1" x14ac:dyDescent="0.35">
      <c r="B27" s="74" t="s">
        <v>154</v>
      </c>
      <c r="C27" s="75"/>
      <c r="D27" s="76"/>
      <c r="E27" s="76"/>
      <c r="F27" s="76"/>
      <c r="G27" s="77"/>
      <c r="I27" s="64" t="s">
        <v>275</v>
      </c>
      <c r="J27" s="64">
        <v>-2</v>
      </c>
      <c r="K27" s="65"/>
    </row>
    <row r="28" spans="2:11" x14ac:dyDescent="0.3">
      <c r="B28" s="90" t="s">
        <v>155</v>
      </c>
      <c r="C28" s="91"/>
      <c r="D28" s="90" t="s">
        <v>156</v>
      </c>
      <c r="E28" s="91"/>
      <c r="F28" s="90" t="s">
        <v>157</v>
      </c>
      <c r="G28" s="91"/>
      <c r="I28" s="64" t="s">
        <v>276</v>
      </c>
      <c r="J28" s="64">
        <v>-5</v>
      </c>
      <c r="K28" s="65"/>
    </row>
    <row r="29" spans="2:11" ht="15" thickBot="1" x14ac:dyDescent="0.35">
      <c r="B29" s="44" t="s">
        <v>39</v>
      </c>
      <c r="C29" s="45">
        <f>_xlfn.XLOOKUP($B$2,Table7[Vampire],Table7[Auspex])</f>
        <v>3</v>
      </c>
      <c r="D29" s="48" t="s">
        <v>63</v>
      </c>
      <c r="E29" s="45">
        <f>_xlfn.XLOOKUP($B$2,Table7[Vampire],Table7[Allies])</f>
        <v>4</v>
      </c>
      <c r="F29" s="44" t="s">
        <v>74</v>
      </c>
      <c r="G29" s="45">
        <f>_xlfn.XLOOKUP($B$2,Table7[Vampire],Table7[Conscience])</f>
        <v>4</v>
      </c>
      <c r="I29" s="66" t="s">
        <v>277</v>
      </c>
      <c r="J29" s="66"/>
      <c r="K29" s="67"/>
    </row>
    <row r="30" spans="2:11" x14ac:dyDescent="0.3">
      <c r="B30" s="44" t="s">
        <v>41</v>
      </c>
      <c r="C30" s="45">
        <f>_xlfn.XLOOKUP($B$2,Table7[Vampire],Table7[Celerity])</f>
        <v>5</v>
      </c>
      <c r="D30" s="48" t="s">
        <v>278</v>
      </c>
      <c r="E30" s="45">
        <f>_xlfn.XLOOKUP($B$2,Table7[Vampire],Table7[Alternate Identity])</f>
        <v>10</v>
      </c>
      <c r="F30" s="44" t="s">
        <v>75</v>
      </c>
      <c r="G30" s="45">
        <f>_xlfn.XLOOKUP($B$2,Table7[Vampire],Table7[Conviction])</f>
        <v>0</v>
      </c>
    </row>
    <row r="31" spans="2:11" x14ac:dyDescent="0.3">
      <c r="B31" s="44" t="s">
        <v>44</v>
      </c>
      <c r="C31" s="45">
        <f>_xlfn.XLOOKUP($B$2,Table7[Vampire],Table7[Dementation])</f>
        <v>2</v>
      </c>
      <c r="D31" s="48" t="s">
        <v>65</v>
      </c>
      <c r="E31" s="45">
        <f>_xlfn.XLOOKUP($B$2,Table7[Vampire],Table7[Contacts])</f>
        <v>4</v>
      </c>
      <c r="F31" s="44" t="s">
        <v>165</v>
      </c>
      <c r="G31" s="45">
        <f>_xlfn.XLOOKUP($B$2,Table7[Vampire],Table7[Self-Control])</f>
        <v>5</v>
      </c>
    </row>
    <row r="32" spans="2:11" x14ac:dyDescent="0.3">
      <c r="B32" s="44" t="s">
        <v>45</v>
      </c>
      <c r="C32" s="45">
        <f>_xlfn.XLOOKUP($B$2,Table7[Vampire],Table7[Dominate])</f>
        <v>4</v>
      </c>
      <c r="D32" s="48" t="s">
        <v>66</v>
      </c>
      <c r="E32" s="45">
        <f>_xlfn.XLOOKUP($B$2,Table7[Vampire],Table7[Domain])</f>
        <v>5</v>
      </c>
      <c r="F32" s="44" t="s">
        <v>76</v>
      </c>
      <c r="G32" s="45">
        <f>_xlfn.XLOOKUP($B$2,Table7[Vampire],Table7[Instinct])</f>
        <v>0</v>
      </c>
    </row>
    <row r="33" spans="2:7" x14ac:dyDescent="0.3">
      <c r="B33" s="44" t="s">
        <v>50</v>
      </c>
      <c r="C33" s="45">
        <f>_xlfn.XLOOKUP($B$2,Table7[Vampire],Table7[Potence])</f>
        <v>5</v>
      </c>
      <c r="D33" s="48" t="s">
        <v>67</v>
      </c>
      <c r="E33" s="45">
        <f>_xlfn.XLOOKUP($B$2,Table7[Vampire],Table7[Fame])</f>
        <v>4</v>
      </c>
      <c r="F33" s="44" t="s">
        <v>78</v>
      </c>
      <c r="G33" s="45">
        <f>_xlfn.XLOOKUP($B$2,Table7[Vampire],Table7[Courage])</f>
        <v>5</v>
      </c>
    </row>
    <row r="34" spans="2:7" x14ac:dyDescent="0.3">
      <c r="B34" s="44" t="s">
        <v>51</v>
      </c>
      <c r="C34" s="45">
        <f>_xlfn.XLOOKUP($B$2,Table7[Vampire],Table7[Presence])</f>
        <v>7</v>
      </c>
      <c r="D34" s="48" t="s">
        <v>68</v>
      </c>
      <c r="E34" s="45">
        <f>_xlfn.XLOOKUP($B$2,Table7[Vampire],Table7[Herd])</f>
        <v>1</v>
      </c>
      <c r="F34" s="44"/>
      <c r="G34" s="45"/>
    </row>
    <row r="35" spans="2:7" x14ac:dyDescent="0.3">
      <c r="B35" s="44"/>
      <c r="C35" s="45"/>
      <c r="D35" s="48" t="s">
        <v>69</v>
      </c>
      <c r="E35" s="45">
        <f>_xlfn.XLOOKUP($B$2,Table7[Vampire],Table7[Influence])</f>
        <v>4</v>
      </c>
      <c r="F35" s="44"/>
      <c r="G35" s="45"/>
    </row>
    <row r="36" spans="2:7" x14ac:dyDescent="0.3">
      <c r="B36" s="44"/>
      <c r="C36" s="45"/>
      <c r="D36" s="48" t="s">
        <v>70</v>
      </c>
      <c r="E36" s="45">
        <f>_xlfn.XLOOKUP($B$2,Table7[Vampire],Table7[Mentor])</f>
        <v>0</v>
      </c>
      <c r="F36" s="44"/>
      <c r="G36" s="45"/>
    </row>
    <row r="37" spans="2:7" x14ac:dyDescent="0.3">
      <c r="B37" s="44"/>
      <c r="C37" s="45"/>
      <c r="D37" s="48" t="s">
        <v>71</v>
      </c>
      <c r="E37" s="45">
        <f>_xlfn.XLOOKUP($B$2,Table7[Vampire],Table7[Resources])</f>
        <v>4</v>
      </c>
      <c r="F37" s="44"/>
      <c r="G37" s="45"/>
    </row>
    <row r="38" spans="2:7" x14ac:dyDescent="0.3">
      <c r="B38" s="44"/>
      <c r="C38" s="45"/>
      <c r="D38" s="48" t="s">
        <v>72</v>
      </c>
      <c r="E38" s="45">
        <f>_xlfn.XLOOKUP($B$2,Table7[Vampire],Table7[Retainers])</f>
        <v>3</v>
      </c>
      <c r="F38" s="44"/>
      <c r="G38" s="45"/>
    </row>
    <row r="39" spans="2:7" ht="15" thickBot="1" x14ac:dyDescent="0.35">
      <c r="B39" s="46"/>
      <c r="C39" s="47"/>
      <c r="D39" s="49" t="s">
        <v>73</v>
      </c>
      <c r="E39" s="47">
        <f>_xlfn.XLOOKUP($B$2,Table7[Vampire],Table7[Status])</f>
        <v>4</v>
      </c>
      <c r="F39" s="46"/>
      <c r="G39" s="47"/>
    </row>
  </sheetData>
  <mergeCells count="15">
    <mergeCell ref="I8:P8"/>
    <mergeCell ref="I21:K21"/>
    <mergeCell ref="D15:E15"/>
    <mergeCell ref="F15:G15"/>
    <mergeCell ref="B28:C28"/>
    <mergeCell ref="D28:E28"/>
    <mergeCell ref="F28:G28"/>
    <mergeCell ref="B2:G2"/>
    <mergeCell ref="B8:G8"/>
    <mergeCell ref="B27:G27"/>
    <mergeCell ref="B14:G14"/>
    <mergeCell ref="B9:C9"/>
    <mergeCell ref="D9:E9"/>
    <mergeCell ref="F9:G9"/>
    <mergeCell ref="B15:C15"/>
  </mergeCells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3DEF3CC-D2C9-40CD-B184-051FE43AF9B1}">
          <x14:formula1>
            <xm:f>EQUIPMENT!$C$2:$C$34</xm:f>
          </x14:formula1>
          <xm:sqref>I11:I13</xm:sqref>
        </x14:dataValidation>
        <x14:dataValidation type="list" allowBlank="1" showInputMessage="1" showErrorMessage="1" xr:uid="{95EBF934-AE07-468A-AC5E-4C622989A202}">
          <x14:formula1>
            <xm:f>EQUIPMENT!$Q$17:$Q$19</xm:f>
          </x14:formula1>
          <xm:sqref>K23:K29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EQUIPMENT</vt:lpstr>
      <vt:lpstr>PC&amp;NPC List</vt:lpstr>
      <vt:lpstr>Chrothieldis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2023-05-04T08:16:28Z</dcterms:modified>
</cp:coreProperties>
</file>