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rdaxnas\CADRES\VN\3.REMUNERATION VENDEURS\PAY PLAN DAX\"/>
    </mc:Choice>
  </mc:AlternateContent>
  <xr:revisionPtr revIDLastSave="0" documentId="13_ncr:1_{4574D02E-927A-4970-B142-9CBAF4C90EA1}" xr6:coauthVersionLast="47" xr6:coauthVersionMax="47" xr10:uidLastSave="{00000000-0000-0000-0000-000000000000}"/>
  <bookViews>
    <workbookView xWindow="-108" yWindow="-108" windowWidth="23256" windowHeight="12576" xr2:uid="{F866CAB5-C115-433F-9CAE-BDB7A99E2675}"/>
  </bookViews>
  <sheets>
    <sheet name="RENAULT VPP" sheetId="1" r:id="rId1"/>
    <sheet name="RENAULT SOCIETES" sheetId="6" r:id="rId2"/>
    <sheet name="DACIA" sheetId="5" r:id="rId3"/>
    <sheet name="Listes" sheetId="2" r:id="rId4"/>
    <sheet name="Pay-Plan" sheetId="3" r:id="rId5"/>
  </sheets>
  <definedNames>
    <definedName name="_xlnm.Print_Area" localSheetId="0">'RENAULT VPP'!$B$1:$G$61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5" l="1"/>
  <c r="D24" i="1"/>
  <c r="G18" i="1"/>
  <c r="G23" i="1"/>
  <c r="D35" i="6" l="1"/>
  <c r="D32" i="6"/>
  <c r="D23" i="6"/>
  <c r="D13" i="6"/>
  <c r="D26" i="6" s="1"/>
  <c r="D52" i="5"/>
  <c r="D38" i="5"/>
  <c r="G22" i="5"/>
  <c r="G35" i="5"/>
  <c r="G28" i="5"/>
  <c r="G27" i="5"/>
  <c r="G26" i="5"/>
  <c r="G25" i="5"/>
  <c r="G17" i="5"/>
  <c r="D51" i="5"/>
  <c r="D45" i="5"/>
  <c r="D47" i="5" s="1"/>
  <c r="D50" i="5" s="1"/>
  <c r="D28" i="5"/>
  <c r="D34" i="5" s="1"/>
  <c r="D24" i="5"/>
  <c r="D14" i="5"/>
  <c r="D53" i="5" l="1"/>
  <c r="G32" i="5"/>
  <c r="D37" i="5"/>
  <c r="D36" i="5"/>
  <c r="D40" i="5" l="1"/>
  <c r="D47" i="1" l="1"/>
  <c r="D49" i="1" s="1"/>
  <c r="D52" i="1" s="1"/>
  <c r="G36" i="1"/>
  <c r="G29" i="1"/>
  <c r="G28" i="1"/>
  <c r="G27" i="1"/>
  <c r="G26" i="1"/>
  <c r="D14" i="1"/>
  <c r="D28" i="1" s="1"/>
  <c r="D34" i="1" s="1"/>
  <c r="D36" i="1" s="1"/>
  <c r="D38" i="1" l="1"/>
  <c r="G11" i="1" s="1"/>
  <c r="G12" i="1" l="1"/>
  <c r="G33" i="1" s="1"/>
  <c r="D39" i="1" l="1"/>
  <c r="D42" i="1" s="1"/>
  <c r="D53" i="1"/>
  <c r="D55" i="1" s="1"/>
</calcChain>
</file>

<file path=xl/sharedStrings.xml><?xml version="1.0" encoding="utf-8"?>
<sst xmlns="http://schemas.openxmlformats.org/spreadsheetml/2006/main" count="287" uniqueCount="143">
  <si>
    <t>FEUILLE DE GESTION</t>
  </si>
  <si>
    <t>Client</t>
  </si>
  <si>
    <t>Commune</t>
  </si>
  <si>
    <t>Véhicule</t>
  </si>
  <si>
    <t>Modèle</t>
  </si>
  <si>
    <t>TWINGO</t>
  </si>
  <si>
    <t>TWINGO E-TECH</t>
  </si>
  <si>
    <t>CLIO</t>
  </si>
  <si>
    <t>CAPTUR</t>
  </si>
  <si>
    <t>ZOE</t>
  </si>
  <si>
    <t>MEGANE</t>
  </si>
  <si>
    <t>MEGANE E-TECH</t>
  </si>
  <si>
    <t>ARKANA</t>
  </si>
  <si>
    <t>AUSTRAL</t>
  </si>
  <si>
    <t>ESPACE</t>
  </si>
  <si>
    <t>KANGOO VP</t>
  </si>
  <si>
    <t>TRAFIC VP</t>
  </si>
  <si>
    <t>VN</t>
  </si>
  <si>
    <t>VD A/B</t>
  </si>
  <si>
    <t>VD C</t>
  </si>
  <si>
    <t>VD D</t>
  </si>
  <si>
    <t>Accessoires</t>
  </si>
  <si>
    <t>OUI</t>
  </si>
  <si>
    <t>NON</t>
  </si>
  <si>
    <t>Surestimation HT</t>
  </si>
  <si>
    <t>Transport HT</t>
  </si>
  <si>
    <t>SOUS TOTAL HT</t>
  </si>
  <si>
    <t>Aide Reprise HT</t>
  </si>
  <si>
    <t>Aide Autre HT</t>
  </si>
  <si>
    <t>BMOD %</t>
  </si>
  <si>
    <t>BMOD HT</t>
  </si>
  <si>
    <t>BMOD Montant HT</t>
  </si>
  <si>
    <t>Marge Distrib HT</t>
  </si>
  <si>
    <t>Booster Immat HT</t>
  </si>
  <si>
    <t>Aide Destockage HT</t>
  </si>
  <si>
    <t>Montant Remise HT</t>
  </si>
  <si>
    <t>Provision Buy Back HT</t>
  </si>
  <si>
    <t>Marge Restante HT</t>
  </si>
  <si>
    <t>Commission Vend. HT</t>
  </si>
  <si>
    <t>Commission Vendeur HT</t>
  </si>
  <si>
    <t>Commission Agent HT</t>
  </si>
  <si>
    <t>MARGE NETTE HT</t>
  </si>
  <si>
    <t>Agent</t>
  </si>
  <si>
    <t>Vendeur :</t>
  </si>
  <si>
    <t>DELFOSSE</t>
  </si>
  <si>
    <t>TASTET</t>
  </si>
  <si>
    <t>ROUSSEAU</t>
  </si>
  <si>
    <t>ESPACE AUTO</t>
  </si>
  <si>
    <t>CASTAGNET</t>
  </si>
  <si>
    <t>BOLLET</t>
  </si>
  <si>
    <t>SPORTING GGE</t>
  </si>
  <si>
    <t>CAIGNIEU</t>
  </si>
  <si>
    <t>LACOMME</t>
  </si>
  <si>
    <t>XL AUTO</t>
  </si>
  <si>
    <t>Prix Catalogue</t>
  </si>
  <si>
    <t>Options</t>
  </si>
  <si>
    <t>Total véhicule + Options</t>
  </si>
  <si>
    <t>Frais Admnistratifs</t>
  </si>
  <si>
    <t>Roole</t>
  </si>
  <si>
    <t>Waxoyl</t>
  </si>
  <si>
    <t>Montant Financé HT</t>
  </si>
  <si>
    <t>Assurances</t>
  </si>
  <si>
    <t>FINANCEMENT</t>
  </si>
  <si>
    <t>Type</t>
  </si>
  <si>
    <t>Crédit Classique</t>
  </si>
  <si>
    <t>Commission</t>
  </si>
  <si>
    <t>CONTRAT SERVICE</t>
  </si>
  <si>
    <t>Contrat Losange</t>
  </si>
  <si>
    <t>Contrat Entretien</t>
  </si>
  <si>
    <t>Contrat Sérénité</t>
  </si>
  <si>
    <t>Contrat Intégral</t>
  </si>
  <si>
    <t>Easy Pack Sérénité</t>
  </si>
  <si>
    <t>Easy Pack Intégral</t>
  </si>
  <si>
    <t>VEHICULE</t>
  </si>
  <si>
    <t>Commission Accessoires</t>
  </si>
  <si>
    <t>Commission Roole</t>
  </si>
  <si>
    <t>Commission Waxoyl</t>
  </si>
  <si>
    <t>Autre</t>
  </si>
  <si>
    <t>PERIPHERIQUES</t>
  </si>
  <si>
    <t>Acompte (min 1500€)</t>
  </si>
  <si>
    <t>Commission Frais Admin</t>
  </si>
  <si>
    <t>TOTAL COMMISSION</t>
  </si>
  <si>
    <t>Signature CDV VN</t>
  </si>
  <si>
    <t>date</t>
  </si>
  <si>
    <t>Signature Directeur</t>
  </si>
  <si>
    <t>Signature Vendeur</t>
  </si>
  <si>
    <t xml:space="preserve">SI VENTE VD RENAULT </t>
  </si>
  <si>
    <t>Prix d'Achat HT</t>
  </si>
  <si>
    <t>Prix d'Achat Réel HT</t>
  </si>
  <si>
    <t>Prix de Vente HT</t>
  </si>
  <si>
    <t>Marge HT</t>
  </si>
  <si>
    <t>Marge restante HT</t>
  </si>
  <si>
    <t>Prime de Sortie HT</t>
  </si>
  <si>
    <t>Montant Contrat HT</t>
  </si>
  <si>
    <t>2 et +</t>
  </si>
  <si>
    <t>CREDIT CLASSIQUE 0,3%</t>
  </si>
  <si>
    <t>NEW DEAL 0 OU 1 ASSURANCE 0,3%</t>
  </si>
  <si>
    <t>NEW DEAL 2 ASSURANCES ET PLUS 0,6%</t>
  </si>
  <si>
    <t>CONTRAT LOSANGE 4%</t>
  </si>
  <si>
    <t>CONTRAT SERENITE 4%</t>
  </si>
  <si>
    <t>CONTRAT INTEGRAL 5%</t>
  </si>
  <si>
    <t>EASY PACK INTEGRAL 2,5%</t>
  </si>
  <si>
    <t>CONTRAT ENTRETIEN + EASY PACK SERENITE 0%</t>
  </si>
  <si>
    <t>ACCESSOIRES: 8% DU CA TTC</t>
  </si>
  <si>
    <t>FRAIS ADMINISTRATIFS : 15€</t>
  </si>
  <si>
    <t>ROOLE: 25€</t>
  </si>
  <si>
    <t>WAXOYL: 20€</t>
  </si>
  <si>
    <t>VD A/B 150€</t>
  </si>
  <si>
    <t>VD C 200€</t>
  </si>
  <si>
    <t>VD D 300€</t>
  </si>
  <si>
    <t>VD</t>
  </si>
  <si>
    <t>SANDERO</t>
  </si>
  <si>
    <t>SPRING</t>
  </si>
  <si>
    <t>JOGGER</t>
  </si>
  <si>
    <t>DUSTER</t>
  </si>
  <si>
    <t>SI VENTE VD DACIA</t>
  </si>
  <si>
    <t>Dacia Tranquillité</t>
  </si>
  <si>
    <t>Contrat Promo</t>
  </si>
  <si>
    <t>RENAULT</t>
  </si>
  <si>
    <t>DACIA</t>
  </si>
  <si>
    <t xml:space="preserve">VD </t>
  </si>
  <si>
    <t xml:space="preserve">COMMISSION VN </t>
  </si>
  <si>
    <t>DACIA TRANQUILLITE 4%</t>
  </si>
  <si>
    <t>CONTRAT PROMO 0%</t>
  </si>
  <si>
    <t>COMMISSION AGENT SANDERO 100€</t>
  </si>
  <si>
    <t>COMMISSION AGENT AUTRE MODELE 150€</t>
  </si>
  <si>
    <t>EXPRESS VAN</t>
  </si>
  <si>
    <t>KANGOO VAN</t>
  </si>
  <si>
    <t>TRAFIC VU</t>
  </si>
  <si>
    <t>MASTER VU</t>
  </si>
  <si>
    <t>Prix Catalogue HT</t>
  </si>
  <si>
    <t>Options HT</t>
  </si>
  <si>
    <t>Total véhicule + Options HT</t>
  </si>
  <si>
    <t>Réponse RPE %</t>
  </si>
  <si>
    <t>Booster ARCO HT</t>
  </si>
  <si>
    <t>Aide au Buy Back ME HT</t>
  </si>
  <si>
    <t>Montant Aide RPE HT</t>
  </si>
  <si>
    <t>AIDE BCC</t>
  </si>
  <si>
    <t>New Deal CAR</t>
  </si>
  <si>
    <t>New Deal CAY</t>
  </si>
  <si>
    <t>Montant Financé TTC</t>
  </si>
  <si>
    <t>COMMISSION VN 7% MBAL</t>
  </si>
  <si>
    <t>Coût de négociation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</si>
</sst>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&quot;€&quot;#,##0.00_);[Red]\(&quot;€&quot;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name val="Arial Rounded MT Bold"/>
      <family val="2"/>
    </font>
    <font>
      <sz val="10"/>
      <name val="Verdana"/>
      <family val="2"/>
    </font>
    <font>
      <b/>
      <sz val="10"/>
      <name val="Calibri Light"/>
      <family val="2"/>
      <scheme val="major"/>
    </font>
    <font>
      <b/>
      <sz val="12"/>
      <name val="Verdana"/>
      <family val="2"/>
    </font>
    <font>
      <b/>
      <sz val="12"/>
      <name val="Calibri Light"/>
      <family val="2"/>
      <scheme val="major"/>
    </font>
    <font>
      <b/>
      <i/>
      <u/>
      <sz val="10"/>
      <name val="Calibri Light"/>
      <family val="2"/>
      <scheme val="major"/>
    </font>
    <font>
      <b/>
      <i/>
      <sz val="12"/>
      <name val="Verdana"/>
      <family val="2"/>
    </font>
    <font>
      <b/>
      <sz val="36"/>
      <color theme="9" tint="-0.249977111117893"/>
      <name val="Arial Rounded MT Bold"/>
      <family val="2"/>
    </font>
    <font>
      <b/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5">
    <xf numFmtId="0" fontId="0" fillId="0" borderId="0" xfId="0"/>
    <xf numFmtId="164" fontId="4" fillId="2" borderId="15" xfId="0" applyNumberFormat="1" applyFont="1" applyFill="1" applyBorder="1" applyAlignment="1" applyProtection="1">
      <alignment horizontal="center"/>
      <protection locked="0"/>
    </xf>
    <xf numFmtId="164" fontId="4" fillId="2" borderId="16" xfId="0" applyNumberFormat="1" applyFont="1" applyFill="1" applyBorder="1" applyAlignment="1" applyProtection="1">
      <alignment horizontal="center"/>
      <protection locked="0"/>
    </xf>
    <xf numFmtId="164" fontId="4" fillId="4" borderId="16" xfId="0" applyNumberFormat="1" applyFont="1" applyFill="1" applyBorder="1" applyAlignment="1">
      <alignment horizontal="center"/>
    </xf>
    <xf numFmtId="164" fontId="4" fillId="2" borderId="17" xfId="0" applyNumberFormat="1" applyFont="1" applyFill="1" applyBorder="1" applyAlignment="1" applyProtection="1">
      <alignment horizontal="center"/>
      <protection locked="0"/>
    </xf>
    <xf numFmtId="164" fontId="4" fillId="2" borderId="16" xfId="0" applyNumberFormat="1" applyFont="1" applyFill="1" applyBorder="1" applyAlignment="1">
      <alignment horizontal="center"/>
    </xf>
    <xf numFmtId="164" fontId="4" fillId="2" borderId="25" xfId="0" applyNumberFormat="1" applyFont="1" applyFill="1" applyBorder="1" applyAlignment="1" applyProtection="1">
      <alignment horizontal="center"/>
      <protection locked="0"/>
    </xf>
    <xf numFmtId="164" fontId="4" fillId="4" borderId="26" xfId="0" applyNumberFormat="1" applyFont="1" applyFill="1" applyBorder="1" applyAlignment="1">
      <alignment horizontal="center"/>
    </xf>
    <xf numFmtId="164" fontId="4" fillId="4" borderId="5" xfId="0" applyNumberFormat="1" applyFont="1" applyFill="1" applyBorder="1" applyAlignment="1">
      <alignment horizontal="center"/>
    </xf>
    <xf numFmtId="164" fontId="4" fillId="2" borderId="7" xfId="0" applyNumberFormat="1" applyFont="1" applyFill="1" applyBorder="1" applyAlignment="1" applyProtection="1">
      <alignment horizontal="center"/>
      <protection locked="0"/>
    </xf>
    <xf numFmtId="9" fontId="4" fillId="2" borderId="9" xfId="0" applyNumberFormat="1" applyFont="1" applyFill="1" applyBorder="1" applyAlignment="1" applyProtection="1">
      <alignment horizontal="center"/>
      <protection locked="0"/>
    </xf>
    <xf numFmtId="164" fontId="4" fillId="4" borderId="9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164" fontId="4" fillId="4" borderId="7" xfId="0" applyNumberFormat="1" applyFont="1" applyFill="1" applyBorder="1" applyAlignment="1">
      <alignment horizontal="center"/>
    </xf>
    <xf numFmtId="164" fontId="6" fillId="4" borderId="14" xfId="0" applyNumberFormat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3" borderId="14" xfId="0" applyFont="1" applyFill="1" applyBorder="1" applyProtection="1">
      <protection locked="0"/>
    </xf>
    <xf numFmtId="0" fontId="5" fillId="2" borderId="14" xfId="0" applyFont="1" applyFill="1" applyBorder="1" applyProtection="1">
      <protection locked="0"/>
    </xf>
    <xf numFmtId="0" fontId="5" fillId="0" borderId="15" xfId="0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0" borderId="34" xfId="0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35" xfId="0" applyFont="1" applyBorder="1" applyAlignment="1">
      <alignment horizontal="right"/>
    </xf>
    <xf numFmtId="0" fontId="4" fillId="2" borderId="32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164" fontId="4" fillId="2" borderId="16" xfId="1" applyNumberFormat="1" applyFont="1" applyFill="1" applyBorder="1" applyAlignment="1" applyProtection="1">
      <alignment horizontal="center"/>
      <protection locked="0"/>
    </xf>
    <xf numFmtId="0" fontId="5" fillId="0" borderId="26" xfId="0" applyFont="1" applyBorder="1" applyAlignment="1">
      <alignment horizontal="right"/>
    </xf>
    <xf numFmtId="164" fontId="4" fillId="2" borderId="35" xfId="1" applyNumberFormat="1" applyFont="1" applyFill="1" applyBorder="1" applyAlignment="1" applyProtection="1">
      <alignment horizontal="center"/>
      <protection locked="0"/>
    </xf>
    <xf numFmtId="0" fontId="5" fillId="0" borderId="16" xfId="0" applyFont="1" applyBorder="1" applyAlignment="1">
      <alignment horizontal="right"/>
    </xf>
    <xf numFmtId="164" fontId="4" fillId="6" borderId="15" xfId="1" applyNumberFormat="1" applyFont="1" applyFill="1" applyBorder="1" applyAlignment="1" applyProtection="1">
      <alignment horizontal="center"/>
    </xf>
    <xf numFmtId="164" fontId="4" fillId="6" borderId="16" xfId="1" applyNumberFormat="1" applyFont="1" applyFill="1" applyBorder="1" applyAlignment="1" applyProtection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right"/>
    </xf>
    <xf numFmtId="14" fontId="4" fillId="0" borderId="2" xfId="0" applyNumberFormat="1" applyFont="1" applyBorder="1" applyAlignment="1">
      <alignment horizontal="right"/>
    </xf>
    <xf numFmtId="0" fontId="8" fillId="0" borderId="18" xfId="0" applyFont="1" applyBorder="1"/>
    <xf numFmtId="164" fontId="4" fillId="4" borderId="24" xfId="0" applyNumberFormat="1" applyFont="1" applyFill="1" applyBorder="1" applyAlignment="1">
      <alignment horizontal="center"/>
    </xf>
    <xf numFmtId="164" fontId="6" fillId="4" borderId="12" xfId="0" applyNumberFormat="1" applyFont="1" applyFill="1" applyBorder="1" applyAlignment="1">
      <alignment horizontal="center"/>
    </xf>
    <xf numFmtId="164" fontId="4" fillId="4" borderId="38" xfId="0" applyNumberFormat="1" applyFont="1" applyFill="1" applyBorder="1" applyAlignment="1">
      <alignment horizontal="center"/>
    </xf>
    <xf numFmtId="164" fontId="4" fillId="2" borderId="35" xfId="0" applyNumberFormat="1" applyFont="1" applyFill="1" applyBorder="1" applyAlignment="1" applyProtection="1">
      <alignment horizontal="center"/>
      <protection locked="0"/>
    </xf>
    <xf numFmtId="164" fontId="4" fillId="6" borderId="26" xfId="1" applyNumberFormat="1" applyFont="1" applyFill="1" applyBorder="1" applyAlignment="1" applyProtection="1">
      <alignment horizontal="center"/>
    </xf>
    <xf numFmtId="164" fontId="4" fillId="2" borderId="25" xfId="1" applyNumberFormat="1" applyFont="1" applyFill="1" applyBorder="1" applyAlignment="1" applyProtection="1">
      <alignment horizontal="center"/>
      <protection locked="0"/>
    </xf>
    <xf numFmtId="164" fontId="4" fillId="2" borderId="15" xfId="1" applyNumberFormat="1" applyFon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" xfId="0" applyBorder="1"/>
    <xf numFmtId="0" fontId="0" fillId="0" borderId="2" xfId="0" applyBorder="1"/>
    <xf numFmtId="0" fontId="0" fillId="0" borderId="19" xfId="0" applyBorder="1"/>
    <xf numFmtId="0" fontId="0" fillId="0" borderId="3" xfId="0" applyBorder="1"/>
    <xf numFmtId="0" fontId="0" fillId="0" borderId="22" xfId="0" applyBorder="1"/>
    <xf numFmtId="0" fontId="0" fillId="0" borderId="4" xfId="0" applyBorder="1"/>
    <xf numFmtId="0" fontId="0" fillId="0" borderId="5" xfId="0" applyBorder="1"/>
    <xf numFmtId="164" fontId="4" fillId="2" borderId="41" xfId="0" applyNumberFormat="1" applyFont="1" applyFill="1" applyBorder="1" applyAlignment="1">
      <alignment horizontal="center"/>
    </xf>
    <xf numFmtId="9" fontId="4" fillId="2" borderId="42" xfId="0" applyNumberFormat="1" applyFont="1" applyFill="1" applyBorder="1" applyAlignment="1" applyProtection="1">
      <alignment horizontal="center"/>
      <protection locked="0"/>
    </xf>
    <xf numFmtId="164" fontId="4" fillId="4" borderId="41" xfId="0" applyNumberFormat="1" applyFont="1" applyFill="1" applyBorder="1" applyAlignment="1">
      <alignment horizontal="center"/>
    </xf>
    <xf numFmtId="164" fontId="4" fillId="2" borderId="12" xfId="0" applyNumberFormat="1" applyFont="1" applyFill="1" applyBorder="1" applyAlignment="1" applyProtection="1">
      <alignment horizontal="center"/>
      <protection locked="0"/>
    </xf>
    <xf numFmtId="164" fontId="4" fillId="6" borderId="14" xfId="1" applyNumberFormat="1" applyFont="1" applyFill="1" applyBorder="1" applyAlignment="1" applyProtection="1">
      <alignment horizontal="center"/>
    </xf>
    <xf numFmtId="49" fontId="4" fillId="2" borderId="2" xfId="0" applyNumberFormat="1" applyFont="1" applyFill="1" applyBorder="1" applyAlignment="1" applyProtection="1">
      <alignment horizontal="center"/>
      <protection locked="0"/>
    </xf>
    <xf numFmtId="0" fontId="5" fillId="0" borderId="2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19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7" fillId="5" borderId="13" xfId="0" applyFont="1" applyFill="1" applyBorder="1" applyAlignment="1">
      <alignment horizontal="right"/>
    </xf>
    <xf numFmtId="0" fontId="7" fillId="5" borderId="14" xfId="0" applyFont="1" applyFill="1" applyBorder="1" applyAlignment="1">
      <alignment horizontal="right"/>
    </xf>
    <xf numFmtId="0" fontId="5" fillId="0" borderId="31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39" xfId="0" applyFont="1" applyBorder="1" applyAlignment="1">
      <alignment horizontal="right"/>
    </xf>
    <xf numFmtId="0" fontId="5" fillId="0" borderId="40" xfId="0" applyFont="1" applyBorder="1" applyAlignment="1">
      <alignment horizontal="right"/>
    </xf>
    <xf numFmtId="0" fontId="5" fillId="0" borderId="22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165" fontId="7" fillId="5" borderId="13" xfId="0" applyNumberFormat="1" applyFont="1" applyFill="1" applyBorder="1" applyAlignment="1">
      <alignment horizontal="right"/>
    </xf>
    <xf numFmtId="165" fontId="7" fillId="5" borderId="14" xfId="0" applyNumberFormat="1" applyFont="1" applyFill="1" applyBorder="1" applyAlignment="1">
      <alignment horizontal="right"/>
    </xf>
    <xf numFmtId="0" fontId="9" fillId="5" borderId="13" xfId="0" applyFont="1" applyFill="1" applyBorder="1" applyAlignment="1">
      <alignment horizontal="center"/>
    </xf>
    <xf numFmtId="0" fontId="9" fillId="5" borderId="33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5" fillId="0" borderId="20" xfId="0" applyFont="1" applyBorder="1" applyAlignment="1">
      <alignment horizontal="right"/>
    </xf>
    <xf numFmtId="0" fontId="5" fillId="0" borderId="21" xfId="0" applyFont="1" applyBorder="1" applyAlignment="1">
      <alignment horizontal="right"/>
    </xf>
    <xf numFmtId="0" fontId="5" fillId="5" borderId="23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164" fontId="6" fillId="4" borderId="36" xfId="0" applyNumberFormat="1" applyFont="1" applyFill="1" applyBorder="1" applyAlignment="1">
      <alignment horizontal="center" vertical="center"/>
    </xf>
    <xf numFmtId="164" fontId="6" fillId="4" borderId="37" xfId="0" applyNumberFormat="1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/>
    </xf>
    <xf numFmtId="0" fontId="5" fillId="0" borderId="30" xfId="0" applyFont="1" applyBorder="1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5" fillId="3" borderId="10" xfId="0" applyFont="1" applyFill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  <protection locked="0"/>
    </xf>
    <xf numFmtId="0" fontId="5" fillId="3" borderId="27" xfId="0" applyFont="1" applyFill="1" applyBorder="1" applyAlignment="1" applyProtection="1">
      <alignment horizontal="center"/>
      <protection locked="0"/>
    </xf>
    <xf numFmtId="0" fontId="5" fillId="3" borderId="28" xfId="0" applyFont="1" applyFill="1" applyBorder="1" applyAlignment="1" applyProtection="1">
      <alignment horizontal="center"/>
      <protection locked="0"/>
    </xf>
    <xf numFmtId="0" fontId="5" fillId="0" borderId="43" xfId="0" applyFont="1" applyBorder="1" applyAlignment="1">
      <alignment horizontal="right"/>
    </xf>
    <xf numFmtId="0" fontId="5" fillId="0" borderId="44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3" borderId="6" xfId="0" applyFont="1" applyFill="1" applyBorder="1" applyAlignment="1" applyProtection="1">
      <alignment horizontal="center"/>
      <protection locked="0"/>
    </xf>
    <xf numFmtId="0" fontId="5" fillId="3" borderId="7" xfId="0" applyFont="1" applyFill="1" applyBorder="1" applyAlignment="1" applyProtection="1">
      <alignment horizontal="center"/>
      <protection locked="0"/>
    </xf>
    <xf numFmtId="164" fontId="6" fillId="0" borderId="1" xfId="0" applyNumberFormat="1" applyFont="1" applyFill="1" applyBorder="1" applyAlignment="1">
      <alignment horizontal="center"/>
    </xf>
    <xf numFmtId="0" fontId="0" fillId="0" borderId="0" xfId="0" applyBorder="1"/>
    <xf numFmtId="165" fontId="7" fillId="0" borderId="1" xfId="0" applyNumberFormat="1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10" fontId="11" fillId="4" borderId="12" xfId="2" applyNumberFormat="1" applyFont="1" applyFill="1" applyBorder="1" applyAlignment="1">
      <alignment horizontal="center"/>
    </xf>
    <xf numFmtId="0" fontId="0" fillId="0" borderId="0" xfId="0" applyProtection="1"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0</xdr:row>
      <xdr:rowOff>0</xdr:rowOff>
    </xdr:from>
    <xdr:to>
      <xdr:col>2</xdr:col>
      <xdr:colOff>0</xdr:colOff>
      <xdr:row>5</xdr:row>
      <xdr:rowOff>15240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001E8D2-9A6F-0FE2-B0C8-C5E4F9B83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0"/>
          <a:ext cx="784860" cy="7848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0</xdr:row>
      <xdr:rowOff>0</xdr:rowOff>
    </xdr:from>
    <xdr:to>
      <xdr:col>1</xdr:col>
      <xdr:colOff>784860</xdr:colOff>
      <xdr:row>5</xdr:row>
      <xdr:rowOff>15240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864ACD1-A0C4-4FA8-965C-47D99C20E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0"/>
          <a:ext cx="777240" cy="838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769620</xdr:colOff>
      <xdr:row>0</xdr:row>
      <xdr:rowOff>0</xdr:rowOff>
    </xdr:from>
    <xdr:to>
      <xdr:col>1</xdr:col>
      <xdr:colOff>781414</xdr:colOff>
      <xdr:row>4</xdr:row>
      <xdr:rowOff>167640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B25A39B-48B9-E3CA-6C76-766079D10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0"/>
          <a:ext cx="804274" cy="899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B370F-0A04-4623-A995-2F974BD91021}">
  <sheetPr>
    <pageSetUpPr fitToPage="1"/>
  </sheetPr>
  <dimension ref="A1:I57"/>
  <sheetViews>
    <sheetView tabSelected="1" topLeftCell="A7" zoomScaleNormal="100" workbookViewId="0">
      <selection activeCell="G15" sqref="G15"/>
    </sheetView>
  </sheetViews>
  <sheetFormatPr baseColWidth="10" defaultRowHeight="14.4" x14ac:dyDescent="0.3"/>
  <cols>
    <col min="3" max="3" width="10.77734375" customWidth="1"/>
    <col min="4" max="4" width="26.6640625" customWidth="1"/>
    <col min="5" max="5" width="8.6640625" customWidth="1"/>
    <col min="6" max="6" width="23.109375" customWidth="1"/>
    <col min="7" max="7" width="24.5546875" customWidth="1"/>
  </cols>
  <sheetData>
    <row r="1" spans="2:7" x14ac:dyDescent="0.3">
      <c r="C1" s="97" t="s">
        <v>0</v>
      </c>
      <c r="D1" s="97"/>
      <c r="E1" s="97"/>
      <c r="F1" s="97"/>
      <c r="G1" s="98"/>
    </row>
    <row r="2" spans="2:7" x14ac:dyDescent="0.3">
      <c r="C2" s="99"/>
      <c r="D2" s="99"/>
      <c r="E2" s="99"/>
      <c r="F2" s="99"/>
      <c r="G2" s="100"/>
    </row>
    <row r="3" spans="2:7" x14ac:dyDescent="0.3">
      <c r="C3" s="99"/>
      <c r="D3" s="99"/>
      <c r="E3" s="99"/>
      <c r="F3" s="99"/>
      <c r="G3" s="100"/>
    </row>
    <row r="4" spans="2:7" x14ac:dyDescent="0.3">
      <c r="C4" s="99"/>
      <c r="D4" s="99"/>
      <c r="E4" s="99"/>
      <c r="F4" s="99"/>
      <c r="G4" s="100"/>
    </row>
    <row r="5" spans="2:7" ht="3" customHeight="1" thickBot="1" x14ac:dyDescent="0.35">
      <c r="C5" s="101"/>
      <c r="D5" s="101"/>
      <c r="E5" s="101"/>
      <c r="F5" s="101"/>
      <c r="G5" s="102"/>
    </row>
    <row r="6" spans="2:7" ht="15" thickBot="1" x14ac:dyDescent="0.35"/>
    <row r="7" spans="2:7" ht="15" thickBot="1" x14ac:dyDescent="0.35">
      <c r="B7" s="16" t="s">
        <v>1</v>
      </c>
      <c r="C7" s="103"/>
      <c r="D7" s="104"/>
      <c r="F7" s="15" t="s">
        <v>42</v>
      </c>
      <c r="G7" s="20" t="s">
        <v>23</v>
      </c>
    </row>
    <row r="8" spans="2:7" ht="15" thickBot="1" x14ac:dyDescent="0.35">
      <c r="B8" s="17" t="s">
        <v>2</v>
      </c>
      <c r="C8" s="105"/>
      <c r="D8" s="106"/>
      <c r="F8" s="15" t="s">
        <v>43</v>
      </c>
      <c r="G8" s="21" t="s">
        <v>44</v>
      </c>
    </row>
    <row r="9" spans="2:7" ht="15" thickBot="1" x14ac:dyDescent="0.35">
      <c r="B9" s="19" t="s">
        <v>3</v>
      </c>
      <c r="C9" s="109" t="s">
        <v>17</v>
      </c>
      <c r="D9" s="110"/>
    </row>
    <row r="10" spans="2:7" ht="15" thickBot="1" x14ac:dyDescent="0.35">
      <c r="B10" s="18" t="s">
        <v>4</v>
      </c>
      <c r="C10" s="107" t="s">
        <v>13</v>
      </c>
      <c r="D10" s="108"/>
      <c r="F10" s="93" t="s">
        <v>73</v>
      </c>
      <c r="G10" s="94"/>
    </row>
    <row r="11" spans="2:7" ht="15" thickBot="1" x14ac:dyDescent="0.35">
      <c r="F11" s="60" t="s">
        <v>65</v>
      </c>
      <c r="G11" s="43">
        <f>IF(C9="VD A/B",150,IF(C9="VD C",200,IF(C9="VD D",300, IF(C9="VN",D38*7%,))))</f>
        <v>95.62</v>
      </c>
    </row>
    <row r="12" spans="2:7" ht="15" thickBot="1" x14ac:dyDescent="0.35">
      <c r="B12" s="74" t="s">
        <v>54</v>
      </c>
      <c r="C12" s="75"/>
      <c r="D12" s="1">
        <v>20000</v>
      </c>
      <c r="F12" s="61"/>
      <c r="G12" s="58">
        <f>IF(G11&lt;45,45-G11,0)</f>
        <v>0</v>
      </c>
    </row>
    <row r="13" spans="2:7" ht="15" thickBot="1" x14ac:dyDescent="0.35">
      <c r="B13" s="68" t="s">
        <v>55</v>
      </c>
      <c r="C13" s="69"/>
      <c r="D13" s="2">
        <v>100</v>
      </c>
    </row>
    <row r="14" spans="2:7" ht="15" thickBot="1" x14ac:dyDescent="0.35">
      <c r="B14" s="68" t="s">
        <v>56</v>
      </c>
      <c r="C14" s="69"/>
      <c r="D14" s="5">
        <f>D12+D13</f>
        <v>20100</v>
      </c>
      <c r="F14" s="93" t="s">
        <v>62</v>
      </c>
      <c r="G14" s="94"/>
    </row>
    <row r="15" spans="2:7" x14ac:dyDescent="0.3">
      <c r="B15" s="68" t="s">
        <v>21</v>
      </c>
      <c r="C15" s="69"/>
      <c r="D15" s="2">
        <v>500</v>
      </c>
      <c r="F15" s="22" t="s">
        <v>63</v>
      </c>
      <c r="G15" s="59" t="s">
        <v>139</v>
      </c>
    </row>
    <row r="16" spans="2:7" x14ac:dyDescent="0.3">
      <c r="B16" s="68" t="s">
        <v>57</v>
      </c>
      <c r="C16" s="69"/>
      <c r="D16" s="2" t="s">
        <v>22</v>
      </c>
      <c r="F16" s="24" t="s">
        <v>140</v>
      </c>
      <c r="G16" s="29">
        <v>15000</v>
      </c>
    </row>
    <row r="17" spans="2:9" ht="15" thickBot="1" x14ac:dyDescent="0.35">
      <c r="B17" s="68" t="s">
        <v>58</v>
      </c>
      <c r="C17" s="69"/>
      <c r="D17" s="2" t="s">
        <v>22</v>
      </c>
      <c r="F17" s="26" t="s">
        <v>61</v>
      </c>
      <c r="G17" s="27">
        <v>0</v>
      </c>
    </row>
    <row r="18" spans="2:9" ht="15.6" thickTop="1" thickBot="1" x14ac:dyDescent="0.35">
      <c r="B18" s="95" t="s">
        <v>59</v>
      </c>
      <c r="C18" s="96"/>
      <c r="D18" s="4" t="s">
        <v>22</v>
      </c>
      <c r="F18" s="30" t="s">
        <v>65</v>
      </c>
      <c r="G18" s="43">
        <f>IF(G15="NON",0,IF(G17=0,IF(G15="Crédit classique",15,IF(G15="New Deal CAR",25,12.5))))</f>
        <v>12.5</v>
      </c>
    </row>
    <row r="19" spans="2:9" ht="15" thickBot="1" x14ac:dyDescent="0.35"/>
    <row r="20" spans="2:9" ht="15" thickBot="1" x14ac:dyDescent="0.35">
      <c r="B20" s="74" t="s">
        <v>35</v>
      </c>
      <c r="C20" s="75"/>
      <c r="D20" s="1">
        <v>2300</v>
      </c>
      <c r="F20" s="93" t="s">
        <v>66</v>
      </c>
      <c r="G20" s="94"/>
    </row>
    <row r="21" spans="2:9" x14ac:dyDescent="0.3">
      <c r="B21" s="68" t="s">
        <v>24</v>
      </c>
      <c r="C21" s="69"/>
      <c r="D21" s="2">
        <v>0</v>
      </c>
      <c r="F21" s="22" t="s">
        <v>63</v>
      </c>
      <c r="G21" s="28" t="s">
        <v>72</v>
      </c>
    </row>
    <row r="22" spans="2:9" ht="15" thickBot="1" x14ac:dyDescent="0.35">
      <c r="B22" s="68" t="s">
        <v>36</v>
      </c>
      <c r="C22" s="69"/>
      <c r="D22" s="2">
        <v>1500</v>
      </c>
      <c r="F22" s="26" t="s">
        <v>93</v>
      </c>
      <c r="G22" s="31">
        <v>400</v>
      </c>
    </row>
    <row r="23" spans="2:9" ht="15.6" thickTop="1" thickBot="1" x14ac:dyDescent="0.35">
      <c r="B23" s="72" t="s">
        <v>25</v>
      </c>
      <c r="C23" s="73"/>
      <c r="D23" s="6">
        <v>0</v>
      </c>
      <c r="F23" s="30" t="s">
        <v>65</v>
      </c>
      <c r="G23" s="43">
        <f>IF(G21="NON",0,IF(G21="Contrat Entretien",0,IF(G21="Easy Pack Sérénité",0,IF(G21="Contrat Losange",'RENAULT VPP'!G22*4%,IF('RENAULT VPP'!G21="Contrat Sérénité",'RENAULT VPP'!G22*4%,IF('RENAULT VPP'!G21="Contrat Intégral",'RENAULT VPP'!G22*5%,IF('RENAULT VPP'!G21="Easy Pack Intégral",'RENAULT VPP'!G22*2%)))))))</f>
        <v>8</v>
      </c>
    </row>
    <row r="24" spans="2:9" ht="15.6" thickTop="1" thickBot="1" x14ac:dyDescent="0.35">
      <c r="B24" s="91" t="s">
        <v>26</v>
      </c>
      <c r="C24" s="92"/>
      <c r="D24" s="7">
        <f>D20+D21+D23</f>
        <v>2300</v>
      </c>
    </row>
    <row r="25" spans="2:9" ht="15" thickBot="1" x14ac:dyDescent="0.35">
      <c r="F25" s="93" t="s">
        <v>78</v>
      </c>
      <c r="G25" s="94"/>
    </row>
    <row r="26" spans="2:9" x14ac:dyDescent="0.3">
      <c r="B26" s="74" t="s">
        <v>32</v>
      </c>
      <c r="C26" s="75"/>
      <c r="D26" s="9">
        <v>2800</v>
      </c>
      <c r="F26" s="22" t="s">
        <v>74</v>
      </c>
      <c r="G26" s="33">
        <f>D15*8%</f>
        <v>40</v>
      </c>
    </row>
    <row r="27" spans="2:9" x14ac:dyDescent="0.3">
      <c r="B27" s="68" t="s">
        <v>29</v>
      </c>
      <c r="C27" s="69"/>
      <c r="D27" s="10">
        <v>0</v>
      </c>
      <c r="F27" s="32" t="s">
        <v>80</v>
      </c>
      <c r="G27" s="34">
        <f>IF(D16="OUI",15,0)</f>
        <v>15</v>
      </c>
    </row>
    <row r="28" spans="2:9" x14ac:dyDescent="0.3">
      <c r="B28" s="68" t="s">
        <v>30</v>
      </c>
      <c r="C28" s="69"/>
      <c r="D28" s="11">
        <f>D27*(D14/1.2)</f>
        <v>0</v>
      </c>
      <c r="F28" s="32" t="s">
        <v>75</v>
      </c>
      <c r="G28" s="34">
        <f>IF(D17="OUI",25,0)</f>
        <v>25</v>
      </c>
    </row>
    <row r="29" spans="2:9" x14ac:dyDescent="0.3">
      <c r="B29" s="68" t="s">
        <v>31</v>
      </c>
      <c r="C29" s="69"/>
      <c r="D29" s="12">
        <v>866</v>
      </c>
      <c r="F29" s="32" t="s">
        <v>76</v>
      </c>
      <c r="G29" s="34">
        <f>IF(D18="OUI",20,0)</f>
        <v>20</v>
      </c>
      <c r="I29" s="134"/>
    </row>
    <row r="30" spans="2:9" x14ac:dyDescent="0.3">
      <c r="B30" s="68" t="s">
        <v>27</v>
      </c>
      <c r="C30" s="69"/>
      <c r="D30" s="12">
        <v>0</v>
      </c>
      <c r="F30" s="32" t="s">
        <v>77</v>
      </c>
      <c r="G30" s="2">
        <v>0</v>
      </c>
    </row>
    <row r="31" spans="2:9" ht="15" thickBot="1" x14ac:dyDescent="0.35">
      <c r="B31" s="68" t="s">
        <v>33</v>
      </c>
      <c r="C31" s="69"/>
      <c r="D31" s="12">
        <v>0</v>
      </c>
      <c r="F31" s="30" t="s">
        <v>79</v>
      </c>
      <c r="G31" s="4">
        <v>8</v>
      </c>
    </row>
    <row r="32" spans="2:9" ht="15" thickBot="1" x14ac:dyDescent="0.35">
      <c r="B32" s="68" t="s">
        <v>34</v>
      </c>
      <c r="C32" s="69"/>
      <c r="D32" s="12">
        <v>0</v>
      </c>
    </row>
    <row r="33" spans="1:7" ht="15.6" thickTop="1" thickBot="1" x14ac:dyDescent="0.35">
      <c r="B33" s="66" t="s">
        <v>28</v>
      </c>
      <c r="C33" s="67"/>
      <c r="D33" s="6">
        <v>0</v>
      </c>
      <c r="F33" s="87" t="s">
        <v>81</v>
      </c>
      <c r="G33" s="89">
        <f>G11+G12+G18+G23+G26+G27+G28+G29+G30+G31</f>
        <v>224.12</v>
      </c>
    </row>
    <row r="34" spans="1:7" ht="15.6" thickTop="1" thickBot="1" x14ac:dyDescent="0.35">
      <c r="B34" s="91" t="s">
        <v>26</v>
      </c>
      <c r="C34" s="92"/>
      <c r="D34" s="8">
        <f>D26+D28+D29+D30+D31+D32+D33</f>
        <v>3666</v>
      </c>
      <c r="F34" s="88"/>
      <c r="G34" s="90"/>
    </row>
    <row r="35" spans="1:7" ht="15" thickBot="1" x14ac:dyDescent="0.35">
      <c r="B35" s="131"/>
      <c r="C35" s="131"/>
      <c r="D35" s="132"/>
    </row>
    <row r="36" spans="1:7" ht="15" thickBot="1" x14ac:dyDescent="0.35">
      <c r="B36" s="113" t="s">
        <v>142</v>
      </c>
      <c r="C36" s="114"/>
      <c r="D36" s="133">
        <f>(D24-(D34-D26))/(D14/1.2)</f>
        <v>8.5611940298507466E-2</v>
      </c>
      <c r="F36" s="38" t="s">
        <v>85</v>
      </c>
      <c r="G36" s="37">
        <f ca="1">TODAY()</f>
        <v>45048</v>
      </c>
    </row>
    <row r="37" spans="1:7" ht="15" thickBot="1" x14ac:dyDescent="0.35">
      <c r="F37" s="62"/>
      <c r="G37" s="63"/>
    </row>
    <row r="38" spans="1:7" x14ac:dyDescent="0.3">
      <c r="B38" s="74" t="s">
        <v>37</v>
      </c>
      <c r="C38" s="75"/>
      <c r="D38" s="13">
        <f>D34-D24</f>
        <v>1366</v>
      </c>
      <c r="F38" s="62"/>
      <c r="G38" s="63"/>
    </row>
    <row r="39" spans="1:7" x14ac:dyDescent="0.3">
      <c r="B39" s="68" t="s">
        <v>39</v>
      </c>
      <c r="C39" s="69"/>
      <c r="D39" s="11">
        <f>IF(C9="VN",G11+G12,0)</f>
        <v>95.62</v>
      </c>
      <c r="F39" s="62"/>
      <c r="G39" s="63"/>
    </row>
    <row r="40" spans="1:7" ht="15" thickBot="1" x14ac:dyDescent="0.35">
      <c r="B40" s="78" t="s">
        <v>40</v>
      </c>
      <c r="C40" s="79"/>
      <c r="D40" s="8">
        <v>0</v>
      </c>
      <c r="F40" s="62"/>
      <c r="G40" s="63"/>
    </row>
    <row r="41" spans="1:7" ht="15" thickBot="1" x14ac:dyDescent="0.35">
      <c r="A41" s="129"/>
      <c r="F41" s="64"/>
      <c r="G41" s="65"/>
    </row>
    <row r="42" spans="1:7" ht="16.8" thickBot="1" x14ac:dyDescent="0.35">
      <c r="B42" s="80" t="s">
        <v>41</v>
      </c>
      <c r="C42" s="81"/>
      <c r="D42" s="14">
        <f>D38-D39-D40</f>
        <v>1270.3800000000001</v>
      </c>
      <c r="F42" s="35"/>
      <c r="G42" s="35"/>
    </row>
    <row r="43" spans="1:7" ht="16.8" thickBot="1" x14ac:dyDescent="0.35">
      <c r="B43" s="130"/>
      <c r="C43" s="130"/>
      <c r="D43" s="128"/>
      <c r="F43" s="38" t="s">
        <v>82</v>
      </c>
      <c r="G43" s="36" t="s">
        <v>83</v>
      </c>
    </row>
    <row r="44" spans="1:7" ht="16.8" thickBot="1" x14ac:dyDescent="0.35">
      <c r="B44" s="82" t="s">
        <v>86</v>
      </c>
      <c r="C44" s="83"/>
      <c r="D44" s="84"/>
      <c r="F44" s="62"/>
      <c r="G44" s="63"/>
    </row>
    <row r="45" spans="1:7" x14ac:dyDescent="0.3">
      <c r="B45" s="74" t="s">
        <v>87</v>
      </c>
      <c r="C45" s="75"/>
      <c r="D45" s="1">
        <v>0</v>
      </c>
      <c r="F45" s="62"/>
      <c r="G45" s="63"/>
    </row>
    <row r="46" spans="1:7" ht="15" thickBot="1" x14ac:dyDescent="0.35">
      <c r="B46" s="85" t="s">
        <v>92</v>
      </c>
      <c r="C46" s="86"/>
      <c r="D46" s="6">
        <v>0</v>
      </c>
      <c r="F46" s="62"/>
      <c r="G46" s="63"/>
    </row>
    <row r="47" spans="1:7" ht="15" thickTop="1" x14ac:dyDescent="0.3">
      <c r="B47" s="76" t="s">
        <v>88</v>
      </c>
      <c r="C47" s="77"/>
      <c r="D47" s="41">
        <f>D45-D46</f>
        <v>0</v>
      </c>
      <c r="F47" s="62"/>
      <c r="G47" s="63"/>
    </row>
    <row r="48" spans="1:7" ht="15" thickBot="1" x14ac:dyDescent="0.35">
      <c r="B48" s="85" t="s">
        <v>89</v>
      </c>
      <c r="C48" s="86"/>
      <c r="D48" s="6">
        <v>0</v>
      </c>
      <c r="F48" s="62"/>
      <c r="G48" s="63"/>
    </row>
    <row r="49" spans="2:7" ht="15.6" thickTop="1" thickBot="1" x14ac:dyDescent="0.35">
      <c r="B49" s="76" t="s">
        <v>90</v>
      </c>
      <c r="C49" s="77"/>
      <c r="D49" s="41">
        <f>D48-D47</f>
        <v>0</v>
      </c>
      <c r="F49" s="64"/>
      <c r="G49" s="65"/>
    </row>
    <row r="50" spans="2:7" ht="15" thickBot="1" x14ac:dyDescent="0.35">
      <c r="B50" s="68" t="s">
        <v>24</v>
      </c>
      <c r="C50" s="69"/>
      <c r="D50" s="2">
        <v>0</v>
      </c>
      <c r="F50" s="35"/>
      <c r="G50" s="35"/>
    </row>
    <row r="51" spans="2:7" ht="15" thickBot="1" x14ac:dyDescent="0.35">
      <c r="B51" s="72" t="s">
        <v>36</v>
      </c>
      <c r="C51" s="73"/>
      <c r="D51" s="42">
        <v>0</v>
      </c>
      <c r="F51" s="38" t="s">
        <v>84</v>
      </c>
      <c r="G51" s="36" t="s">
        <v>83</v>
      </c>
    </row>
    <row r="52" spans="2:7" ht="15" thickTop="1" x14ac:dyDescent="0.3">
      <c r="B52" s="66" t="s">
        <v>91</v>
      </c>
      <c r="C52" s="67"/>
      <c r="D52" s="39">
        <f>D49-D50-D51</f>
        <v>0</v>
      </c>
      <c r="F52" s="62"/>
      <c r="G52" s="63"/>
    </row>
    <row r="53" spans="2:7" x14ac:dyDescent="0.3">
      <c r="B53" s="68" t="s">
        <v>38</v>
      </c>
      <c r="C53" s="69"/>
      <c r="D53" s="3">
        <f>IF(C9="VN",0,G11)</f>
        <v>0</v>
      </c>
      <c r="F53" s="62"/>
      <c r="G53" s="63"/>
    </row>
    <row r="54" spans="2:7" ht="15" thickBot="1" x14ac:dyDescent="0.35">
      <c r="B54" s="66" t="s">
        <v>40</v>
      </c>
      <c r="C54" s="67"/>
      <c r="D54" s="39">
        <v>0</v>
      </c>
      <c r="F54" s="62"/>
      <c r="G54" s="63"/>
    </row>
    <row r="55" spans="2:7" ht="16.8" thickBot="1" x14ac:dyDescent="0.35">
      <c r="B55" s="70" t="s">
        <v>41</v>
      </c>
      <c r="C55" s="71"/>
      <c r="D55" s="40">
        <f>D52-D53-D54</f>
        <v>0</v>
      </c>
      <c r="F55" s="62"/>
      <c r="G55" s="63"/>
    </row>
    <row r="56" spans="2:7" x14ac:dyDescent="0.3">
      <c r="F56" s="62"/>
      <c r="G56" s="63"/>
    </row>
    <row r="57" spans="2:7" ht="15" thickBot="1" x14ac:dyDescent="0.35">
      <c r="F57" s="64"/>
      <c r="G57" s="65"/>
    </row>
  </sheetData>
  <sheetProtection selectLockedCells="1"/>
  <mergeCells count="53">
    <mergeCell ref="C1:G5"/>
    <mergeCell ref="C7:D7"/>
    <mergeCell ref="C8:D8"/>
    <mergeCell ref="C10:D10"/>
    <mergeCell ref="C9:D9"/>
    <mergeCell ref="F10:G10"/>
    <mergeCell ref="F25:G25"/>
    <mergeCell ref="B21:C21"/>
    <mergeCell ref="B22:C22"/>
    <mergeCell ref="B23:C23"/>
    <mergeCell ref="B24:C24"/>
    <mergeCell ref="F14:G14"/>
    <mergeCell ref="F20:G20"/>
    <mergeCell ref="B16:C16"/>
    <mergeCell ref="B17:C17"/>
    <mergeCell ref="B18:C18"/>
    <mergeCell ref="B20:C20"/>
    <mergeCell ref="B15:C15"/>
    <mergeCell ref="B38:C38"/>
    <mergeCell ref="B39:C39"/>
    <mergeCell ref="B40:C40"/>
    <mergeCell ref="B42:C42"/>
    <mergeCell ref="B44:D44"/>
    <mergeCell ref="B45:C45"/>
    <mergeCell ref="B46:C46"/>
    <mergeCell ref="B47:C47"/>
    <mergeCell ref="B48:C48"/>
    <mergeCell ref="B50:C50"/>
    <mergeCell ref="F44:G49"/>
    <mergeCell ref="F52:G57"/>
    <mergeCell ref="B36:C36"/>
    <mergeCell ref="B54:C54"/>
    <mergeCell ref="B55:C55"/>
    <mergeCell ref="B51:C51"/>
    <mergeCell ref="B26:C26"/>
    <mergeCell ref="B49:C49"/>
    <mergeCell ref="B27:C27"/>
    <mergeCell ref="B34:C34"/>
    <mergeCell ref="B28:C28"/>
    <mergeCell ref="B29:C29"/>
    <mergeCell ref="B30:C30"/>
    <mergeCell ref="B31:C31"/>
    <mergeCell ref="B32:C32"/>
    <mergeCell ref="B33:C33"/>
    <mergeCell ref="F11:F12"/>
    <mergeCell ref="F37:G41"/>
    <mergeCell ref="B52:C52"/>
    <mergeCell ref="B53:C53"/>
    <mergeCell ref="F33:F34"/>
    <mergeCell ref="G33:G34"/>
    <mergeCell ref="B12:C12"/>
    <mergeCell ref="B13:C13"/>
    <mergeCell ref="B14:C14"/>
  </mergeCells>
  <pageMargins left="0.7" right="0.7" top="0.75" bottom="0.75" header="0.3" footer="0.3"/>
  <pageSetup paperSize="9" scale="83" fitToHeight="0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22E5B773-B792-470E-B24D-560BE1465E57}">
          <x14:formula1>
            <xm:f>Listes!$D$2:$D$5</xm:f>
          </x14:formula1>
          <xm:sqref>C9:D9</xm:sqref>
        </x14:dataValidation>
        <x14:dataValidation type="list" allowBlank="1" showInputMessage="1" showErrorMessage="1" xr:uid="{800E6476-0AC1-44BE-9D6F-EE29A0A99CE1}">
          <x14:formula1>
            <xm:f>Listes!$F$2:$F$3</xm:f>
          </x14:formula1>
          <xm:sqref>D16:D18</xm:sqref>
        </x14:dataValidation>
        <x14:dataValidation type="list" allowBlank="1" showInputMessage="1" showErrorMessage="1" xr:uid="{52846086-E75A-4D91-9E1A-40163C468FBD}">
          <x14:formula1>
            <xm:f>Listes!$H$1:$H$11</xm:f>
          </x14:formula1>
          <xm:sqref>G7</xm:sqref>
        </x14:dataValidation>
        <x14:dataValidation type="list" allowBlank="1" showInputMessage="1" showErrorMessage="1" xr:uid="{0E687827-3497-4612-A42C-28BF4C0643EE}">
          <x14:formula1>
            <xm:f>Listes!$L$2:$L$5</xm:f>
          </x14:formula1>
          <xm:sqref>G15</xm:sqref>
        </x14:dataValidation>
        <x14:dataValidation type="list" allowBlank="1" showInputMessage="1" showErrorMessage="1" xr:uid="{9D94A51A-17E0-4511-8E54-41F26F9B4539}">
          <x14:formula1>
            <xm:f>Listes!$N$2:$N$8</xm:f>
          </x14:formula1>
          <xm:sqref>G21</xm:sqref>
        </x14:dataValidation>
        <x14:dataValidation type="list" allowBlank="1" showInputMessage="1" showErrorMessage="1" xr:uid="{9662CA08-746D-47B9-A94C-DD226E681A66}">
          <x14:formula1>
            <xm:f>Listes!$P$2:$P$3</xm:f>
          </x14:formula1>
          <xm:sqref>G31</xm:sqref>
        </x14:dataValidation>
        <x14:dataValidation type="list" allowBlank="1" showInputMessage="1" showErrorMessage="1" xr:uid="{A8D43186-7017-4E60-BB01-032C1108DB0E}">
          <x14:formula1>
            <xm:f>Listes!$J$2:$J$4</xm:f>
          </x14:formula1>
          <xm:sqref>G17</xm:sqref>
        </x14:dataValidation>
        <x14:dataValidation type="list" allowBlank="1" showInputMessage="1" showErrorMessage="1" xr:uid="{C91ADB71-36FD-4D0F-9E8C-DFF54ECFB1C3}">
          <x14:formula1>
            <xm:f>Listes!$B$2:$B$13</xm:f>
          </x14:formula1>
          <xm:sqref>C10:D10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9007-87DA-47DC-A7AA-3B6132683791}">
  <dimension ref="B1:G35"/>
  <sheetViews>
    <sheetView topLeftCell="A17" workbookViewId="0">
      <selection activeCell="B35" sqref="B35:C35"/>
    </sheetView>
  </sheetViews>
  <sheetFormatPr baseColWidth="10" defaultRowHeight="14.4" x14ac:dyDescent="0.3"/>
  <cols>
    <col min="3" max="3" width="14.109375" customWidth="1"/>
    <col min="4" max="4" width="22.109375" customWidth="1"/>
    <col min="5" max="5" width="8.6640625" customWidth="1"/>
    <col min="6" max="6" width="23.109375" customWidth="1"/>
    <col min="7" max="7" width="24.5546875" customWidth="1"/>
  </cols>
  <sheetData>
    <row r="1" spans="2:7" x14ac:dyDescent="0.3">
      <c r="C1" s="97" t="s">
        <v>0</v>
      </c>
      <c r="D1" s="97"/>
      <c r="E1" s="97"/>
      <c r="F1" s="97"/>
      <c r="G1" s="98"/>
    </row>
    <row r="2" spans="2:7" x14ac:dyDescent="0.3">
      <c r="C2" s="99"/>
      <c r="D2" s="99"/>
      <c r="E2" s="99"/>
      <c r="F2" s="99"/>
      <c r="G2" s="100"/>
    </row>
    <row r="3" spans="2:7" x14ac:dyDescent="0.3">
      <c r="C3" s="99"/>
      <c r="D3" s="99"/>
      <c r="E3" s="99"/>
      <c r="F3" s="99"/>
      <c r="G3" s="100"/>
    </row>
    <row r="4" spans="2:7" ht="6.6" customHeight="1" x14ac:dyDescent="0.3">
      <c r="C4" s="99"/>
      <c r="D4" s="99"/>
      <c r="E4" s="99"/>
      <c r="F4" s="99"/>
      <c r="G4" s="100"/>
    </row>
    <row r="5" spans="2:7" ht="15" thickBot="1" x14ac:dyDescent="0.35">
      <c r="C5" s="101"/>
      <c r="D5" s="101"/>
      <c r="E5" s="101"/>
      <c r="F5" s="101"/>
      <c r="G5" s="102"/>
    </row>
    <row r="6" spans="2:7" ht="15" thickBot="1" x14ac:dyDescent="0.35"/>
    <row r="7" spans="2:7" x14ac:dyDescent="0.3">
      <c r="B7" s="16" t="s">
        <v>1</v>
      </c>
      <c r="C7" s="103"/>
      <c r="D7" s="104"/>
    </row>
    <row r="8" spans="2:7" x14ac:dyDescent="0.3">
      <c r="B8" s="17" t="s">
        <v>2</v>
      </c>
      <c r="C8" s="105"/>
      <c r="D8" s="106"/>
    </row>
    <row r="9" spans="2:7" ht="15" thickBot="1" x14ac:dyDescent="0.35">
      <c r="B9" s="18" t="s">
        <v>4</v>
      </c>
      <c r="C9" s="107" t="s">
        <v>127</v>
      </c>
      <c r="D9" s="108"/>
    </row>
    <row r="10" spans="2:7" ht="15" thickBot="1" x14ac:dyDescent="0.35"/>
    <row r="11" spans="2:7" x14ac:dyDescent="0.3">
      <c r="B11" s="74" t="s">
        <v>130</v>
      </c>
      <c r="C11" s="75"/>
      <c r="D11" s="1">
        <v>36400</v>
      </c>
    </row>
    <row r="12" spans="2:7" ht="15" thickBot="1" x14ac:dyDescent="0.35">
      <c r="B12" s="68" t="s">
        <v>131</v>
      </c>
      <c r="C12" s="69"/>
      <c r="D12" s="42">
        <v>1100</v>
      </c>
    </row>
    <row r="13" spans="2:7" ht="15" thickTop="1" x14ac:dyDescent="0.3">
      <c r="B13" s="68" t="s">
        <v>132</v>
      </c>
      <c r="C13" s="69"/>
      <c r="D13" s="54">
        <f>D11+D12</f>
        <v>37500</v>
      </c>
    </row>
    <row r="14" spans="2:7" x14ac:dyDescent="0.3">
      <c r="B14" s="68" t="s">
        <v>21</v>
      </c>
      <c r="C14" s="69"/>
      <c r="D14" s="2">
        <v>721.2</v>
      </c>
    </row>
    <row r="15" spans="2:7" x14ac:dyDescent="0.3">
      <c r="B15" s="68" t="s">
        <v>57</v>
      </c>
      <c r="C15" s="69"/>
      <c r="D15" s="2" t="s">
        <v>23</v>
      </c>
    </row>
    <row r="16" spans="2:7" x14ac:dyDescent="0.3">
      <c r="B16" s="68" t="s">
        <v>58</v>
      </c>
      <c r="C16" s="69"/>
      <c r="D16" s="2" t="s">
        <v>23</v>
      </c>
    </row>
    <row r="17" spans="2:4" ht="15" thickBot="1" x14ac:dyDescent="0.35">
      <c r="B17" s="95" t="s">
        <v>59</v>
      </c>
      <c r="C17" s="96"/>
      <c r="D17" s="4" t="s">
        <v>23</v>
      </c>
    </row>
    <row r="18" spans="2:4" ht="15" thickBot="1" x14ac:dyDescent="0.35"/>
    <row r="19" spans="2:4" x14ac:dyDescent="0.3">
      <c r="B19" s="74" t="s">
        <v>35</v>
      </c>
      <c r="C19" s="75"/>
      <c r="D19" s="1">
        <v>7900</v>
      </c>
    </row>
    <row r="20" spans="2:4" x14ac:dyDescent="0.3">
      <c r="B20" s="68" t="s">
        <v>24</v>
      </c>
      <c r="C20" s="69"/>
      <c r="D20" s="2">
        <v>0</v>
      </c>
    </row>
    <row r="21" spans="2:4" x14ac:dyDescent="0.3">
      <c r="B21" s="68" t="s">
        <v>36</v>
      </c>
      <c r="C21" s="69"/>
      <c r="D21" s="2">
        <v>0</v>
      </c>
    </row>
    <row r="22" spans="2:4" ht="15" thickBot="1" x14ac:dyDescent="0.35">
      <c r="B22" s="72" t="s">
        <v>25</v>
      </c>
      <c r="C22" s="73"/>
      <c r="D22" s="6">
        <v>0</v>
      </c>
    </row>
    <row r="23" spans="2:4" ht="15.6" thickTop="1" thickBot="1" x14ac:dyDescent="0.35">
      <c r="B23" s="91" t="s">
        <v>26</v>
      </c>
      <c r="C23" s="92"/>
      <c r="D23" s="7">
        <f>D19+D20+D21+D22</f>
        <v>7900</v>
      </c>
    </row>
    <row r="24" spans="2:4" ht="15" thickBot="1" x14ac:dyDescent="0.35"/>
    <row r="25" spans="2:4" ht="15" thickBot="1" x14ac:dyDescent="0.35">
      <c r="B25" s="111" t="s">
        <v>133</v>
      </c>
      <c r="C25" s="112"/>
      <c r="D25" s="55">
        <v>0.2</v>
      </c>
    </row>
    <row r="26" spans="2:4" ht="15" thickTop="1" x14ac:dyDescent="0.3">
      <c r="B26" s="115" t="s">
        <v>136</v>
      </c>
      <c r="C26" s="116"/>
      <c r="D26" s="56">
        <f>D25*D13</f>
        <v>7500</v>
      </c>
    </row>
    <row r="27" spans="2:4" x14ac:dyDescent="0.3">
      <c r="B27" s="68" t="s">
        <v>134</v>
      </c>
      <c r="C27" s="69"/>
      <c r="D27" s="2">
        <v>400</v>
      </c>
    </row>
    <row r="28" spans="2:4" x14ac:dyDescent="0.3">
      <c r="B28" s="68" t="s">
        <v>27</v>
      </c>
      <c r="C28" s="69"/>
      <c r="D28" s="2">
        <v>0</v>
      </c>
    </row>
    <row r="29" spans="2:4" x14ac:dyDescent="0.3">
      <c r="B29" s="68" t="s">
        <v>135</v>
      </c>
      <c r="C29" s="69"/>
      <c r="D29" s="2">
        <v>0</v>
      </c>
    </row>
    <row r="30" spans="2:4" x14ac:dyDescent="0.3">
      <c r="B30" s="68" t="s">
        <v>34</v>
      </c>
      <c r="C30" s="69"/>
      <c r="D30" s="2">
        <v>0</v>
      </c>
    </row>
    <row r="31" spans="2:4" ht="15" thickBot="1" x14ac:dyDescent="0.35">
      <c r="B31" s="66" t="s">
        <v>28</v>
      </c>
      <c r="C31" s="67"/>
      <c r="D31" s="6">
        <v>0</v>
      </c>
    </row>
    <row r="32" spans="2:4" ht="15.6" thickTop="1" thickBot="1" x14ac:dyDescent="0.35">
      <c r="B32" s="91" t="s">
        <v>26</v>
      </c>
      <c r="C32" s="92"/>
      <c r="D32" s="7">
        <f>D26+D27+D28+D29+D30+D31</f>
        <v>7900</v>
      </c>
    </row>
    <row r="33" spans="2:4" ht="15" thickBot="1" x14ac:dyDescent="0.35"/>
    <row r="34" spans="2:4" ht="15" thickBot="1" x14ac:dyDescent="0.35">
      <c r="B34" s="113" t="s">
        <v>32</v>
      </c>
      <c r="C34" s="114"/>
      <c r="D34" s="57">
        <v>3744.5</v>
      </c>
    </row>
    <row r="35" spans="2:4" ht="15.6" thickTop="1" thickBot="1" x14ac:dyDescent="0.35">
      <c r="B35" s="91" t="s">
        <v>137</v>
      </c>
      <c r="C35" s="92"/>
      <c r="D35" s="7">
        <f>D31+D32+D33+D34</f>
        <v>11644.5</v>
      </c>
    </row>
  </sheetData>
  <mergeCells count="26">
    <mergeCell ref="B31:C31"/>
    <mergeCell ref="B32:C32"/>
    <mergeCell ref="B34:C34"/>
    <mergeCell ref="B35:C35"/>
    <mergeCell ref="B26:C26"/>
    <mergeCell ref="B27:C27"/>
    <mergeCell ref="B28:C28"/>
    <mergeCell ref="B29:C29"/>
    <mergeCell ref="B30:C30"/>
    <mergeCell ref="B25:C25"/>
    <mergeCell ref="B12:C12"/>
    <mergeCell ref="B13:C13"/>
    <mergeCell ref="B14:C14"/>
    <mergeCell ref="B15:C15"/>
    <mergeCell ref="B16:C16"/>
    <mergeCell ref="B17:C17"/>
    <mergeCell ref="B19:C19"/>
    <mergeCell ref="B20:C20"/>
    <mergeCell ref="B21:C21"/>
    <mergeCell ref="B22:C22"/>
    <mergeCell ref="B23:C23"/>
    <mergeCell ref="C1:G5"/>
    <mergeCell ref="C7:D7"/>
    <mergeCell ref="C8:D8"/>
    <mergeCell ref="C9:D9"/>
    <mergeCell ref="B11:C1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167FC47-07A4-4DAD-BBCE-DBED56790ABB}">
          <x14:formula1>
            <xm:f>Listes!$E$15:$E$30</xm:f>
          </x14:formula1>
          <xm:sqref>C9:D9</xm:sqref>
        </x14:dataValidation>
        <x14:dataValidation type="list" allowBlank="1" showInputMessage="1" showErrorMessage="1" xr:uid="{C9E8FF04-9485-490B-AB09-4FA7598654BA}">
          <x14:formula1>
            <xm:f>Listes!$F$2:$F$3</xm:f>
          </x14:formula1>
          <xm:sqref>D15:D17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40D1A-CA92-4C83-90DA-ABBBAAC5B2B1}">
  <sheetPr>
    <pageSetUpPr fitToPage="1"/>
  </sheetPr>
  <dimension ref="B1:G61"/>
  <sheetViews>
    <sheetView workbookViewId="0">
      <selection activeCell="G7" sqref="G7"/>
    </sheetView>
  </sheetViews>
  <sheetFormatPr baseColWidth="10" defaultRowHeight="14.4" x14ac:dyDescent="0.3"/>
  <cols>
    <col min="3" max="3" width="12" customWidth="1"/>
    <col min="4" max="4" width="21.109375" customWidth="1"/>
    <col min="5" max="5" width="14.44140625" customWidth="1"/>
    <col min="6" max="6" width="24.21875" customWidth="1"/>
    <col min="7" max="7" width="27" customWidth="1"/>
  </cols>
  <sheetData>
    <row r="1" spans="2:7" ht="14.4" customHeight="1" x14ac:dyDescent="0.3">
      <c r="C1" s="117" t="s">
        <v>0</v>
      </c>
      <c r="D1" s="118"/>
      <c r="E1" s="118"/>
      <c r="F1" s="118"/>
      <c r="G1" s="119"/>
    </row>
    <row r="2" spans="2:7" ht="14.4" customHeight="1" x14ac:dyDescent="0.3">
      <c r="C2" s="120"/>
      <c r="D2" s="121"/>
      <c r="E2" s="121"/>
      <c r="F2" s="121"/>
      <c r="G2" s="122"/>
    </row>
    <row r="3" spans="2:7" ht="14.4" customHeight="1" x14ac:dyDescent="0.3">
      <c r="C3" s="120"/>
      <c r="D3" s="121"/>
      <c r="E3" s="121"/>
      <c r="F3" s="121"/>
      <c r="G3" s="122"/>
    </row>
    <row r="4" spans="2:7" ht="14.4" customHeight="1" x14ac:dyDescent="0.3">
      <c r="C4" s="120"/>
      <c r="D4" s="121"/>
      <c r="E4" s="121"/>
      <c r="F4" s="121"/>
      <c r="G4" s="122"/>
    </row>
    <row r="5" spans="2:7" ht="15" customHeight="1" thickBot="1" x14ac:dyDescent="0.35">
      <c r="C5" s="123"/>
      <c r="D5" s="124"/>
      <c r="E5" s="124"/>
      <c r="F5" s="124"/>
      <c r="G5" s="125"/>
    </row>
    <row r="6" spans="2:7" ht="15" thickBot="1" x14ac:dyDescent="0.35"/>
    <row r="7" spans="2:7" ht="15" thickBot="1" x14ac:dyDescent="0.35">
      <c r="B7" s="16" t="s">
        <v>1</v>
      </c>
      <c r="C7" s="103"/>
      <c r="D7" s="104"/>
      <c r="F7" s="15" t="s">
        <v>42</v>
      </c>
      <c r="G7" s="20" t="s">
        <v>49</v>
      </c>
    </row>
    <row r="8" spans="2:7" ht="15" thickBot="1" x14ac:dyDescent="0.35">
      <c r="B8" s="17" t="s">
        <v>2</v>
      </c>
      <c r="C8" s="105"/>
      <c r="D8" s="106"/>
      <c r="F8" s="15" t="s">
        <v>43</v>
      </c>
      <c r="G8" s="21" t="s">
        <v>44</v>
      </c>
    </row>
    <row r="9" spans="2:7" ht="15" thickBot="1" x14ac:dyDescent="0.35">
      <c r="B9" s="19" t="s">
        <v>3</v>
      </c>
      <c r="C9" s="126" t="s">
        <v>17</v>
      </c>
      <c r="D9" s="127"/>
    </row>
    <row r="10" spans="2:7" ht="15" thickBot="1" x14ac:dyDescent="0.35">
      <c r="B10" s="18" t="s">
        <v>4</v>
      </c>
      <c r="C10" s="107" t="s">
        <v>111</v>
      </c>
      <c r="D10" s="108"/>
      <c r="F10" s="93" t="s">
        <v>73</v>
      </c>
      <c r="G10" s="94"/>
    </row>
    <row r="11" spans="2:7" ht="15" thickBot="1" x14ac:dyDescent="0.35">
      <c r="F11" s="23" t="s">
        <v>65</v>
      </c>
      <c r="G11" s="43">
        <f>IF(C9="VN",IF(C10="SANDERO",50,IF(C10="SPRING",50,IF(C10="DUSTER",70,IF(C10="JOGGER",70,)))),100)</f>
        <v>50</v>
      </c>
    </row>
    <row r="12" spans="2:7" ht="15" thickBot="1" x14ac:dyDescent="0.35">
      <c r="B12" s="74" t="s">
        <v>54</v>
      </c>
      <c r="C12" s="75"/>
      <c r="D12" s="1">
        <v>20000</v>
      </c>
    </row>
    <row r="13" spans="2:7" ht="15" thickBot="1" x14ac:dyDescent="0.35">
      <c r="B13" s="68" t="s">
        <v>55</v>
      </c>
      <c r="C13" s="69"/>
      <c r="D13" s="2">
        <v>100</v>
      </c>
      <c r="F13" s="93" t="s">
        <v>62</v>
      </c>
      <c r="G13" s="94"/>
    </row>
    <row r="14" spans="2:7" x14ac:dyDescent="0.3">
      <c r="B14" s="68" t="s">
        <v>56</v>
      </c>
      <c r="C14" s="69"/>
      <c r="D14" s="5">
        <f>D12+D13</f>
        <v>20100</v>
      </c>
      <c r="F14" s="22" t="s">
        <v>63</v>
      </c>
      <c r="G14" s="28" t="s">
        <v>139</v>
      </c>
    </row>
    <row r="15" spans="2:7" x14ac:dyDescent="0.3">
      <c r="B15" s="68" t="s">
        <v>21</v>
      </c>
      <c r="C15" s="69"/>
      <c r="D15" s="2">
        <v>400</v>
      </c>
      <c r="F15" s="24" t="s">
        <v>60</v>
      </c>
      <c r="G15" s="29">
        <v>14000</v>
      </c>
    </row>
    <row r="16" spans="2:7" ht="15" thickBot="1" x14ac:dyDescent="0.35">
      <c r="B16" s="68" t="s">
        <v>57</v>
      </c>
      <c r="C16" s="69"/>
      <c r="D16" s="2" t="s">
        <v>22</v>
      </c>
      <c r="F16" s="26" t="s">
        <v>61</v>
      </c>
      <c r="G16" s="27" t="s">
        <v>94</v>
      </c>
    </row>
    <row r="17" spans="2:7" ht="15.6" thickTop="1" thickBot="1" x14ac:dyDescent="0.35">
      <c r="B17" s="68" t="s">
        <v>58</v>
      </c>
      <c r="C17" s="69"/>
      <c r="D17" s="2" t="s">
        <v>22</v>
      </c>
      <c r="F17" s="30" t="s">
        <v>65</v>
      </c>
      <c r="G17" s="43" t="b">
        <f>IF(G14="NON",0,IF(G14="Crédit Classique",G15*0.3%,IF(G14="New Deal",IF(OR(G16="Non Assurable",G16="1"),G15*0.3%,IF(G16="2 et +",G15*0.6%,G15*0.3%)))))</f>
        <v>0</v>
      </c>
    </row>
    <row r="18" spans="2:7" ht="15" thickBot="1" x14ac:dyDescent="0.35">
      <c r="B18" s="95" t="s">
        <v>59</v>
      </c>
      <c r="C18" s="96"/>
      <c r="D18" s="4" t="s">
        <v>22</v>
      </c>
    </row>
    <row r="19" spans="2:7" ht="15" thickBot="1" x14ac:dyDescent="0.35">
      <c r="F19" s="93" t="s">
        <v>66</v>
      </c>
      <c r="G19" s="94"/>
    </row>
    <row r="20" spans="2:7" x14ac:dyDescent="0.3">
      <c r="B20" s="74" t="s">
        <v>35</v>
      </c>
      <c r="C20" s="75"/>
      <c r="D20" s="1">
        <v>0</v>
      </c>
      <c r="F20" s="22" t="s">
        <v>63</v>
      </c>
      <c r="G20" s="45" t="s">
        <v>70</v>
      </c>
    </row>
    <row r="21" spans="2:7" ht="15" thickBot="1" x14ac:dyDescent="0.35">
      <c r="B21" s="68" t="s">
        <v>24</v>
      </c>
      <c r="C21" s="69"/>
      <c r="D21" s="2">
        <v>0</v>
      </c>
      <c r="F21" s="26" t="s">
        <v>93</v>
      </c>
      <c r="G21" s="44">
        <v>1400</v>
      </c>
    </row>
    <row r="22" spans="2:7" ht="15.6" thickTop="1" thickBot="1" x14ac:dyDescent="0.35">
      <c r="B22" s="68" t="s">
        <v>36</v>
      </c>
      <c r="C22" s="69"/>
      <c r="D22" s="2">
        <v>0</v>
      </c>
      <c r="F22" s="30" t="s">
        <v>65</v>
      </c>
      <c r="G22" s="43">
        <f>IF(G20="NON",0,IF(G20="Contrat Entretien",0,IF(G20="Contrat Promo",0,IF(G20="Dacia Tranquillité",G21*4%,IF(G20="Contrat Sérénité",G21*4%,IF(G20="Contrat Intégral",G21*5%))))))</f>
        <v>70</v>
      </c>
    </row>
    <row r="23" spans="2:7" ht="15" thickBot="1" x14ac:dyDescent="0.35">
      <c r="B23" s="72" t="s">
        <v>25</v>
      </c>
      <c r="C23" s="73"/>
      <c r="D23" s="6">
        <v>0</v>
      </c>
    </row>
    <row r="24" spans="2:7" ht="15.6" thickTop="1" thickBot="1" x14ac:dyDescent="0.35">
      <c r="B24" s="91" t="s">
        <v>26</v>
      </c>
      <c r="C24" s="92"/>
      <c r="D24" s="7">
        <f>D20+D21+D22+D23</f>
        <v>0</v>
      </c>
      <c r="F24" s="93" t="s">
        <v>78</v>
      </c>
      <c r="G24" s="94"/>
    </row>
    <row r="25" spans="2:7" ht="15" thickBot="1" x14ac:dyDescent="0.35">
      <c r="F25" s="22" t="s">
        <v>74</v>
      </c>
      <c r="G25" s="33">
        <f>D15*8%</f>
        <v>32</v>
      </c>
    </row>
    <row r="26" spans="2:7" x14ac:dyDescent="0.3">
      <c r="B26" s="74" t="s">
        <v>32</v>
      </c>
      <c r="C26" s="75"/>
      <c r="D26" s="9">
        <v>953</v>
      </c>
      <c r="F26" s="32" t="s">
        <v>80</v>
      </c>
      <c r="G26" s="34">
        <f>IF(D16="OUI",15,0)</f>
        <v>15</v>
      </c>
    </row>
    <row r="27" spans="2:7" x14ac:dyDescent="0.3">
      <c r="B27" s="68" t="s">
        <v>29</v>
      </c>
      <c r="C27" s="69"/>
      <c r="D27" s="10">
        <v>0</v>
      </c>
      <c r="F27" s="32" t="s">
        <v>75</v>
      </c>
      <c r="G27" s="34">
        <f>IF(D17="OUI",25,0)</f>
        <v>25</v>
      </c>
    </row>
    <row r="28" spans="2:7" x14ac:dyDescent="0.3">
      <c r="B28" s="68" t="s">
        <v>30</v>
      </c>
      <c r="C28" s="69"/>
      <c r="D28" s="11">
        <f>D27*(D14/1.2)</f>
        <v>0</v>
      </c>
      <c r="F28" s="32" t="s">
        <v>76</v>
      </c>
      <c r="G28" s="34">
        <f>IF(D18="OUI",20,0)</f>
        <v>20</v>
      </c>
    </row>
    <row r="29" spans="2:7" x14ac:dyDescent="0.3">
      <c r="B29" s="68" t="s">
        <v>31</v>
      </c>
      <c r="C29" s="69"/>
      <c r="D29" s="12">
        <v>0</v>
      </c>
      <c r="F29" s="32" t="s">
        <v>77</v>
      </c>
      <c r="G29" s="2">
        <v>0</v>
      </c>
    </row>
    <row r="30" spans="2:7" ht="15" thickBot="1" x14ac:dyDescent="0.35">
      <c r="B30" s="68" t="s">
        <v>27</v>
      </c>
      <c r="C30" s="69"/>
      <c r="D30" s="12">
        <v>0</v>
      </c>
      <c r="F30" s="30" t="s">
        <v>79</v>
      </c>
      <c r="G30" s="4">
        <v>8</v>
      </c>
    </row>
    <row r="31" spans="2:7" ht="15" thickBot="1" x14ac:dyDescent="0.35">
      <c r="B31" s="68" t="s">
        <v>33</v>
      </c>
      <c r="C31" s="69"/>
      <c r="D31" s="12">
        <v>0</v>
      </c>
    </row>
    <row r="32" spans="2:7" ht="15" thickTop="1" x14ac:dyDescent="0.3">
      <c r="B32" s="68" t="s">
        <v>34</v>
      </c>
      <c r="C32" s="69"/>
      <c r="D32" s="12">
        <v>0</v>
      </c>
      <c r="F32" s="87" t="s">
        <v>81</v>
      </c>
      <c r="G32" s="89">
        <f>G11+G17+G22+G25+G26+G27+G28+G29+G30</f>
        <v>220</v>
      </c>
    </row>
    <row r="33" spans="2:7" ht="15" thickBot="1" x14ac:dyDescent="0.35">
      <c r="B33" s="66" t="s">
        <v>28</v>
      </c>
      <c r="C33" s="67"/>
      <c r="D33" s="6">
        <v>0</v>
      </c>
      <c r="F33" s="88"/>
      <c r="G33" s="90"/>
    </row>
    <row r="34" spans="2:7" ht="15.6" thickTop="1" thickBot="1" x14ac:dyDescent="0.35">
      <c r="B34" s="91" t="s">
        <v>26</v>
      </c>
      <c r="C34" s="92"/>
      <c r="D34" s="8">
        <f>D26+D28+D29+D30+D31+D32+D33</f>
        <v>953</v>
      </c>
    </row>
    <row r="35" spans="2:7" ht="15" thickBot="1" x14ac:dyDescent="0.35">
      <c r="F35" s="38" t="s">
        <v>85</v>
      </c>
      <c r="G35" s="37">
        <f ca="1">TODAY()</f>
        <v>45048</v>
      </c>
    </row>
    <row r="36" spans="2:7" x14ac:dyDescent="0.3">
      <c r="B36" s="74" t="s">
        <v>37</v>
      </c>
      <c r="C36" s="75"/>
      <c r="D36" s="13">
        <f>D34-D24</f>
        <v>953</v>
      </c>
      <c r="F36" s="62"/>
      <c r="G36" s="63"/>
    </row>
    <row r="37" spans="2:7" x14ac:dyDescent="0.3">
      <c r="B37" s="68" t="s">
        <v>39</v>
      </c>
      <c r="C37" s="69"/>
      <c r="D37" s="11">
        <f>IF(C9="VN",G11,0)</f>
        <v>50</v>
      </c>
      <c r="F37" s="62"/>
      <c r="G37" s="63"/>
    </row>
    <row r="38" spans="2:7" ht="15" thickBot="1" x14ac:dyDescent="0.35">
      <c r="B38" s="78" t="s">
        <v>40</v>
      </c>
      <c r="C38" s="79"/>
      <c r="D38" s="8">
        <f>IF(C9="VD",0,IF(G7="NON",0,IF(C10="Sandero",100,150)))</f>
        <v>100</v>
      </c>
      <c r="F38" s="62"/>
      <c r="G38" s="63"/>
    </row>
    <row r="39" spans="2:7" ht="15" thickBot="1" x14ac:dyDescent="0.35">
      <c r="F39" s="62"/>
      <c r="G39" s="63"/>
    </row>
    <row r="40" spans="2:7" ht="16.8" thickBot="1" x14ac:dyDescent="0.35">
      <c r="B40" s="80" t="s">
        <v>41</v>
      </c>
      <c r="C40" s="81"/>
      <c r="D40" s="14">
        <f>D36-D37-D38</f>
        <v>803</v>
      </c>
      <c r="F40" s="62"/>
      <c r="G40" s="63"/>
    </row>
    <row r="41" spans="2:7" ht="15" thickBot="1" x14ac:dyDescent="0.35">
      <c r="F41" s="62"/>
      <c r="G41" s="63"/>
    </row>
    <row r="42" spans="2:7" ht="16.8" thickBot="1" x14ac:dyDescent="0.35">
      <c r="B42" s="82" t="s">
        <v>115</v>
      </c>
      <c r="C42" s="83"/>
      <c r="D42" s="84"/>
      <c r="F42" s="64"/>
      <c r="G42" s="65"/>
    </row>
    <row r="43" spans="2:7" ht="15" thickBot="1" x14ac:dyDescent="0.35">
      <c r="B43" s="74" t="s">
        <v>87</v>
      </c>
      <c r="C43" s="75"/>
      <c r="D43" s="1">
        <v>0</v>
      </c>
      <c r="F43" s="35"/>
      <c r="G43" s="35"/>
    </row>
    <row r="44" spans="2:7" ht="15" thickBot="1" x14ac:dyDescent="0.35">
      <c r="B44" s="85" t="s">
        <v>92</v>
      </c>
      <c r="C44" s="86"/>
      <c r="D44" s="6">
        <v>0</v>
      </c>
      <c r="F44" s="38" t="s">
        <v>82</v>
      </c>
      <c r="G44" s="36" t="s">
        <v>83</v>
      </c>
    </row>
    <row r="45" spans="2:7" ht="15" thickTop="1" x14ac:dyDescent="0.3">
      <c r="B45" s="76" t="s">
        <v>88</v>
      </c>
      <c r="C45" s="77"/>
      <c r="D45" s="41">
        <f>D43-D44</f>
        <v>0</v>
      </c>
      <c r="F45" s="62"/>
      <c r="G45" s="63"/>
    </row>
    <row r="46" spans="2:7" ht="15" thickBot="1" x14ac:dyDescent="0.35">
      <c r="B46" s="85" t="s">
        <v>89</v>
      </c>
      <c r="C46" s="86"/>
      <c r="D46" s="6">
        <v>0</v>
      </c>
      <c r="F46" s="62"/>
      <c r="G46" s="63"/>
    </row>
    <row r="47" spans="2:7" ht="15" thickTop="1" x14ac:dyDescent="0.3">
      <c r="B47" s="76" t="s">
        <v>90</v>
      </c>
      <c r="C47" s="77"/>
      <c r="D47" s="41">
        <f>D46-D45</f>
        <v>0</v>
      </c>
      <c r="F47" s="62"/>
      <c r="G47" s="63"/>
    </row>
    <row r="48" spans="2:7" x14ac:dyDescent="0.3">
      <c r="B48" s="68" t="s">
        <v>24</v>
      </c>
      <c r="C48" s="69"/>
      <c r="D48" s="2">
        <v>0</v>
      </c>
      <c r="F48" s="62"/>
      <c r="G48" s="63"/>
    </row>
    <row r="49" spans="2:7" ht="15" thickBot="1" x14ac:dyDescent="0.35">
      <c r="B49" s="72" t="s">
        <v>36</v>
      </c>
      <c r="C49" s="73"/>
      <c r="D49" s="42">
        <v>0</v>
      </c>
      <c r="F49" s="62"/>
      <c r="G49" s="63"/>
    </row>
    <row r="50" spans="2:7" ht="15" thickTop="1" x14ac:dyDescent="0.3">
      <c r="B50" s="66" t="s">
        <v>91</v>
      </c>
      <c r="C50" s="67"/>
      <c r="D50" s="39">
        <f>D47-D48-D49</f>
        <v>0</v>
      </c>
      <c r="F50" s="62"/>
      <c r="G50" s="63"/>
    </row>
    <row r="51" spans="2:7" ht="15" thickBot="1" x14ac:dyDescent="0.35">
      <c r="B51" s="68" t="s">
        <v>38</v>
      </c>
      <c r="C51" s="69"/>
      <c r="D51" s="3">
        <f>IF(C9="VN",0,G11)</f>
        <v>0</v>
      </c>
      <c r="F51" s="64"/>
      <c r="G51" s="65"/>
    </row>
    <row r="52" spans="2:7" ht="15" thickBot="1" x14ac:dyDescent="0.35">
      <c r="B52" s="66" t="s">
        <v>40</v>
      </c>
      <c r="C52" s="67"/>
      <c r="D52" s="39">
        <f>IF(C9="VN",0,IF(G7="NON",0,IF(C10="Sandero",100,150)))</f>
        <v>0</v>
      </c>
      <c r="F52" s="35"/>
      <c r="G52" s="35"/>
    </row>
    <row r="53" spans="2:7" ht="16.8" thickBot="1" x14ac:dyDescent="0.35">
      <c r="B53" s="70" t="s">
        <v>41</v>
      </c>
      <c r="C53" s="71"/>
      <c r="D53" s="40">
        <f>D50-D51-D52</f>
        <v>0</v>
      </c>
      <c r="F53" s="35"/>
      <c r="G53" s="35"/>
    </row>
    <row r="54" spans="2:7" x14ac:dyDescent="0.3">
      <c r="F54" s="38" t="s">
        <v>84</v>
      </c>
      <c r="G54" s="36" t="s">
        <v>83</v>
      </c>
    </row>
    <row r="55" spans="2:7" x14ac:dyDescent="0.3">
      <c r="F55" s="62"/>
      <c r="G55" s="63"/>
    </row>
    <row r="56" spans="2:7" x14ac:dyDescent="0.3">
      <c r="F56" s="62"/>
      <c r="G56" s="63"/>
    </row>
    <row r="57" spans="2:7" x14ac:dyDescent="0.3">
      <c r="F57" s="62"/>
      <c r="G57" s="63"/>
    </row>
    <row r="58" spans="2:7" x14ac:dyDescent="0.3">
      <c r="F58" s="62"/>
      <c r="G58" s="63"/>
    </row>
    <row r="59" spans="2:7" x14ac:dyDescent="0.3">
      <c r="F59" s="62"/>
      <c r="G59" s="63"/>
    </row>
    <row r="60" spans="2:7" x14ac:dyDescent="0.3">
      <c r="F60" s="62"/>
      <c r="G60" s="63"/>
    </row>
    <row r="61" spans="2:7" ht="15" thickBot="1" x14ac:dyDescent="0.35">
      <c r="F61" s="64"/>
      <c r="G61" s="65"/>
    </row>
  </sheetData>
  <sheetProtection algorithmName="SHA-512" hashValue="/fdtqgfrpViwwZtZWTBKxnWULUIy8VVPjQve4z/l2+vdABwP8fzyLv5bwpTu5n7tpb12wfxfyXWHH8tw9/MD+A==" saltValue="Uefr5Fo6SQF2O/HahlTy6Q==" spinCount="100000" sheet="1" objects="1" scenarios="1" selectLockedCells="1"/>
  <mergeCells count="51">
    <mergeCell ref="F45:G51"/>
    <mergeCell ref="F55:G61"/>
    <mergeCell ref="F13:G13"/>
    <mergeCell ref="F19:G19"/>
    <mergeCell ref="F24:G24"/>
    <mergeCell ref="F32:F33"/>
    <mergeCell ref="G32:G33"/>
    <mergeCell ref="F36:G42"/>
    <mergeCell ref="B53:C53"/>
    <mergeCell ref="B42:D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40:C40"/>
    <mergeCell ref="B27:C27"/>
    <mergeCell ref="B28:C28"/>
    <mergeCell ref="B29:C29"/>
    <mergeCell ref="B30:C30"/>
    <mergeCell ref="B31:C31"/>
    <mergeCell ref="B32:C32"/>
    <mergeCell ref="B33:C33"/>
    <mergeCell ref="B34:C34"/>
    <mergeCell ref="B36:C36"/>
    <mergeCell ref="B37:C37"/>
    <mergeCell ref="B38:C38"/>
    <mergeCell ref="B26:C26"/>
    <mergeCell ref="B13:C13"/>
    <mergeCell ref="B14:C14"/>
    <mergeCell ref="B15:C15"/>
    <mergeCell ref="B16:C16"/>
    <mergeCell ref="B17:C17"/>
    <mergeCell ref="B18:C18"/>
    <mergeCell ref="B20:C20"/>
    <mergeCell ref="B21:C21"/>
    <mergeCell ref="B22:C22"/>
    <mergeCell ref="B23:C23"/>
    <mergeCell ref="B24:C24"/>
    <mergeCell ref="B12:C12"/>
    <mergeCell ref="F10:G10"/>
    <mergeCell ref="C1:G5"/>
    <mergeCell ref="C7:D7"/>
    <mergeCell ref="C8:D8"/>
    <mergeCell ref="C9:D9"/>
    <mergeCell ref="C10:D10"/>
  </mergeCells>
  <pageMargins left="0.7" right="0.7" top="0.75" bottom="0.75" header="0.3" footer="0.3"/>
  <pageSetup paperSize="9" scale="72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1D41F64B-2D95-4C5F-9057-6322D02A51E8}">
          <x14:formula1>
            <xm:f>Listes!$D$8:$D$9</xm:f>
          </x14:formula1>
          <xm:sqref>C9:D9</xm:sqref>
        </x14:dataValidation>
        <x14:dataValidation type="list" allowBlank="1" showInputMessage="1" showErrorMessage="1" xr:uid="{35D58B00-2968-4FDA-8655-D9C4DAE01816}">
          <x14:formula1>
            <xm:f>Listes!$B$15:$B$18</xm:f>
          </x14:formula1>
          <xm:sqref>C10:D10</xm:sqref>
        </x14:dataValidation>
        <x14:dataValidation type="list" allowBlank="1" showInputMessage="1" showErrorMessage="1" xr:uid="{CFF3BE7C-1DD4-47EF-AF92-DEC785B84566}">
          <x14:formula1>
            <xm:f>Listes!$F$2:$F$3</xm:f>
          </x14:formula1>
          <xm:sqref>D16:D18</xm:sqref>
        </x14:dataValidation>
        <x14:dataValidation type="list" allowBlank="1" showInputMessage="1" showErrorMessage="1" xr:uid="{70BE536A-1749-4B5F-BC6E-9B854C21EB18}">
          <x14:formula1>
            <xm:f>Listes!$J$2:$J$4</xm:f>
          </x14:formula1>
          <xm:sqref>G16</xm:sqref>
        </x14:dataValidation>
        <x14:dataValidation type="list" allowBlank="1" showInputMessage="1" showErrorMessage="1" xr:uid="{6880503D-6F0E-42D4-9A9E-8DF556629049}">
          <x14:formula1>
            <xm:f>Listes!$P$2:$P$3</xm:f>
          </x14:formula1>
          <xm:sqref>G30</xm:sqref>
        </x14:dataValidation>
        <x14:dataValidation type="list" allowBlank="1" showInputMessage="1" showErrorMessage="1" xr:uid="{FF54A54C-B457-411E-ACA6-017102CCCE7D}">
          <x14:formula1>
            <xm:f>Listes!$L$2:$L$5</xm:f>
          </x14:formula1>
          <xm:sqref>G14</xm:sqref>
        </x14:dataValidation>
        <x14:dataValidation type="list" allowBlank="1" showInputMessage="1" showErrorMessage="1" xr:uid="{6DDAEBD9-44B6-409C-B3F1-0A3345A2A121}">
          <x14:formula1>
            <xm:f>Listes!$H$1:$H$11</xm:f>
          </x14:formula1>
          <xm:sqref>G7</xm:sqref>
        </x14:dataValidation>
        <x14:dataValidation type="list" allowBlank="1" showInputMessage="1" showErrorMessage="1" xr:uid="{F0E31326-8E85-447A-A8E1-7750A28A0658}">
          <x14:formula1>
            <xm:f>Listes!$N$15:$N$20</xm:f>
          </x14:formula1>
          <xm:sqref>G20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F1196-E150-4B88-9BC0-634E44CD2E65}">
  <dimension ref="B2:P30"/>
  <sheetViews>
    <sheetView workbookViewId="0">
      <selection activeCell="K10" sqref="K10"/>
    </sheetView>
  </sheetViews>
  <sheetFormatPr baseColWidth="10" defaultRowHeight="14.4" x14ac:dyDescent="0.3"/>
  <cols>
    <col min="8" max="8" width="13.5546875" customWidth="1"/>
  </cols>
  <sheetData>
    <row r="2" spans="2:16" x14ac:dyDescent="0.3">
      <c r="B2" t="s">
        <v>5</v>
      </c>
      <c r="D2" t="s">
        <v>17</v>
      </c>
      <c r="F2" t="s">
        <v>22</v>
      </c>
      <c r="H2" t="s">
        <v>23</v>
      </c>
      <c r="J2">
        <v>0</v>
      </c>
      <c r="L2" t="s">
        <v>23</v>
      </c>
      <c r="N2" t="s">
        <v>23</v>
      </c>
      <c r="P2">
        <v>0</v>
      </c>
    </row>
    <row r="3" spans="2:16" x14ac:dyDescent="0.3">
      <c r="B3" t="s">
        <v>6</v>
      </c>
      <c r="D3" t="s">
        <v>18</v>
      </c>
      <c r="F3" t="s">
        <v>23</v>
      </c>
      <c r="H3" t="s">
        <v>49</v>
      </c>
      <c r="J3">
        <v>1</v>
      </c>
      <c r="L3" t="s">
        <v>64</v>
      </c>
      <c r="N3" t="s">
        <v>67</v>
      </c>
      <c r="P3">
        <v>8</v>
      </c>
    </row>
    <row r="4" spans="2:16" x14ac:dyDescent="0.3">
      <c r="B4" t="s">
        <v>7</v>
      </c>
      <c r="D4" t="s">
        <v>19</v>
      </c>
      <c r="H4" t="s">
        <v>51</v>
      </c>
      <c r="J4" s="25" t="s">
        <v>94</v>
      </c>
      <c r="L4" t="s">
        <v>139</v>
      </c>
      <c r="N4" t="s">
        <v>68</v>
      </c>
    </row>
    <row r="5" spans="2:16" x14ac:dyDescent="0.3">
      <c r="B5" t="s">
        <v>8</v>
      </c>
      <c r="D5" t="s">
        <v>20</v>
      </c>
      <c r="H5" t="s">
        <v>48</v>
      </c>
      <c r="L5" t="s">
        <v>138</v>
      </c>
      <c r="N5" t="s">
        <v>69</v>
      </c>
    </row>
    <row r="6" spans="2:16" x14ac:dyDescent="0.3">
      <c r="B6" t="s">
        <v>9</v>
      </c>
      <c r="H6" t="s">
        <v>47</v>
      </c>
      <c r="N6" t="s">
        <v>70</v>
      </c>
    </row>
    <row r="7" spans="2:16" x14ac:dyDescent="0.3">
      <c r="B7" t="s">
        <v>10</v>
      </c>
      <c r="H7" t="s">
        <v>52</v>
      </c>
      <c r="N7" t="s">
        <v>71</v>
      </c>
    </row>
    <row r="8" spans="2:16" x14ac:dyDescent="0.3">
      <c r="B8" t="s">
        <v>11</v>
      </c>
      <c r="D8" t="s">
        <v>17</v>
      </c>
      <c r="H8" t="s">
        <v>46</v>
      </c>
      <c r="N8" t="s">
        <v>72</v>
      </c>
    </row>
    <row r="9" spans="2:16" x14ac:dyDescent="0.3">
      <c r="B9" t="s">
        <v>12</v>
      </c>
      <c r="D9" t="s">
        <v>110</v>
      </c>
      <c r="H9" t="s">
        <v>50</v>
      </c>
    </row>
    <row r="10" spans="2:16" x14ac:dyDescent="0.3">
      <c r="B10" t="s">
        <v>13</v>
      </c>
      <c r="H10" t="s">
        <v>45</v>
      </c>
    </row>
    <row r="11" spans="2:16" x14ac:dyDescent="0.3">
      <c r="B11" t="s">
        <v>14</v>
      </c>
      <c r="H11" t="s">
        <v>53</v>
      </c>
    </row>
    <row r="12" spans="2:16" x14ac:dyDescent="0.3">
      <c r="B12" t="s">
        <v>15</v>
      </c>
    </row>
    <row r="13" spans="2:16" x14ac:dyDescent="0.3">
      <c r="B13" t="s">
        <v>16</v>
      </c>
    </row>
    <row r="15" spans="2:16" x14ac:dyDescent="0.3">
      <c r="B15" t="s">
        <v>114</v>
      </c>
      <c r="E15" t="s">
        <v>5</v>
      </c>
      <c r="N15" t="s">
        <v>23</v>
      </c>
    </row>
    <row r="16" spans="2:16" x14ac:dyDescent="0.3">
      <c r="B16" t="s">
        <v>113</v>
      </c>
      <c r="E16" t="s">
        <v>6</v>
      </c>
      <c r="N16" t="s">
        <v>116</v>
      </c>
    </row>
    <row r="17" spans="2:14" x14ac:dyDescent="0.3">
      <c r="B17" t="s">
        <v>111</v>
      </c>
      <c r="E17" t="s">
        <v>7</v>
      </c>
      <c r="N17" t="s">
        <v>68</v>
      </c>
    </row>
    <row r="18" spans="2:14" x14ac:dyDescent="0.3">
      <c r="B18" t="s">
        <v>112</v>
      </c>
      <c r="E18" t="s">
        <v>8</v>
      </c>
      <c r="N18" t="s">
        <v>69</v>
      </c>
    </row>
    <row r="19" spans="2:14" x14ac:dyDescent="0.3">
      <c r="E19" t="s">
        <v>9</v>
      </c>
      <c r="N19" t="s">
        <v>70</v>
      </c>
    </row>
    <row r="20" spans="2:14" x14ac:dyDescent="0.3">
      <c r="E20" t="s">
        <v>10</v>
      </c>
      <c r="N20" t="s">
        <v>117</v>
      </c>
    </row>
    <row r="21" spans="2:14" x14ac:dyDescent="0.3">
      <c r="E21" t="s">
        <v>11</v>
      </c>
    </row>
    <row r="22" spans="2:14" x14ac:dyDescent="0.3">
      <c r="E22" t="s">
        <v>12</v>
      </c>
    </row>
    <row r="23" spans="2:14" x14ac:dyDescent="0.3">
      <c r="E23" t="s">
        <v>13</v>
      </c>
    </row>
    <row r="24" spans="2:14" x14ac:dyDescent="0.3">
      <c r="E24" t="s">
        <v>14</v>
      </c>
    </row>
    <row r="25" spans="2:14" x14ac:dyDescent="0.3">
      <c r="E25" t="s">
        <v>15</v>
      </c>
    </row>
    <row r="26" spans="2:14" x14ac:dyDescent="0.3">
      <c r="E26" t="s">
        <v>16</v>
      </c>
    </row>
    <row r="27" spans="2:14" x14ac:dyDescent="0.3">
      <c r="E27" t="s">
        <v>126</v>
      </c>
    </row>
    <row r="28" spans="2:14" x14ac:dyDescent="0.3">
      <c r="E28" t="s">
        <v>127</v>
      </c>
    </row>
    <row r="29" spans="2:14" x14ac:dyDescent="0.3">
      <c r="E29" t="s">
        <v>128</v>
      </c>
    </row>
    <row r="30" spans="2:14" x14ac:dyDescent="0.3">
      <c r="E30" t="s">
        <v>129</v>
      </c>
    </row>
  </sheetData>
  <sortState xmlns:xlrd2="http://schemas.microsoft.com/office/spreadsheetml/2017/richdata2" ref="B15:B18">
    <sortCondition ref="B15:B1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422B-7F73-4C94-A086-00820D017CEB}">
  <dimension ref="B1:J22"/>
  <sheetViews>
    <sheetView workbookViewId="0">
      <selection activeCell="B4" sqref="B4"/>
    </sheetView>
  </sheetViews>
  <sheetFormatPr baseColWidth="10" defaultRowHeight="14.4" x14ac:dyDescent="0.3"/>
  <sheetData>
    <row r="1" spans="2:10" x14ac:dyDescent="0.3">
      <c r="B1" s="46" t="s">
        <v>118</v>
      </c>
      <c r="C1" s="47"/>
      <c r="D1" s="47"/>
      <c r="E1" s="48"/>
      <c r="G1" s="46" t="s">
        <v>119</v>
      </c>
      <c r="H1" s="47"/>
      <c r="I1" s="47"/>
      <c r="J1" s="48"/>
    </row>
    <row r="2" spans="2:10" x14ac:dyDescent="0.3">
      <c r="B2" s="49"/>
      <c r="E2" s="50"/>
      <c r="G2" s="49"/>
      <c r="J2" s="50"/>
    </row>
    <row r="3" spans="2:10" x14ac:dyDescent="0.3">
      <c r="B3" s="49" t="s">
        <v>141</v>
      </c>
      <c r="E3" s="50"/>
      <c r="G3" s="49" t="s">
        <v>121</v>
      </c>
      <c r="J3" s="50"/>
    </row>
    <row r="4" spans="2:10" x14ac:dyDescent="0.3">
      <c r="B4" s="49" t="s">
        <v>107</v>
      </c>
      <c r="E4" s="50"/>
      <c r="G4" s="49" t="s">
        <v>120</v>
      </c>
      <c r="J4" s="50"/>
    </row>
    <row r="5" spans="2:10" x14ac:dyDescent="0.3">
      <c r="B5" s="49" t="s">
        <v>108</v>
      </c>
      <c r="E5" s="50"/>
      <c r="G5" s="49"/>
      <c r="J5" s="50"/>
    </row>
    <row r="6" spans="2:10" x14ac:dyDescent="0.3">
      <c r="B6" s="49" t="s">
        <v>109</v>
      </c>
      <c r="E6" s="50"/>
      <c r="G6" s="49" t="s">
        <v>95</v>
      </c>
      <c r="J6" s="50"/>
    </row>
    <row r="7" spans="2:10" x14ac:dyDescent="0.3">
      <c r="B7" s="49"/>
      <c r="E7" s="50"/>
      <c r="G7" s="49" t="s">
        <v>96</v>
      </c>
      <c r="J7" s="50"/>
    </row>
    <row r="8" spans="2:10" x14ac:dyDescent="0.3">
      <c r="B8" s="49" t="s">
        <v>95</v>
      </c>
      <c r="E8" s="50"/>
      <c r="G8" s="49" t="s">
        <v>97</v>
      </c>
      <c r="J8" s="50"/>
    </row>
    <row r="9" spans="2:10" x14ac:dyDescent="0.3">
      <c r="B9" s="49" t="s">
        <v>96</v>
      </c>
      <c r="E9" s="50"/>
      <c r="G9" s="49"/>
      <c r="J9" s="50"/>
    </row>
    <row r="10" spans="2:10" x14ac:dyDescent="0.3">
      <c r="B10" s="49" t="s">
        <v>97</v>
      </c>
      <c r="E10" s="50"/>
      <c r="G10" s="49" t="s">
        <v>122</v>
      </c>
      <c r="J10" s="50"/>
    </row>
    <row r="11" spans="2:10" x14ac:dyDescent="0.3">
      <c r="B11" s="49"/>
      <c r="E11" s="50"/>
      <c r="G11" s="49" t="s">
        <v>99</v>
      </c>
      <c r="J11" s="50"/>
    </row>
    <row r="12" spans="2:10" x14ac:dyDescent="0.3">
      <c r="B12" s="49" t="s">
        <v>98</v>
      </c>
      <c r="E12" s="50"/>
      <c r="G12" s="49" t="s">
        <v>100</v>
      </c>
      <c r="J12" s="50"/>
    </row>
    <row r="13" spans="2:10" x14ac:dyDescent="0.3">
      <c r="B13" s="49" t="s">
        <v>99</v>
      </c>
      <c r="E13" s="50"/>
      <c r="G13" s="49" t="s">
        <v>123</v>
      </c>
      <c r="J13" s="50"/>
    </row>
    <row r="14" spans="2:10" x14ac:dyDescent="0.3">
      <c r="B14" s="49" t="s">
        <v>100</v>
      </c>
      <c r="E14" s="50"/>
      <c r="G14" s="49"/>
      <c r="J14" s="50"/>
    </row>
    <row r="15" spans="2:10" x14ac:dyDescent="0.3">
      <c r="B15" s="49" t="s">
        <v>101</v>
      </c>
      <c r="E15" s="50"/>
      <c r="G15" s="49" t="s">
        <v>103</v>
      </c>
      <c r="J15" s="50"/>
    </row>
    <row r="16" spans="2:10" x14ac:dyDescent="0.3">
      <c r="B16" s="49" t="s">
        <v>102</v>
      </c>
      <c r="E16" s="50"/>
      <c r="G16" s="49" t="s">
        <v>104</v>
      </c>
      <c r="J16" s="50"/>
    </row>
    <row r="17" spans="2:10" x14ac:dyDescent="0.3">
      <c r="B17" s="49"/>
      <c r="E17" s="50"/>
      <c r="G17" s="49" t="s">
        <v>105</v>
      </c>
      <c r="J17" s="50"/>
    </row>
    <row r="18" spans="2:10" x14ac:dyDescent="0.3">
      <c r="B18" s="49" t="s">
        <v>103</v>
      </c>
      <c r="E18" s="50"/>
      <c r="G18" s="49" t="s">
        <v>106</v>
      </c>
      <c r="J18" s="50"/>
    </row>
    <row r="19" spans="2:10" x14ac:dyDescent="0.3">
      <c r="B19" s="49" t="s">
        <v>104</v>
      </c>
      <c r="E19" s="50"/>
      <c r="G19" s="49"/>
      <c r="J19" s="50"/>
    </row>
    <row r="20" spans="2:10" x14ac:dyDescent="0.3">
      <c r="B20" s="49" t="s">
        <v>105</v>
      </c>
      <c r="E20" s="50"/>
      <c r="G20" s="49" t="s">
        <v>124</v>
      </c>
      <c r="J20" s="50"/>
    </row>
    <row r="21" spans="2:10" x14ac:dyDescent="0.3">
      <c r="B21" s="49" t="s">
        <v>106</v>
      </c>
      <c r="E21" s="50"/>
      <c r="G21" s="49" t="s">
        <v>125</v>
      </c>
      <c r="J21" s="50"/>
    </row>
    <row r="22" spans="2:10" ht="15" thickBot="1" x14ac:dyDescent="0.35">
      <c r="B22" s="51"/>
      <c r="C22" s="52"/>
      <c r="D22" s="52"/>
      <c r="E22" s="53"/>
      <c r="G22" s="51"/>
      <c r="H22" s="52"/>
      <c r="I22" s="52"/>
      <c r="J22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RENAULT VPP</vt:lpstr>
      <vt:lpstr>RENAULT SOCIETES</vt:lpstr>
      <vt:lpstr>DACIA</vt:lpstr>
      <vt:lpstr>Listes</vt:lpstr>
      <vt:lpstr>Pay-Plan</vt:lpstr>
      <vt:lpstr>'RENAULT VPP'!Zone_d_impression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GUDE</dc:creator>
  <cp:lastModifiedBy>Mathieu GUDE</cp:lastModifiedBy>
  <cp:lastPrinted>2023-05-02T16:19:27Z</cp:lastPrinted>
  <dcterms:created xsi:type="dcterms:W3CDTF">2023-03-01T20:40:22Z</dcterms:created>
  <dcterms:modified xsi:type="dcterms:W3CDTF">2023-05-02T17:09:50Z</dcterms:modified>
</cp:coreProperties>
</file>