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85c3b3a2b91c9b/Bureau/Programmes CVC/Forum Excel/"/>
    </mc:Choice>
  </mc:AlternateContent>
  <xr:revisionPtr revIDLastSave="13" documentId="8_{274DA476-BCB8-4F8A-852B-FFEFA86806DB}" xr6:coauthVersionLast="47" xr6:coauthVersionMax="47" xr10:uidLastSave="{BCAD7C78-A273-427D-9D7E-E77DFC45DEB9}"/>
  <bookViews>
    <workbookView xWindow="-120" yWindow="-120" windowWidth="38640" windowHeight="21240" xr2:uid="{16AC0002-777B-4398-9D0F-10960FF0AC39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20" i="1" l="1"/>
  <c r="Q20" i="1" s="1"/>
  <c r="S20" i="1"/>
  <c r="T20" i="1" s="1"/>
  <c r="P21" i="1"/>
  <c r="Q21" i="1" s="1"/>
  <c r="S21" i="1"/>
  <c r="T21" i="1" s="1"/>
  <c r="P22" i="1"/>
  <c r="Q22" i="1" s="1"/>
  <c r="S22" i="1"/>
  <c r="T22" i="1" s="1"/>
  <c r="P23" i="1"/>
  <c r="Q23" i="1" s="1"/>
  <c r="S23" i="1"/>
  <c r="T23" i="1" s="1"/>
  <c r="AC16" i="1"/>
  <c r="AC33" i="1"/>
  <c r="AC51" i="1"/>
  <c r="AB51" i="1" a="1"/>
  <c r="AB51" i="1" s="1"/>
  <c r="S37" i="1"/>
  <c r="T37" i="1" s="1"/>
  <c r="P37" i="1"/>
  <c r="Q37" i="1" s="1"/>
  <c r="AB32" i="1" a="1"/>
  <c r="AB32" i="1" s="1"/>
  <c r="O24" i="1"/>
  <c r="H14" i="1"/>
  <c r="S19" i="1" l="1"/>
  <c r="T19" i="1" s="1"/>
  <c r="P19" i="1"/>
  <c r="Q19" i="1" s="1"/>
  <c r="S36" i="1"/>
  <c r="T36" i="1" s="1"/>
  <c r="P36" i="1"/>
  <c r="Q36" i="1" s="1"/>
  <c r="Q24" i="1" l="1"/>
  <c r="R24" i="1" s="1"/>
  <c r="T24" i="1"/>
  <c r="V24" i="1" l="1"/>
  <c r="G19" i="1"/>
  <c r="H19" i="1" s="1"/>
  <c r="U24" i="1" s="1"/>
  <c r="G14" i="1"/>
  <c r="W24" i="1" l="1"/>
  <c r="X24" i="1" s="1"/>
  <c r="Y24" i="1" s="1"/>
  <c r="Z2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<sst xmlns="http://schemas.openxmlformats.org/spreadsheetml/2006/main" count="79" uniqueCount="54">
  <si>
    <t>Appareil</t>
  </si>
  <si>
    <t>Nombre</t>
  </si>
  <si>
    <t>Lavabo</t>
  </si>
  <si>
    <t xml:space="preserve">Baignoire </t>
  </si>
  <si>
    <t>Douche</t>
  </si>
  <si>
    <t>WC avec robinet de chasse</t>
  </si>
  <si>
    <t>Machine à laver le linge</t>
  </si>
  <si>
    <t>Machine à laver la vaisselle</t>
  </si>
  <si>
    <t>Simultanéité</t>
  </si>
  <si>
    <t>Facteur multiplicateur</t>
  </si>
  <si>
    <t>Description</t>
  </si>
  <si>
    <t>Nombre d'appareils</t>
  </si>
  <si>
    <t>Nombre robinets de chasse</t>
  </si>
  <si>
    <t>Tronçon</t>
  </si>
  <si>
    <t>Longueur [m]</t>
  </si>
  <si>
    <t>Coefficient</t>
  </si>
  <si>
    <t>ø int [mm]</t>
  </si>
  <si>
    <t>ø ext [mm]</t>
  </si>
  <si>
    <t>Total coef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</si>
  <si>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EF</t>
    </r>
    <r>
      <rPr>
        <b/>
        <sz val="11"/>
        <color theme="1"/>
        <rFont val="Calibri"/>
        <family val="2"/>
        <scheme val="minor"/>
      </rPr>
      <t xml:space="preserve"> [l/s]</t>
    </r>
  </si>
  <si>
    <t>Simultanéité MAL</t>
  </si>
  <si>
    <t>Vitesse sous-sol</t>
  </si>
  <si>
    <t>Vitess colonnes</t>
  </si>
  <si>
    <t>Capacité baignoire [l]</t>
  </si>
  <si>
    <t>Se conformer à l'instruction du fabricant</t>
  </si>
  <si>
    <t xml:space="preserve">Simultanéité WC avec robinets de chasse
</t>
  </si>
  <si>
    <t>Tableau dimensionnement EF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</si>
  <si>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prob</t>
    </r>
    <r>
      <rPr>
        <b/>
        <sz val="11"/>
        <color theme="1"/>
        <rFont val="Calibri"/>
        <family val="2"/>
        <scheme val="minor"/>
      </rPr>
      <t>EF [l/s]</t>
    </r>
  </si>
  <si>
    <t>Niveau</t>
  </si>
  <si>
    <t>Tronçon amont</t>
  </si>
  <si>
    <t>Type d'installation</t>
  </si>
  <si>
    <r>
      <t>Q</t>
    </r>
    <r>
      <rPr>
        <b/>
        <vertAlign val="subscript"/>
        <sz val="12"/>
        <color theme="1"/>
        <rFont val="Calibri"/>
        <family val="2"/>
        <scheme val="minor"/>
      </rPr>
      <t xml:space="preserve">EF-mélangée </t>
    </r>
    <r>
      <rPr>
        <b/>
        <sz val="12"/>
        <color theme="1"/>
        <rFont val="Calibri"/>
        <family val="2"/>
        <scheme val="minor"/>
      </rPr>
      <t>[l/s]</t>
    </r>
  </si>
  <si>
    <r>
      <t>Q</t>
    </r>
    <r>
      <rPr>
        <b/>
        <vertAlign val="subscript"/>
        <sz val="12"/>
        <color theme="1"/>
        <rFont val="Calibri"/>
        <family val="2"/>
        <scheme val="minor"/>
      </rPr>
      <t>brut</t>
    </r>
    <r>
      <rPr>
        <b/>
        <sz val="12"/>
        <color theme="1"/>
        <rFont val="Calibri"/>
        <family val="2"/>
        <scheme val="minor"/>
      </rPr>
      <t xml:space="preserve"> EF [l/s]</t>
    </r>
  </si>
  <si>
    <t>Qrobs [l/s]</t>
  </si>
  <si>
    <t>coefficient simultanéité</t>
  </si>
  <si>
    <t>Qprob [l/s]</t>
  </si>
  <si>
    <t>V [m/s]</t>
  </si>
  <si>
    <t>R+1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</si>
  <si>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EC</t>
    </r>
    <r>
      <rPr>
        <b/>
        <sz val="11"/>
        <color theme="1"/>
        <rFont val="Calibri"/>
        <family val="2"/>
        <scheme val="minor"/>
      </rPr>
      <t xml:space="preserve"> [l/s]</t>
    </r>
  </si>
  <si>
    <t>Tableau dimensionnement ECS</t>
  </si>
  <si>
    <r>
      <t>Q</t>
    </r>
    <r>
      <rPr>
        <vertAlign val="subscript"/>
        <sz val="11"/>
        <color theme="1"/>
        <rFont val="Calibri"/>
        <family val="2"/>
        <scheme val="minor"/>
      </rPr>
      <t xml:space="preserve">EC </t>
    </r>
    <r>
      <rPr>
        <sz val="11"/>
        <color theme="1"/>
        <rFont val="Calibri"/>
        <family val="2"/>
        <scheme val="minor"/>
      </rPr>
      <t>[l/s]</t>
    </r>
  </si>
  <si>
    <r>
      <t>Q</t>
    </r>
    <r>
      <rPr>
        <vertAlign val="subscript"/>
        <sz val="11"/>
        <color theme="1"/>
        <rFont val="Calibri"/>
        <family val="2"/>
        <scheme val="minor"/>
      </rPr>
      <t>brut</t>
    </r>
    <r>
      <rPr>
        <sz val="11"/>
        <color theme="1"/>
        <rFont val="Calibri"/>
        <family val="2"/>
        <scheme val="minor"/>
      </rPr>
      <t xml:space="preserve"> EC [l/s]</t>
    </r>
  </si>
  <si>
    <t>Coefficients</t>
  </si>
  <si>
    <t>Evier - timbre d'office</t>
  </si>
  <si>
    <t>Bidet</t>
  </si>
  <si>
    <t>Poste d'eau robinet 1/2</t>
  </si>
  <si>
    <t>Poste d'eau robinet 3/4</t>
  </si>
  <si>
    <t>WC avec réservoir de chasse</t>
  </si>
  <si>
    <t>Urinoir avec robinet individuel</t>
  </si>
  <si>
    <t>Urinoir à action siphonique</t>
  </si>
  <si>
    <t>Lave-mains</t>
  </si>
  <si>
    <t>Bac à laver</t>
  </si>
  <si>
    <t>Machine industrielle 
ou autre appareil</t>
  </si>
  <si>
    <t>Cabinet multi jets et les appareils
à brassage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</si>
</sst>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vertAlign val="sub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vertAlign val="subscript"/>
      <sz val="12"/>
      <color theme="1"/>
      <name val="Calibri"/>
      <family val="2"/>
      <scheme val="minor"/>
    </font>
    <font>
      <b/>
      <sz val="1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 applyAlignment="1">
      <alignment vertical="center" wrapText="1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9" xfId="0" applyBorder="1" applyAlignment="1">
      <alignment horizontal="left" vertical="center"/>
    </xf>
    <xf numFmtId="0" fontId="0" fillId="0" borderId="17" xfId="0" applyBorder="1" applyAlignment="1">
      <alignment horizontal="center" vertical="center"/>
    </xf>
    <xf numFmtId="0" fontId="0" fillId="0" borderId="13" xfId="0" applyBorder="1" applyAlignment="1">
      <alignment horizontal="left" vertical="center"/>
    </xf>
    <xf numFmtId="0" fontId="0" fillId="0" borderId="17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6" xfId="0" applyFont="1" applyBorder="1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2" fillId="0" borderId="15" xfId="0" applyFon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1" xfId="0" applyBorder="1" applyAlignment="1">
      <alignment vertical="center"/>
    </xf>
    <xf numFmtId="0" fontId="0" fillId="0" borderId="10" xfId="0" applyBorder="1"/>
    <xf numFmtId="0" fontId="0" fillId="0" borderId="13" xfId="0" applyBorder="1"/>
    <xf numFmtId="0" fontId="0" fillId="0" borderId="23" xfId="0" applyBorder="1"/>
    <xf numFmtId="0" fontId="0" fillId="0" borderId="23" xfId="0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165" fontId="0" fillId="0" borderId="23" xfId="0" applyNumberFormat="1" applyBorder="1" applyAlignment="1">
      <alignment horizontal="center"/>
    </xf>
    <xf numFmtId="165" fontId="0" fillId="0" borderId="13" xfId="0" applyNumberFormat="1" applyBorder="1" applyAlignment="1">
      <alignment horizontal="center"/>
    </xf>
    <xf numFmtId="2" fontId="0" fillId="0" borderId="24" xfId="0" applyNumberFormat="1" applyBorder="1" applyAlignment="1">
      <alignment horizontal="center"/>
    </xf>
    <xf numFmtId="0" fontId="0" fillId="0" borderId="23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24" xfId="0" applyBorder="1" applyAlignment="1">
      <alignment horizontal="center" vertical="center"/>
    </xf>
    <xf numFmtId="0" fontId="9" fillId="0" borderId="4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0" fillId="0" borderId="4" xfId="0" applyBorder="1" applyAlignment="1">
      <alignment horizontal="left" vertical="center"/>
    </xf>
    <xf numFmtId="0" fontId="0" fillId="0" borderId="26" xfId="0" applyBorder="1" applyAlignment="1">
      <alignment horizontal="left" vertical="center"/>
    </xf>
    <xf numFmtId="0" fontId="0" fillId="0" borderId="27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7" xfId="0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/>
    </xf>
    <xf numFmtId="0" fontId="7" fillId="0" borderId="1" xfId="0" applyFont="1" applyBorder="1" applyAlignment="1">
      <alignment horizontal="center" vertical="top" wrapText="1"/>
    </xf>
    <xf numFmtId="0" fontId="7" fillId="0" borderId="2" xfId="0" applyFont="1" applyBorder="1" applyAlignment="1">
      <alignment horizontal="center" vertical="top" wrapText="1"/>
    </xf>
    <xf numFmtId="0" fontId="7" fillId="0" borderId="3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0" fillId="0" borderId="2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microsoft.com/office/2017/10/relationships/person" Target="persons/perso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885c3b3a2b91c9b/Bureau/Programmes%20CVC/Plomberie/R&#233;seaux%20EF-ECS/R&#233;seaux%20EF-ECS.xlsx" TargetMode="External"/><Relationship Id="rId1" Type="http://schemas.openxmlformats.org/officeDocument/2006/relationships/externalLinkPath" Target="/4885c3b3a2b91c9b/Bureau/Programmes%20CVC/Plomberie/R&#233;seaux%20EF-ECS/R&#233;seaux%20EF-EC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Synoptique EF"/>
      <sheetName val="Feuil1"/>
      <sheetName val="Feuilles métré"/>
      <sheetName val="Tableaux tubes"/>
      <sheetName val="Feuil3"/>
    </sheetNames>
    <sheetDataSet>
      <sheetData sheetId="0"/>
      <sheetData sheetId="1">
        <row r="12">
          <cell r="G12">
            <v>0.2</v>
          </cell>
          <cell r="I12">
            <v>0.2</v>
          </cell>
        </row>
        <row r="13">
          <cell r="G13">
            <v>0.2</v>
          </cell>
          <cell r="I13">
            <v>0.2</v>
          </cell>
        </row>
        <row r="14">
          <cell r="G14">
            <v>0.2</v>
          </cell>
          <cell r="I14">
            <v>0.2</v>
          </cell>
        </row>
        <row r="15">
          <cell r="G15">
            <v>0.33</v>
          </cell>
          <cell r="I15">
            <v>0.33</v>
          </cell>
        </row>
        <row r="16">
          <cell r="G16">
            <v>0.2</v>
          </cell>
          <cell r="I16">
            <v>0.2</v>
          </cell>
        </row>
        <row r="21">
          <cell r="G21">
            <v>0.15</v>
          </cell>
        </row>
        <row r="22">
          <cell r="G22">
            <v>0.5</v>
          </cell>
        </row>
        <row r="23">
          <cell r="G23">
            <v>0.1</v>
          </cell>
        </row>
        <row r="24">
          <cell r="G24">
            <v>0.33</v>
          </cell>
        </row>
        <row r="25">
          <cell r="G25">
            <v>0.2</v>
          </cell>
        </row>
      </sheetData>
      <sheetData sheetId="2"/>
      <sheetData sheetId="3"/>
      <sheetData sheetId="4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90E46-9898-4E69-B60E-D56B97227044}">
  <dimension ref="E11:AD58"/>
  <sheetViews>
    <sheetView tabSelected="1" workbookViewId="0">
      <selection activeCell="N23" sqref="N23"/>
    </sheetView>
  </sheetViews>
  <sheetFormatPr baseColWidth="10" defaultRowHeight="15" x14ac:dyDescent="0.25"/>
  <cols>
    <col min="5" max="5" width="25.42578125" bestFit="1" customWidth="1"/>
    <col min="6" max="6" width="18.7109375" bestFit="1" customWidth="1"/>
    <col min="7" max="7" width="12.42578125" bestFit="1" customWidth="1"/>
    <col min="11" max="11" width="9.140625" bestFit="1" customWidth="1"/>
    <col min="12" max="12" width="16.28515625" bestFit="1" customWidth="1"/>
    <col min="13" max="13" width="14.140625" bestFit="1" customWidth="1"/>
    <col min="14" max="14" width="26.140625" bestFit="1" customWidth="1"/>
    <col min="15" max="15" width="9" bestFit="1" customWidth="1"/>
    <col min="17" max="17" width="10.7109375" bestFit="1" customWidth="1"/>
    <col min="18" max="18" width="19.28515625" bestFit="1" customWidth="1"/>
    <col min="19" max="19" width="15.140625" bestFit="1" customWidth="1"/>
    <col min="20" max="20" width="12.5703125" bestFit="1" customWidth="1"/>
    <col min="21" max="21" width="11.28515625" bestFit="1" customWidth="1"/>
    <col min="22" max="22" width="24.28515625" bestFit="1" customWidth="1"/>
    <col min="23" max="23" width="11.7109375" bestFit="1" customWidth="1"/>
    <col min="24" max="24" width="11.28515625" bestFit="1" customWidth="1"/>
    <col min="25" max="25" width="11.5703125" bestFit="1" customWidth="1"/>
    <col min="26" max="26" width="8" bestFit="1" customWidth="1"/>
    <col min="28" max="28" width="40.28515625" bestFit="1" customWidth="1"/>
    <col min="29" max="29" width="12.28515625" bestFit="1" customWidth="1"/>
    <col min="30" max="30" width="36.28515625" customWidth="1"/>
  </cols>
  <sheetData>
    <row r="11" spans="5:30" ht="15.75" thickBot="1" x14ac:dyDescent="0.3">
      <c r="AB11" s="11"/>
      <c r="AC11" s="11"/>
      <c r="AD11" s="11"/>
    </row>
    <row r="12" spans="5:30" ht="16.5" thickBot="1" x14ac:dyDescent="0.3">
      <c r="J12" s="2"/>
      <c r="K12" s="2"/>
      <c r="L12" s="3"/>
      <c r="N12" s="11"/>
      <c r="O12" s="11"/>
      <c r="AB12" s="59" t="s">
        <v>0</v>
      </c>
      <c r="AC12" s="60" t="s">
        <v>42</v>
      </c>
    </row>
    <row r="13" spans="5:30" ht="15.75" thickBot="1" x14ac:dyDescent="0.3">
      <c r="E13" s="80" t="s">
        <v>20</v>
      </c>
      <c r="F13" s="81"/>
      <c r="G13" s="81"/>
      <c r="H13" s="82"/>
      <c r="N13" s="15" t="s">
        <v>9</v>
      </c>
      <c r="O13" s="3">
        <v>1</v>
      </c>
      <c r="X13" s="73" t="s">
        <v>21</v>
      </c>
      <c r="Y13" s="73"/>
      <c r="Z13" s="11">
        <v>2</v>
      </c>
      <c r="AB13" s="61" t="s">
        <v>43</v>
      </c>
      <c r="AC13" s="10">
        <v>2.5</v>
      </c>
    </row>
    <row r="14" spans="5:30" x14ac:dyDescent="0.25">
      <c r="E14" s="20" t="s">
        <v>6</v>
      </c>
      <c r="F14" s="4">
        <v>1</v>
      </c>
      <c r="G14" s="71">
        <f>IF(AND(R24="collective",F14+F15&gt;1),1,0)</f>
        <v>1</v>
      </c>
      <c r="H14" s="71">
        <f>IF(F14&gt;=F15,0.2,0.1)</f>
        <v>0.2</v>
      </c>
      <c r="X14" s="73" t="s">
        <v>22</v>
      </c>
      <c r="Y14" s="73"/>
      <c r="Z14" s="11">
        <v>1.5</v>
      </c>
      <c r="AB14" s="62" t="s">
        <v>2</v>
      </c>
      <c r="AC14" s="63">
        <v>1.5</v>
      </c>
    </row>
    <row r="15" spans="5:30" ht="15.75" thickBot="1" x14ac:dyDescent="0.3">
      <c r="E15" s="22" t="s">
        <v>7</v>
      </c>
      <c r="F15" s="1">
        <v>1</v>
      </c>
      <c r="G15" s="72"/>
      <c r="H15" s="72"/>
      <c r="N15" s="11" t="s">
        <v>23</v>
      </c>
      <c r="O15" s="11">
        <v>0</v>
      </c>
      <c r="AB15" s="62" t="s">
        <v>44</v>
      </c>
      <c r="AC15" s="63">
        <v>1</v>
      </c>
    </row>
    <row r="16" spans="5:30" ht="15.75" thickBot="1" x14ac:dyDescent="0.3">
      <c r="AB16" s="62" t="s">
        <v>3</v>
      </c>
      <c r="AC16" s="63">
        <f>IF(O15&lt;=150,3,3+(O15-150)*0.01)</f>
        <v>3</v>
      </c>
    </row>
    <row r="17" spans="5:30" ht="19.5" thickBot="1" x14ac:dyDescent="0.35">
      <c r="E17" s="74" t="s">
        <v>25</v>
      </c>
      <c r="F17" s="75"/>
      <c r="G17" s="75"/>
      <c r="H17" s="76"/>
      <c r="J17" s="77" t="s">
        <v>26</v>
      </c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9"/>
      <c r="AB17" s="62" t="s">
        <v>4</v>
      </c>
      <c r="AC17" s="63">
        <v>2</v>
      </c>
    </row>
    <row r="18" spans="5:30" ht="19.5" thickBot="1" x14ac:dyDescent="0.3">
      <c r="E18" s="25" t="s">
        <v>10</v>
      </c>
      <c r="F18" s="26" t="s">
        <v>11</v>
      </c>
      <c r="G18" s="27" t="s">
        <v>8</v>
      </c>
      <c r="H18" s="9" t="s">
        <v>27</v>
      </c>
      <c r="J18" s="28" t="s">
        <v>28</v>
      </c>
      <c r="K18" s="5" t="s">
        <v>13</v>
      </c>
      <c r="L18" s="29" t="s">
        <v>29</v>
      </c>
      <c r="M18" s="5" t="s">
        <v>14</v>
      </c>
      <c r="N18" s="29" t="s">
        <v>0</v>
      </c>
      <c r="O18" s="5" t="s">
        <v>1</v>
      </c>
      <c r="P18" s="29" t="s">
        <v>15</v>
      </c>
      <c r="Q18" s="5" t="s">
        <v>18</v>
      </c>
      <c r="R18" s="29" t="s">
        <v>30</v>
      </c>
      <c r="S18" s="5" t="s">
        <v>31</v>
      </c>
      <c r="T18" s="29" t="s">
        <v>32</v>
      </c>
      <c r="U18" s="5" t="s">
        <v>33</v>
      </c>
      <c r="V18" s="29" t="s">
        <v>34</v>
      </c>
      <c r="W18" s="5" t="s">
        <v>35</v>
      </c>
      <c r="X18" s="29" t="s">
        <v>16</v>
      </c>
      <c r="Y18" s="5" t="s">
        <v>17</v>
      </c>
      <c r="Z18" s="30" t="s">
        <v>36</v>
      </c>
      <c r="AB18" s="62" t="s">
        <v>45</v>
      </c>
      <c r="AC18" s="63">
        <v>2</v>
      </c>
    </row>
    <row r="19" spans="5:30" ht="15.75" thickBot="1" x14ac:dyDescent="0.3">
      <c r="E19" s="9" t="s">
        <v>12</v>
      </c>
      <c r="F19" s="31">
        <v>2</v>
      </c>
      <c r="G19" s="32">
        <f>IF(R24="collective",IF(F19=3,1,IF(AND(F19&gt;=4,F19&lt;=12),2,IF(AND(F19&gt;=13,F19&lt;=24),3,IF(AND(F19&gt;=25,F19&lt;=50),4,IF(F19&gt;50,5,IF(F19=1,1,IF(F19=2,2))))))))</f>
        <v>2</v>
      </c>
      <c r="H19" s="33">
        <f>G19*1.5</f>
        <v>3</v>
      </c>
      <c r="J19" s="83" t="s">
        <v>37</v>
      </c>
      <c r="K19" s="85">
        <v>1</v>
      </c>
      <c r="L19" s="87">
        <v>0</v>
      </c>
      <c r="M19" s="85">
        <v>3</v>
      </c>
      <c r="N19" s="34" t="s">
        <v>3</v>
      </c>
      <c r="O19" s="35">
        <v>1</v>
      </c>
      <c r="P19" s="36">
        <f>_xlfn.XLOOKUP(N19,AB32:AB48,AC32:AC48,"",0,1)</f>
        <v>3</v>
      </c>
      <c r="Q19" s="35">
        <f>O19*P19</f>
        <v>3</v>
      </c>
      <c r="R19" s="36"/>
      <c r="S19" s="35">
        <f>_xlfn.XLOOKUP(N19,AB32:AB48,AD32:AD48,"",0,1)</f>
        <v>0.33</v>
      </c>
      <c r="T19" s="36">
        <f>S19*O19</f>
        <v>0.33</v>
      </c>
      <c r="U19" s="35"/>
      <c r="V19" s="36"/>
      <c r="W19" s="35"/>
      <c r="X19" s="36"/>
      <c r="Y19" s="35"/>
      <c r="Z19" s="37"/>
      <c r="AB19" s="62" t="s">
        <v>46</v>
      </c>
      <c r="AC19" s="63">
        <v>2</v>
      </c>
    </row>
    <row r="20" spans="5:30" x14ac:dyDescent="0.25">
      <c r="J20" s="84"/>
      <c r="K20" s="86"/>
      <c r="L20" s="88"/>
      <c r="M20" s="86"/>
      <c r="N20" s="34" t="s">
        <v>43</v>
      </c>
      <c r="O20" s="35">
        <v>1</v>
      </c>
      <c r="P20" s="36">
        <f t="shared" ref="P20:P23" si="0">_xlfn.XLOOKUP(N20,AB33:AB49,AC33:AC49,"",0,1)</f>
        <v>2.5</v>
      </c>
      <c r="Q20" s="35">
        <f t="shared" ref="Q20:Q23" si="1">O20*P20</f>
        <v>2.5</v>
      </c>
      <c r="R20" s="36"/>
      <c r="S20" s="35">
        <f t="shared" ref="S20:S23" si="2">_xlfn.XLOOKUP(N20,AB33:AB49,AD33:AD49,"",0,1)</f>
        <v>0.2</v>
      </c>
      <c r="T20" s="36">
        <f t="shared" ref="T20:T23" si="3">S20*O20</f>
        <v>0.2</v>
      </c>
      <c r="U20" s="35"/>
      <c r="V20" s="36"/>
      <c r="W20" s="35"/>
      <c r="X20" s="36"/>
      <c r="Y20" s="35"/>
      <c r="Z20" s="37"/>
      <c r="AB20" s="62" t="s">
        <v>47</v>
      </c>
      <c r="AC20" s="63">
        <v>0.5</v>
      </c>
    </row>
    <row r="21" spans="5:30" x14ac:dyDescent="0.25">
      <c r="J21" s="38"/>
      <c r="K21" s="7"/>
      <c r="L21" s="21"/>
      <c r="M21" s="7"/>
      <c r="N21" s="34" t="s">
        <v>4</v>
      </c>
      <c r="O21" s="35">
        <v>1</v>
      </c>
      <c r="P21" s="36">
        <f t="shared" si="0"/>
        <v>2</v>
      </c>
      <c r="Q21" s="35">
        <f t="shared" si="1"/>
        <v>2</v>
      </c>
      <c r="R21" s="36"/>
      <c r="S21" s="35">
        <f t="shared" si="2"/>
        <v>0.2</v>
      </c>
      <c r="T21" s="36">
        <f t="shared" si="3"/>
        <v>0.2</v>
      </c>
      <c r="U21" s="35"/>
      <c r="V21" s="36"/>
      <c r="W21" s="35"/>
      <c r="X21" s="36"/>
      <c r="Y21" s="35"/>
      <c r="Z21" s="37"/>
      <c r="AB21" s="62" t="s">
        <v>5</v>
      </c>
      <c r="AC21" s="63">
        <v>1</v>
      </c>
    </row>
    <row r="22" spans="5:30" x14ac:dyDescent="0.25">
      <c r="J22" s="38"/>
      <c r="K22" s="7"/>
      <c r="L22" s="21"/>
      <c r="M22" s="7"/>
      <c r="N22" s="34" t="s">
        <v>7</v>
      </c>
      <c r="O22" s="35">
        <v>1</v>
      </c>
      <c r="P22" s="36">
        <f t="shared" si="0"/>
        <v>1</v>
      </c>
      <c r="Q22" s="35">
        <f t="shared" si="1"/>
        <v>1</v>
      </c>
      <c r="R22" s="36"/>
      <c r="S22" s="35">
        <f t="shared" si="2"/>
        <v>0.1</v>
      </c>
      <c r="T22" s="36">
        <f t="shared" si="3"/>
        <v>0.1</v>
      </c>
      <c r="U22" s="35"/>
      <c r="V22" s="36"/>
      <c r="W22" s="35"/>
      <c r="X22" s="36"/>
      <c r="Y22" s="35"/>
      <c r="Z22" s="37"/>
      <c r="AB22" s="62" t="s">
        <v>48</v>
      </c>
      <c r="AC22" s="63">
        <v>0.5</v>
      </c>
    </row>
    <row r="23" spans="5:30" x14ac:dyDescent="0.25">
      <c r="J23" s="6"/>
      <c r="K23" s="7"/>
      <c r="L23" s="21"/>
      <c r="M23" s="7"/>
      <c r="N23" s="34" t="s">
        <v>5</v>
      </c>
      <c r="O23" s="35">
        <v>2</v>
      </c>
      <c r="P23" s="36">
        <f t="shared" si="0"/>
        <v>1</v>
      </c>
      <c r="Q23" s="35">
        <f t="shared" si="1"/>
        <v>2</v>
      </c>
      <c r="R23" s="36"/>
      <c r="S23" s="35">
        <f t="shared" si="2"/>
        <v>1.5</v>
      </c>
      <c r="T23" s="36">
        <f t="shared" si="3"/>
        <v>3</v>
      </c>
      <c r="U23" s="35"/>
      <c r="V23" s="36"/>
      <c r="W23" s="35"/>
      <c r="X23" s="36"/>
      <c r="Y23" s="35"/>
      <c r="Z23" s="37"/>
      <c r="AB23" s="62" t="s">
        <v>49</v>
      </c>
      <c r="AC23" s="63">
        <v>0.5</v>
      </c>
    </row>
    <row r="24" spans="5:30" ht="15.75" thickBot="1" x14ac:dyDescent="0.3">
      <c r="J24" s="39"/>
      <c r="K24" s="40"/>
      <c r="L24" s="41"/>
      <c r="M24" s="40"/>
      <c r="N24" s="42"/>
      <c r="O24" s="43">
        <f>SUM(O19:O23)</f>
        <v>6</v>
      </c>
      <c r="P24" s="42"/>
      <c r="Q24" s="43">
        <f>SUM(Q19:Q23)</f>
        <v>10.5</v>
      </c>
      <c r="R24" s="44" t="str">
        <f>IF(AND(Q24&lt;=15,O24&lt;=5),"individuelle","collective")</f>
        <v>collective</v>
      </c>
      <c r="S24" s="18"/>
      <c r="T24" s="42">
        <f>SUM(T19:T23)</f>
        <v>3.83</v>
      </c>
      <c r="U24" s="18">
        <f>H19</f>
        <v>3</v>
      </c>
      <c r="V24" s="45">
        <f>IF(R24="collective",(0.8*O13/(SQRT(O24-1))),0)</f>
        <v>0.35777087639996635</v>
      </c>
      <c r="W24" s="46">
        <f>IF(R24="collective",T24*V24+U24,0)</f>
        <v>4.3702624566118713</v>
      </c>
      <c r="X24" s="47">
        <f>IF(R24="individuelle",IF(AND(Q24&gt;0,Q24&lt;3),10,IF(AND(Q24&gt;=3,Q24&lt;4.5),12,IF(AND(Q24&gt;=4.5,Q24&lt;6.5),14,IF(AND(Q24&gt;=6.5,Q24&lt;10),16,IF(AND(Q24&gt;=10,Q24&lt;=15),18))))),SQRT(((4*W24)/1000)/(PI()*Z14))*1000)</f>
        <v>60.906436335468264</v>
      </c>
      <c r="Y24" s="48">
        <f>X24+2</f>
        <v>62.906436335468264</v>
      </c>
      <c r="Z24" s="49">
        <f>(4*W24)/(PI()*(X24^2)/1000)</f>
        <v>1.4999999999999998</v>
      </c>
      <c r="AB24" s="62" t="s">
        <v>50</v>
      </c>
      <c r="AC24" s="63">
        <v>0.5</v>
      </c>
    </row>
    <row r="25" spans="5:30" x14ac:dyDescent="0.25">
      <c r="AB25" s="62" t="s">
        <v>51</v>
      </c>
      <c r="AC25" s="63">
        <v>2</v>
      </c>
    </row>
    <row r="26" spans="5:30" x14ac:dyDescent="0.25">
      <c r="AB26" s="62" t="s">
        <v>6</v>
      </c>
      <c r="AC26" s="63">
        <v>1</v>
      </c>
    </row>
    <row r="27" spans="5:30" ht="15.75" thickBot="1" x14ac:dyDescent="0.3">
      <c r="AB27" s="62" t="s">
        <v>7</v>
      </c>
      <c r="AC27" s="63">
        <v>1</v>
      </c>
    </row>
    <row r="28" spans="5:30" ht="30.75" thickBot="1" x14ac:dyDescent="0.3">
      <c r="AB28" s="64" t="s">
        <v>52</v>
      </c>
      <c r="AC28" s="65"/>
    </row>
    <row r="29" spans="5:30" ht="30.75" thickBot="1" x14ac:dyDescent="0.3">
      <c r="AB29" s="66" t="s">
        <v>53</v>
      </c>
      <c r="AC29" s="67"/>
    </row>
    <row r="30" spans="5:30" ht="15.75" thickBot="1" x14ac:dyDescent="0.3">
      <c r="AB30" s="11"/>
      <c r="AC30" s="11"/>
      <c r="AD30" s="11"/>
    </row>
    <row r="31" spans="5:30" ht="18.75" thickBot="1" x14ac:dyDescent="0.4">
      <c r="AB31" s="12" t="s">
        <v>0</v>
      </c>
      <c r="AC31" s="13" t="s">
        <v>42</v>
      </c>
      <c r="AD31" s="14" t="s">
        <v>19</v>
      </c>
    </row>
    <row r="32" spans="5:30" x14ac:dyDescent="0.25">
      <c r="AB32" s="16" t="str" cm="1">
        <f t="array" ref="AB32:AB48">_xlfn._xlws.SORT(AB13:AB29)</f>
        <v>Bac à laver</v>
      </c>
      <c r="AC32" s="19">
        <v>2</v>
      </c>
      <c r="AD32" s="4">
        <v>0.33</v>
      </c>
    </row>
    <row r="33" spans="10:30" ht="15.75" thickBot="1" x14ac:dyDescent="0.3">
      <c r="AB33" s="17" t="str">
        <v xml:space="preserve">Baignoire </v>
      </c>
      <c r="AC33" s="21">
        <f>IF(O15&lt;=150,3,3+(O15-150)*0.01)</f>
        <v>3</v>
      </c>
      <c r="AD33" s="7">
        <v>0.33</v>
      </c>
    </row>
    <row r="34" spans="10:30" ht="19.5" thickBot="1" x14ac:dyDescent="0.35">
      <c r="J34" s="68" t="s">
        <v>39</v>
      </c>
      <c r="K34" s="69"/>
      <c r="L34" s="69"/>
      <c r="M34" s="69"/>
      <c r="N34" s="69"/>
      <c r="O34" s="69"/>
      <c r="P34" s="69"/>
      <c r="Q34" s="69"/>
      <c r="R34" s="69"/>
      <c r="S34" s="69"/>
      <c r="T34" s="69"/>
      <c r="U34" s="69"/>
      <c r="V34" s="69"/>
      <c r="W34" s="69"/>
      <c r="X34" s="69"/>
      <c r="Y34" s="70"/>
      <c r="Z34" s="56"/>
      <c r="AB34" s="17" t="str">
        <v>Bidet</v>
      </c>
      <c r="AC34" s="21">
        <v>1</v>
      </c>
      <c r="AD34" s="7">
        <v>0.2</v>
      </c>
    </row>
    <row r="35" spans="10:30" ht="15" customHeight="1" x14ac:dyDescent="0.25">
      <c r="J35" s="3" t="s">
        <v>28</v>
      </c>
      <c r="K35" s="3" t="s">
        <v>13</v>
      </c>
      <c r="L35" s="3" t="s">
        <v>29</v>
      </c>
      <c r="M35" s="3" t="s">
        <v>14</v>
      </c>
      <c r="N35" s="3" t="s">
        <v>0</v>
      </c>
      <c r="O35" s="3" t="s">
        <v>1</v>
      </c>
      <c r="P35" s="3" t="s">
        <v>15</v>
      </c>
      <c r="Q35" s="3" t="s">
        <v>18</v>
      </c>
      <c r="R35" s="3"/>
      <c r="S35" s="3" t="s">
        <v>40</v>
      </c>
      <c r="T35" s="3" t="s">
        <v>41</v>
      </c>
      <c r="U35" s="3"/>
      <c r="V35" s="3"/>
      <c r="W35" s="3"/>
      <c r="X35" s="3" t="s">
        <v>16</v>
      </c>
      <c r="Y35" s="3" t="s">
        <v>17</v>
      </c>
      <c r="Z35" s="3"/>
      <c r="AB35" s="7" t="str">
        <v>Cabinet multi jets et les appareils
à brassage</v>
      </c>
      <c r="AC35" s="23"/>
      <c r="AD35" s="24" t="s">
        <v>24</v>
      </c>
    </row>
    <row r="36" spans="10:30" x14ac:dyDescent="0.25">
      <c r="N36" s="57" t="s">
        <v>3</v>
      </c>
      <c r="O36" s="11">
        <v>2</v>
      </c>
      <c r="P36" s="11" t="str">
        <f>_xlfn.XLOOKUP(N36,AB51:AB55,AC51:AC55,"",0,1)</f>
        <v/>
      </c>
      <c r="Q36" s="11" t="e">
        <f>O36*P36</f>
        <v>#VALUE!</v>
      </c>
      <c r="R36" s="11"/>
      <c r="S36" s="11" t="str">
        <f>_xlfn.XLOOKUP(N36,AB51:AB55,AD51:AD55,"",0,1)</f>
        <v/>
      </c>
      <c r="T36" s="11" t="e">
        <f>O36*S36</f>
        <v>#VALUE!</v>
      </c>
      <c r="U36" s="11"/>
      <c r="V36" s="11"/>
      <c r="W36" s="11"/>
      <c r="AB36" s="17" t="str">
        <v>Douche</v>
      </c>
      <c r="AC36" s="21">
        <v>2</v>
      </c>
      <c r="AD36" s="7">
        <v>0.2</v>
      </c>
    </row>
    <row r="37" spans="10:30" x14ac:dyDescent="0.25">
      <c r="N37" s="57" t="s">
        <v>4</v>
      </c>
      <c r="O37" s="11">
        <v>2</v>
      </c>
      <c r="P37" s="11" t="str">
        <f>_xlfn.XLOOKUP(N37,[1]Feuil1!G$12:G$16,[1]Feuil1!I$12:I$16,"",0,1)</f>
        <v/>
      </c>
      <c r="Q37" s="11" t="e">
        <f>O37*P37</f>
        <v>#VALUE!</v>
      </c>
      <c r="R37" s="11"/>
      <c r="S37" s="11" t="str">
        <f>_xlfn.XLOOKUP(N37,[1]Feuil1!G$12:G$16,[1]Feuil1!L$12:L$16,"",0,1)</f>
        <v/>
      </c>
      <c r="T37" s="11" t="e">
        <f>O37*S37</f>
        <v>#VALUE!</v>
      </c>
      <c r="U37" s="11"/>
      <c r="V37" s="11"/>
      <c r="W37" s="11"/>
      <c r="AB37" s="17" t="str">
        <v>Evier - timbre d'office</v>
      </c>
      <c r="AC37" s="21">
        <v>2.5</v>
      </c>
      <c r="AD37" s="7">
        <v>0.2</v>
      </c>
    </row>
    <row r="38" spans="10:30" x14ac:dyDescent="0.25">
      <c r="AB38" s="17" t="str">
        <v>Lavabo</v>
      </c>
      <c r="AC38" s="21">
        <v>1.5</v>
      </c>
      <c r="AD38" s="7">
        <v>0.2</v>
      </c>
    </row>
    <row r="39" spans="10:30" x14ac:dyDescent="0.25">
      <c r="AB39" s="17" t="str">
        <v>Lave-mains</v>
      </c>
      <c r="AC39" s="21">
        <v>0.5</v>
      </c>
      <c r="AD39" s="7">
        <v>0.1</v>
      </c>
    </row>
    <row r="40" spans="10:30" x14ac:dyDescent="0.25">
      <c r="AB40" s="17" t="str">
        <v>Machine à laver la vaisselle</v>
      </c>
      <c r="AC40" s="21">
        <v>1</v>
      </c>
      <c r="AD40" s="7">
        <v>0.1</v>
      </c>
    </row>
    <row r="41" spans="10:30" x14ac:dyDescent="0.25">
      <c r="AB41" s="17" t="str">
        <v>Machine à laver le linge</v>
      </c>
      <c r="AC41" s="21">
        <v>1</v>
      </c>
      <c r="AD41" s="7">
        <v>0.2</v>
      </c>
    </row>
    <row r="42" spans="10:30" ht="15" customHeight="1" x14ac:dyDescent="0.25">
      <c r="AB42" s="7" t="str">
        <v>Machine industrielle 
ou autre appareil</v>
      </c>
      <c r="AC42" s="23"/>
      <c r="AD42" s="24" t="s">
        <v>24</v>
      </c>
    </row>
    <row r="43" spans="10:30" x14ac:dyDescent="0.25">
      <c r="AB43" s="17" t="str">
        <v>Poste d'eau robinet 1/2</v>
      </c>
      <c r="AC43" s="21">
        <v>2</v>
      </c>
      <c r="AD43" s="7">
        <v>0.33</v>
      </c>
    </row>
    <row r="44" spans="10:30" x14ac:dyDescent="0.25">
      <c r="AB44" s="17" t="str">
        <v>Poste d'eau robinet 3/4</v>
      </c>
      <c r="AC44" s="21">
        <v>2</v>
      </c>
      <c r="AD44" s="7">
        <v>0.42</v>
      </c>
    </row>
    <row r="45" spans="10:30" x14ac:dyDescent="0.25">
      <c r="AB45" s="17" t="str">
        <v>Urinoir à action siphonique</v>
      </c>
      <c r="AC45" s="21">
        <v>0.5</v>
      </c>
      <c r="AD45" s="7">
        <v>0.5</v>
      </c>
    </row>
    <row r="46" spans="10:30" x14ac:dyDescent="0.25">
      <c r="AB46" s="17" t="str">
        <v>Urinoir avec robinet individuel</v>
      </c>
      <c r="AC46" s="21">
        <v>0.5</v>
      </c>
      <c r="AD46" s="7">
        <v>0.15</v>
      </c>
    </row>
    <row r="47" spans="10:30" x14ac:dyDescent="0.25">
      <c r="AB47" s="17" t="str">
        <v>WC avec réservoir de chasse</v>
      </c>
      <c r="AC47" s="21">
        <v>0.5</v>
      </c>
      <c r="AD47" s="7">
        <v>0.12</v>
      </c>
    </row>
    <row r="48" spans="10:30" ht="15.75" thickBot="1" x14ac:dyDescent="0.3">
      <c r="AB48" s="18" t="str">
        <v>WC avec robinet de chasse</v>
      </c>
      <c r="AC48" s="50">
        <v>1</v>
      </c>
      <c r="AD48" s="8">
        <v>1.5</v>
      </c>
    </row>
    <row r="49" spans="28:30" ht="15.75" thickBot="1" x14ac:dyDescent="0.3">
      <c r="AB49" s="11"/>
      <c r="AC49" s="11"/>
      <c r="AD49" s="11"/>
    </row>
    <row r="50" spans="28:30" ht="18.75" thickBot="1" x14ac:dyDescent="0.4">
      <c r="AB50" s="12" t="s">
        <v>0</v>
      </c>
      <c r="AC50" s="13" t="s">
        <v>15</v>
      </c>
      <c r="AD50" s="14" t="s">
        <v>38</v>
      </c>
    </row>
    <row r="51" spans="28:30" x14ac:dyDescent="0.25">
      <c r="AB51" s="51" cm="1">
        <f t="array" ref="AB51:AB55">_xlfn._xlws.SORT([1]Feuil1!G21:G25)</f>
        <v>0.1</v>
      </c>
      <c r="AC51" s="4">
        <f>IF(O15&lt;=150,3,3+(O15-150)*0.01)</f>
        <v>3</v>
      </c>
      <c r="AD51" s="54">
        <v>0.33</v>
      </c>
    </row>
    <row r="52" spans="28:30" x14ac:dyDescent="0.25">
      <c r="AB52" s="52">
        <v>0.15</v>
      </c>
      <c r="AC52" s="7">
        <v>1</v>
      </c>
      <c r="AD52" s="55">
        <v>0.2</v>
      </c>
    </row>
    <row r="53" spans="28:30" x14ac:dyDescent="0.25">
      <c r="AB53" s="52">
        <v>0.2</v>
      </c>
      <c r="AC53" s="7">
        <v>2</v>
      </c>
      <c r="AD53" s="55">
        <v>0.2</v>
      </c>
    </row>
    <row r="54" spans="28:30" x14ac:dyDescent="0.25">
      <c r="AB54" s="52">
        <v>0.33</v>
      </c>
      <c r="AC54" s="7">
        <v>2.5</v>
      </c>
      <c r="AD54" s="55">
        <v>0.2</v>
      </c>
    </row>
    <row r="55" spans="28:30" ht="15.75" thickBot="1" x14ac:dyDescent="0.3">
      <c r="AB55" s="53">
        <v>0.5</v>
      </c>
      <c r="AC55" s="8">
        <v>1.5</v>
      </c>
      <c r="AD55" s="58">
        <v>0.2</v>
      </c>
    </row>
    <row r="58" spans="28:30" ht="16.5" customHeight="1" x14ac:dyDescent="0.25"/>
  </sheetData>
  <mergeCells count="12">
    <mergeCell ref="E13:H13"/>
    <mergeCell ref="X13:Y13"/>
    <mergeCell ref="J19:J20"/>
    <mergeCell ref="K19:K20"/>
    <mergeCell ref="L19:L20"/>
    <mergeCell ref="M19:M20"/>
    <mergeCell ref="J34:Y34"/>
    <mergeCell ref="G14:G15"/>
    <mergeCell ref="H14:H15"/>
    <mergeCell ref="X14:Y14"/>
    <mergeCell ref="E17:H17"/>
    <mergeCell ref="J17:Z17"/>
  </mergeCells>
  <dataValidations count="2">
    <dataValidation type="list" allowBlank="1" showInputMessage="1" showErrorMessage="1" sqref="N36:N37" xr:uid="{55486650-FA29-4CAB-9729-0B6134CBE3EF}">
      <formula1>$Y$42:$Y$46</formula1>
    </dataValidation>
    <dataValidation type="list" allowBlank="1" showInputMessage="1" showErrorMessage="1" sqref="N19:N23" xr:uid="{872DB2BF-9463-453C-8C96-8930E0DBE2C6}">
      <formula1>$AB$32:$AB$48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</dc:creator>
  <cp:lastModifiedBy>Tristan Azou</cp:lastModifiedBy>
  <dcterms:created xsi:type="dcterms:W3CDTF">2023-03-30T20:28:56Z</dcterms:created>
  <dcterms:modified xsi:type="dcterms:W3CDTF">2023-04-03T13:56:09Z</dcterms:modified>
</cp:coreProperties>
</file>