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gers-gestion\Documents\Calcule des regul charge\"/>
    </mc:Choice>
  </mc:AlternateContent>
  <xr:revisionPtr revIDLastSave="0" documentId="13_ncr:1_{50C55DAA-69B0-485B-BB4C-E4DEB73FACEE}" xr6:coauthVersionLast="47" xr6:coauthVersionMax="47" xr10:uidLastSave="{00000000-0000-0000-0000-000000000000}"/>
  <bookViews>
    <workbookView xWindow="5760" yWindow="3360" windowWidth="17280" windowHeight="8880" xr2:uid="{00000000-000D-0000-FFFF-FFFF00000000}"/>
  </bookViews>
  <sheets>
    <sheet name="Travail" sheetId="3" r:id="rId1"/>
    <sheet name="Liste Propriaitair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N7" i="1" s="1"/>
  <c r="S7" i="1"/>
  <c r="L8" i="1"/>
  <c r="N8" i="1" s="1"/>
  <c r="S8" i="1"/>
  <c r="N13" i="3"/>
  <c r="N9" i="3"/>
  <c r="N10" i="3"/>
  <c r="N11" i="3"/>
  <c r="N12" i="3"/>
  <c r="N8" i="3"/>
  <c r="A18" i="3"/>
  <c r="A19" i="3"/>
  <c r="A20" i="3"/>
  <c r="A21" i="3"/>
  <c r="A22" i="3"/>
  <c r="A23" i="3"/>
  <c r="C6" i="3" a="1"/>
  <c r="S2" i="1"/>
  <c r="S3" i="1"/>
  <c r="S4" i="1"/>
  <c r="S5" i="1"/>
  <c r="S6" i="1"/>
  <c r="AD1" i="1"/>
  <c r="T8" i="1" s="1"/>
  <c r="T7" i="1" l="1"/>
  <c r="C6" i="3"/>
  <c r="L6" i="3" s="1"/>
  <c r="K6" i="3" s="1"/>
  <c r="AC8" i="3"/>
  <c r="AA13" i="3"/>
  <c r="W11" i="3"/>
  <c r="S9" i="3"/>
  <c r="Q7" i="3"/>
  <c r="L12" i="3"/>
  <c r="K12" i="3" s="1"/>
  <c r="H9" i="3"/>
  <c r="I9" i="3" s="1"/>
  <c r="Z23" i="3"/>
  <c r="E21" i="3"/>
  <c r="K17" i="3"/>
  <c r="H23" i="3"/>
  <c r="AC9" i="3"/>
  <c r="AA7" i="3"/>
  <c r="W12" i="3"/>
  <c r="S10" i="3"/>
  <c r="O8" i="3"/>
  <c r="L13" i="3"/>
  <c r="K13" i="3" s="1"/>
  <c r="H10" i="3"/>
  <c r="I10" i="3" s="1"/>
  <c r="X17" i="3"/>
  <c r="E22" i="3"/>
  <c r="K18" i="3"/>
  <c r="AC10" i="3"/>
  <c r="Y8" i="3"/>
  <c r="W13" i="3"/>
  <c r="S11" i="3"/>
  <c r="O9" i="3"/>
  <c r="L7" i="3"/>
  <c r="K7" i="3" s="1"/>
  <c r="H11" i="3"/>
  <c r="I11" i="3" s="1"/>
  <c r="X18" i="3"/>
  <c r="E23" i="3"/>
  <c r="K19" i="3"/>
  <c r="AC11" i="3"/>
  <c r="Y9" i="3"/>
  <c r="W7" i="3"/>
  <c r="S12" i="3"/>
  <c r="O10" i="3"/>
  <c r="H12" i="3"/>
  <c r="I12" i="3" s="1"/>
  <c r="X19" i="3"/>
  <c r="C17" i="3"/>
  <c r="K20" i="3"/>
  <c r="H22" i="3"/>
  <c r="H8" i="3"/>
  <c r="I8" i="3" s="1"/>
  <c r="W10" i="3"/>
  <c r="AB21" i="3"/>
  <c r="C23" i="3"/>
  <c r="E18" i="3"/>
  <c r="Z20" i="3"/>
  <c r="G13" i="3"/>
  <c r="L9" i="3"/>
  <c r="K9" i="3" s="1"/>
  <c r="Q11" i="3"/>
  <c r="U13" i="3"/>
  <c r="W8" i="3"/>
  <c r="AA10" i="3"/>
  <c r="G12" i="3"/>
  <c r="AC7" i="3"/>
  <c r="AC13" i="3"/>
  <c r="AB23" i="3"/>
  <c r="E20" i="3"/>
  <c r="Z22" i="3"/>
  <c r="L11" i="3"/>
  <c r="K11" i="3" s="1"/>
  <c r="Q13" i="3"/>
  <c r="S8" i="3"/>
  <c r="AA12" i="3"/>
  <c r="H21" i="3"/>
  <c r="AB22" i="3"/>
  <c r="E19" i="3"/>
  <c r="Z21" i="3"/>
  <c r="G7" i="3"/>
  <c r="L10" i="3"/>
  <c r="K10" i="3" s="1"/>
  <c r="Q12" i="3"/>
  <c r="U7" i="3"/>
  <c r="W9" i="3"/>
  <c r="AA11" i="3"/>
  <c r="H20" i="3"/>
  <c r="H19" i="3"/>
  <c r="AB20" i="3"/>
  <c r="C22" i="3"/>
  <c r="E17" i="3"/>
  <c r="Z19" i="3"/>
  <c r="L8" i="3"/>
  <c r="K8" i="3" s="1"/>
  <c r="Q10" i="3"/>
  <c r="U12" i="3"/>
  <c r="Y7" i="3"/>
  <c r="AA9" i="3"/>
  <c r="H18" i="3"/>
  <c r="AB19" i="3"/>
  <c r="C21" i="3"/>
  <c r="X23" i="3"/>
  <c r="Z18" i="3"/>
  <c r="G11" i="3"/>
  <c r="O7" i="3"/>
  <c r="Q9" i="3"/>
  <c r="U11" i="3"/>
  <c r="Y13" i="3"/>
  <c r="AA8" i="3"/>
  <c r="H17" i="3"/>
  <c r="AB18" i="3"/>
  <c r="C20" i="3"/>
  <c r="X22" i="3"/>
  <c r="Z17" i="3"/>
  <c r="G10" i="3"/>
  <c r="O13" i="3"/>
  <c r="Q8" i="3"/>
  <c r="U10" i="3"/>
  <c r="Y12" i="3"/>
  <c r="K22" i="3"/>
  <c r="AB17" i="3"/>
  <c r="C19" i="3"/>
  <c r="X21" i="3"/>
  <c r="G9" i="3"/>
  <c r="O12" i="3"/>
  <c r="S7" i="3"/>
  <c r="U9" i="3"/>
  <c r="Y11" i="3"/>
  <c r="K21" i="3"/>
  <c r="K23" i="3"/>
  <c r="C18" i="3"/>
  <c r="X20" i="3"/>
  <c r="H13" i="3"/>
  <c r="I13" i="3" s="1"/>
  <c r="G8" i="3"/>
  <c r="O11" i="3"/>
  <c r="S13" i="3"/>
  <c r="U8" i="3"/>
  <c r="Y10" i="3"/>
  <c r="AC12" i="3"/>
  <c r="T2" i="1"/>
  <c r="T4" i="1"/>
  <c r="T3" i="1"/>
  <c r="T6" i="1"/>
  <c r="T5" i="1"/>
  <c r="O6" i="3" l="1"/>
  <c r="E16" i="3"/>
  <c r="AA6" i="3"/>
  <c r="W6" i="3"/>
  <c r="AC6" i="3"/>
  <c r="U6" i="3"/>
  <c r="Z16" i="3"/>
  <c r="Y6" i="3"/>
  <c r="X16" i="3"/>
  <c r="K16" i="3"/>
  <c r="S6" i="3"/>
  <c r="H16" i="3"/>
  <c r="G6" i="3"/>
  <c r="AB16" i="3"/>
  <c r="Q6" i="3"/>
  <c r="L3" i="1"/>
  <c r="N3" i="1" s="1"/>
  <c r="L4" i="1"/>
  <c r="N4" i="1" s="1"/>
  <c r="L5" i="1"/>
  <c r="N5" i="1" s="1"/>
  <c r="L6" i="1"/>
  <c r="N6" i="1" s="1"/>
  <c r="L2" i="1"/>
  <c r="N2" i="1" s="1"/>
  <c r="H7" i="3" l="1"/>
  <c r="H6" i="3"/>
  <c r="N6" i="3" l="1"/>
  <c r="I6" i="3"/>
  <c r="I7" i="3"/>
  <c r="N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<sst xmlns="http://schemas.openxmlformats.org/spreadsheetml/2006/main" count="139" uniqueCount="75">
  <si>
    <t>19 Rue Salberie</t>
  </si>
  <si>
    <t/>
  </si>
  <si>
    <t>Adresse</t>
  </si>
  <si>
    <t>Doit être relancé</t>
  </si>
  <si>
    <t>30 Rue Jean-Paul Girard</t>
  </si>
  <si>
    <t>22 Rue Thiers</t>
  </si>
  <si>
    <t>2 Bis Place Paul Verlaine</t>
  </si>
  <si>
    <t>Début de période</t>
  </si>
  <si>
    <t>Fin de période</t>
  </si>
  <si>
    <t>ADRESSE</t>
  </si>
  <si>
    <t>LOT1</t>
  </si>
  <si>
    <t>LOT2</t>
  </si>
  <si>
    <t>LOT3</t>
  </si>
  <si>
    <t>LOT4</t>
  </si>
  <si>
    <t>LOT5</t>
  </si>
  <si>
    <t>LOT6</t>
  </si>
  <si>
    <t>LOT7</t>
  </si>
  <si>
    <t>SITUATION DU DOSSIER</t>
  </si>
  <si>
    <t>DERNIERE PERIODE ENREGISTRE</t>
  </si>
  <si>
    <t>DEBUT DE PERIODE</t>
  </si>
  <si>
    <t>FIN DE PERIODE</t>
  </si>
  <si>
    <t>LOT8</t>
  </si>
  <si>
    <t>TYPE</t>
  </si>
  <si>
    <t>DATE DERNIERE</t>
  </si>
  <si>
    <t xml:space="preserve">NOM </t>
  </si>
  <si>
    <t>donner</t>
  </si>
  <si>
    <t>maj</t>
  </si>
  <si>
    <t>portion midi</t>
  </si>
  <si>
    <t>portion soir</t>
  </si>
  <si>
    <t>non</t>
  </si>
  <si>
    <t>consommer</t>
  </si>
  <si>
    <t>vac</t>
  </si>
  <si>
    <t>poid</t>
  </si>
  <si>
    <t>taille</t>
  </si>
  <si>
    <t>DETAIL animaux</t>
  </si>
  <si>
    <t>Csante</t>
  </si>
  <si>
    <t>depart Précoce</t>
  </si>
  <si>
    <t>date reservation</t>
  </si>
  <si>
    <t>date signature</t>
  </si>
  <si>
    <t>nom</t>
  </si>
  <si>
    <t>siry</t>
  </si>
  <si>
    <t>sherkan</t>
  </si>
  <si>
    <t>felix</t>
  </si>
  <si>
    <t>oreo</t>
  </si>
  <si>
    <t>simba</t>
  </si>
  <si>
    <t>type</t>
  </si>
  <si>
    <t>chien</t>
  </si>
  <si>
    <t>chat</t>
  </si>
  <si>
    <t xml:space="preserve">26 Rue Groison </t>
  </si>
  <si>
    <t xml:space="preserve">38 route des Soucelles </t>
  </si>
  <si>
    <t xml:space="preserve">33 route des Soucelles </t>
  </si>
  <si>
    <t>csante</t>
  </si>
  <si>
    <t>couleur</t>
  </si>
  <si>
    <t>Colonne2</t>
  </si>
  <si>
    <t>Colonne3</t>
  </si>
  <si>
    <t>ok</t>
  </si>
  <si>
    <t>race</t>
  </si>
  <si>
    <t>noir</t>
  </si>
  <si>
    <t>berger</t>
  </si>
  <si>
    <t>semaine</t>
  </si>
  <si>
    <t>Détaille des documents</t>
  </si>
  <si>
    <t>départ précode</t>
  </si>
  <si>
    <t>date</t>
  </si>
  <si>
    <t>VISITE</t>
  </si>
  <si>
    <t>DATE VISITE</t>
  </si>
  <si>
    <t>Prochaine  VISITE</t>
  </si>
  <si>
    <t>date signAture</t>
  </si>
  <si>
    <t>DATE RESERVATION</t>
  </si>
  <si>
    <t>difference portion,</t>
  </si>
  <si>
    <t>blanc/noir</t>
  </si>
  <si>
    <t>gris/maron</t>
  </si>
  <si>
    <t>beige</t>
  </si>
  <si>
    <t>europeen</t>
  </si>
  <si>
    <t>bouldoguer</t>
  </si>
  <si>
    <t>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</si>
</sst>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0_ ;[Red]\-0\ 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0" borderId="0" xfId="0" applyNumberFormat="1"/>
    <xf numFmtId="164" fontId="0" fillId="0" borderId="0" xfId="0" applyNumberFormat="1"/>
    <xf numFmtId="8" fontId="1" fillId="0" borderId="0" xfId="0" applyNumberFormat="1" applyFont="1"/>
    <xf numFmtId="8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3" xfId="0" applyBorder="1"/>
    <xf numFmtId="0" fontId="0" fillId="0" borderId="16" xfId="0" applyBorder="1"/>
    <xf numFmtId="0" fontId="0" fillId="0" borderId="18" xfId="0" applyBorder="1"/>
    <xf numFmtId="0" fontId="0" fillId="0" borderId="15" xfId="0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19" xfId="0" applyBorder="1"/>
    <xf numFmtId="0" fontId="2" fillId="0" borderId="17" xfId="0" applyFont="1" applyBorder="1"/>
    <xf numFmtId="0" fontId="2" fillId="0" borderId="1" xfId="0" applyFont="1" applyBorder="1"/>
    <xf numFmtId="0" fontId="2" fillId="0" borderId="20" xfId="0" applyFont="1" applyBorder="1"/>
    <xf numFmtId="14" fontId="2" fillId="0" borderId="13" xfId="0" applyNumberFormat="1" applyFont="1" applyBorder="1"/>
    <xf numFmtId="0" fontId="0" fillId="0" borderId="21" xfId="0" applyBorder="1"/>
    <xf numFmtId="0" fontId="0" fillId="0" borderId="22" xfId="0" applyBorder="1"/>
    <xf numFmtId="165" fontId="2" fillId="0" borderId="23" xfId="0" applyNumberFormat="1" applyFont="1" applyBorder="1"/>
    <xf numFmtId="165" fontId="2" fillId="0" borderId="24" xfId="0" applyNumberFormat="1" applyFont="1" applyBorder="1"/>
    <xf numFmtId="165" fontId="2" fillId="0" borderId="25" xfId="0" applyNumberFormat="1" applyFont="1" applyBorder="1"/>
    <xf numFmtId="0" fontId="0" fillId="0" borderId="26" xfId="0" applyBorder="1"/>
    <xf numFmtId="0" fontId="2" fillId="0" borderId="0" xfId="0" applyFont="1"/>
    <xf numFmtId="0" fontId="2" fillId="0" borderId="26" xfId="0" applyFont="1" applyBorder="1"/>
    <xf numFmtId="14" fontId="2" fillId="0" borderId="12" xfId="0" applyNumberFormat="1" applyFont="1" applyBorder="1"/>
    <xf numFmtId="0" fontId="2" fillId="0" borderId="27" xfId="0" applyFont="1" applyBorder="1"/>
    <xf numFmtId="2" fontId="0" fillId="0" borderId="0" xfId="0" applyNumberFormat="1"/>
    <xf numFmtId="14" fontId="2" fillId="0" borderId="13" xfId="0" applyNumberFormat="1" applyFont="1" applyBorder="1" applyAlignment="1">
      <alignment horizontal="center"/>
    </xf>
    <xf numFmtId="14" fontId="2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289560</xdr:colOff>
      <xdr:row>0</xdr:row>
      <xdr:rowOff>167640</xdr:rowOff>
    </xdr:from>
    <xdr:to>
      <xdr:col>2</xdr:col>
      <xdr:colOff>251460</xdr:colOff>
      <xdr:row>2</xdr:row>
      <xdr:rowOff>68580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7BB9FC8-559C-7FE0-4A13-A6471CE053E9}"/>
            </a:ext>
          </a:extLst>
        </xdr:cNvPr>
        <xdr:cNvSpPr/>
      </xdr:nvSpPr>
      <xdr:spPr>
        <a:xfrm>
          <a:off x="289560" y="167640"/>
          <a:ext cx="193548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F28597-F2A8-40F1-ACDB-E6F13D1A8AE9}" name="Tableau1" displayName="Tableau1" ref="A1:X8" totalsRowShown="0">
  <autoFilter ref="A1:X8" xr:uid="{39F28597-F2A8-40F1-ACDB-E6F13D1A8AE9}"/>
  <tableColumns count="24">
    <tableColumn id="1" xr3:uid="{AE3AD31A-67CF-4DEE-9218-8B50A716AF38}" name="nom"/>
    <tableColumn id="2" xr3:uid="{89D6EEDB-5614-4661-88A7-172AFC10FEC2}" name="Adresse"/>
    <tableColumn id="4" xr3:uid="{2FB0FD40-2788-450B-AA8B-590C7EF89AEF}" name="type"/>
    <tableColumn id="5" xr3:uid="{C6893F28-100E-49DA-9EE0-21A4A0BDBA23}" name="vac"/>
    <tableColumn id="6" xr3:uid="{9DDBB8D6-5287-4536-BF5D-5EB32458A237}" name="poid"/>
    <tableColumn id="7" xr3:uid="{5C91304E-D723-4AE1-B143-015A03014371}" name="taille"/>
    <tableColumn id="8" xr3:uid="{4EA2C24C-4E95-4B2E-B1EE-B32BA4EE2A81}" name="csante"/>
    <tableColumn id="9" xr3:uid="{154712F7-8EF3-44B7-9109-82224EA453F4}" name="couleur"/>
    <tableColumn id="10" xr3:uid="{79CF422D-60BD-45A5-BC50-39C29391256C}" name="race"/>
    <tableColumn id="11" xr3:uid="{41EFAF8D-8332-4393-933D-150A4896653C}" name="Colonne2"/>
    <tableColumn id="12" xr3:uid="{1AFD0B63-64C9-49E4-AE83-3C680CB19ABD}" name="Colonne3"/>
    <tableColumn id="13" xr3:uid="{2DB88DE7-59F3-41CF-84D5-809E06F373BD}" name="portion midi" dataDxfId="9">
      <calculatedColumnFormula>SUM(Tableau1[[#This Row],[vac]:[Colonne3]])</calculatedColumnFormula>
    </tableColumn>
    <tableColumn id="15" xr3:uid="{9D142493-A7CD-49B4-860A-37D1807FE502}" name="portion soir" dataDxfId="8"/>
    <tableColumn id="16" xr3:uid="{4231AB42-E99D-482F-A80D-51175D43B3A1}" name="difference portion," dataDxfId="7">
      <calculatedColumnFormula>Tableau1[[#This Row],[portion soir]]-Tableau1[[#This Row],[portion midi]]</calculatedColumnFormula>
    </tableColumn>
    <tableColumn id="17" xr3:uid="{9FBA0172-F286-4905-B21F-912EC1894C95}" name="Début de période" dataDxfId="6"/>
    <tableColumn id="21" xr3:uid="{3B728889-7D37-4676-95CD-A7244ED98984}" name="Fin de période" dataDxfId="5"/>
    <tableColumn id="22" xr3:uid="{93CC6D6D-3F94-4587-B51A-C6804D801FFF}" name="Détaille des documents"/>
    <tableColumn id="24" xr3:uid="{96A65B37-7EE4-46A3-8798-46CEDD62506A}" name="DATE VISITE" dataDxfId="4"/>
    <tableColumn id="25" xr3:uid="{1164AC7B-11DE-46A6-A003-7B70623A7ADC}" name="Prochaine  VISITE" dataDxfId="3">
      <calculatedColumnFormula>IF(Tableau1[[#This Row],[DATE VISITE]]=""," ",IFERROR(DATE(YEAR(Tableau1[[#This Row],[DATE VISITE]])+1,MONTH(Tableau1[[#This Row],[DATE VISITE]]),DAY(Tableau1[[#This Row],[DATE VISITE]])+1),""))</calculatedColumnFormula>
    </tableColumn>
    <tableColumn id="26" xr3:uid="{093DCAAF-D1F6-4E6A-A477-FE4C337619B5}" name="Doit être relancé" dataDxfId="2">
      <calculatedColumnFormula>IF(Tableau1[[#This Row],[Prochaine  VISITE]]="","",IF(Tableau1[[#This Row],[Prochaine  VISITE]]&gt;=$AD$1,"  ","REGULARISATION A FAIRE"))</calculatedColumnFormula>
    </tableColumn>
    <tableColumn id="27" xr3:uid="{219F9377-DD07-4828-B1E5-0B6D78B46A48}" name="départ précode"/>
    <tableColumn id="28" xr3:uid="{C5C16239-8AA5-452F-A8CB-9090F6D6EDD2}" name="date" dataDxfId="1"/>
    <tableColumn id="30" xr3:uid="{F3AC844C-8132-4FC6-8C46-3264F404D75E}" name="date signAture" dataDxfId="0"/>
    <tableColumn id="32" xr3:uid="{F2306BB5-765D-4D5E-9D3F-14FAD8F8305D}" name="DATE RESERVATI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4020-46BF-4791-A7F3-5638BB16E9EC}">
  <sheetPr codeName="Feuil2"/>
  <dimension ref="A2:AD23"/>
  <sheetViews>
    <sheetView tabSelected="1" topLeftCell="D9" workbookViewId="0">
      <selection activeCell="Z16" sqref="Z16"/>
    </sheetView>
  </sheetViews>
  <sheetFormatPr baseColWidth="10" defaultRowHeight="14.4" x14ac:dyDescent="0.3"/>
  <cols>
    <col min="1" max="1" width="23" customWidth="1"/>
    <col min="2" max="2" width="5.77734375" customWidth="1"/>
    <col min="3" max="3" width="15.21875" bestFit="1" customWidth="1"/>
    <col min="5" max="5" width="5.77734375" customWidth="1"/>
    <col min="6" max="6" width="4.5546875" customWidth="1"/>
    <col min="7" max="11" width="5.77734375" customWidth="1"/>
    <col min="12" max="12" width="6.5546875" bestFit="1" customWidth="1"/>
    <col min="13" max="13" width="6.6640625" bestFit="1" customWidth="1"/>
    <col min="14" max="14" width="6.109375" customWidth="1"/>
    <col min="15" max="30" width="5.77734375" customWidth="1"/>
  </cols>
  <sheetData>
    <row r="2" spans="1:30" x14ac:dyDescent="0.3">
      <c r="L2" s="14"/>
    </row>
    <row r="3" spans="1:30" ht="15" thickBot="1" x14ac:dyDescent="0.35"/>
    <row r="4" spans="1:30" x14ac:dyDescent="0.3">
      <c r="H4" s="11" t="s">
        <v>27</v>
      </c>
      <c r="I4" s="12"/>
      <c r="J4" s="13"/>
      <c r="K4" s="11" t="s">
        <v>28</v>
      </c>
      <c r="L4" s="6"/>
      <c r="M4" s="6"/>
      <c r="N4" s="27" t="s">
        <v>29</v>
      </c>
      <c r="O4" s="12" t="s">
        <v>34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5" thickBot="1" x14ac:dyDescent="0.35">
      <c r="A5" s="17" t="s">
        <v>24</v>
      </c>
      <c r="C5" s="11" t="s">
        <v>9</v>
      </c>
      <c r="D5" s="12"/>
      <c r="E5" s="13"/>
      <c r="G5" s="14" t="s">
        <v>22</v>
      </c>
      <c r="H5" s="8" t="s">
        <v>59</v>
      </c>
      <c r="I5" s="8" t="s">
        <v>25</v>
      </c>
      <c r="J5" s="10" t="s">
        <v>26</v>
      </c>
      <c r="K5" s="8" t="s">
        <v>59</v>
      </c>
      <c r="L5" s="8" t="s">
        <v>25</v>
      </c>
      <c r="M5" s="12" t="s">
        <v>26</v>
      </c>
      <c r="N5" s="28" t="s">
        <v>30</v>
      </c>
      <c r="O5" s="12" t="s">
        <v>31</v>
      </c>
      <c r="P5" s="13" t="s">
        <v>26</v>
      </c>
      <c r="Q5" s="11" t="s">
        <v>32</v>
      </c>
      <c r="R5" s="13" t="s">
        <v>26</v>
      </c>
      <c r="S5" s="11" t="s">
        <v>33</v>
      </c>
      <c r="T5" s="13" t="s">
        <v>26</v>
      </c>
      <c r="U5" s="11" t="s">
        <v>35</v>
      </c>
      <c r="V5" s="13"/>
      <c r="W5" s="11" t="s">
        <v>52</v>
      </c>
      <c r="X5" s="13"/>
      <c r="Y5" s="11" t="s">
        <v>56</v>
      </c>
      <c r="Z5" s="13"/>
      <c r="AA5" s="11"/>
      <c r="AB5" s="13"/>
      <c r="AC5" s="11"/>
      <c r="AD5" s="13"/>
    </row>
    <row r="6" spans="1:30" x14ac:dyDescent="0.3">
      <c r="A6" s="18" t="s">
        <v>40</v>
      </c>
      <c r="B6" s="15" t="s">
        <v>10</v>
      </c>
      <c r="C6" s="19" t="str" cm="1">
        <f t="array" ref="C6">_xlfn._xlws.FILTER(Tableau1[Adresse],Tableau1[nom]=Travail!A6,0)</f>
        <v>19 Rue Salberie</v>
      </c>
      <c r="D6" s="19"/>
      <c r="E6" s="19"/>
      <c r="F6" s="20"/>
      <c r="G6" s="19" t="str">
        <f>IF(C6=""," ",VLOOKUP(C6,Tableau1[[Adresse]:[DATE RESERVATION]],2,FALSE))</f>
        <v>chien</v>
      </c>
      <c r="H6" s="19">
        <f>IF(C6=""," ",VLOOKUP(C6,Tableau1[[Adresse]:[DATE RESERVATION]],11,FALSE))</f>
        <v>10.5</v>
      </c>
      <c r="I6" s="19">
        <f>IF(H6="","",H6/7)</f>
        <v>1.5</v>
      </c>
      <c r="J6" s="19"/>
      <c r="K6" s="19">
        <f>IF(L6=" "," ",L6*7)</f>
        <v>70</v>
      </c>
      <c r="L6" s="19">
        <f>IF(C6=""," ",VLOOKUP(C6,Tableau1[[Adresse]:[DATE RESERVATION]],12,FALSE))</f>
        <v>10</v>
      </c>
      <c r="M6" s="19"/>
      <c r="N6" s="29">
        <f>IF(C6=" "," ",K6-H6)</f>
        <v>59.5</v>
      </c>
      <c r="O6" s="19" t="str">
        <f>IF(C6=""," ",VLOOKUP(C6,Tableau1[[Adresse]:[DATE RESERVATION]],3,FALSE))</f>
        <v>ok</v>
      </c>
      <c r="P6" s="19"/>
      <c r="Q6" s="19">
        <f>IF(C6=""," ",VLOOKUP(C6,Tableau1[[Adresse]:[DATE RESERVATION]],4,FALSE))</f>
        <v>10</v>
      </c>
      <c r="R6" s="19"/>
      <c r="S6" s="19">
        <f>IF(C6=""," ",VLOOKUP(C6,Tableau1[[Adresse]:[DATE RESERVATION]],5,FALSE))</f>
        <v>0.5</v>
      </c>
      <c r="T6" s="19"/>
      <c r="U6" s="19" t="str">
        <f>IF(C6=""," ",VLOOKUP(C6,Tableau1[[Adresse]:[DATE RESERVATION]],6,FALSE))</f>
        <v>ok</v>
      </c>
      <c r="V6" s="19"/>
      <c r="W6" s="19" t="str">
        <f>IF(C6=""," ",VLOOKUP(C6,Tableau1[[Adresse]:[DATE RESERVATION]],7,FALSE))</f>
        <v>noir</v>
      </c>
      <c r="X6" s="19"/>
      <c r="Y6" s="19" t="str">
        <f>IF(C6=""," ",VLOOKUP(C6,Tableau1[[Adresse]:[DATE RESERVATION]],8,FALSE))</f>
        <v>berger</v>
      </c>
      <c r="Z6" s="19"/>
      <c r="AA6" s="19">
        <f>IF(C6=""," ",VLOOKUP(C6,Tableau1[[Adresse]:[DATE RESERVATION]],9,FALSE))</f>
        <v>0</v>
      </c>
      <c r="AB6" s="19"/>
      <c r="AC6" s="19">
        <f>IF(C6=""," ",VLOOKUP(C6,Tableau1[[Adresse]:[DATE RESERVATION]],10,FALSE))</f>
        <v>0</v>
      </c>
      <c r="AD6" s="21"/>
    </row>
    <row r="7" spans="1:30" x14ac:dyDescent="0.3">
      <c r="B7" s="16" t="s">
        <v>11</v>
      </c>
      <c r="C7" s="20"/>
      <c r="D7" s="20"/>
      <c r="E7" s="20"/>
      <c r="F7" s="20"/>
      <c r="G7" s="20" t="str">
        <f>IF(C7=""," ",VLOOKUP(C7,Tableau1[[Adresse]:[DATE RESERVATION]],2,FALSE))</f>
        <v xml:space="preserve"> </v>
      </c>
      <c r="H7" s="20" t="str">
        <f>IF(C7=""," ",VLOOKUP(C6,Tableau1[[Adresse]:[DATE RESERVATION]],11,FALSE))</f>
        <v xml:space="preserve"> </v>
      </c>
      <c r="I7" s="19" t="str">
        <f>IF(H7=" "," ",H7/12)</f>
        <v xml:space="preserve"> </v>
      </c>
      <c r="J7" s="20"/>
      <c r="K7" s="19" t="str">
        <f>IF(L7=" ", " ",L7*12)</f>
        <v xml:space="preserve"> </v>
      </c>
      <c r="L7" s="19" t="str">
        <f>IF(C7=""," ",VLOOKUP(C7,Tableau1[[Adresse]:[DATE RESERVATION]],12,FALSE))</f>
        <v xml:space="preserve"> </v>
      </c>
      <c r="M7" s="20"/>
      <c r="N7" s="30" t="e">
        <f>IF(C7=" "," ",K7-H7)</f>
        <v>#VALUE!</v>
      </c>
      <c r="O7" s="19" t="str">
        <f>IF(C7=""," ",VLOOKUP(C7,Tableau1[[Adresse]:[DATE RESERVATION]],3,FALSE))</f>
        <v xml:space="preserve"> </v>
      </c>
      <c r="P7" s="20"/>
      <c r="Q7" s="19" t="str">
        <f>IF(C7=""," ",VLOOKUP(C7,Tableau1[[Adresse]:[DATE RESERVATION]],4,FALSE))</f>
        <v xml:space="preserve"> </v>
      </c>
      <c r="R7" s="20"/>
      <c r="S7" s="19" t="str">
        <f>IF(C7=""," ",VLOOKUP(C7,Tableau1[[Adresse]:[DATE RESERVATION]],5,FALSE))</f>
        <v xml:space="preserve"> </v>
      </c>
      <c r="T7" s="20"/>
      <c r="U7" s="19" t="str">
        <f>IF(C7=""," ",VLOOKUP(C7,Tableau1[[Adresse]:[DATE RESERVATION]],6,FALSE))</f>
        <v xml:space="preserve"> </v>
      </c>
      <c r="V7" s="20"/>
      <c r="W7" s="19" t="str">
        <f>IF(C7=""," ",VLOOKUP(C7,Tableau1[[Adresse]:[DATE RESERVATION]],7,FALSE))</f>
        <v xml:space="preserve"> </v>
      </c>
      <c r="X7" s="20"/>
      <c r="Y7" s="19" t="str">
        <f>IF(C7=""," ",VLOOKUP(C7,Tableau1[[Adresse]:[DATE RESERVATION]],8,FALSE))</f>
        <v xml:space="preserve"> </v>
      </c>
      <c r="Z7" s="20"/>
      <c r="AA7" s="19" t="str">
        <f>IF(C7=""," ",VLOOKUP(C7,Tableau1[[Adresse]:[DATE RESERVATION]],9,FALSE))</f>
        <v xml:space="preserve"> </v>
      </c>
      <c r="AB7" s="20"/>
      <c r="AC7" s="19" t="str">
        <f>IF(C7=""," ",VLOOKUP(C7,Tableau1[[Adresse]:[DATE RESERVATION]],10,FALSE))</f>
        <v xml:space="preserve"> </v>
      </c>
      <c r="AD7" s="23"/>
    </row>
    <row r="8" spans="1:30" x14ac:dyDescent="0.3">
      <c r="B8" s="16" t="s">
        <v>12</v>
      </c>
      <c r="C8" s="20"/>
      <c r="D8" s="20"/>
      <c r="E8" s="20"/>
      <c r="F8" s="20"/>
      <c r="G8" s="20" t="str">
        <f>IF(C8=""," ",VLOOKUP(C8,Tableau1[[Adresse]:[DATE RESERVATION]],2,FALSE))</f>
        <v xml:space="preserve"> </v>
      </c>
      <c r="H8" s="20" t="str">
        <f>IF(C8=""," ",VLOOKUP(C7,Tableau1[[Adresse]:[DATE RESERVATION]],11,FALSE))</f>
        <v xml:space="preserve"> </v>
      </c>
      <c r="I8" s="19" t="str">
        <f t="shared" ref="I8:I13" si="0">IF(H8=" "," ",H8/12)</f>
        <v xml:space="preserve"> </v>
      </c>
      <c r="J8" s="20"/>
      <c r="K8" s="19" t="str">
        <f t="shared" ref="K8:K13" si="1">IF(L8=" ", " ",L8*12)</f>
        <v xml:space="preserve"> </v>
      </c>
      <c r="L8" s="19" t="str">
        <f>IF(C8=""," ",VLOOKUP(C8,Tableau1[[Adresse]:[DATE RESERVATION]],12,FALSE))</f>
        <v xml:space="preserve"> </v>
      </c>
      <c r="M8" s="20"/>
      <c r="N8" s="30" t="str">
        <f>IF(C8="","",K8-H8)</f>
        <v/>
      </c>
      <c r="O8" s="19" t="str">
        <f>IF(C8=""," ",VLOOKUP(C8,Tableau1[[Adresse]:[DATE RESERVATION]],3,FALSE))</f>
        <v xml:space="preserve"> </v>
      </c>
      <c r="P8" s="20"/>
      <c r="Q8" s="19" t="str">
        <f>IF(C8=""," ",VLOOKUP(C8,Tableau1[[Adresse]:[DATE RESERVATION]],4,FALSE))</f>
        <v xml:space="preserve"> </v>
      </c>
      <c r="R8" s="20"/>
      <c r="S8" s="19" t="str">
        <f>IF(C8=""," ",VLOOKUP(C8,Tableau1[[Adresse]:[DATE RESERVATION]],5,FALSE))</f>
        <v xml:space="preserve"> </v>
      </c>
      <c r="T8" s="20"/>
      <c r="U8" s="19" t="str">
        <f>IF(C8=""," ",VLOOKUP(C8,Tableau1[[Adresse]:[DATE RESERVATION]],6,FALSE))</f>
        <v xml:space="preserve"> </v>
      </c>
      <c r="V8" s="20"/>
      <c r="W8" s="19" t="str">
        <f>IF(C8=""," ",VLOOKUP(C8,Tableau1[[Adresse]:[DATE RESERVATION]],7,FALSE))</f>
        <v xml:space="preserve"> </v>
      </c>
      <c r="X8" s="20"/>
      <c r="Y8" s="19" t="str">
        <f>IF(C8=""," ",VLOOKUP(C8,Tableau1[[Adresse]:[DATE RESERVATION]],8,FALSE))</f>
        <v xml:space="preserve"> </v>
      </c>
      <c r="Z8" s="20"/>
      <c r="AA8" s="19" t="str">
        <f>IF(C8=""," ",VLOOKUP(C8,Tableau1[[Adresse]:[DATE RESERVATION]],9,FALSE))</f>
        <v xml:space="preserve"> </v>
      </c>
      <c r="AB8" s="20"/>
      <c r="AC8" s="19" t="str">
        <f>IF(C8=""," ",VLOOKUP(C8,Tableau1[[Adresse]:[DATE RESERVATION]],10,FALSE))</f>
        <v xml:space="preserve"> </v>
      </c>
      <c r="AD8" s="23"/>
    </row>
    <row r="9" spans="1:30" x14ac:dyDescent="0.3">
      <c r="B9" s="16" t="s">
        <v>13</v>
      </c>
      <c r="C9" s="20"/>
      <c r="D9" s="20"/>
      <c r="E9" s="20"/>
      <c r="F9" s="20"/>
      <c r="G9" s="20" t="str">
        <f>IF(C9=""," ",VLOOKUP(C9,Tableau1[[Adresse]:[DATE RESERVATION]],2,FALSE))</f>
        <v xml:space="preserve"> </v>
      </c>
      <c r="H9" s="20" t="str">
        <f>IF(C9=""," ",VLOOKUP(C8,Tableau1[[Adresse]:[DATE RESERVATION]],11,FALSE))</f>
        <v xml:space="preserve"> </v>
      </c>
      <c r="I9" s="19" t="str">
        <f t="shared" si="0"/>
        <v xml:space="preserve"> </v>
      </c>
      <c r="J9" s="20"/>
      <c r="K9" s="19" t="str">
        <f t="shared" si="1"/>
        <v xml:space="preserve"> </v>
      </c>
      <c r="L9" s="19" t="str">
        <f>IF(C9=""," ",VLOOKUP(C9,Tableau1[[Adresse]:[DATE RESERVATION]],12,FALSE))</f>
        <v xml:space="preserve"> </v>
      </c>
      <c r="M9" s="20"/>
      <c r="N9" s="30" t="str">
        <f t="shared" ref="N9:N12" si="2">IF(C9="","",K9-H9)</f>
        <v/>
      </c>
      <c r="O9" s="19" t="str">
        <f>IF(C9=""," ",VLOOKUP(C9,Tableau1[[Adresse]:[DATE RESERVATION]],3,FALSE))</f>
        <v xml:space="preserve"> </v>
      </c>
      <c r="P9" s="20"/>
      <c r="Q9" s="19" t="str">
        <f>IF(C9=""," ",VLOOKUP(C9,Tableau1[[Adresse]:[DATE RESERVATION]],4,FALSE))</f>
        <v xml:space="preserve"> </v>
      </c>
      <c r="R9" s="20"/>
      <c r="S9" s="19" t="str">
        <f>IF(C9=""," ",VLOOKUP(C9,Tableau1[[Adresse]:[DATE RESERVATION]],5,FALSE))</f>
        <v xml:space="preserve"> </v>
      </c>
      <c r="T9" s="20"/>
      <c r="U9" s="19" t="str">
        <f>IF(C9=""," ",VLOOKUP(C9,Tableau1[[Adresse]:[DATE RESERVATION]],6,FALSE))</f>
        <v xml:space="preserve"> </v>
      </c>
      <c r="V9" s="20"/>
      <c r="W9" s="19" t="str">
        <f>IF(C9=""," ",VLOOKUP(C9,Tableau1[[Adresse]:[DATE RESERVATION]],7,FALSE))</f>
        <v xml:space="preserve"> </v>
      </c>
      <c r="X9" s="20"/>
      <c r="Y9" s="19" t="str">
        <f>IF(C9=""," ",VLOOKUP(C9,Tableau1[[Adresse]:[DATE RESERVATION]],8,FALSE))</f>
        <v xml:space="preserve"> </v>
      </c>
      <c r="Z9" s="20"/>
      <c r="AA9" s="19" t="str">
        <f>IF(C9=""," ",VLOOKUP(C9,Tableau1[[Adresse]:[DATE RESERVATION]],9,FALSE))</f>
        <v xml:space="preserve"> </v>
      </c>
      <c r="AB9" s="20"/>
      <c r="AC9" s="19" t="str">
        <f>IF(C9=""," ",VLOOKUP(C9,Tableau1[[Adresse]:[DATE RESERVATION]],10,FALSE))</f>
        <v xml:space="preserve"> </v>
      </c>
      <c r="AD9" s="23"/>
    </row>
    <row r="10" spans="1:30" x14ac:dyDescent="0.3">
      <c r="B10" s="16" t="s">
        <v>14</v>
      </c>
      <c r="C10" s="20"/>
      <c r="D10" s="20"/>
      <c r="E10" s="20"/>
      <c r="F10" s="20"/>
      <c r="G10" s="20" t="str">
        <f>IF(C10=""," ",VLOOKUP(C10,Tableau1[[Adresse]:[DATE RESERVATION]],2,FALSE))</f>
        <v xml:space="preserve"> </v>
      </c>
      <c r="H10" s="20" t="str">
        <f>IF(C10=""," ",VLOOKUP(C9,Tableau1[[Adresse]:[DATE RESERVATION]],11,FALSE))</f>
        <v xml:space="preserve"> </v>
      </c>
      <c r="I10" s="19" t="str">
        <f t="shared" si="0"/>
        <v xml:space="preserve"> </v>
      </c>
      <c r="J10" s="20"/>
      <c r="K10" s="19" t="str">
        <f t="shared" si="1"/>
        <v xml:space="preserve"> </v>
      </c>
      <c r="L10" s="19" t="str">
        <f>IF(C10=""," ",VLOOKUP(C10,Tableau1[[Adresse]:[DATE RESERVATION]],12,FALSE))</f>
        <v xml:space="preserve"> </v>
      </c>
      <c r="M10" s="20"/>
      <c r="N10" s="30" t="str">
        <f t="shared" si="2"/>
        <v/>
      </c>
      <c r="O10" s="19" t="str">
        <f>IF(C10=""," ",VLOOKUP(C10,Tableau1[[Adresse]:[DATE RESERVATION]],3,FALSE))</f>
        <v xml:space="preserve"> </v>
      </c>
      <c r="P10" s="20"/>
      <c r="Q10" s="19" t="str">
        <f>IF(C10=""," ",VLOOKUP(C10,Tableau1[[Adresse]:[DATE RESERVATION]],4,FALSE))</f>
        <v xml:space="preserve"> </v>
      </c>
      <c r="R10" s="20"/>
      <c r="S10" s="19" t="str">
        <f>IF(C10=""," ",VLOOKUP(C10,Tableau1[[Adresse]:[DATE RESERVATION]],5,FALSE))</f>
        <v xml:space="preserve"> </v>
      </c>
      <c r="T10" s="20"/>
      <c r="U10" s="19" t="str">
        <f>IF(C10=""," ",VLOOKUP(C10,Tableau1[[Adresse]:[DATE RESERVATION]],6,FALSE))</f>
        <v xml:space="preserve"> </v>
      </c>
      <c r="V10" s="20"/>
      <c r="W10" s="19" t="str">
        <f>IF(C10=""," ",VLOOKUP(C10,Tableau1[[Adresse]:[DATE RESERVATION]],7,FALSE))</f>
        <v xml:space="preserve"> </v>
      </c>
      <c r="X10" s="20"/>
      <c r="Y10" s="19" t="str">
        <f>IF(C10=""," ",VLOOKUP(C10,Tableau1[[Adresse]:[DATE RESERVATION]],8,FALSE))</f>
        <v xml:space="preserve"> </v>
      </c>
      <c r="Z10" s="20"/>
      <c r="AA10" s="19" t="str">
        <f>IF(C10=""," ",VLOOKUP(C10,Tableau1[[Adresse]:[DATE RESERVATION]],9,FALSE))</f>
        <v xml:space="preserve"> </v>
      </c>
      <c r="AB10" s="20"/>
      <c r="AC10" s="19" t="str">
        <f>IF(C10=""," ",VLOOKUP(C10,Tableau1[[Adresse]:[DATE RESERVATION]],10,FALSE))</f>
        <v xml:space="preserve"> </v>
      </c>
      <c r="AD10" s="23"/>
    </row>
    <row r="11" spans="1:30" x14ac:dyDescent="0.3">
      <c r="B11" s="16" t="s">
        <v>15</v>
      </c>
      <c r="C11" s="34"/>
      <c r="D11" s="20"/>
      <c r="E11" s="20"/>
      <c r="F11" s="20"/>
      <c r="G11" s="20" t="str">
        <f>IF(C11=""," ",VLOOKUP(C11,Tableau1[[Adresse]:[DATE RESERVATION]],2,FALSE))</f>
        <v xml:space="preserve"> </v>
      </c>
      <c r="H11" s="20" t="str">
        <f>IF(C11=""," ",VLOOKUP(C10,Tableau1[[Adresse]:[DATE RESERVATION]],11,FALSE))</f>
        <v xml:space="preserve"> </v>
      </c>
      <c r="I11" s="19" t="str">
        <f t="shared" si="0"/>
        <v xml:space="preserve"> </v>
      </c>
      <c r="J11" s="20"/>
      <c r="K11" s="19" t="str">
        <f t="shared" si="1"/>
        <v xml:space="preserve"> </v>
      </c>
      <c r="L11" s="19" t="str">
        <f>IF(C11=""," ",VLOOKUP(C11,Tableau1[[Adresse]:[DATE RESERVATION]],12,FALSE))</f>
        <v xml:space="preserve"> </v>
      </c>
      <c r="M11" s="20"/>
      <c r="N11" s="30" t="str">
        <f t="shared" si="2"/>
        <v/>
      </c>
      <c r="O11" s="19" t="str">
        <f>IF(C11=""," ",VLOOKUP(C11,Tableau1[[Adresse]:[DATE RESERVATION]],3,FALSE))</f>
        <v xml:space="preserve"> </v>
      </c>
      <c r="P11" s="20"/>
      <c r="Q11" s="19" t="str">
        <f>IF(C11=""," ",VLOOKUP(C11,Tableau1[[Adresse]:[DATE RESERVATION]],4,FALSE))</f>
        <v xml:space="preserve"> </v>
      </c>
      <c r="R11" s="20"/>
      <c r="S11" s="19" t="str">
        <f>IF(C11=""," ",VLOOKUP(C11,Tableau1[[Adresse]:[DATE RESERVATION]],5,FALSE))</f>
        <v xml:space="preserve"> </v>
      </c>
      <c r="T11" s="20"/>
      <c r="U11" s="19" t="str">
        <f>IF(C11=""," ",VLOOKUP(C11,Tableau1[[Adresse]:[DATE RESERVATION]],6,FALSE))</f>
        <v xml:space="preserve"> </v>
      </c>
      <c r="V11" s="20"/>
      <c r="W11" s="19" t="str">
        <f>IF(C11=""," ",VLOOKUP(C11,Tableau1[[Adresse]:[DATE RESERVATION]],7,FALSE))</f>
        <v xml:space="preserve"> </v>
      </c>
      <c r="X11" s="20"/>
      <c r="Y11" s="19" t="str">
        <f>IF(C11=""," ",VLOOKUP(C11,Tableau1[[Adresse]:[DATE RESERVATION]],8,FALSE))</f>
        <v xml:space="preserve"> </v>
      </c>
      <c r="Z11" s="20"/>
      <c r="AA11" s="19" t="str">
        <f>IF(C11=""," ",VLOOKUP(C11,Tableau1[[Adresse]:[DATE RESERVATION]],9,FALSE))</f>
        <v xml:space="preserve"> </v>
      </c>
      <c r="AB11" s="20"/>
      <c r="AC11" s="19" t="str">
        <f>IF(C11=""," ",VLOOKUP(C11,Tableau1[[Adresse]:[DATE RESERVATION]],10,FALSE))</f>
        <v xml:space="preserve"> </v>
      </c>
      <c r="AD11" s="23"/>
    </row>
    <row r="12" spans="1:30" x14ac:dyDescent="0.3">
      <c r="B12" s="22" t="s">
        <v>16</v>
      </c>
      <c r="C12" s="33"/>
      <c r="D12" s="24"/>
      <c r="E12" s="24"/>
      <c r="F12" s="24"/>
      <c r="G12" s="20" t="str">
        <f>IF(C12=""," ",VLOOKUP(C12,Tableau1[[Adresse]:[DATE RESERVATION]],2,FALSE))</f>
        <v xml:space="preserve"> </v>
      </c>
      <c r="H12" s="20" t="str">
        <f>IF(C12=""," ",VLOOKUP(C11,Tableau1[[Adresse]:[DATE RESERVATION]],11,FALSE))</f>
        <v xml:space="preserve"> </v>
      </c>
      <c r="I12" s="19" t="str">
        <f t="shared" si="0"/>
        <v xml:space="preserve"> </v>
      </c>
      <c r="J12" s="24"/>
      <c r="K12" s="19" t="str">
        <f t="shared" si="1"/>
        <v xml:space="preserve"> </v>
      </c>
      <c r="L12" s="19" t="str">
        <f>IF(C12=""," ",VLOOKUP(C12,Tableau1[[Adresse]:[DATE RESERVATION]],12,FALSE))</f>
        <v xml:space="preserve"> </v>
      </c>
      <c r="M12" s="24"/>
      <c r="N12" s="30" t="str">
        <f t="shared" si="2"/>
        <v/>
      </c>
      <c r="O12" s="19" t="str">
        <f>IF(C12=""," ",VLOOKUP(C12,Tableau1[[Adresse]:[DATE RESERVATION]],3,FALSE))</f>
        <v xml:space="preserve"> </v>
      </c>
      <c r="P12" s="24"/>
      <c r="Q12" s="19" t="str">
        <f>IF(C12=""," ",VLOOKUP(C12,Tableau1[[Adresse]:[DATE RESERVATION]],4,FALSE))</f>
        <v xml:space="preserve"> </v>
      </c>
      <c r="R12" s="24"/>
      <c r="S12" s="19" t="str">
        <f>IF(C12=""," ",VLOOKUP(C12,Tableau1[[Adresse]:[DATE RESERVATION]],5,FALSE))</f>
        <v xml:space="preserve"> </v>
      </c>
      <c r="T12" s="24"/>
      <c r="U12" s="19" t="str">
        <f>IF(C12=""," ",VLOOKUP(C12,Tableau1[[Adresse]:[DATE RESERVATION]],6,FALSE))</f>
        <v xml:space="preserve"> </v>
      </c>
      <c r="V12" s="24"/>
      <c r="W12" s="19" t="str">
        <f>IF(C12=""," ",VLOOKUP(C12,Tableau1[[Adresse]:[DATE RESERVATION]],7,FALSE))</f>
        <v xml:space="preserve"> </v>
      </c>
      <c r="X12" s="24"/>
      <c r="Y12" s="19" t="str">
        <f>IF(C12=""," ",VLOOKUP(C12,Tableau1[[Adresse]:[DATE RESERVATION]],8,FALSE))</f>
        <v xml:space="preserve"> </v>
      </c>
      <c r="Z12" s="24"/>
      <c r="AA12" s="19" t="str">
        <f>IF(C12=""," ",VLOOKUP(C12,Tableau1[[Adresse]:[DATE RESERVATION]],9,FALSE))</f>
        <v xml:space="preserve"> </v>
      </c>
      <c r="AB12" s="24"/>
      <c r="AC12" s="19" t="str">
        <f>IF(C12=""," ",VLOOKUP(C12,Tableau1[[Adresse]:[DATE RESERVATION]],10,FALSE))</f>
        <v xml:space="preserve"> </v>
      </c>
      <c r="AD12" s="25"/>
    </row>
    <row r="13" spans="1:30" ht="15" thickBot="1" x14ac:dyDescent="0.35">
      <c r="B13" s="16" t="s">
        <v>21</v>
      </c>
      <c r="C13" s="20"/>
      <c r="D13" s="20"/>
      <c r="E13" s="24"/>
      <c r="F13" s="24"/>
      <c r="G13" s="24" t="str">
        <f>IF(C13=""," ",VLOOKUP(C13,Tableau1[[Adresse]:[DATE RESERVATION]],2,FALSE))</f>
        <v xml:space="preserve"> </v>
      </c>
      <c r="H13" s="24" t="str">
        <f>IF(C13=""," ",VLOOKUP(C12,Tableau1[[Adresse]:[DATE RESERVATION]],11,FALSE))</f>
        <v xml:space="preserve"> </v>
      </c>
      <c r="I13" s="33" t="str">
        <f t="shared" si="0"/>
        <v xml:space="preserve"> </v>
      </c>
      <c r="J13" s="24"/>
      <c r="K13" s="33" t="str">
        <f t="shared" si="1"/>
        <v xml:space="preserve"> </v>
      </c>
      <c r="L13" s="33" t="str">
        <f>IF(C13=""," ",VLOOKUP(C13,Tableau1[[Adresse]:[DATE RESERVATION]],12,FALSE))</f>
        <v xml:space="preserve"> </v>
      </c>
      <c r="M13" s="24"/>
      <c r="N13" s="31" t="str">
        <f>IF(C13="","",K13-H13)</f>
        <v/>
      </c>
      <c r="O13" s="19" t="str">
        <f>IF(C13=""," ",VLOOKUP(C13,Tableau1[[Adresse]:[DATE RESERVATION]],3,FALSE))</f>
        <v xml:space="preserve"> </v>
      </c>
      <c r="P13" s="20"/>
      <c r="Q13" s="19" t="str">
        <f>IF(C13=""," ",VLOOKUP(C13,Tableau1[[Adresse]:[DATE RESERVATION]],4,FALSE))</f>
        <v xml:space="preserve"> </v>
      </c>
      <c r="R13" s="20"/>
      <c r="S13" s="19" t="str">
        <f>IF(C13=""," ",VLOOKUP(C13,Tableau1[[Adresse]:[DATE RESERVATION]],5,FALSE))</f>
        <v xml:space="preserve"> </v>
      </c>
      <c r="T13" s="20"/>
      <c r="U13" s="19" t="str">
        <f>IF(C13=""," ",VLOOKUP(C13,Tableau1[[Adresse]:[DATE RESERVATION]],6,FALSE))</f>
        <v xml:space="preserve"> </v>
      </c>
      <c r="V13" s="20"/>
      <c r="W13" s="19" t="str">
        <f>IF(C13=""," ",VLOOKUP(C13,Tableau1[[Adresse]:[DATE RESERVATION]],7,FALSE))</f>
        <v xml:space="preserve"> </v>
      </c>
      <c r="X13" s="20"/>
      <c r="Y13" s="19" t="str">
        <f>IF(C13=""," ",VLOOKUP(C13,Tableau1[[Adresse]:[DATE RESERVATION]],8,FALSE))</f>
        <v xml:space="preserve"> </v>
      </c>
      <c r="Z13" s="20"/>
      <c r="AA13" s="19" t="str">
        <f>IF(C13=""," ",VLOOKUP(C13,Tableau1[[Adresse]:[DATE RESERVATION]],9,FALSE))</f>
        <v xml:space="preserve"> </v>
      </c>
      <c r="AB13" s="20"/>
      <c r="AC13" s="19" t="str">
        <f>IF(C13=""," ",VLOOKUP(C13,Tableau1[[Adresse]:[DATE RESERVATION]],10,FALSE))</f>
        <v xml:space="preserve"> </v>
      </c>
      <c r="AD13" s="23"/>
    </row>
    <row r="14" spans="1:30" x14ac:dyDescent="0.3">
      <c r="D14" s="32"/>
      <c r="E14" s="5" t="s">
        <v>23</v>
      </c>
      <c r="F14" s="6"/>
      <c r="G14" s="7"/>
      <c r="H14" s="5"/>
      <c r="I14" s="6" t="s">
        <v>18</v>
      </c>
      <c r="J14" s="6"/>
      <c r="K14" s="6"/>
      <c r="L14" s="6"/>
      <c r="M14" s="7"/>
      <c r="N14" s="5" t="s">
        <v>74</v>
      </c>
      <c r="O14" s="6" t="s">
        <v>18</v>
      </c>
      <c r="P14" s="6"/>
      <c r="Q14" s="6"/>
    </row>
    <row r="15" spans="1:30" x14ac:dyDescent="0.3">
      <c r="C15" s="11" t="s">
        <v>17</v>
      </c>
      <c r="D15" s="12"/>
      <c r="E15" s="8" t="s">
        <v>63</v>
      </c>
      <c r="F15" s="9"/>
      <c r="G15" s="10"/>
      <c r="H15" s="11" t="s">
        <v>19</v>
      </c>
      <c r="I15" s="12"/>
      <c r="J15" s="13"/>
      <c r="K15" s="11" t="s">
        <v>20</v>
      </c>
      <c r="L15" s="12"/>
      <c r="M15" s="13"/>
      <c r="N15" s="11" t="s">
        <v>19</v>
      </c>
      <c r="O15" s="12"/>
      <c r="P15" s="13"/>
      <c r="Q15" s="11" t="s">
        <v>20</v>
      </c>
      <c r="R15" s="12"/>
      <c r="S15" s="13"/>
      <c r="T15" s="12"/>
      <c r="U15" s="12"/>
      <c r="V15" s="13"/>
      <c r="X15" s="11" t="s">
        <v>37</v>
      </c>
      <c r="Y15" s="13"/>
      <c r="Z15" s="11" t="s">
        <v>38</v>
      </c>
      <c r="AA15" s="13"/>
      <c r="AB15" s="11" t="s">
        <v>36</v>
      </c>
      <c r="AC15" s="12"/>
      <c r="AD15" s="13"/>
    </row>
    <row r="16" spans="1:30" x14ac:dyDescent="0.3">
      <c r="B16" s="16" t="s">
        <v>10</v>
      </c>
      <c r="C16" s="19"/>
      <c r="D16" s="19"/>
      <c r="E16" s="19" t="str">
        <f>IF(C6=""," ",VLOOKUP(C6,Tableau1[[Adresse]:[DATE RESERVATION]],18,FALSE))</f>
        <v xml:space="preserve"> </v>
      </c>
      <c r="F16" s="19"/>
      <c r="G16" s="19"/>
      <c r="H16" s="39">
        <f>IF(C6=""," ",VLOOKUP(C6,Tableau1[[Adresse]:[DATE RESERVATION]],14,FALSE))</f>
        <v>29085</v>
      </c>
      <c r="I16" s="39"/>
      <c r="J16" s="19"/>
      <c r="K16" s="39">
        <f>IF(C6=""," ",VLOOKUP(C6,Tableau1[[Adresse]:[DATE RESERVATION]],15,FALSE))</f>
        <v>29086</v>
      </c>
      <c r="L16" s="39"/>
      <c r="M16" s="19"/>
      <c r="N16" s="35"/>
      <c r="O16" s="35"/>
      <c r="P16" s="19"/>
      <c r="Q16" s="19"/>
      <c r="R16" s="20"/>
      <c r="S16" s="35"/>
      <c r="T16" s="35"/>
      <c r="U16" s="19"/>
      <c r="V16" s="19"/>
      <c r="W16" s="20"/>
      <c r="X16" s="39" t="str">
        <f>IF(C6=""," ",VLOOKUP(C6,Tableau1[[Adresse]:[DATE RESERVATION]],23,FALSE))</f>
        <v/>
      </c>
      <c r="Y16" s="39"/>
      <c r="Z16" s="19" t="e">
        <f>IF(C6=""," ",VLOOKUP(C6,Tableau1[[Adresse]:[DATE RESERVATION]],24,FALSE))</f>
        <v>#REF!</v>
      </c>
      <c r="AA16" s="19"/>
      <c r="AB16" s="39" t="str">
        <f>IF(C6=""," ",VLOOKUP(C6,Tableau1[[Adresse]:[DATE RESERVATION]],22,FALSE))</f>
        <v/>
      </c>
      <c r="AC16" s="39"/>
      <c r="AD16" s="36"/>
    </row>
    <row r="17" spans="1:30" x14ac:dyDescent="0.3">
      <c r="B17" s="16" t="s">
        <v>11</v>
      </c>
      <c r="C17" s="20" t="str">
        <f>IF(C7=""," ",VLOOKUP(C7,Tableau1[[Adresse]:[DATE RESERVATION]],21,FALSE))</f>
        <v xml:space="preserve"> </v>
      </c>
      <c r="D17" s="20"/>
      <c r="E17" s="20" t="str">
        <f>IF(C7=""," ",VLOOKUP(C7,Tableau1[[Adresse]:[DATE RESERVATION]],18,FALSE))</f>
        <v xml:space="preserve"> </v>
      </c>
      <c r="F17" s="20"/>
      <c r="G17" s="20"/>
      <c r="H17" s="38" t="str">
        <f>IF(C7=""," ",VLOOKUP(C7,Tableau1[[Adresse]:[DATE RESERVATION]],14,FALSE))</f>
        <v xml:space="preserve"> </v>
      </c>
      <c r="I17" s="38"/>
      <c r="J17" s="20"/>
      <c r="K17" s="38" t="str">
        <f>IF(C7=""," ",VLOOKUP(C7,Tableau1[[Adresse]:[DATE RESERVATION]],15,FALSE))</f>
        <v xml:space="preserve"> </v>
      </c>
      <c r="L17" s="38"/>
      <c r="M17" s="20"/>
      <c r="N17" s="26"/>
      <c r="O17" s="20"/>
      <c r="P17" s="20"/>
      <c r="Q17" s="20"/>
      <c r="R17" s="20"/>
      <c r="S17" s="26"/>
      <c r="T17" s="20"/>
      <c r="U17" s="20"/>
      <c r="V17" s="20"/>
      <c r="W17" s="20"/>
      <c r="X17" s="38" t="str">
        <f>IF(C7=""," ",VLOOKUP(C7,Tableau1[[Adresse]:[DATE RESERVATION]],23,FALSE))</f>
        <v xml:space="preserve"> </v>
      </c>
      <c r="Y17" s="38"/>
      <c r="Z17" s="20" t="str">
        <f>IF(C7=""," ",VLOOKUP(C7,Tableau1[[Adresse]:[DATE RESERVATION]],24,FALSE))</f>
        <v xml:space="preserve"> </v>
      </c>
      <c r="AA17" s="20"/>
      <c r="AB17" s="38" t="str">
        <f>IF(C7=""," ",VLOOKUP(C7,Tableau1[[Adresse]:[DATE RESERVATION]],22,FALSE))</f>
        <v xml:space="preserve"> </v>
      </c>
      <c r="AC17" s="38"/>
      <c r="AD17" s="23"/>
    </row>
    <row r="18" spans="1:30" x14ac:dyDescent="0.3">
      <c r="A18" t="str">
        <f>IF(C8=""," ",VLOOKUP(C8,Tableau1[[Adresse]:[DATE RESERVATION]],16,FALSE))</f>
        <v xml:space="preserve"> </v>
      </c>
      <c r="B18" s="16" t="s">
        <v>12</v>
      </c>
      <c r="C18" s="20" t="str">
        <f>IF(C8=""," ",VLOOKUP(C8,Tableau1[[Adresse]:[DATE RESERVATION]],21,FALSE))</f>
        <v xml:space="preserve"> </v>
      </c>
      <c r="D18" s="20"/>
      <c r="E18" s="20" t="str">
        <f>IF(C8=""," ",VLOOKUP(C8,Tableau1[[Adresse]:[DATE RESERVATION]],18,FALSE))</f>
        <v xml:space="preserve"> </v>
      </c>
      <c r="F18" s="20"/>
      <c r="G18" s="20"/>
      <c r="H18" s="38" t="str">
        <f>IF(C8=""," ",VLOOKUP(C8,Tableau1[[Adresse]:[DATE RESERVATION]],14,FALSE))</f>
        <v xml:space="preserve"> </v>
      </c>
      <c r="I18" s="38"/>
      <c r="J18" s="20"/>
      <c r="K18" s="38" t="str">
        <f>IF(C8=""," ",VLOOKUP(C8,Tableau1[[Adresse]:[DATE RESERVATION]],15,FALSE))</f>
        <v xml:space="preserve"> </v>
      </c>
      <c r="L18" s="38"/>
      <c r="M18" s="20"/>
      <c r="N18" s="26"/>
      <c r="O18" s="20"/>
      <c r="P18" s="20"/>
      <c r="Q18" s="20"/>
      <c r="R18" s="20"/>
      <c r="S18" s="26"/>
      <c r="T18" s="20"/>
      <c r="U18" s="20"/>
      <c r="V18" s="20"/>
      <c r="W18" s="20"/>
      <c r="X18" s="38" t="str">
        <f>IF(C8=""," ",VLOOKUP(C8,Tableau1[[Adresse]:[DATE RESERVATION]],23,FALSE))</f>
        <v xml:space="preserve"> </v>
      </c>
      <c r="Y18" s="38"/>
      <c r="Z18" s="20" t="str">
        <f>IF(C8=""," ",VLOOKUP(C8,Tableau1[[Adresse]:[DATE RESERVATION]],24,FALSE))</f>
        <v xml:space="preserve"> </v>
      </c>
      <c r="AA18" s="20"/>
      <c r="AB18" s="38" t="str">
        <f>IF(C8=""," ",VLOOKUP(C8,Tableau1[[Adresse]:[DATE RESERVATION]],22,FALSE))</f>
        <v xml:space="preserve"> </v>
      </c>
      <c r="AC18" s="38"/>
      <c r="AD18" s="23"/>
    </row>
    <row r="19" spans="1:30" x14ac:dyDescent="0.3">
      <c r="A19" t="str">
        <f>IF(C9=""," ",VLOOKUP(C9,Tableau1[[Adresse]:[DATE RESERVATION]],16,FALSE))</f>
        <v xml:space="preserve"> </v>
      </c>
      <c r="B19" s="16" t="s">
        <v>13</v>
      </c>
      <c r="C19" s="20" t="str">
        <f>IF(C9=""," ",VLOOKUP(C9,Tableau1[[Adresse]:[DATE RESERVATION]],21,FALSE))</f>
        <v xml:space="preserve"> </v>
      </c>
      <c r="D19" s="20"/>
      <c r="E19" s="20" t="str">
        <f>IF(C9=""," ",VLOOKUP(C9,Tableau1[[Adresse]:[DATE RESERVATION]],18,FALSE))</f>
        <v xml:space="preserve"> </v>
      </c>
      <c r="F19" s="20"/>
      <c r="G19" s="20"/>
      <c r="H19" s="38" t="str">
        <f>IF(C9=""," ",VLOOKUP(C9,Tableau1[[Adresse]:[DATE RESERVATION]],14,FALSE))</f>
        <v xml:space="preserve"> </v>
      </c>
      <c r="I19" s="38"/>
      <c r="J19" s="20"/>
      <c r="K19" s="38" t="str">
        <f>IF(C9=""," ",VLOOKUP(C9,Tableau1[[Adresse]:[DATE RESERVATION]],15,FALSE))</f>
        <v xml:space="preserve"> </v>
      </c>
      <c r="L19" s="38"/>
      <c r="M19" s="20"/>
      <c r="N19" s="26"/>
      <c r="O19" s="20"/>
      <c r="P19" s="20"/>
      <c r="Q19" s="20"/>
      <c r="R19" s="20"/>
      <c r="S19" s="26"/>
      <c r="T19" s="20"/>
      <c r="U19" s="20"/>
      <c r="V19" s="20"/>
      <c r="W19" s="20"/>
      <c r="X19" s="38" t="str">
        <f>IF(C9=""," ",VLOOKUP(C9,Tableau1[[Adresse]:[DATE RESERVATION]],23,FALSE))</f>
        <v xml:space="preserve"> </v>
      </c>
      <c r="Y19" s="38"/>
      <c r="Z19" s="20" t="str">
        <f>IF(C9=""," ",VLOOKUP(C9,Tableau1[[Adresse]:[DATE RESERVATION]],24,FALSE))</f>
        <v xml:space="preserve"> </v>
      </c>
      <c r="AA19" s="20"/>
      <c r="AB19" s="38" t="str">
        <f>IF(C9=""," ",VLOOKUP(C9,Tableau1[[Adresse]:[DATE RESERVATION]],22,FALSE))</f>
        <v xml:space="preserve"> </v>
      </c>
      <c r="AC19" s="38"/>
      <c r="AD19" s="23"/>
    </row>
    <row r="20" spans="1:30" x14ac:dyDescent="0.3">
      <c r="A20" t="str">
        <f>IF(C10=""," ",VLOOKUP(C10,Tableau1[[Adresse]:[DATE RESERVATION]],16,FALSE))</f>
        <v xml:space="preserve"> </v>
      </c>
      <c r="B20" s="16" t="s">
        <v>14</v>
      </c>
      <c r="C20" s="20" t="str">
        <f>IF(C10=""," ",VLOOKUP(C10,Tableau1[[Adresse]:[DATE RESERVATION]],21,FALSE))</f>
        <v xml:space="preserve"> </v>
      </c>
      <c r="D20" s="20"/>
      <c r="E20" s="20" t="str">
        <f>IF(C10=""," ",VLOOKUP(C10,Tableau1[[Adresse]:[DATE RESERVATION]],18,FALSE))</f>
        <v xml:space="preserve"> </v>
      </c>
      <c r="F20" s="20"/>
      <c r="G20" s="20"/>
      <c r="H20" s="38" t="str">
        <f>IF(C10=""," ",VLOOKUP(C10,Tableau1[[Adresse]:[DATE RESERVATION]],14,FALSE))</f>
        <v xml:space="preserve"> </v>
      </c>
      <c r="I20" s="38"/>
      <c r="J20" s="20"/>
      <c r="K20" s="38" t="str">
        <f>IF(C10=""," ",VLOOKUP(C10,Tableau1[[Adresse]:[DATE RESERVATION]],15,FALSE))</f>
        <v xml:space="preserve"> </v>
      </c>
      <c r="L20" s="38"/>
      <c r="M20" s="20"/>
      <c r="N20" s="26"/>
      <c r="O20" s="20"/>
      <c r="P20" s="20"/>
      <c r="Q20" s="20"/>
      <c r="R20" s="20"/>
      <c r="S20" s="26"/>
      <c r="T20" s="20"/>
      <c r="U20" s="20"/>
      <c r="V20" s="20"/>
      <c r="W20" s="20"/>
      <c r="X20" s="38" t="str">
        <f>IF(C10=""," ",VLOOKUP(C10,Tableau1[[Adresse]:[DATE RESERVATION]],23,FALSE))</f>
        <v xml:space="preserve"> </v>
      </c>
      <c r="Y20" s="38"/>
      <c r="Z20" s="20" t="str">
        <f>IF(C10=""," ",VLOOKUP(C10,Tableau1[[Adresse]:[DATE RESERVATION]],24,FALSE))</f>
        <v xml:space="preserve"> </v>
      </c>
      <c r="AA20" s="20"/>
      <c r="AB20" s="38" t="str">
        <f>IF(C10=""," ",VLOOKUP(C10,Tableau1[[Adresse]:[DATE RESERVATION]],22,FALSE))</f>
        <v xml:space="preserve"> </v>
      </c>
      <c r="AC20" s="38"/>
      <c r="AD20" s="23"/>
    </row>
    <row r="21" spans="1:30" x14ac:dyDescent="0.3">
      <c r="A21" t="str">
        <f>IF(C11=""," ",VLOOKUP(C11,Tableau1[[Adresse]:[DATE RESERVATION]],16,FALSE))</f>
        <v xml:space="preserve"> </v>
      </c>
      <c r="B21" s="16" t="s">
        <v>15</v>
      </c>
      <c r="C21" s="20" t="str">
        <f>IF(C11=""," ",VLOOKUP(C11,Tableau1[[Adresse]:[DATE RESERVATION]],21,FALSE))</f>
        <v xml:space="preserve"> </v>
      </c>
      <c r="D21" s="20"/>
      <c r="E21" s="20" t="str">
        <f>IF(C11=""," ",VLOOKUP(C11,Tableau1[[Adresse]:[DATE RESERVATION]],18,FALSE))</f>
        <v xml:space="preserve"> </v>
      </c>
      <c r="F21" s="20"/>
      <c r="G21" s="20"/>
      <c r="H21" s="38" t="str">
        <f>IF(C11=""," ",VLOOKUP(C11,Tableau1[[Adresse]:[DATE RESERVATION]],14,FALSE))</f>
        <v xml:space="preserve"> </v>
      </c>
      <c r="I21" s="38"/>
      <c r="J21" s="20"/>
      <c r="K21" s="38" t="str">
        <f>IF(C11=""," ",VLOOKUP(C11,Tableau1[[Adresse]:[DATE RESERVATION]],15,FALSE))</f>
        <v xml:space="preserve"> </v>
      </c>
      <c r="L21" s="38"/>
      <c r="M21" s="20"/>
      <c r="N21" s="26"/>
      <c r="O21" s="20"/>
      <c r="P21" s="20"/>
      <c r="Q21" s="20"/>
      <c r="R21" s="20"/>
      <c r="S21" s="26"/>
      <c r="T21" s="20"/>
      <c r="U21" s="20"/>
      <c r="V21" s="20"/>
      <c r="W21" s="20"/>
      <c r="X21" s="38" t="str">
        <f>IF(C11=""," ",VLOOKUP(C11,Tableau1[[Adresse]:[DATE RESERVATION]],23,FALSE))</f>
        <v xml:space="preserve"> </v>
      </c>
      <c r="Y21" s="38"/>
      <c r="Z21" s="20" t="str">
        <f>IF(C11=""," ",VLOOKUP(C11,Tableau1[[Adresse]:[DATE RESERVATION]],24,FALSE))</f>
        <v xml:space="preserve"> </v>
      </c>
      <c r="AA21" s="20"/>
      <c r="AB21" s="38" t="str">
        <f>IF(C11=""," ",VLOOKUP(C11,Tableau1[[Adresse]:[DATE RESERVATION]],22,FALSE))</f>
        <v xml:space="preserve"> </v>
      </c>
      <c r="AC21" s="38"/>
      <c r="AD21" s="23"/>
    </row>
    <row r="22" spans="1:30" x14ac:dyDescent="0.3">
      <c r="A22" t="str">
        <f>IF(C12=""," ",VLOOKUP(C12,Tableau1[[Adresse]:[DATE RESERVATION]],16,FALSE))</f>
        <v xml:space="preserve"> </v>
      </c>
      <c r="B22" s="16" t="s">
        <v>16</v>
      </c>
      <c r="C22" s="20" t="str">
        <f>IF(C12=""," ",VLOOKUP(C12,Tableau1[[Adresse]:[DATE RESERVATION]],21,FALSE))</f>
        <v xml:space="preserve"> </v>
      </c>
      <c r="D22" s="20"/>
      <c r="E22" s="20" t="str">
        <f>IF(C12=""," ",VLOOKUP(C12,Tableau1[[Adresse]:[DATE RESERVATION]],18,FALSE))</f>
        <v xml:space="preserve"> </v>
      </c>
      <c r="F22" s="20"/>
      <c r="G22" s="20"/>
      <c r="H22" s="38" t="str">
        <f>IF(C12=""," ",VLOOKUP(C12,Tableau1[[Adresse]:[DATE RESERVATION]],14,FALSE))</f>
        <v xml:space="preserve"> </v>
      </c>
      <c r="I22" s="38"/>
      <c r="J22" s="20"/>
      <c r="K22" s="38" t="str">
        <f>IF(C12=""," ",VLOOKUP(C12,Tableau1[[Adresse]:[DATE RESERVATION]],15,FALSE))</f>
        <v xml:space="preserve"> </v>
      </c>
      <c r="L22" s="38"/>
      <c r="M22" s="20"/>
      <c r="N22" s="26"/>
      <c r="O22" s="20"/>
      <c r="P22" s="20"/>
      <c r="Q22" s="20"/>
      <c r="R22" s="20"/>
      <c r="S22" s="26"/>
      <c r="T22" s="20"/>
      <c r="U22" s="20"/>
      <c r="V22" s="20"/>
      <c r="W22" s="20"/>
      <c r="X22" s="38" t="str">
        <f>IF(C12=""," ",VLOOKUP(C12,Tableau1[[Adresse]:[DATE RESERVATION]],23,FALSE))</f>
        <v xml:space="preserve"> </v>
      </c>
      <c r="Y22" s="38"/>
      <c r="Z22" s="20" t="str">
        <f>IF(C12=""," ",VLOOKUP(C12,Tableau1[[Adresse]:[DATE RESERVATION]],24,FALSE))</f>
        <v xml:space="preserve"> </v>
      </c>
      <c r="AA22" s="20"/>
      <c r="AB22" s="38" t="str">
        <f>IF(C12=""," ",VLOOKUP(C12,Tableau1[[Adresse]:[DATE RESERVATION]],22,FALSE))</f>
        <v xml:space="preserve"> </v>
      </c>
      <c r="AC22" s="38"/>
      <c r="AD22" s="23"/>
    </row>
    <row r="23" spans="1:30" x14ac:dyDescent="0.3">
      <c r="A23" t="str">
        <f>IF(C13=""," ",VLOOKUP(C13,Tableau1[[Adresse]:[DATE RESERVATION]],16,FALSE))</f>
        <v xml:space="preserve"> </v>
      </c>
      <c r="B23" s="16" t="s">
        <v>21</v>
      </c>
      <c r="C23" s="20" t="str">
        <f>IF(C13=""," ",VLOOKUP(C13,Tableau1[[Adresse]:[DATE RESERVATION]],21,FALSE))</f>
        <v xml:space="preserve"> </v>
      </c>
      <c r="D23" s="20"/>
      <c r="E23" s="20" t="str">
        <f>IF(C13=""," ",VLOOKUP(C13,Tableau1[[Adresse]:[DATE RESERVATION]],18,FALSE))</f>
        <v xml:space="preserve"> </v>
      </c>
      <c r="F23" s="20"/>
      <c r="G23" s="20"/>
      <c r="H23" s="38" t="str">
        <f>IF(C13=""," ",VLOOKUP(C13,Tableau1[[Adresse]:[DATE RESERVATION]],14,FALSE))</f>
        <v xml:space="preserve"> </v>
      </c>
      <c r="I23" s="38"/>
      <c r="J23" s="20"/>
      <c r="K23" s="38" t="str">
        <f>IF(C13=""," ",VLOOKUP(C13,Tableau1[[Adresse]:[DATE RESERVATION]],15,FALSE))</f>
        <v xml:space="preserve"> </v>
      </c>
      <c r="L23" s="38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38" t="str">
        <f>IF(C13=""," ",VLOOKUP(C13,Tableau1[[Adresse]:[DATE RESERVATION]],23,FALSE))</f>
        <v xml:space="preserve"> </v>
      </c>
      <c r="Y23" s="38"/>
      <c r="Z23" s="20" t="str">
        <f>IF(C13=""," ",VLOOKUP(C13,Tableau1[[Adresse]:[DATE RESERVATION]],24,FALSE))</f>
        <v xml:space="preserve"> </v>
      </c>
      <c r="AA23" s="20"/>
      <c r="AB23" s="38" t="str">
        <f>IF(C13=""," ",VLOOKUP(C13,Tableau1[[Adresse]:[DATE RESERVATION]],22,FALSE))</f>
        <v xml:space="preserve"> </v>
      </c>
      <c r="AC23" s="38"/>
      <c r="AD23" s="23"/>
    </row>
  </sheetData>
  <mergeCells count="32">
    <mergeCell ref="K16:L16"/>
    <mergeCell ref="X16:Y16"/>
    <mergeCell ref="AB16:AC16"/>
    <mergeCell ref="H17:I17"/>
    <mergeCell ref="K17:L17"/>
    <mergeCell ref="H19:I19"/>
    <mergeCell ref="H20:I20"/>
    <mergeCell ref="H21:I21"/>
    <mergeCell ref="H18:I18"/>
    <mergeCell ref="H16:I16"/>
    <mergeCell ref="AB22:AC22"/>
    <mergeCell ref="AB23:AC23"/>
    <mergeCell ref="K22:L22"/>
    <mergeCell ref="X17:Y17"/>
    <mergeCell ref="X18:Y18"/>
    <mergeCell ref="X19:Y19"/>
    <mergeCell ref="X20:Y20"/>
    <mergeCell ref="K19:L19"/>
    <mergeCell ref="K20:L20"/>
    <mergeCell ref="K21:L21"/>
    <mergeCell ref="K18:L18"/>
    <mergeCell ref="AB17:AC17"/>
    <mergeCell ref="AB18:AC18"/>
    <mergeCell ref="AB19:AC19"/>
    <mergeCell ref="AB20:AC20"/>
    <mergeCell ref="AB21:AC21"/>
    <mergeCell ref="X21:Y21"/>
    <mergeCell ref="X22:Y22"/>
    <mergeCell ref="H22:I22"/>
    <mergeCell ref="H23:I23"/>
    <mergeCell ref="K23:L23"/>
    <mergeCell ref="X23:Y23"/>
  </mergeCells>
  <phoneticPr fontId="3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09094E-7524-4157-BCFD-B779300AA340}">
          <x14:formula1>
            <xm:f>'Liste Propriaitaire'!$A:$A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D8"/>
  <sheetViews>
    <sheetView workbookViewId="0">
      <selection activeCell="V1" sqref="V1"/>
    </sheetView>
  </sheetViews>
  <sheetFormatPr baseColWidth="10" defaultColWidth="8.88671875" defaultRowHeight="14.4" x14ac:dyDescent="0.3"/>
  <cols>
    <col min="1" max="1" width="13.109375" bestFit="1" customWidth="1"/>
    <col min="2" max="2" width="47.33203125" bestFit="1" customWidth="1"/>
    <col min="3" max="3" width="9.33203125" customWidth="1"/>
    <col min="4" max="4" width="7.109375" customWidth="1"/>
    <col min="5" max="5" width="8" bestFit="1" customWidth="1"/>
    <col min="6" max="11" width="7.109375" customWidth="1"/>
    <col min="12" max="12" width="16.88671875" style="2" bestFit="1" customWidth="1"/>
    <col min="13" max="13" width="10.88671875" style="2" customWidth="1"/>
    <col min="14" max="14" width="12.5546875" style="2" customWidth="1"/>
    <col min="15" max="15" width="15.77734375" style="2" customWidth="1"/>
    <col min="16" max="17" width="13" style="4" customWidth="1"/>
    <col min="18" max="18" width="15.21875" customWidth="1"/>
    <col min="19" max="19" width="11.6640625" style="1" customWidth="1"/>
    <col min="20" max="20" width="14.109375" style="1" bestFit="1" customWidth="1"/>
    <col min="21" max="21" width="17" bestFit="1" customWidth="1"/>
    <col min="22" max="22" width="14.5546875" bestFit="1" customWidth="1"/>
    <col min="23" max="23" width="19.88671875" bestFit="1" customWidth="1"/>
    <col min="24" max="24" width="11.6640625" customWidth="1"/>
    <col min="25" max="25" width="16.44140625" bestFit="1" customWidth="1"/>
    <col min="26" max="26" width="11.6640625" customWidth="1"/>
    <col min="32" max="32" width="10.5546875" bestFit="1" customWidth="1"/>
  </cols>
  <sheetData>
    <row r="1" spans="1:30" x14ac:dyDescent="0.3">
      <c r="A1" t="s">
        <v>39</v>
      </c>
      <c r="B1" t="s">
        <v>2</v>
      </c>
      <c r="C1" t="s">
        <v>45</v>
      </c>
      <c r="D1" t="s">
        <v>31</v>
      </c>
      <c r="E1" t="s">
        <v>32</v>
      </c>
      <c r="F1" t="s">
        <v>33</v>
      </c>
      <c r="G1" t="s">
        <v>51</v>
      </c>
      <c r="H1" t="s">
        <v>52</v>
      </c>
      <c r="I1" t="s">
        <v>56</v>
      </c>
      <c r="J1" t="s">
        <v>53</v>
      </c>
      <c r="K1" t="s">
        <v>54</v>
      </c>
      <c r="L1" s="2" t="s">
        <v>27</v>
      </c>
      <c r="M1" s="2" t="s">
        <v>28</v>
      </c>
      <c r="N1" s="2" t="s">
        <v>68</v>
      </c>
      <c r="O1" s="3" t="s">
        <v>7</v>
      </c>
      <c r="P1" s="4" t="s">
        <v>8</v>
      </c>
      <c r="Q1" t="s">
        <v>60</v>
      </c>
      <c r="R1" s="1" t="s">
        <v>64</v>
      </c>
      <c r="S1" s="1" t="s">
        <v>65</v>
      </c>
      <c r="T1" t="s">
        <v>3</v>
      </c>
      <c r="U1" t="s">
        <v>61</v>
      </c>
      <c r="V1" t="s">
        <v>62</v>
      </c>
      <c r="W1" s="1" t="s">
        <v>66</v>
      </c>
      <c r="X1" t="s">
        <v>67</v>
      </c>
      <c r="AD1" s="1">
        <f ca="1">TODAY()</f>
        <v>45021</v>
      </c>
    </row>
    <row r="2" spans="1:30" x14ac:dyDescent="0.3">
      <c r="A2" t="s">
        <v>40</v>
      </c>
      <c r="B2" t="s">
        <v>0</v>
      </c>
      <c r="C2" t="s">
        <v>46</v>
      </c>
      <c r="D2" t="s">
        <v>55</v>
      </c>
      <c r="E2">
        <v>10</v>
      </c>
      <c r="F2">
        <v>0.5</v>
      </c>
      <c r="G2" t="s">
        <v>55</v>
      </c>
      <c r="H2" t="s">
        <v>57</v>
      </c>
      <c r="I2" t="s">
        <v>58</v>
      </c>
      <c r="L2" s="37">
        <f>SUM(Tableau1[[#This Row],[vac]:[Colonne3]])</f>
        <v>10.5</v>
      </c>
      <c r="M2" s="37">
        <v>10</v>
      </c>
      <c r="N2" s="37">
        <f>Tableau1[[#This Row],[portion soir]]-Tableau1[[#This Row],[portion midi]]</f>
        <v>-0.5</v>
      </c>
      <c r="O2" s="1">
        <v>29085</v>
      </c>
      <c r="P2" s="1">
        <v>29086</v>
      </c>
      <c r="Q2"/>
      <c r="R2" s="1"/>
      <c r="S2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2" t="str">
        <f ca="1">IF(Tableau1[[#This Row],[Prochaine  VISITE]]="","",IF(Tableau1[[#This Row],[Prochaine  VISITE]]&gt;=$AD$1,"  ","REGULARISATION A FAIRE"))</f>
        <v xml:space="preserve">  </v>
      </c>
      <c r="V2" s="1" t="s">
        <v>1</v>
      </c>
      <c r="W2" s="1" t="s">
        <v>1</v>
      </c>
      <c r="X2" t="s">
        <v>1</v>
      </c>
    </row>
    <row r="3" spans="1:30" x14ac:dyDescent="0.3">
      <c r="A3" t="s">
        <v>41</v>
      </c>
      <c r="B3" t="s">
        <v>4</v>
      </c>
      <c r="C3" t="s">
        <v>47</v>
      </c>
      <c r="E3">
        <v>7</v>
      </c>
      <c r="G3" t="s">
        <v>55</v>
      </c>
      <c r="H3" t="s">
        <v>69</v>
      </c>
      <c r="I3" t="s">
        <v>72</v>
      </c>
      <c r="L3" s="37">
        <f>SUM(Tableau1[[#This Row],[vac]:[Colonne3]])</f>
        <v>7</v>
      </c>
      <c r="M3" s="37">
        <v>10</v>
      </c>
      <c r="N3" s="37">
        <f>Tableau1[[#This Row],[portion soir]]-Tableau1[[#This Row],[portion midi]]</f>
        <v>3</v>
      </c>
      <c r="O3" s="1">
        <v>29085</v>
      </c>
      <c r="P3" s="1">
        <v>29086</v>
      </c>
      <c r="Q3"/>
      <c r="R3" s="1"/>
      <c r="S3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3" t="str">
        <f ca="1">IF(Tableau1[[#This Row],[Prochaine  VISITE]]="","",IF(Tableau1[[#This Row],[Prochaine  VISITE]]&gt;=$AD$1,"  ","REGULARISATION A FAIRE"))</f>
        <v xml:space="preserve">  </v>
      </c>
      <c r="V3" s="1" t="s">
        <v>1</v>
      </c>
      <c r="W3" s="1" t="s">
        <v>1</v>
      </c>
      <c r="X3" t="s">
        <v>1</v>
      </c>
    </row>
    <row r="4" spans="1:30" x14ac:dyDescent="0.3">
      <c r="A4" t="s">
        <v>42</v>
      </c>
      <c r="B4" t="s">
        <v>5</v>
      </c>
      <c r="C4" t="s">
        <v>47</v>
      </c>
      <c r="E4">
        <v>3</v>
      </c>
      <c r="G4" t="s">
        <v>55</v>
      </c>
      <c r="H4" t="s">
        <v>69</v>
      </c>
      <c r="I4" t="s">
        <v>72</v>
      </c>
      <c r="L4" s="37">
        <f>SUM(Tableau1[[#This Row],[vac]:[Colonne3]])</f>
        <v>3</v>
      </c>
      <c r="M4" s="37">
        <v>5</v>
      </c>
      <c r="N4" s="37">
        <f>Tableau1[[#This Row],[portion soir]]-Tableau1[[#This Row],[portion midi]]</f>
        <v>2</v>
      </c>
      <c r="O4" s="1">
        <v>29085</v>
      </c>
      <c r="P4" s="1">
        <v>29086</v>
      </c>
      <c r="Q4"/>
      <c r="R4" s="1"/>
      <c r="S4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4" t="str">
        <f ca="1">IF(Tableau1[[#This Row],[Prochaine  VISITE]]="","",IF(Tableau1[[#This Row],[Prochaine  VISITE]]&gt;=$AD$1,"  ","REGULARISATION A FAIRE"))</f>
        <v xml:space="preserve">  </v>
      </c>
      <c r="V4" s="1" t="s">
        <v>1</v>
      </c>
      <c r="W4" s="1" t="s">
        <v>1</v>
      </c>
      <c r="X4" t="s">
        <v>1</v>
      </c>
    </row>
    <row r="5" spans="1:30" x14ac:dyDescent="0.3">
      <c r="A5" t="s">
        <v>42</v>
      </c>
      <c r="B5" t="s">
        <v>49</v>
      </c>
      <c r="C5" t="s">
        <v>47</v>
      </c>
      <c r="D5" t="s">
        <v>55</v>
      </c>
      <c r="E5">
        <v>5</v>
      </c>
      <c r="F5">
        <v>1.1000000000000001</v>
      </c>
      <c r="H5" t="s">
        <v>70</v>
      </c>
      <c r="I5" t="s">
        <v>72</v>
      </c>
      <c r="L5" s="37">
        <f>SUM(Tableau1[[#This Row],[vac]:[Colonne3]])</f>
        <v>6.1</v>
      </c>
      <c r="M5" s="37">
        <v>5</v>
      </c>
      <c r="N5" s="37">
        <f>Tableau1[[#This Row],[portion soir]]-Tableau1[[#This Row],[portion midi]]</f>
        <v>-1.0999999999999996</v>
      </c>
      <c r="O5" s="1">
        <v>29085</v>
      </c>
      <c r="P5" s="1">
        <v>29086</v>
      </c>
      <c r="Q5"/>
      <c r="R5" s="1"/>
      <c r="S5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5" t="str">
        <f ca="1">IF(Tableau1[[#This Row],[Prochaine  VISITE]]="","",IF(Tableau1[[#This Row],[Prochaine  VISITE]]&gt;=$AD$1,"  ","REGULARISATION A FAIRE"))</f>
        <v xml:space="preserve">  </v>
      </c>
      <c r="V5" s="1" t="s">
        <v>1</v>
      </c>
      <c r="W5" s="1" t="s">
        <v>1</v>
      </c>
      <c r="X5" t="s">
        <v>1</v>
      </c>
    </row>
    <row r="6" spans="1:30" x14ac:dyDescent="0.3">
      <c r="A6" t="s">
        <v>43</v>
      </c>
      <c r="B6" t="s">
        <v>50</v>
      </c>
      <c r="C6" t="s">
        <v>46</v>
      </c>
      <c r="D6" t="s">
        <v>55</v>
      </c>
      <c r="E6">
        <v>25</v>
      </c>
      <c r="F6">
        <v>1.1000000000000001</v>
      </c>
      <c r="H6" t="s">
        <v>71</v>
      </c>
      <c r="I6" t="s">
        <v>58</v>
      </c>
      <c r="L6" s="37">
        <f>SUM(Tableau1[[#This Row],[vac]:[Colonne3]])</f>
        <v>26.1</v>
      </c>
      <c r="M6" s="37">
        <v>5</v>
      </c>
      <c r="N6" s="37">
        <f>Tableau1[[#This Row],[portion soir]]-Tableau1[[#This Row],[portion midi]]</f>
        <v>-21.1</v>
      </c>
      <c r="O6" s="1">
        <v>29085</v>
      </c>
      <c r="P6" s="1">
        <v>29086</v>
      </c>
      <c r="Q6"/>
      <c r="R6" s="1"/>
      <c r="S6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6" t="str">
        <f ca="1">IF(Tableau1[[#This Row],[Prochaine  VISITE]]="","",IF(Tableau1[[#This Row],[Prochaine  VISITE]]&gt;=$AD$1,"  ","REGULARISATION A FAIRE"))</f>
        <v xml:space="preserve">  </v>
      </c>
      <c r="V6" s="1" t="s">
        <v>1</v>
      </c>
      <c r="W6" s="1" t="s">
        <v>1</v>
      </c>
      <c r="X6" t="s">
        <v>1</v>
      </c>
    </row>
    <row r="7" spans="1:30" x14ac:dyDescent="0.3">
      <c r="A7" t="s">
        <v>44</v>
      </c>
      <c r="B7" t="s">
        <v>6</v>
      </c>
      <c r="C7" t="s">
        <v>46</v>
      </c>
      <c r="D7" t="s">
        <v>55</v>
      </c>
      <c r="E7">
        <v>15</v>
      </c>
      <c r="F7">
        <v>1.1000000000000001</v>
      </c>
      <c r="G7" t="s">
        <v>55</v>
      </c>
      <c r="H7" t="s">
        <v>71</v>
      </c>
      <c r="I7" t="s">
        <v>73</v>
      </c>
      <c r="L7" s="37">
        <f>SUM(Tableau1[[#This Row],[vac]:[Colonne3]])</f>
        <v>16.100000000000001</v>
      </c>
      <c r="M7" s="37">
        <v>10</v>
      </c>
      <c r="N7" s="37">
        <f>Tableau1[[#This Row],[portion soir]]-Tableau1[[#This Row],[portion midi]]</f>
        <v>-6.1000000000000014</v>
      </c>
      <c r="O7" s="1">
        <v>29085</v>
      </c>
      <c r="P7" s="1">
        <v>29086</v>
      </c>
      <c r="Q7"/>
      <c r="R7" s="1"/>
      <c r="S7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7" t="str">
        <f ca="1">IF(Tableau1[[#This Row],[Prochaine  VISITE]]="","",IF(Tableau1[[#This Row],[Prochaine  VISITE]]&gt;=$AD$1,"  ","REGULARISATION A FAIRE"))</f>
        <v xml:space="preserve">  </v>
      </c>
      <c r="V7" s="1" t="s">
        <v>1</v>
      </c>
      <c r="W7" s="1"/>
      <c r="X7">
        <v>2022</v>
      </c>
    </row>
    <row r="8" spans="1:30" x14ac:dyDescent="0.3">
      <c r="A8" t="s">
        <v>44</v>
      </c>
      <c r="B8" t="s">
        <v>48</v>
      </c>
      <c r="C8" t="s">
        <v>46</v>
      </c>
      <c r="D8" t="s">
        <v>55</v>
      </c>
      <c r="E8">
        <v>9</v>
      </c>
      <c r="F8">
        <v>1.1000000000000001</v>
      </c>
      <c r="G8" t="s">
        <v>55</v>
      </c>
      <c r="H8" t="s">
        <v>71</v>
      </c>
      <c r="I8" t="s">
        <v>73</v>
      </c>
      <c r="L8" s="37">
        <f>SUM(Tableau1[[#This Row],[vac]:[Colonne3]])</f>
        <v>10.1</v>
      </c>
      <c r="M8" s="37">
        <v>10</v>
      </c>
      <c r="N8" s="37">
        <f>Tableau1[[#This Row],[portion soir]]-Tableau1[[#This Row],[portion midi]]</f>
        <v>-9.9999999999999645E-2</v>
      </c>
      <c r="O8" s="1">
        <v>29085</v>
      </c>
      <c r="P8" s="1">
        <v>29086</v>
      </c>
      <c r="Q8"/>
      <c r="R8" s="1"/>
      <c r="S8" s="1" t="str">
        <f>IF(Tableau1[[#This Row],[DATE VISITE]]=""," ",IFERROR(DATE(YEAR(Tableau1[[#This Row],[DATE VISITE]])+1,MONTH(Tableau1[[#This Row],[DATE VISITE]]),DAY(Tableau1[[#This Row],[DATE VISITE]])+1),""))</f>
        <v xml:space="preserve"> </v>
      </c>
      <c r="T8" t="str">
        <f ca="1">IF(Tableau1[[#This Row],[Prochaine  VISITE]]="","",IF(Tableau1[[#This Row],[Prochaine  VISITE]]&gt;=$AD$1,"  ","REGULARISATION A FAIRE"))</f>
        <v xml:space="preserve">  </v>
      </c>
      <c r="V8" s="1" t="s">
        <v>1</v>
      </c>
      <c r="W8" s="1">
        <v>44532</v>
      </c>
      <c r="X8">
        <v>2022</v>
      </c>
    </row>
  </sheetData>
  <phoneticPr fontId="3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Liste Propriaitaire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Angers GESTION</dc:creator>
  <cp:lastModifiedBy>Angers GESTION</cp:lastModifiedBy>
  <cp:lastPrinted>2023-03-31T13:19:48Z</cp:lastPrinted>
  <dcterms:created xsi:type="dcterms:W3CDTF">2015-06-05T18:19:34Z</dcterms:created>
  <dcterms:modified xsi:type="dcterms:W3CDTF">2023-04-05T12:06:31Z</dcterms:modified>
</cp:coreProperties>
</file>