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PascalBLANCHOT\Downloads\"/>
    </mc:Choice>
  </mc:AlternateContent>
  <xr:revisionPtr revIDLastSave="0" documentId="8_{801CBB9E-6DEC-4181-A93B-6E655B3B09CE}" xr6:coauthVersionLast="47" xr6:coauthVersionMax="47" xr10:uidLastSave="{00000000-0000-0000-0000-000000000000}"/>
  <bookViews>
    <workbookView xWindow="-110" yWindow="-110" windowWidth="22780" windowHeight="14540" xr2:uid="{00000000-000D-0000-FFFF-FFFF00000000}"/>
  </bookViews>
  <sheets>
    <sheet name="Réponses au formulaire 1" sheetId="1" r:id="rId1"/>
    <sheet name="LISTE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357" i="2" l="1"/>
  <c r="H1356" i="2"/>
  <c r="H1355" i="2"/>
  <c r="H1354" i="2"/>
  <c r="H1353" i="2"/>
  <c r="H1352" i="2"/>
  <c r="H1351" i="2"/>
  <c r="H1350" i="2"/>
  <c r="H1349" i="2"/>
  <c r="H1348" i="2"/>
  <c r="H1347" i="2"/>
  <c r="H1346" i="2"/>
  <c r="H1345" i="2"/>
  <c r="H1344" i="2"/>
  <c r="H1343" i="2"/>
  <c r="H1342" i="2"/>
  <c r="H1341" i="2"/>
  <c r="H1340" i="2"/>
  <c r="H1339" i="2"/>
  <c r="H1338" i="2"/>
  <c r="H1337" i="2"/>
  <c r="H1336" i="2"/>
  <c r="H1335" i="2"/>
  <c r="H1334" i="2"/>
  <c r="H1333" i="2"/>
  <c r="H1332" i="2"/>
  <c r="H1331" i="2"/>
  <c r="H1330" i="2"/>
  <c r="H1329" i="2"/>
  <c r="H1328" i="2"/>
  <c r="H1327" i="2"/>
  <c r="H1326" i="2"/>
  <c r="H1325" i="2"/>
  <c r="H1324" i="2"/>
  <c r="H1323" i="2"/>
  <c r="H1322" i="2"/>
  <c r="H1321" i="2"/>
  <c r="H1320" i="2"/>
  <c r="H1319" i="2"/>
  <c r="H1318" i="2"/>
  <c r="H1317" i="2"/>
  <c r="H1316" i="2"/>
  <c r="H1315" i="2"/>
  <c r="H1314" i="2"/>
  <c r="H1313" i="2"/>
  <c r="H1312" i="2"/>
  <c r="H1311" i="2"/>
  <c r="H1310" i="2"/>
  <c r="H1309" i="2"/>
  <c r="H1308" i="2"/>
  <c r="H1307" i="2"/>
  <c r="H1306" i="2"/>
  <c r="H1305" i="2"/>
  <c r="H1304" i="2"/>
  <c r="H1303" i="2"/>
  <c r="H1302" i="2"/>
  <c r="H1301" i="2"/>
  <c r="H1300" i="2"/>
  <c r="H1299" i="2"/>
  <c r="H1298" i="2"/>
  <c r="H1297" i="2"/>
  <c r="H1296" i="2"/>
  <c r="H1295" i="2"/>
  <c r="H1294" i="2"/>
  <c r="H1293" i="2"/>
  <c r="H1292" i="2"/>
  <c r="H1291" i="2"/>
  <c r="H1290" i="2"/>
  <c r="H1289" i="2"/>
  <c r="H1288" i="2"/>
  <c r="H1287" i="2"/>
  <c r="H1286" i="2"/>
  <c r="H1285" i="2"/>
  <c r="H1284" i="2"/>
  <c r="H1283" i="2"/>
  <c r="H1282" i="2"/>
  <c r="H1281" i="2"/>
  <c r="H1280" i="2"/>
  <c r="H1279" i="2"/>
  <c r="H1278" i="2"/>
  <c r="H1277" i="2"/>
  <c r="H1276" i="2"/>
  <c r="H1275" i="2"/>
  <c r="H1274" i="2"/>
  <c r="H1273" i="2"/>
  <c r="H1272" i="2"/>
  <c r="H1271" i="2"/>
  <c r="H1270" i="2"/>
  <c r="H1269" i="2"/>
  <c r="H1268" i="2"/>
  <c r="H1267" i="2"/>
  <c r="H1266" i="2"/>
  <c r="H1265" i="2"/>
  <c r="H1264" i="2"/>
  <c r="H1263" i="2"/>
  <c r="H1262" i="2"/>
  <c r="H1261" i="2"/>
  <c r="H1260" i="2"/>
  <c r="H1259" i="2"/>
  <c r="H1258" i="2"/>
  <c r="H1257" i="2"/>
  <c r="H1256" i="2"/>
  <c r="H1255" i="2"/>
  <c r="H1254" i="2"/>
  <c r="H1253" i="2"/>
  <c r="H1252" i="2"/>
  <c r="H1251" i="2"/>
  <c r="H1250" i="2"/>
  <c r="H1249" i="2"/>
  <c r="H1248" i="2"/>
  <c r="H1247" i="2"/>
  <c r="H1246" i="2"/>
  <c r="H1245" i="2"/>
  <c r="H1244" i="2"/>
  <c r="H1243" i="2"/>
  <c r="H1242" i="2"/>
  <c r="H1241" i="2"/>
  <c r="H1240" i="2"/>
  <c r="H1239" i="2"/>
  <c r="H1238" i="2"/>
  <c r="H1237" i="2"/>
  <c r="H1236" i="2"/>
  <c r="H1235" i="2"/>
  <c r="H1234" i="2"/>
  <c r="H1233" i="2"/>
  <c r="H1232" i="2"/>
  <c r="H1231" i="2"/>
  <c r="H1230" i="2"/>
  <c r="H1229" i="2"/>
  <c r="H1228" i="2"/>
  <c r="H1227" i="2"/>
  <c r="H1226" i="2"/>
  <c r="H1225" i="2"/>
  <c r="H1224" i="2"/>
  <c r="H1223" i="2"/>
  <c r="H1222" i="2"/>
  <c r="H1221" i="2"/>
  <c r="H1220" i="2"/>
  <c r="H1219" i="2"/>
  <c r="H1218" i="2"/>
  <c r="H1217" i="2"/>
  <c r="H1216" i="2"/>
  <c r="H1215" i="2"/>
  <c r="H1214" i="2"/>
  <c r="H1213" i="2"/>
  <c r="H1212" i="2"/>
  <c r="H1211" i="2"/>
  <c r="H1210" i="2"/>
  <c r="H1209" i="2"/>
  <c r="H1208" i="2"/>
  <c r="H1207" i="2"/>
  <c r="H1206" i="2"/>
  <c r="H1205" i="2"/>
  <c r="H1204" i="2"/>
  <c r="H1203" i="2"/>
  <c r="H1202" i="2"/>
  <c r="H1201" i="2"/>
  <c r="H1200" i="2"/>
  <c r="H1199" i="2"/>
  <c r="H1198" i="2"/>
  <c r="H1197" i="2"/>
  <c r="H1196" i="2"/>
  <c r="H1195" i="2"/>
  <c r="H1194" i="2"/>
  <c r="H1193" i="2"/>
  <c r="H1192" i="2"/>
  <c r="H1191" i="2"/>
  <c r="H1190" i="2"/>
  <c r="H1189" i="2"/>
  <c r="H1188" i="2"/>
  <c r="H1187" i="2"/>
  <c r="H1186" i="2"/>
  <c r="H1185" i="2"/>
  <c r="H1184" i="2"/>
  <c r="H1183" i="2"/>
  <c r="H1182" i="2"/>
  <c r="H1181" i="2"/>
  <c r="H1180" i="2"/>
  <c r="H1179" i="2"/>
  <c r="H1178" i="2"/>
  <c r="H1177" i="2"/>
  <c r="H1176" i="2"/>
  <c r="H1175" i="2"/>
  <c r="H1174" i="2"/>
  <c r="H1173" i="2"/>
  <c r="H1172" i="2"/>
  <c r="H1171" i="2"/>
  <c r="H1170" i="2"/>
  <c r="H1169" i="2"/>
  <c r="H1168" i="2"/>
  <c r="H1167" i="2"/>
  <c r="H1166" i="2"/>
  <c r="H1165" i="2"/>
  <c r="H1164" i="2"/>
  <c r="H1163" i="2"/>
  <c r="H1162" i="2"/>
  <c r="H1161" i="2"/>
  <c r="H1160" i="2"/>
  <c r="H1159" i="2"/>
  <c r="H1158" i="2"/>
  <c r="H1157" i="2"/>
  <c r="H1156" i="2"/>
  <c r="H1155" i="2"/>
  <c r="H1154" i="2"/>
  <c r="H1153" i="2"/>
  <c r="H1152" i="2"/>
  <c r="H1151" i="2"/>
  <c r="H1150" i="2"/>
  <c r="H1149" i="2"/>
  <c r="H1148" i="2"/>
  <c r="H1147" i="2"/>
  <c r="H1146" i="2"/>
  <c r="H1145" i="2"/>
  <c r="H1144" i="2"/>
  <c r="H1143" i="2"/>
  <c r="H1142" i="2"/>
  <c r="H1141" i="2"/>
  <c r="H1140" i="2"/>
  <c r="H1139" i="2"/>
  <c r="H1138" i="2"/>
  <c r="H1137" i="2"/>
  <c r="H1136" i="2"/>
  <c r="H1135" i="2"/>
  <c r="H1134" i="2"/>
  <c r="H1133" i="2"/>
  <c r="H1132" i="2"/>
  <c r="H1131" i="2"/>
  <c r="H1130" i="2"/>
  <c r="H1129" i="2"/>
  <c r="H1128" i="2"/>
  <c r="H1127" i="2"/>
  <c r="H1126" i="2"/>
  <c r="H1125" i="2"/>
  <c r="H1124" i="2"/>
  <c r="H1123" i="2"/>
  <c r="H1122" i="2"/>
  <c r="H1121" i="2"/>
  <c r="H1120" i="2"/>
  <c r="H1119" i="2"/>
  <c r="H1118" i="2"/>
  <c r="H1117" i="2"/>
  <c r="H1116" i="2"/>
  <c r="H1115" i="2"/>
  <c r="H1114" i="2"/>
  <c r="H1113" i="2"/>
  <c r="H1112" i="2"/>
  <c r="H1111" i="2"/>
  <c r="H1110" i="2"/>
  <c r="H1109" i="2"/>
  <c r="H1108" i="2"/>
  <c r="H1107" i="2"/>
  <c r="H1106" i="2"/>
  <c r="H1105" i="2"/>
  <c r="H1104" i="2"/>
  <c r="H1103" i="2"/>
  <c r="H1102" i="2"/>
  <c r="H1101" i="2"/>
  <c r="H1100" i="2"/>
  <c r="H1099" i="2"/>
  <c r="H1098" i="2"/>
  <c r="H1097" i="2"/>
  <c r="H1096" i="2"/>
  <c r="H1095" i="2"/>
  <c r="H1094" i="2"/>
  <c r="H1093" i="2"/>
  <c r="H1092" i="2"/>
  <c r="H1091" i="2"/>
  <c r="H1090" i="2"/>
  <c r="H1089" i="2"/>
  <c r="H1088" i="2"/>
  <c r="H1087" i="2"/>
  <c r="H1086" i="2"/>
  <c r="H1085" i="2"/>
  <c r="H1084" i="2"/>
  <c r="H1083" i="2"/>
  <c r="H1082" i="2"/>
  <c r="H1081" i="2"/>
  <c r="H1080" i="2"/>
  <c r="H1079" i="2"/>
  <c r="H1078" i="2"/>
  <c r="H1077" i="2"/>
  <c r="H1076" i="2"/>
  <c r="H1075" i="2"/>
  <c r="H1074" i="2"/>
  <c r="H1073" i="2"/>
  <c r="H1072" i="2"/>
  <c r="H1071" i="2"/>
  <c r="H1070" i="2"/>
  <c r="H1069" i="2"/>
  <c r="H1068" i="2"/>
  <c r="H1067" i="2"/>
  <c r="H1066" i="2"/>
  <c r="H1065" i="2"/>
  <c r="H1064" i="2"/>
  <c r="H1063" i="2"/>
  <c r="H1062" i="2"/>
  <c r="H1061" i="2"/>
  <c r="H1060" i="2"/>
  <c r="H1059" i="2"/>
  <c r="H1058" i="2"/>
  <c r="H1057" i="2"/>
  <c r="H1056" i="2"/>
  <c r="H1055" i="2"/>
  <c r="H1054" i="2"/>
  <c r="H1053" i="2"/>
  <c r="H1052" i="2"/>
  <c r="H1051" i="2"/>
  <c r="H1050" i="2"/>
  <c r="H1049" i="2"/>
  <c r="H1048" i="2"/>
  <c r="H1047" i="2"/>
  <c r="H1046" i="2"/>
  <c r="H1045" i="2"/>
  <c r="H1044" i="2"/>
  <c r="H1043" i="2"/>
  <c r="H1042" i="2"/>
  <c r="H1041" i="2"/>
  <c r="H1040" i="2"/>
  <c r="H1039" i="2"/>
  <c r="H1038" i="2"/>
  <c r="H1037" i="2"/>
  <c r="H1036" i="2"/>
  <c r="H1035" i="2"/>
  <c r="H1034" i="2"/>
  <c r="H1033" i="2"/>
  <c r="H1032" i="2"/>
  <c r="H1031" i="2"/>
  <c r="H1030" i="2"/>
  <c r="H1029" i="2"/>
  <c r="H1028" i="2"/>
  <c r="H1027" i="2"/>
  <c r="H1026" i="2"/>
  <c r="H1025" i="2"/>
  <c r="H1024" i="2"/>
  <c r="H1023" i="2"/>
  <c r="H1022" i="2"/>
  <c r="H1021" i="2"/>
  <c r="H1020" i="2"/>
  <c r="H1019" i="2"/>
  <c r="H1018" i="2"/>
  <c r="H1017" i="2"/>
  <c r="H1016" i="2"/>
  <c r="H1015" i="2"/>
  <c r="H1014" i="2"/>
  <c r="H1013" i="2"/>
  <c r="H1012" i="2"/>
  <c r="H1011" i="2"/>
  <c r="H1010" i="2"/>
  <c r="H1009" i="2"/>
  <c r="H1008" i="2"/>
  <c r="H1007" i="2"/>
  <c r="H1006" i="2"/>
  <c r="H1005" i="2"/>
  <c r="H1004" i="2"/>
  <c r="H1003" i="2"/>
  <c r="H1002" i="2"/>
  <c r="H1001" i="2"/>
  <c r="H1000" i="2"/>
  <c r="H999" i="2"/>
  <c r="H998" i="2"/>
  <c r="H997" i="2"/>
  <c r="H996" i="2"/>
  <c r="H995" i="2"/>
  <c r="H994" i="2"/>
  <c r="H993" i="2"/>
  <c r="H992" i="2"/>
  <c r="H991" i="2"/>
  <c r="H990" i="2"/>
  <c r="H989" i="2"/>
  <c r="H988" i="2"/>
  <c r="H987" i="2"/>
  <c r="H986" i="2"/>
  <c r="H985" i="2"/>
  <c r="H984" i="2"/>
  <c r="H983" i="2"/>
  <c r="H982" i="2"/>
  <c r="H981" i="2"/>
  <c r="H980" i="2"/>
  <c r="H979" i="2"/>
  <c r="H978" i="2"/>
  <c r="H977" i="2"/>
  <c r="H976" i="2"/>
  <c r="H975" i="2"/>
  <c r="H974" i="2"/>
  <c r="H973" i="2"/>
  <c r="H972" i="2"/>
  <c r="H971" i="2"/>
  <c r="H970" i="2"/>
  <c r="H969" i="2"/>
  <c r="H968" i="2"/>
  <c r="H967" i="2"/>
  <c r="H966" i="2"/>
  <c r="H965" i="2"/>
  <c r="H964" i="2"/>
  <c r="H963" i="2"/>
  <c r="H962" i="2"/>
  <c r="H961" i="2"/>
  <c r="H960" i="2"/>
  <c r="H959" i="2"/>
  <c r="H958" i="2"/>
  <c r="H957" i="2"/>
  <c r="H956" i="2"/>
  <c r="H955" i="2"/>
  <c r="H954" i="2"/>
  <c r="H953" i="2"/>
  <c r="H952" i="2"/>
  <c r="H951" i="2"/>
  <c r="H950" i="2"/>
  <c r="H949" i="2"/>
  <c r="H948" i="2"/>
  <c r="H947" i="2"/>
  <c r="H946" i="2"/>
  <c r="H945" i="2"/>
  <c r="H944" i="2"/>
  <c r="H943" i="2"/>
  <c r="H942" i="2"/>
  <c r="H941" i="2"/>
  <c r="H940" i="2"/>
  <c r="H939" i="2"/>
  <c r="H938" i="2"/>
  <c r="H937" i="2"/>
  <c r="H936" i="2"/>
  <c r="H935" i="2"/>
  <c r="H934" i="2"/>
  <c r="H933" i="2"/>
  <c r="H932" i="2"/>
  <c r="H931" i="2"/>
  <c r="H930" i="2"/>
  <c r="H929" i="2"/>
  <c r="H928" i="2"/>
  <c r="H927" i="2"/>
  <c r="H926" i="2"/>
  <c r="H925" i="2"/>
  <c r="H924" i="2"/>
  <c r="H923" i="2"/>
  <c r="H922" i="2"/>
  <c r="H921" i="2"/>
  <c r="H920" i="2"/>
  <c r="H919" i="2"/>
  <c r="H918" i="2"/>
  <c r="H917" i="2"/>
  <c r="H916" i="2"/>
  <c r="H915" i="2"/>
  <c r="H914" i="2"/>
  <c r="H913" i="2"/>
  <c r="H912" i="2"/>
  <c r="H911" i="2"/>
  <c r="H910" i="2"/>
  <c r="H909" i="2"/>
  <c r="H908" i="2"/>
  <c r="H907" i="2"/>
  <c r="H906" i="2"/>
  <c r="H905" i="2"/>
  <c r="H904" i="2"/>
  <c r="H903" i="2"/>
  <c r="H902" i="2"/>
  <c r="H901" i="2"/>
  <c r="H900" i="2"/>
  <c r="H899" i="2"/>
  <c r="H898" i="2"/>
  <c r="H897" i="2"/>
  <c r="H896" i="2"/>
  <c r="H895" i="2"/>
  <c r="H894" i="2"/>
  <c r="H893" i="2"/>
  <c r="H892" i="2"/>
  <c r="H891" i="2"/>
  <c r="H890" i="2"/>
  <c r="H889" i="2"/>
  <c r="H888" i="2"/>
  <c r="H887" i="2"/>
  <c r="H886" i="2"/>
  <c r="H885" i="2"/>
  <c r="H884" i="2"/>
  <c r="H883" i="2"/>
  <c r="H882" i="2"/>
  <c r="H881" i="2"/>
  <c r="H880" i="2"/>
  <c r="H879" i="2"/>
  <c r="H878" i="2"/>
  <c r="H877" i="2"/>
  <c r="H876" i="2"/>
  <c r="H875" i="2"/>
  <c r="H874" i="2"/>
  <c r="H873" i="2"/>
  <c r="H872" i="2"/>
  <c r="H871" i="2"/>
  <c r="H870" i="2"/>
  <c r="H869" i="2"/>
  <c r="H868" i="2"/>
  <c r="H867" i="2"/>
  <c r="H866" i="2"/>
  <c r="H865" i="2"/>
  <c r="H864" i="2"/>
  <c r="H863" i="2"/>
  <c r="H862" i="2"/>
  <c r="H861" i="2"/>
  <c r="H860" i="2"/>
  <c r="H859" i="2"/>
  <c r="H858" i="2"/>
  <c r="H857" i="2"/>
  <c r="H856" i="2"/>
  <c r="H855" i="2"/>
  <c r="H854" i="2"/>
  <c r="H853" i="2"/>
  <c r="H852" i="2"/>
  <c r="H851" i="2"/>
  <c r="H850" i="2"/>
  <c r="H849" i="2"/>
  <c r="H848" i="2"/>
  <c r="H847" i="2"/>
  <c r="H846" i="2"/>
  <c r="H845" i="2"/>
  <c r="H844" i="2"/>
  <c r="H843" i="2"/>
  <c r="H842" i="2"/>
  <c r="H841" i="2"/>
  <c r="H840" i="2"/>
  <c r="H839" i="2"/>
  <c r="H838" i="2"/>
  <c r="H837" i="2"/>
  <c r="H836" i="2"/>
  <c r="H835" i="2"/>
  <c r="H834" i="2"/>
  <c r="H833" i="2"/>
  <c r="H832" i="2"/>
  <c r="H831" i="2"/>
  <c r="H830" i="2"/>
  <c r="H829" i="2"/>
  <c r="H828" i="2"/>
  <c r="H827" i="2"/>
  <c r="H826" i="2"/>
  <c r="H825" i="2"/>
  <c r="H824" i="2"/>
  <c r="H823" i="2"/>
  <c r="H822" i="2"/>
  <c r="H821" i="2"/>
  <c r="H820" i="2"/>
  <c r="H819" i="2"/>
  <c r="H818" i="2"/>
  <c r="H817" i="2"/>
  <c r="H816" i="2"/>
  <c r="H815" i="2"/>
  <c r="H814" i="2"/>
  <c r="H813" i="2"/>
  <c r="H812" i="2"/>
  <c r="H811" i="2"/>
  <c r="H810" i="2"/>
  <c r="H809" i="2"/>
  <c r="H808" i="2"/>
  <c r="H807" i="2"/>
  <c r="H806" i="2"/>
  <c r="H805" i="2"/>
  <c r="H804" i="2"/>
  <c r="H803" i="2"/>
  <c r="H802" i="2"/>
  <c r="H801" i="2"/>
  <c r="H800" i="2"/>
  <c r="H799" i="2"/>
  <c r="H798" i="2"/>
  <c r="H797" i="2"/>
  <c r="H796" i="2"/>
  <c r="H795" i="2"/>
  <c r="H794" i="2"/>
  <c r="H793" i="2"/>
  <c r="H792" i="2"/>
  <c r="H791" i="2"/>
  <c r="H790" i="2"/>
  <c r="H789" i="2"/>
  <c r="H788" i="2"/>
  <c r="H787" i="2"/>
  <c r="H786" i="2"/>
  <c r="H785" i="2"/>
  <c r="H784" i="2"/>
  <c r="H783" i="2"/>
  <c r="H782" i="2"/>
  <c r="H781" i="2"/>
  <c r="H780" i="2"/>
  <c r="H779" i="2"/>
  <c r="H778" i="2"/>
  <c r="H777" i="2"/>
  <c r="H776" i="2"/>
  <c r="H775" i="2"/>
  <c r="H774" i="2"/>
  <c r="H773" i="2"/>
  <c r="H772" i="2"/>
  <c r="H771" i="2"/>
  <c r="H770" i="2"/>
  <c r="H769" i="2"/>
  <c r="H768" i="2"/>
  <c r="H767" i="2"/>
  <c r="H766" i="2"/>
  <c r="H765" i="2"/>
  <c r="H764" i="2"/>
  <c r="H763" i="2"/>
  <c r="H762" i="2"/>
  <c r="H761" i="2"/>
  <c r="H760" i="2"/>
  <c r="H759" i="2"/>
  <c r="H758" i="2"/>
  <c r="H757" i="2"/>
  <c r="H756" i="2"/>
  <c r="H755" i="2"/>
  <c r="H754" i="2"/>
  <c r="H753" i="2"/>
  <c r="H752" i="2"/>
  <c r="H751" i="2"/>
  <c r="H750" i="2"/>
  <c r="H749" i="2"/>
  <c r="H748" i="2"/>
  <c r="H747" i="2"/>
  <c r="H746" i="2"/>
  <c r="H745" i="2"/>
  <c r="H744" i="2"/>
  <c r="H743" i="2"/>
  <c r="H742" i="2"/>
  <c r="H741" i="2"/>
  <c r="H740" i="2"/>
  <c r="H739" i="2"/>
  <c r="H738" i="2"/>
  <c r="H737" i="2"/>
  <c r="H736" i="2"/>
  <c r="H735" i="2"/>
  <c r="H734" i="2"/>
  <c r="H733" i="2"/>
  <c r="H732" i="2"/>
  <c r="H731" i="2"/>
  <c r="H730" i="2"/>
  <c r="H729" i="2"/>
  <c r="H728" i="2"/>
  <c r="H727" i="2"/>
  <c r="H726" i="2"/>
  <c r="H725" i="2"/>
  <c r="H724" i="2"/>
  <c r="H723" i="2"/>
  <c r="H722" i="2"/>
  <c r="H721" i="2"/>
  <c r="H720" i="2"/>
  <c r="H719" i="2"/>
  <c r="H718" i="2"/>
  <c r="H717" i="2"/>
  <c r="H716" i="2"/>
  <c r="H715" i="2"/>
  <c r="H714" i="2"/>
  <c r="H713" i="2"/>
  <c r="H712" i="2"/>
  <c r="H711" i="2"/>
  <c r="H710" i="2"/>
  <c r="H709" i="2"/>
  <c r="H708" i="2"/>
  <c r="H707" i="2"/>
  <c r="H706" i="2"/>
  <c r="H705" i="2"/>
  <c r="H704" i="2"/>
  <c r="H703" i="2"/>
  <c r="H702" i="2"/>
  <c r="H701" i="2"/>
  <c r="H700" i="2"/>
  <c r="H699" i="2"/>
  <c r="H698" i="2"/>
  <c r="H697" i="2"/>
  <c r="H696" i="2"/>
  <c r="H695" i="2"/>
  <c r="H694" i="2"/>
  <c r="H693" i="2"/>
  <c r="H692" i="2"/>
  <c r="H691" i="2"/>
  <c r="H690" i="2"/>
  <c r="H689" i="2"/>
  <c r="H688" i="2"/>
  <c r="H687" i="2"/>
  <c r="H686" i="2"/>
  <c r="H685" i="2"/>
  <c r="H684" i="2"/>
  <c r="H683" i="2"/>
  <c r="H682" i="2"/>
  <c r="H681" i="2"/>
  <c r="H680" i="2"/>
  <c r="H679" i="2"/>
  <c r="H678" i="2"/>
  <c r="H677" i="2"/>
  <c r="H676" i="2"/>
  <c r="H675" i="2"/>
  <c r="H674" i="2"/>
  <c r="H673" i="2"/>
  <c r="H672" i="2"/>
  <c r="H671" i="2"/>
  <c r="H670" i="2"/>
  <c r="H669" i="2"/>
  <c r="H668" i="2"/>
  <c r="H667" i="2"/>
  <c r="H666" i="2"/>
  <c r="H665" i="2"/>
  <c r="H664" i="2"/>
  <c r="H663" i="2"/>
  <c r="H662" i="2"/>
  <c r="H661" i="2"/>
  <c r="H660" i="2"/>
  <c r="H659" i="2"/>
  <c r="H658" i="2"/>
  <c r="H657" i="2"/>
  <c r="H656" i="2"/>
  <c r="H655" i="2"/>
  <c r="H654" i="2"/>
  <c r="H653" i="2"/>
  <c r="H652" i="2"/>
  <c r="H651" i="2"/>
  <c r="H650" i="2"/>
  <c r="H649" i="2"/>
  <c r="H648" i="2"/>
  <c r="H647" i="2"/>
  <c r="H646" i="2"/>
  <c r="H645" i="2"/>
  <c r="H644" i="2"/>
  <c r="H643" i="2"/>
  <c r="H642" i="2"/>
  <c r="H641" i="2"/>
  <c r="H640" i="2"/>
  <c r="H639" i="2"/>
  <c r="H638" i="2"/>
  <c r="H637" i="2"/>
  <c r="H636" i="2"/>
  <c r="H635" i="2"/>
  <c r="H634" i="2"/>
  <c r="H633" i="2"/>
  <c r="H632" i="2"/>
  <c r="H631" i="2"/>
  <c r="H630" i="2"/>
  <c r="H629" i="2"/>
  <c r="H628" i="2"/>
  <c r="H627" i="2"/>
  <c r="H626" i="2"/>
  <c r="H625" i="2"/>
  <c r="H624" i="2"/>
  <c r="H623" i="2"/>
  <c r="H622" i="2"/>
  <c r="H621" i="2"/>
  <c r="H620" i="2"/>
  <c r="H619" i="2"/>
  <c r="H618" i="2"/>
  <c r="H617" i="2"/>
  <c r="H616" i="2"/>
  <c r="H615" i="2"/>
  <c r="H614" i="2"/>
  <c r="H613" i="2"/>
  <c r="H612" i="2"/>
  <c r="H611" i="2"/>
  <c r="H610" i="2"/>
  <c r="H609" i="2"/>
  <c r="H608" i="2"/>
  <c r="H607" i="2"/>
  <c r="H606" i="2"/>
  <c r="H605" i="2"/>
  <c r="H604" i="2"/>
  <c r="H603" i="2"/>
  <c r="H602" i="2"/>
  <c r="H601" i="2"/>
  <c r="H600" i="2"/>
  <c r="H599" i="2"/>
  <c r="H598" i="2"/>
  <c r="H597" i="2"/>
  <c r="H596" i="2"/>
  <c r="H595" i="2"/>
  <c r="H594" i="2"/>
  <c r="H593" i="2"/>
  <c r="H592" i="2"/>
  <c r="H591" i="2"/>
  <c r="H590" i="2"/>
  <c r="H589" i="2"/>
  <c r="H588" i="2"/>
  <c r="H587" i="2"/>
  <c r="H586" i="2"/>
  <c r="H585" i="2"/>
  <c r="H584" i="2"/>
  <c r="H583" i="2"/>
  <c r="H582" i="2"/>
  <c r="H581" i="2"/>
  <c r="H580" i="2"/>
  <c r="H579" i="2"/>
  <c r="H578" i="2"/>
  <c r="H577" i="2"/>
  <c r="H576" i="2"/>
  <c r="H575" i="2"/>
  <c r="H574" i="2"/>
  <c r="H573" i="2"/>
  <c r="H572" i="2"/>
  <c r="H571" i="2"/>
  <c r="H570" i="2"/>
  <c r="H569" i="2"/>
  <c r="H568" i="2"/>
  <c r="H567" i="2"/>
  <c r="H566" i="2"/>
  <c r="H565" i="2"/>
  <c r="H564" i="2"/>
  <c r="H563" i="2"/>
  <c r="H562" i="2"/>
  <c r="H561" i="2"/>
  <c r="H560" i="2"/>
  <c r="H559" i="2"/>
  <c r="H558" i="2"/>
  <c r="H557" i="2"/>
  <c r="H556" i="2"/>
  <c r="H555" i="2"/>
  <c r="H554" i="2"/>
  <c r="H553" i="2"/>
  <c r="H552" i="2"/>
  <c r="H551" i="2"/>
  <c r="H550" i="2"/>
  <c r="H549" i="2"/>
  <c r="H548" i="2"/>
  <c r="H547" i="2"/>
  <c r="H546" i="2"/>
  <c r="H545" i="2"/>
  <c r="H544" i="2"/>
  <c r="H543" i="2"/>
  <c r="H542" i="2"/>
  <c r="H541" i="2"/>
  <c r="H540" i="2"/>
  <c r="H539" i="2"/>
  <c r="H538" i="2"/>
  <c r="H537" i="2"/>
  <c r="H536" i="2"/>
  <c r="H535" i="2"/>
  <c r="H534" i="2"/>
  <c r="H533" i="2"/>
  <c r="H532" i="2"/>
  <c r="H531" i="2"/>
  <c r="H530" i="2"/>
  <c r="H529" i="2"/>
  <c r="H528" i="2"/>
  <c r="H527" i="2"/>
  <c r="H526" i="2"/>
  <c r="H525" i="2"/>
  <c r="H524" i="2"/>
  <c r="H523" i="2"/>
  <c r="H522" i="2"/>
  <c r="H521" i="2"/>
  <c r="H520" i="2"/>
  <c r="H519" i="2"/>
  <c r="H518" i="2"/>
  <c r="H517" i="2"/>
  <c r="H516" i="2"/>
  <c r="H515" i="2"/>
  <c r="H514" i="2"/>
  <c r="H513" i="2"/>
  <c r="H512" i="2"/>
  <c r="H511" i="2"/>
  <c r="H510" i="2"/>
  <c r="H509" i="2"/>
  <c r="H508" i="2"/>
  <c r="H507" i="2"/>
  <c r="H506" i="2"/>
  <c r="H505" i="2"/>
  <c r="H504" i="2"/>
  <c r="H503" i="2"/>
  <c r="H502" i="2"/>
  <c r="H501" i="2"/>
  <c r="H500" i="2"/>
  <c r="H499" i="2"/>
  <c r="H498" i="2"/>
  <c r="H497" i="2"/>
  <c r="H496" i="2"/>
  <c r="H495" i="2"/>
  <c r="H494" i="2"/>
  <c r="H493" i="2"/>
  <c r="H492" i="2"/>
  <c r="H491" i="2"/>
  <c r="H490" i="2"/>
  <c r="H489" i="2"/>
  <c r="H488" i="2"/>
  <c r="H487" i="2"/>
  <c r="H486" i="2"/>
  <c r="H485" i="2"/>
  <c r="H484" i="2"/>
  <c r="H483" i="2"/>
  <c r="H482" i="2"/>
  <c r="H481" i="2"/>
  <c r="H480" i="2"/>
  <c r="H479" i="2"/>
  <c r="H478" i="2"/>
  <c r="H477" i="2"/>
  <c r="H476" i="2"/>
  <c r="H475" i="2"/>
  <c r="H474" i="2"/>
  <c r="H473" i="2"/>
  <c r="H472" i="2"/>
  <c r="H471" i="2"/>
  <c r="H470" i="2"/>
  <c r="H469" i="2"/>
  <c r="H468" i="2"/>
  <c r="H467" i="2"/>
  <c r="H466" i="2"/>
  <c r="H465" i="2"/>
  <c r="H464" i="2"/>
  <c r="H463" i="2"/>
  <c r="H462" i="2"/>
  <c r="H461" i="2"/>
  <c r="H460" i="2"/>
  <c r="H459" i="2"/>
  <c r="H458" i="2"/>
  <c r="H457" i="2"/>
  <c r="H456" i="2"/>
  <c r="H455" i="2"/>
  <c r="H454" i="2"/>
  <c r="H453" i="2"/>
  <c r="H452" i="2"/>
  <c r="H451" i="2"/>
  <c r="H450" i="2"/>
  <c r="H449" i="2"/>
  <c r="H448" i="2"/>
  <c r="H447" i="2"/>
  <c r="H446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M400" i="2"/>
  <c r="L400" i="2"/>
  <c r="G400" i="2"/>
  <c r="F400" i="2"/>
  <c r="E400" i="2"/>
  <c r="H400" i="2" s="1"/>
  <c r="D400" i="2"/>
  <c r="C400" i="2"/>
  <c r="B400" i="2"/>
  <c r="A400" i="2"/>
  <c r="M399" i="2"/>
  <c r="L399" i="2"/>
  <c r="K399" i="2"/>
  <c r="J399" i="2"/>
  <c r="H399" i="2"/>
  <c r="G399" i="2"/>
  <c r="F399" i="2"/>
  <c r="E399" i="2"/>
  <c r="D399" i="2"/>
  <c r="C399" i="2"/>
  <c r="B399" i="2"/>
  <c r="A399" i="2"/>
  <c r="M398" i="2"/>
  <c r="L398" i="2"/>
  <c r="G398" i="2"/>
  <c r="F398" i="2"/>
  <c r="E398" i="2"/>
  <c r="H398" i="2" s="1"/>
  <c r="D398" i="2"/>
  <c r="C398" i="2"/>
  <c r="B398" i="2"/>
  <c r="A398" i="2"/>
  <c r="M397" i="2"/>
  <c r="L397" i="2"/>
  <c r="H397" i="2"/>
  <c r="G397" i="2"/>
  <c r="F397" i="2"/>
  <c r="E397" i="2"/>
  <c r="D397" i="2"/>
  <c r="C397" i="2"/>
  <c r="B397" i="2"/>
  <c r="A397" i="2"/>
  <c r="M396" i="2"/>
  <c r="L396" i="2"/>
  <c r="K396" i="2"/>
  <c r="J396" i="2"/>
  <c r="H396" i="2"/>
  <c r="G396" i="2"/>
  <c r="F396" i="2"/>
  <c r="E396" i="2"/>
  <c r="D396" i="2"/>
  <c r="C396" i="2"/>
  <c r="B396" i="2"/>
  <c r="A396" i="2"/>
  <c r="M395" i="2"/>
  <c r="L395" i="2"/>
  <c r="K395" i="2"/>
  <c r="J395" i="2"/>
  <c r="H395" i="2"/>
  <c r="G395" i="2"/>
  <c r="F395" i="2"/>
  <c r="E395" i="2"/>
  <c r="D395" i="2"/>
  <c r="C395" i="2"/>
  <c r="B395" i="2"/>
  <c r="A395" i="2"/>
  <c r="M394" i="2"/>
  <c r="L394" i="2"/>
  <c r="G394" i="2"/>
  <c r="F394" i="2"/>
  <c r="H394" i="2" s="1"/>
  <c r="E394" i="2"/>
  <c r="D394" i="2"/>
  <c r="C394" i="2"/>
  <c r="B394" i="2"/>
  <c r="A394" i="2"/>
  <c r="M393" i="2"/>
  <c r="L393" i="2"/>
  <c r="H393" i="2"/>
  <c r="G393" i="2"/>
  <c r="F393" i="2"/>
  <c r="E393" i="2"/>
  <c r="D393" i="2"/>
  <c r="C393" i="2"/>
  <c r="B393" i="2"/>
  <c r="A393" i="2"/>
  <c r="M392" i="2"/>
  <c r="L392" i="2"/>
  <c r="G392" i="2"/>
  <c r="F392" i="2"/>
  <c r="H392" i="2" s="1"/>
  <c r="E392" i="2"/>
  <c r="D392" i="2"/>
  <c r="C392" i="2"/>
  <c r="B392" i="2"/>
  <c r="A392" i="2"/>
  <c r="M391" i="2"/>
  <c r="L391" i="2"/>
  <c r="H391" i="2"/>
  <c r="G391" i="2"/>
  <c r="F391" i="2"/>
  <c r="E391" i="2"/>
  <c r="D391" i="2"/>
  <c r="C391" i="2"/>
  <c r="B391" i="2"/>
  <c r="A391" i="2"/>
  <c r="M390" i="2"/>
  <c r="L390" i="2"/>
  <c r="G390" i="2"/>
  <c r="F390" i="2"/>
  <c r="H390" i="2" s="1"/>
  <c r="E390" i="2"/>
  <c r="D390" i="2"/>
  <c r="C390" i="2"/>
  <c r="B390" i="2"/>
  <c r="A390" i="2"/>
  <c r="M389" i="2"/>
  <c r="L389" i="2"/>
  <c r="H389" i="2"/>
  <c r="G389" i="2"/>
  <c r="F389" i="2"/>
  <c r="E389" i="2"/>
  <c r="D389" i="2"/>
  <c r="C389" i="2"/>
  <c r="B389" i="2"/>
  <c r="A389" i="2"/>
  <c r="M388" i="2"/>
  <c r="L388" i="2"/>
  <c r="G388" i="2"/>
  <c r="F388" i="2"/>
  <c r="H388" i="2" s="1"/>
  <c r="E388" i="2"/>
  <c r="D388" i="2"/>
  <c r="C388" i="2"/>
  <c r="B388" i="2"/>
  <c r="A388" i="2"/>
  <c r="M387" i="2"/>
  <c r="L387" i="2"/>
  <c r="H387" i="2"/>
  <c r="G387" i="2"/>
  <c r="F387" i="2"/>
  <c r="E387" i="2"/>
  <c r="D387" i="2"/>
  <c r="C387" i="2"/>
  <c r="B387" i="2"/>
  <c r="A387" i="2"/>
  <c r="M386" i="2"/>
  <c r="L386" i="2"/>
  <c r="G386" i="2"/>
  <c r="F386" i="2"/>
  <c r="H386" i="2" s="1"/>
  <c r="E386" i="2"/>
  <c r="D386" i="2"/>
  <c r="C386" i="2"/>
  <c r="B386" i="2"/>
  <c r="A386" i="2"/>
  <c r="M385" i="2"/>
  <c r="L385" i="2"/>
  <c r="K385" i="2"/>
  <c r="J385" i="2"/>
  <c r="G385" i="2"/>
  <c r="F385" i="2"/>
  <c r="H385" i="2" s="1"/>
  <c r="E385" i="2"/>
  <c r="D385" i="2"/>
  <c r="C385" i="2"/>
  <c r="B385" i="2"/>
  <c r="A385" i="2"/>
  <c r="M384" i="2"/>
  <c r="L384" i="2"/>
  <c r="K384" i="2"/>
  <c r="J384" i="2"/>
  <c r="G384" i="2"/>
  <c r="F384" i="2"/>
  <c r="H384" i="2" s="1"/>
  <c r="E384" i="2"/>
  <c r="D384" i="2"/>
  <c r="C384" i="2"/>
  <c r="B384" i="2"/>
  <c r="A384" i="2"/>
  <c r="M383" i="2"/>
  <c r="L383" i="2"/>
  <c r="J383" i="2"/>
  <c r="G383" i="2"/>
  <c r="F383" i="2"/>
  <c r="E383" i="2"/>
  <c r="H383" i="2" s="1"/>
  <c r="D383" i="2"/>
  <c r="C383" i="2"/>
  <c r="B383" i="2"/>
  <c r="A383" i="2"/>
  <c r="M382" i="2"/>
  <c r="L382" i="2"/>
  <c r="K382" i="2"/>
  <c r="J382" i="2"/>
  <c r="H382" i="2"/>
  <c r="G382" i="2"/>
  <c r="F382" i="2"/>
  <c r="E382" i="2"/>
  <c r="D382" i="2"/>
  <c r="C382" i="2"/>
  <c r="B382" i="2"/>
  <c r="A382" i="2"/>
  <c r="M381" i="2"/>
  <c r="L381" i="2"/>
  <c r="K381" i="2"/>
  <c r="J381" i="2"/>
  <c r="H381" i="2"/>
  <c r="G381" i="2"/>
  <c r="F381" i="2"/>
  <c r="E381" i="2"/>
  <c r="D381" i="2"/>
  <c r="C381" i="2"/>
  <c r="B381" i="2"/>
  <c r="A381" i="2"/>
  <c r="M380" i="2"/>
  <c r="L380" i="2"/>
  <c r="K380" i="2"/>
  <c r="J380" i="2"/>
  <c r="H380" i="2"/>
  <c r="G380" i="2"/>
  <c r="F380" i="2"/>
  <c r="E380" i="2"/>
  <c r="D380" i="2"/>
  <c r="C380" i="2"/>
  <c r="B380" i="2"/>
  <c r="A380" i="2"/>
  <c r="M379" i="2"/>
  <c r="L379" i="2"/>
  <c r="K379" i="2"/>
  <c r="J379" i="2"/>
  <c r="H379" i="2"/>
  <c r="G379" i="2"/>
  <c r="F379" i="2"/>
  <c r="E379" i="2"/>
  <c r="D379" i="2"/>
  <c r="C379" i="2"/>
  <c r="B379" i="2"/>
  <c r="A379" i="2"/>
  <c r="M378" i="2"/>
  <c r="L378" i="2"/>
  <c r="K378" i="2"/>
  <c r="J378" i="2"/>
  <c r="H378" i="2"/>
  <c r="G378" i="2"/>
  <c r="F378" i="2"/>
  <c r="E378" i="2"/>
  <c r="D378" i="2"/>
  <c r="C378" i="2"/>
  <c r="B378" i="2"/>
  <c r="A378" i="2"/>
  <c r="M377" i="2"/>
  <c r="L377" i="2"/>
  <c r="K377" i="2"/>
  <c r="J377" i="2"/>
  <c r="H377" i="2"/>
  <c r="G377" i="2"/>
  <c r="F377" i="2"/>
  <c r="E377" i="2"/>
  <c r="D377" i="2"/>
  <c r="C377" i="2"/>
  <c r="B377" i="2"/>
  <c r="A377" i="2"/>
  <c r="M376" i="2"/>
  <c r="L376" i="2"/>
  <c r="K376" i="2"/>
  <c r="J376" i="2"/>
  <c r="H376" i="2"/>
  <c r="G376" i="2"/>
  <c r="F376" i="2"/>
  <c r="E376" i="2"/>
  <c r="D376" i="2"/>
  <c r="C376" i="2"/>
  <c r="B376" i="2"/>
  <c r="A376" i="2"/>
  <c r="M375" i="2"/>
  <c r="L375" i="2"/>
  <c r="K375" i="2"/>
  <c r="J375" i="2"/>
  <c r="H375" i="2"/>
  <c r="G375" i="2"/>
  <c r="F375" i="2"/>
  <c r="E375" i="2"/>
  <c r="D375" i="2"/>
  <c r="C375" i="2"/>
  <c r="B375" i="2"/>
  <c r="A375" i="2"/>
  <c r="M374" i="2"/>
  <c r="L374" i="2"/>
  <c r="K374" i="2"/>
  <c r="J374" i="2"/>
  <c r="H374" i="2"/>
  <c r="G374" i="2"/>
  <c r="F374" i="2"/>
  <c r="E374" i="2"/>
  <c r="D374" i="2"/>
  <c r="C374" i="2"/>
  <c r="B374" i="2"/>
  <c r="A374" i="2"/>
  <c r="M373" i="2"/>
  <c r="L373" i="2"/>
  <c r="K373" i="2"/>
  <c r="J373" i="2"/>
  <c r="H373" i="2"/>
  <c r="G373" i="2"/>
  <c r="F373" i="2"/>
  <c r="E373" i="2"/>
  <c r="D373" i="2"/>
  <c r="C373" i="2"/>
  <c r="B373" i="2"/>
  <c r="A373" i="2"/>
  <c r="M372" i="2"/>
  <c r="L372" i="2"/>
  <c r="K372" i="2"/>
  <c r="J372" i="2"/>
  <c r="H372" i="2"/>
  <c r="G372" i="2"/>
  <c r="F372" i="2"/>
  <c r="E372" i="2"/>
  <c r="D372" i="2"/>
  <c r="C372" i="2"/>
  <c r="B372" i="2"/>
  <c r="A372" i="2"/>
  <c r="M371" i="2"/>
  <c r="L371" i="2"/>
  <c r="K371" i="2"/>
  <c r="J371" i="2"/>
  <c r="H371" i="2"/>
  <c r="G371" i="2"/>
  <c r="F371" i="2"/>
  <c r="E371" i="2"/>
  <c r="D371" i="2"/>
  <c r="C371" i="2"/>
  <c r="B371" i="2"/>
  <c r="A371" i="2"/>
  <c r="M370" i="2"/>
  <c r="L370" i="2"/>
  <c r="K370" i="2"/>
  <c r="J370" i="2"/>
  <c r="H370" i="2"/>
  <c r="G370" i="2"/>
  <c r="F370" i="2"/>
  <c r="E370" i="2"/>
  <c r="D370" i="2"/>
  <c r="C370" i="2"/>
  <c r="B370" i="2"/>
  <c r="A370" i="2"/>
  <c r="M369" i="2"/>
  <c r="L369" i="2"/>
  <c r="K369" i="2"/>
  <c r="J369" i="2"/>
  <c r="H369" i="2"/>
  <c r="G369" i="2"/>
  <c r="F369" i="2"/>
  <c r="E369" i="2"/>
  <c r="D369" i="2"/>
  <c r="C369" i="2"/>
  <c r="B369" i="2"/>
  <c r="A369" i="2"/>
  <c r="M368" i="2"/>
  <c r="L368" i="2"/>
  <c r="K368" i="2"/>
  <c r="J368" i="2"/>
  <c r="H368" i="2"/>
  <c r="G368" i="2"/>
  <c r="F368" i="2"/>
  <c r="E368" i="2"/>
  <c r="D368" i="2"/>
  <c r="C368" i="2"/>
  <c r="B368" i="2"/>
  <c r="A368" i="2"/>
  <c r="M367" i="2"/>
  <c r="L367" i="2"/>
  <c r="K367" i="2"/>
  <c r="J367" i="2"/>
  <c r="H367" i="2"/>
  <c r="G367" i="2"/>
  <c r="F367" i="2"/>
  <c r="E367" i="2"/>
  <c r="D367" i="2"/>
  <c r="C367" i="2"/>
  <c r="B367" i="2"/>
  <c r="A367" i="2"/>
  <c r="M366" i="2"/>
  <c r="L366" i="2"/>
  <c r="K366" i="2"/>
  <c r="J366" i="2"/>
  <c r="H366" i="2"/>
  <c r="G366" i="2"/>
  <c r="F366" i="2"/>
  <c r="E366" i="2"/>
  <c r="D366" i="2"/>
  <c r="C366" i="2"/>
  <c r="B366" i="2"/>
  <c r="A366" i="2"/>
  <c r="M365" i="2"/>
  <c r="L365" i="2"/>
  <c r="K365" i="2"/>
  <c r="J365" i="2"/>
  <c r="H365" i="2"/>
  <c r="G365" i="2"/>
  <c r="F365" i="2"/>
  <c r="E365" i="2"/>
  <c r="D365" i="2"/>
  <c r="C365" i="2"/>
  <c r="B365" i="2"/>
  <c r="A365" i="2"/>
  <c r="M364" i="2"/>
  <c r="L364" i="2"/>
  <c r="K364" i="2"/>
  <c r="J364" i="2"/>
  <c r="H364" i="2"/>
  <c r="G364" i="2"/>
  <c r="F364" i="2"/>
  <c r="E364" i="2"/>
  <c r="D364" i="2"/>
  <c r="C364" i="2"/>
  <c r="B364" i="2"/>
  <c r="A364" i="2"/>
  <c r="M363" i="2"/>
  <c r="L363" i="2"/>
  <c r="K363" i="2"/>
  <c r="J363" i="2"/>
  <c r="H363" i="2"/>
  <c r="G363" i="2"/>
  <c r="F363" i="2"/>
  <c r="E363" i="2"/>
  <c r="D363" i="2"/>
  <c r="C363" i="2"/>
  <c r="B363" i="2"/>
  <c r="A363" i="2"/>
  <c r="M362" i="2"/>
  <c r="L362" i="2"/>
  <c r="K362" i="2"/>
  <c r="J362" i="2"/>
  <c r="H362" i="2"/>
  <c r="G362" i="2"/>
  <c r="F362" i="2"/>
  <c r="E362" i="2"/>
  <c r="D362" i="2"/>
  <c r="C362" i="2"/>
  <c r="B362" i="2"/>
  <c r="A362" i="2"/>
  <c r="M361" i="2"/>
  <c r="L361" i="2"/>
  <c r="K361" i="2"/>
  <c r="J361" i="2"/>
  <c r="H361" i="2"/>
  <c r="G361" i="2"/>
  <c r="F361" i="2"/>
  <c r="E361" i="2"/>
  <c r="D361" i="2"/>
  <c r="C361" i="2"/>
  <c r="B361" i="2"/>
  <c r="A361" i="2"/>
  <c r="M360" i="2"/>
  <c r="L360" i="2"/>
  <c r="K360" i="2"/>
  <c r="J360" i="2"/>
  <c r="H360" i="2"/>
  <c r="G360" i="2"/>
  <c r="F360" i="2"/>
  <c r="E360" i="2"/>
  <c r="D360" i="2"/>
  <c r="C360" i="2"/>
  <c r="B360" i="2"/>
  <c r="A360" i="2"/>
  <c r="M359" i="2"/>
  <c r="L359" i="2"/>
  <c r="K359" i="2"/>
  <c r="J359" i="2"/>
  <c r="H359" i="2"/>
  <c r="G359" i="2"/>
  <c r="F359" i="2"/>
  <c r="E359" i="2"/>
  <c r="D359" i="2"/>
  <c r="C359" i="2"/>
  <c r="B359" i="2"/>
  <c r="A359" i="2"/>
  <c r="M358" i="2"/>
  <c r="L358" i="2"/>
  <c r="K358" i="2"/>
  <c r="J358" i="2"/>
  <c r="H358" i="2"/>
  <c r="G358" i="2"/>
  <c r="F358" i="2"/>
  <c r="E358" i="2"/>
  <c r="D358" i="2"/>
  <c r="C358" i="2"/>
  <c r="B358" i="2"/>
  <c r="A358" i="2"/>
  <c r="M357" i="2"/>
  <c r="L357" i="2"/>
  <c r="K357" i="2"/>
  <c r="J357" i="2"/>
  <c r="H357" i="2"/>
  <c r="G357" i="2"/>
  <c r="F357" i="2"/>
  <c r="E357" i="2"/>
  <c r="D357" i="2"/>
  <c r="C357" i="2"/>
  <c r="B357" i="2"/>
  <c r="A357" i="2"/>
  <c r="M356" i="2"/>
  <c r="L356" i="2"/>
  <c r="K356" i="2"/>
  <c r="J356" i="2"/>
  <c r="H356" i="2"/>
  <c r="G356" i="2"/>
  <c r="F356" i="2"/>
  <c r="E356" i="2"/>
  <c r="D356" i="2"/>
  <c r="C356" i="2"/>
  <c r="B356" i="2"/>
  <c r="A356" i="2"/>
  <c r="M355" i="2"/>
  <c r="L355" i="2"/>
  <c r="K355" i="2"/>
  <c r="J355" i="2"/>
  <c r="H355" i="2"/>
  <c r="G355" i="2"/>
  <c r="F355" i="2"/>
  <c r="E355" i="2"/>
  <c r="D355" i="2"/>
  <c r="C355" i="2"/>
  <c r="B355" i="2"/>
  <c r="A355" i="2"/>
  <c r="M354" i="2"/>
  <c r="L354" i="2"/>
  <c r="K354" i="2"/>
  <c r="J354" i="2"/>
  <c r="H354" i="2"/>
  <c r="G354" i="2"/>
  <c r="F354" i="2"/>
  <c r="E354" i="2"/>
  <c r="D354" i="2"/>
  <c r="C354" i="2"/>
  <c r="B354" i="2"/>
  <c r="A354" i="2"/>
  <c r="M353" i="2"/>
  <c r="L353" i="2"/>
  <c r="J353" i="2"/>
  <c r="G353" i="2"/>
  <c r="H353" i="2" s="1"/>
  <c r="F353" i="2"/>
  <c r="E353" i="2"/>
  <c r="D353" i="2"/>
  <c r="C353" i="2"/>
  <c r="B353" i="2"/>
  <c r="A353" i="2"/>
  <c r="M352" i="2"/>
  <c r="L352" i="2"/>
  <c r="K352" i="2"/>
  <c r="J352" i="2"/>
  <c r="G352" i="2"/>
  <c r="H352" i="2" s="1"/>
  <c r="F352" i="2"/>
  <c r="E352" i="2"/>
  <c r="D352" i="2"/>
  <c r="C352" i="2"/>
  <c r="B352" i="2"/>
  <c r="A352" i="2"/>
  <c r="M351" i="2"/>
  <c r="L351" i="2"/>
  <c r="K351" i="2"/>
  <c r="J351" i="2"/>
  <c r="G351" i="2"/>
  <c r="H351" i="2" s="1"/>
  <c r="F351" i="2"/>
  <c r="E351" i="2"/>
  <c r="D351" i="2"/>
  <c r="C351" i="2"/>
  <c r="B351" i="2"/>
  <c r="A351" i="2"/>
  <c r="M350" i="2"/>
  <c r="L350" i="2"/>
  <c r="K350" i="2"/>
  <c r="J350" i="2"/>
  <c r="G350" i="2"/>
  <c r="H350" i="2" s="1"/>
  <c r="F350" i="2"/>
  <c r="E350" i="2"/>
  <c r="D350" i="2"/>
  <c r="C350" i="2"/>
  <c r="B350" i="2"/>
  <c r="A350" i="2"/>
  <c r="M349" i="2"/>
  <c r="L349" i="2"/>
  <c r="G349" i="2"/>
  <c r="F349" i="2"/>
  <c r="E349" i="2"/>
  <c r="H349" i="2" s="1"/>
  <c r="D349" i="2"/>
  <c r="C349" i="2"/>
  <c r="B349" i="2"/>
  <c r="A349" i="2"/>
  <c r="M348" i="2"/>
  <c r="L348" i="2"/>
  <c r="G348" i="2"/>
  <c r="H348" i="2" s="1"/>
  <c r="F348" i="2"/>
  <c r="E348" i="2"/>
  <c r="D348" i="2"/>
  <c r="C348" i="2"/>
  <c r="B348" i="2"/>
  <c r="A348" i="2"/>
  <c r="M347" i="2"/>
  <c r="L347" i="2"/>
  <c r="G347" i="2"/>
  <c r="F347" i="2"/>
  <c r="E347" i="2"/>
  <c r="H347" i="2" s="1"/>
  <c r="D347" i="2"/>
  <c r="C347" i="2"/>
  <c r="B347" i="2"/>
  <c r="A347" i="2"/>
  <c r="M346" i="2"/>
  <c r="L346" i="2"/>
  <c r="K346" i="2"/>
  <c r="J346" i="2"/>
  <c r="G346" i="2"/>
  <c r="F346" i="2"/>
  <c r="E346" i="2"/>
  <c r="H346" i="2" s="1"/>
  <c r="D346" i="2"/>
  <c r="C346" i="2"/>
  <c r="B346" i="2"/>
  <c r="A346" i="2"/>
  <c r="M345" i="2"/>
  <c r="L345" i="2"/>
  <c r="K345" i="2"/>
  <c r="J345" i="2"/>
  <c r="G345" i="2"/>
  <c r="F345" i="2"/>
  <c r="E345" i="2"/>
  <c r="H345" i="2" s="1"/>
  <c r="D345" i="2"/>
  <c r="C345" i="2"/>
  <c r="B345" i="2"/>
  <c r="A345" i="2"/>
  <c r="M344" i="2"/>
  <c r="L344" i="2"/>
  <c r="K344" i="2"/>
  <c r="J344" i="2"/>
  <c r="G344" i="2"/>
  <c r="F344" i="2"/>
  <c r="E344" i="2"/>
  <c r="H344" i="2" s="1"/>
  <c r="D344" i="2"/>
  <c r="C344" i="2"/>
  <c r="B344" i="2"/>
  <c r="A344" i="2"/>
  <c r="M343" i="2"/>
  <c r="L343" i="2"/>
  <c r="G343" i="2"/>
  <c r="H343" i="2" s="1"/>
  <c r="F343" i="2"/>
  <c r="E343" i="2"/>
  <c r="D343" i="2"/>
  <c r="C343" i="2"/>
  <c r="B343" i="2"/>
  <c r="A343" i="2"/>
  <c r="M342" i="2"/>
  <c r="L342" i="2"/>
  <c r="K342" i="2"/>
  <c r="J342" i="2"/>
  <c r="G342" i="2"/>
  <c r="H342" i="2" s="1"/>
  <c r="F342" i="2"/>
  <c r="E342" i="2"/>
  <c r="D342" i="2"/>
  <c r="C342" i="2"/>
  <c r="B342" i="2"/>
  <c r="A342" i="2"/>
  <c r="M341" i="2"/>
  <c r="L341" i="2"/>
  <c r="G341" i="2"/>
  <c r="F341" i="2"/>
  <c r="E341" i="2"/>
  <c r="H341" i="2" s="1"/>
  <c r="D341" i="2"/>
  <c r="C341" i="2"/>
  <c r="B341" i="2"/>
  <c r="A341" i="2"/>
  <c r="M340" i="2"/>
  <c r="L340" i="2"/>
  <c r="K340" i="2"/>
  <c r="J340" i="2"/>
  <c r="G340" i="2"/>
  <c r="F340" i="2"/>
  <c r="E340" i="2"/>
  <c r="H340" i="2" s="1"/>
  <c r="D340" i="2"/>
  <c r="C340" i="2"/>
  <c r="B340" i="2"/>
  <c r="A340" i="2"/>
  <c r="M339" i="2"/>
  <c r="L339" i="2"/>
  <c r="G339" i="2"/>
  <c r="H339" i="2" s="1"/>
  <c r="F339" i="2"/>
  <c r="E339" i="2"/>
  <c r="D339" i="2"/>
  <c r="C339" i="2"/>
  <c r="B339" i="2"/>
  <c r="A339" i="2"/>
  <c r="M338" i="2"/>
  <c r="L338" i="2"/>
  <c r="K338" i="2"/>
  <c r="J338" i="2"/>
  <c r="G338" i="2"/>
  <c r="F338" i="2"/>
  <c r="E338" i="2"/>
  <c r="D338" i="2"/>
  <c r="C338" i="2"/>
  <c r="B338" i="2"/>
  <c r="A338" i="2"/>
  <c r="M337" i="2"/>
  <c r="L337" i="2"/>
  <c r="K337" i="2"/>
  <c r="J337" i="2"/>
  <c r="G337" i="2"/>
  <c r="F337" i="2"/>
  <c r="E337" i="2"/>
  <c r="H337" i="2" s="1"/>
  <c r="D337" i="2"/>
  <c r="C337" i="2"/>
  <c r="B337" i="2"/>
  <c r="A337" i="2"/>
  <c r="M336" i="2"/>
  <c r="L336" i="2"/>
  <c r="K336" i="2"/>
  <c r="J336" i="2"/>
  <c r="G336" i="2"/>
  <c r="F336" i="2"/>
  <c r="E336" i="2"/>
  <c r="H336" i="2" s="1"/>
  <c r="D336" i="2"/>
  <c r="C336" i="2"/>
  <c r="B336" i="2"/>
  <c r="A336" i="2"/>
  <c r="M335" i="2"/>
  <c r="L335" i="2"/>
  <c r="K335" i="2"/>
  <c r="J335" i="2"/>
  <c r="G335" i="2"/>
  <c r="F335" i="2"/>
  <c r="E335" i="2"/>
  <c r="D335" i="2"/>
  <c r="C335" i="2"/>
  <c r="B335" i="2"/>
  <c r="A335" i="2"/>
  <c r="M334" i="2"/>
  <c r="L334" i="2"/>
  <c r="G334" i="2"/>
  <c r="F334" i="2"/>
  <c r="E334" i="2"/>
  <c r="H334" i="2" s="1"/>
  <c r="D334" i="2"/>
  <c r="C334" i="2"/>
  <c r="B334" i="2"/>
  <c r="A334" i="2"/>
  <c r="M333" i="2"/>
  <c r="L333" i="2"/>
  <c r="G333" i="2"/>
  <c r="F333" i="2"/>
  <c r="E333" i="2"/>
  <c r="H333" i="2" s="1"/>
  <c r="D333" i="2"/>
  <c r="C333" i="2"/>
  <c r="B333" i="2"/>
  <c r="A333" i="2"/>
  <c r="M332" i="2"/>
  <c r="L332" i="2"/>
  <c r="G332" i="2"/>
  <c r="F332" i="2"/>
  <c r="E332" i="2"/>
  <c r="D332" i="2"/>
  <c r="C332" i="2"/>
  <c r="B332" i="2"/>
  <c r="A332" i="2"/>
  <c r="M331" i="2"/>
  <c r="L331" i="2"/>
  <c r="K331" i="2"/>
  <c r="J331" i="2"/>
  <c r="G331" i="2"/>
  <c r="F331" i="2"/>
  <c r="E331" i="2"/>
  <c r="H331" i="2" s="1"/>
  <c r="D331" i="2"/>
  <c r="C331" i="2"/>
  <c r="B331" i="2"/>
  <c r="A331" i="2"/>
  <c r="M330" i="2"/>
  <c r="L330" i="2"/>
  <c r="K330" i="2"/>
  <c r="J330" i="2"/>
  <c r="G330" i="2"/>
  <c r="F330" i="2"/>
  <c r="E330" i="2"/>
  <c r="H330" i="2" s="1"/>
  <c r="D330" i="2"/>
  <c r="C330" i="2"/>
  <c r="B330" i="2"/>
  <c r="A330" i="2"/>
  <c r="M329" i="2"/>
  <c r="L329" i="2"/>
  <c r="K329" i="2"/>
  <c r="J329" i="2"/>
  <c r="G329" i="2"/>
  <c r="F329" i="2"/>
  <c r="E329" i="2"/>
  <c r="D329" i="2"/>
  <c r="C329" i="2"/>
  <c r="B329" i="2"/>
  <c r="A329" i="2"/>
  <c r="M328" i="2"/>
  <c r="L328" i="2"/>
  <c r="K328" i="2"/>
  <c r="J328" i="2"/>
  <c r="G328" i="2"/>
  <c r="F328" i="2"/>
  <c r="E328" i="2"/>
  <c r="D328" i="2"/>
  <c r="C328" i="2"/>
  <c r="B328" i="2"/>
  <c r="A328" i="2"/>
  <c r="M327" i="2"/>
  <c r="L327" i="2"/>
  <c r="G327" i="2"/>
  <c r="F327" i="2"/>
  <c r="E327" i="2"/>
  <c r="D327" i="2"/>
  <c r="C327" i="2"/>
  <c r="B327" i="2"/>
  <c r="A327" i="2"/>
  <c r="M326" i="2"/>
  <c r="L326" i="2"/>
  <c r="K326" i="2"/>
  <c r="J326" i="2"/>
  <c r="G326" i="2"/>
  <c r="F326" i="2"/>
  <c r="E326" i="2"/>
  <c r="D326" i="2"/>
  <c r="C326" i="2"/>
  <c r="B326" i="2"/>
  <c r="A326" i="2"/>
  <c r="M325" i="2"/>
  <c r="L325" i="2"/>
  <c r="K325" i="2"/>
  <c r="J325" i="2"/>
  <c r="G325" i="2"/>
  <c r="F325" i="2"/>
  <c r="E325" i="2"/>
  <c r="H325" i="2" s="1"/>
  <c r="D325" i="2"/>
  <c r="C325" i="2"/>
  <c r="B325" i="2"/>
  <c r="A325" i="2"/>
  <c r="M324" i="2"/>
  <c r="L324" i="2"/>
  <c r="G324" i="2"/>
  <c r="F324" i="2"/>
  <c r="E324" i="2"/>
  <c r="D324" i="2"/>
  <c r="C324" i="2"/>
  <c r="B324" i="2"/>
  <c r="A324" i="2"/>
  <c r="M323" i="2"/>
  <c r="L323" i="2"/>
  <c r="K323" i="2"/>
  <c r="J323" i="2"/>
  <c r="G323" i="2"/>
  <c r="F323" i="2"/>
  <c r="E323" i="2"/>
  <c r="H323" i="2" s="1"/>
  <c r="D323" i="2"/>
  <c r="C323" i="2"/>
  <c r="B323" i="2"/>
  <c r="A323" i="2"/>
  <c r="M322" i="2"/>
  <c r="L322" i="2"/>
  <c r="K322" i="2"/>
  <c r="J322" i="2"/>
  <c r="G322" i="2"/>
  <c r="F322" i="2"/>
  <c r="E322" i="2"/>
  <c r="H322" i="2" s="1"/>
  <c r="D322" i="2"/>
  <c r="C322" i="2"/>
  <c r="B322" i="2"/>
  <c r="A322" i="2"/>
  <c r="M321" i="2"/>
  <c r="L321" i="2"/>
  <c r="K321" i="2"/>
  <c r="J321" i="2"/>
  <c r="G321" i="2"/>
  <c r="F321" i="2"/>
  <c r="E321" i="2"/>
  <c r="D321" i="2"/>
  <c r="C321" i="2"/>
  <c r="B321" i="2"/>
  <c r="A321" i="2"/>
  <c r="M320" i="2"/>
  <c r="L320" i="2"/>
  <c r="G320" i="2"/>
  <c r="F320" i="2"/>
  <c r="E320" i="2"/>
  <c r="H320" i="2" s="1"/>
  <c r="D320" i="2"/>
  <c r="C320" i="2"/>
  <c r="B320" i="2"/>
  <c r="A320" i="2"/>
  <c r="M319" i="2"/>
  <c r="L319" i="2"/>
  <c r="K319" i="2"/>
  <c r="J319" i="2"/>
  <c r="G319" i="2"/>
  <c r="F319" i="2"/>
  <c r="E319" i="2"/>
  <c r="D319" i="2"/>
  <c r="C319" i="2"/>
  <c r="B319" i="2"/>
  <c r="A319" i="2"/>
  <c r="M318" i="2"/>
  <c r="L318" i="2"/>
  <c r="G318" i="2"/>
  <c r="F318" i="2"/>
  <c r="E318" i="2"/>
  <c r="H318" i="2" s="1"/>
  <c r="D318" i="2"/>
  <c r="C318" i="2"/>
  <c r="B318" i="2"/>
  <c r="A318" i="2"/>
  <c r="M317" i="2"/>
  <c r="L317" i="2"/>
  <c r="K317" i="2"/>
  <c r="J317" i="2"/>
  <c r="G317" i="2"/>
  <c r="F317" i="2"/>
  <c r="E317" i="2"/>
  <c r="D317" i="2"/>
  <c r="C317" i="2"/>
  <c r="B317" i="2"/>
  <c r="A317" i="2"/>
  <c r="M316" i="2"/>
  <c r="L316" i="2"/>
  <c r="K316" i="2"/>
  <c r="J316" i="2"/>
  <c r="G316" i="2"/>
  <c r="F316" i="2"/>
  <c r="E316" i="2"/>
  <c r="D316" i="2"/>
  <c r="C316" i="2"/>
  <c r="B316" i="2"/>
  <c r="A316" i="2"/>
  <c r="M315" i="2"/>
  <c r="L315" i="2"/>
  <c r="G315" i="2"/>
  <c r="F315" i="2"/>
  <c r="E315" i="2"/>
  <c r="D315" i="2"/>
  <c r="C315" i="2"/>
  <c r="B315" i="2"/>
  <c r="A315" i="2"/>
  <c r="M314" i="2"/>
  <c r="L314" i="2"/>
  <c r="K314" i="2"/>
  <c r="J314" i="2"/>
  <c r="G314" i="2"/>
  <c r="F314" i="2"/>
  <c r="E314" i="2"/>
  <c r="D314" i="2"/>
  <c r="C314" i="2"/>
  <c r="B314" i="2"/>
  <c r="A314" i="2"/>
  <c r="M313" i="2"/>
  <c r="L313" i="2"/>
  <c r="K313" i="2"/>
  <c r="J313" i="2"/>
  <c r="G313" i="2"/>
  <c r="F313" i="2"/>
  <c r="E313" i="2"/>
  <c r="H313" i="2" s="1"/>
  <c r="D313" i="2"/>
  <c r="C313" i="2"/>
  <c r="B313" i="2"/>
  <c r="A313" i="2"/>
  <c r="M312" i="2"/>
  <c r="L312" i="2"/>
  <c r="G312" i="2"/>
  <c r="F312" i="2"/>
  <c r="E312" i="2"/>
  <c r="D312" i="2"/>
  <c r="C312" i="2"/>
  <c r="B312" i="2"/>
  <c r="A312" i="2"/>
  <c r="M311" i="2"/>
  <c r="L311" i="2"/>
  <c r="G311" i="2"/>
  <c r="F311" i="2"/>
  <c r="E311" i="2"/>
  <c r="D311" i="2"/>
  <c r="C311" i="2"/>
  <c r="B311" i="2"/>
  <c r="A311" i="2"/>
  <c r="M310" i="2"/>
  <c r="L310" i="2"/>
  <c r="K310" i="2"/>
  <c r="J310" i="2"/>
  <c r="G310" i="2"/>
  <c r="F310" i="2"/>
  <c r="E310" i="2"/>
  <c r="D310" i="2"/>
  <c r="C310" i="2"/>
  <c r="B310" i="2"/>
  <c r="A310" i="2"/>
  <c r="M309" i="2"/>
  <c r="L309" i="2"/>
  <c r="K309" i="2"/>
  <c r="J309" i="2"/>
  <c r="G309" i="2"/>
  <c r="F309" i="2"/>
  <c r="E309" i="2"/>
  <c r="H309" i="2" s="1"/>
  <c r="D309" i="2"/>
  <c r="C309" i="2"/>
  <c r="B309" i="2"/>
  <c r="A309" i="2"/>
  <c r="M308" i="2"/>
  <c r="L308" i="2"/>
  <c r="K308" i="2"/>
  <c r="J308" i="2"/>
  <c r="G308" i="2"/>
  <c r="F308" i="2"/>
  <c r="E308" i="2"/>
  <c r="H308" i="2" s="1"/>
  <c r="D308" i="2"/>
  <c r="C308" i="2"/>
  <c r="B308" i="2"/>
  <c r="A308" i="2"/>
  <c r="M307" i="2"/>
  <c r="L307" i="2"/>
  <c r="K307" i="2"/>
  <c r="J307" i="2"/>
  <c r="G307" i="2"/>
  <c r="F307" i="2"/>
  <c r="E307" i="2"/>
  <c r="D307" i="2"/>
  <c r="C307" i="2"/>
  <c r="B307" i="2"/>
  <c r="A307" i="2"/>
  <c r="M306" i="2"/>
  <c r="L306" i="2"/>
  <c r="K306" i="2"/>
  <c r="J306" i="2"/>
  <c r="G306" i="2"/>
  <c r="F306" i="2"/>
  <c r="E306" i="2"/>
  <c r="D306" i="2"/>
  <c r="C306" i="2"/>
  <c r="B306" i="2"/>
  <c r="A306" i="2"/>
  <c r="M305" i="2"/>
  <c r="L305" i="2"/>
  <c r="F305" i="2"/>
  <c r="E305" i="2"/>
  <c r="D305" i="2"/>
  <c r="C305" i="2"/>
  <c r="B305" i="2"/>
  <c r="A305" i="2"/>
  <c r="M304" i="2"/>
  <c r="L304" i="2"/>
  <c r="J304" i="2"/>
  <c r="F304" i="2"/>
  <c r="H304" i="2" s="1"/>
  <c r="E304" i="2"/>
  <c r="D304" i="2"/>
  <c r="C304" i="2"/>
  <c r="B304" i="2"/>
  <c r="A304" i="2"/>
  <c r="M303" i="2"/>
  <c r="L303" i="2"/>
  <c r="G303" i="2"/>
  <c r="F303" i="2"/>
  <c r="H303" i="2" s="1"/>
  <c r="E303" i="2"/>
  <c r="D303" i="2"/>
  <c r="C303" i="2"/>
  <c r="B303" i="2"/>
  <c r="A303" i="2"/>
  <c r="M302" i="2"/>
  <c r="L302" i="2"/>
  <c r="H302" i="2"/>
  <c r="G302" i="2"/>
  <c r="F302" i="2"/>
  <c r="E302" i="2"/>
  <c r="D302" i="2"/>
  <c r="C302" i="2"/>
  <c r="B302" i="2"/>
  <c r="A302" i="2"/>
  <c r="M301" i="2"/>
  <c r="L301" i="2"/>
  <c r="G301" i="2"/>
  <c r="F301" i="2"/>
  <c r="H301" i="2" s="1"/>
  <c r="E301" i="2"/>
  <c r="D301" i="2"/>
  <c r="C301" i="2"/>
  <c r="B301" i="2"/>
  <c r="A301" i="2"/>
  <c r="M300" i="2"/>
  <c r="L300" i="2"/>
  <c r="K300" i="2"/>
  <c r="J300" i="2"/>
  <c r="G300" i="2"/>
  <c r="F300" i="2"/>
  <c r="H300" i="2" s="1"/>
  <c r="E300" i="2"/>
  <c r="D300" i="2"/>
  <c r="C300" i="2"/>
  <c r="B300" i="2"/>
  <c r="A300" i="2"/>
  <c r="M299" i="2"/>
  <c r="L299" i="2"/>
  <c r="K299" i="2"/>
  <c r="J299" i="2"/>
  <c r="G299" i="2"/>
  <c r="F299" i="2"/>
  <c r="H299" i="2" s="1"/>
  <c r="E299" i="2"/>
  <c r="D299" i="2"/>
  <c r="C299" i="2"/>
  <c r="B299" i="2"/>
  <c r="A299" i="2"/>
  <c r="M298" i="2"/>
  <c r="L298" i="2"/>
  <c r="K298" i="2"/>
  <c r="J298" i="2"/>
  <c r="G298" i="2"/>
  <c r="F298" i="2"/>
  <c r="H298" i="2" s="1"/>
  <c r="E298" i="2"/>
  <c r="D298" i="2"/>
  <c r="C298" i="2"/>
  <c r="B298" i="2"/>
  <c r="A298" i="2"/>
  <c r="M297" i="2"/>
  <c r="L297" i="2"/>
  <c r="K297" i="2"/>
  <c r="J297" i="2"/>
  <c r="G297" i="2"/>
  <c r="F297" i="2"/>
  <c r="H297" i="2" s="1"/>
  <c r="E297" i="2"/>
  <c r="D297" i="2"/>
  <c r="C297" i="2"/>
  <c r="B297" i="2"/>
  <c r="A297" i="2"/>
  <c r="M296" i="2"/>
  <c r="L296" i="2"/>
  <c r="K296" i="2"/>
  <c r="J296" i="2"/>
  <c r="G296" i="2"/>
  <c r="F296" i="2"/>
  <c r="H296" i="2" s="1"/>
  <c r="E296" i="2"/>
  <c r="D296" i="2"/>
  <c r="C296" i="2"/>
  <c r="B296" i="2"/>
  <c r="A296" i="2"/>
  <c r="M295" i="2"/>
  <c r="G295" i="2"/>
  <c r="F295" i="2"/>
  <c r="E295" i="2"/>
  <c r="H295" i="2" s="1"/>
  <c r="D295" i="2"/>
  <c r="C295" i="2"/>
  <c r="B295" i="2"/>
  <c r="A295" i="2"/>
  <c r="M294" i="2"/>
  <c r="K294" i="2"/>
  <c r="J294" i="2"/>
  <c r="H294" i="2"/>
  <c r="G294" i="2"/>
  <c r="F294" i="2"/>
  <c r="E294" i="2"/>
  <c r="D294" i="2"/>
  <c r="C294" i="2"/>
  <c r="B294" i="2"/>
  <c r="A294" i="2"/>
  <c r="M293" i="2"/>
  <c r="L293" i="2"/>
  <c r="G293" i="2"/>
  <c r="F293" i="2"/>
  <c r="H293" i="2" s="1"/>
  <c r="E293" i="2"/>
  <c r="D293" i="2"/>
  <c r="C293" i="2"/>
  <c r="B293" i="2"/>
  <c r="A293" i="2"/>
  <c r="M292" i="2"/>
  <c r="L292" i="2"/>
  <c r="K292" i="2"/>
  <c r="J292" i="2"/>
  <c r="G292" i="2"/>
  <c r="F292" i="2"/>
  <c r="H292" i="2" s="1"/>
  <c r="E292" i="2"/>
  <c r="D292" i="2"/>
  <c r="C292" i="2"/>
  <c r="B292" i="2"/>
  <c r="A292" i="2"/>
  <c r="M291" i="2"/>
  <c r="L291" i="2"/>
  <c r="H291" i="2"/>
  <c r="G291" i="2"/>
  <c r="F291" i="2"/>
  <c r="E291" i="2"/>
  <c r="D291" i="2"/>
  <c r="C291" i="2"/>
  <c r="B291" i="2"/>
  <c r="A291" i="2"/>
  <c r="M290" i="2"/>
  <c r="L290" i="2"/>
  <c r="K290" i="2"/>
  <c r="J290" i="2"/>
  <c r="H290" i="2"/>
  <c r="G290" i="2"/>
  <c r="F290" i="2"/>
  <c r="E290" i="2"/>
  <c r="D290" i="2"/>
  <c r="C290" i="2"/>
  <c r="B290" i="2"/>
  <c r="A290" i="2"/>
  <c r="M289" i="2"/>
  <c r="L289" i="2"/>
  <c r="K289" i="2"/>
  <c r="J289" i="2"/>
  <c r="H289" i="2"/>
  <c r="G289" i="2"/>
  <c r="F289" i="2"/>
  <c r="E289" i="2"/>
  <c r="D289" i="2"/>
  <c r="C289" i="2"/>
  <c r="B289" i="2"/>
  <c r="A289" i="2"/>
  <c r="M288" i="2"/>
  <c r="L288" i="2"/>
  <c r="G288" i="2"/>
  <c r="F288" i="2"/>
  <c r="H288" i="2" s="1"/>
  <c r="E288" i="2"/>
  <c r="D288" i="2"/>
  <c r="C288" i="2"/>
  <c r="B288" i="2"/>
  <c r="A288" i="2"/>
  <c r="M287" i="2"/>
  <c r="L287" i="2"/>
  <c r="H287" i="2"/>
  <c r="G287" i="2"/>
  <c r="F287" i="2"/>
  <c r="E287" i="2"/>
  <c r="D287" i="2"/>
  <c r="C287" i="2"/>
  <c r="B287" i="2"/>
  <c r="A287" i="2"/>
  <c r="M286" i="2"/>
  <c r="L286" i="2"/>
  <c r="K286" i="2"/>
  <c r="J286" i="2"/>
  <c r="H286" i="2"/>
  <c r="G286" i="2"/>
  <c r="F286" i="2"/>
  <c r="E286" i="2"/>
  <c r="D286" i="2"/>
  <c r="C286" i="2"/>
  <c r="B286" i="2"/>
  <c r="A286" i="2"/>
  <c r="M285" i="2"/>
  <c r="L285" i="2"/>
  <c r="K285" i="2"/>
  <c r="J285" i="2"/>
  <c r="H285" i="2"/>
  <c r="G285" i="2"/>
  <c r="F285" i="2"/>
  <c r="E285" i="2"/>
  <c r="D285" i="2"/>
  <c r="C285" i="2"/>
  <c r="B285" i="2"/>
  <c r="A285" i="2"/>
  <c r="M284" i="2"/>
  <c r="L284" i="2"/>
  <c r="K284" i="2"/>
  <c r="J284" i="2"/>
  <c r="H284" i="2"/>
  <c r="G284" i="2"/>
  <c r="F284" i="2"/>
  <c r="E284" i="2"/>
  <c r="D284" i="2"/>
  <c r="C284" i="2"/>
  <c r="B284" i="2"/>
  <c r="A284" i="2"/>
  <c r="M283" i="2"/>
  <c r="L283" i="2"/>
  <c r="K283" i="2"/>
  <c r="J283" i="2"/>
  <c r="H283" i="2"/>
  <c r="G283" i="2"/>
  <c r="F283" i="2"/>
  <c r="E283" i="2"/>
  <c r="D283" i="2"/>
  <c r="C283" i="2"/>
  <c r="B283" i="2"/>
  <c r="A283" i="2"/>
  <c r="M282" i="2"/>
  <c r="L282" i="2"/>
  <c r="K282" i="2"/>
  <c r="J282" i="2"/>
  <c r="H282" i="2"/>
  <c r="G282" i="2"/>
  <c r="F282" i="2"/>
  <c r="E282" i="2"/>
  <c r="D282" i="2"/>
  <c r="C282" i="2"/>
  <c r="B282" i="2"/>
  <c r="A282" i="2"/>
  <c r="M281" i="2"/>
  <c r="L281" i="2"/>
  <c r="K281" i="2"/>
  <c r="J281" i="2"/>
  <c r="H281" i="2"/>
  <c r="G281" i="2"/>
  <c r="F281" i="2"/>
  <c r="E281" i="2"/>
  <c r="D281" i="2"/>
  <c r="C281" i="2"/>
  <c r="B281" i="2"/>
  <c r="A281" i="2"/>
  <c r="M280" i="2"/>
  <c r="L280" i="2"/>
  <c r="K280" i="2"/>
  <c r="J280" i="2"/>
  <c r="H280" i="2"/>
  <c r="G280" i="2"/>
  <c r="F280" i="2"/>
  <c r="E280" i="2"/>
  <c r="D280" i="2"/>
  <c r="C280" i="2"/>
  <c r="B280" i="2"/>
  <c r="A280" i="2"/>
  <c r="M279" i="2"/>
  <c r="L279" i="2"/>
  <c r="G279" i="2"/>
  <c r="F279" i="2"/>
  <c r="H279" i="2" s="1"/>
  <c r="E279" i="2"/>
  <c r="D279" i="2"/>
  <c r="C279" i="2"/>
  <c r="B279" i="2"/>
  <c r="A279" i="2"/>
  <c r="M278" i="2"/>
  <c r="L278" i="2"/>
  <c r="K278" i="2"/>
  <c r="J278" i="2"/>
  <c r="G278" i="2"/>
  <c r="F278" i="2"/>
  <c r="H278" i="2" s="1"/>
  <c r="E278" i="2"/>
  <c r="D278" i="2"/>
  <c r="C278" i="2"/>
  <c r="B278" i="2"/>
  <c r="A278" i="2"/>
  <c r="M277" i="2"/>
  <c r="L277" i="2"/>
  <c r="K277" i="2"/>
  <c r="J277" i="2"/>
  <c r="G277" i="2"/>
  <c r="F277" i="2"/>
  <c r="H277" i="2" s="1"/>
  <c r="E277" i="2"/>
  <c r="D277" i="2"/>
  <c r="C277" i="2"/>
  <c r="B277" i="2"/>
  <c r="A277" i="2"/>
  <c r="M276" i="2"/>
  <c r="L276" i="2"/>
  <c r="K276" i="2"/>
  <c r="J276" i="2"/>
  <c r="G276" i="2"/>
  <c r="F276" i="2"/>
  <c r="H276" i="2" s="1"/>
  <c r="E276" i="2"/>
  <c r="D276" i="2"/>
  <c r="C276" i="2"/>
  <c r="B276" i="2"/>
  <c r="A276" i="2"/>
  <c r="M275" i="2"/>
  <c r="L275" i="2"/>
  <c r="K275" i="2"/>
  <c r="J275" i="2"/>
  <c r="G275" i="2"/>
  <c r="F275" i="2"/>
  <c r="H275" i="2" s="1"/>
  <c r="E275" i="2"/>
  <c r="D275" i="2"/>
  <c r="C275" i="2"/>
  <c r="B275" i="2"/>
  <c r="A275" i="2"/>
  <c r="M274" i="2"/>
  <c r="L274" i="2"/>
  <c r="K274" i="2"/>
  <c r="J274" i="2"/>
  <c r="G274" i="2"/>
  <c r="F274" i="2"/>
  <c r="H274" i="2" s="1"/>
  <c r="E274" i="2"/>
  <c r="D274" i="2"/>
  <c r="C274" i="2"/>
  <c r="B274" i="2"/>
  <c r="A274" i="2"/>
  <c r="M273" i="2"/>
  <c r="L273" i="2"/>
  <c r="K273" i="2"/>
  <c r="J273" i="2"/>
  <c r="G273" i="2"/>
  <c r="F273" i="2"/>
  <c r="H273" i="2" s="1"/>
  <c r="E273" i="2"/>
  <c r="D273" i="2"/>
  <c r="C273" i="2"/>
  <c r="B273" i="2"/>
  <c r="A273" i="2"/>
  <c r="M272" i="2"/>
  <c r="L272" i="2"/>
  <c r="K272" i="2"/>
  <c r="J272" i="2"/>
  <c r="G272" i="2"/>
  <c r="F272" i="2"/>
  <c r="H272" i="2" s="1"/>
  <c r="E272" i="2"/>
  <c r="D272" i="2"/>
  <c r="C272" i="2"/>
  <c r="B272" i="2"/>
  <c r="A272" i="2"/>
  <c r="M271" i="2"/>
  <c r="L271" i="2"/>
  <c r="H271" i="2"/>
  <c r="G271" i="2"/>
  <c r="F271" i="2"/>
  <c r="E271" i="2"/>
  <c r="D271" i="2"/>
  <c r="C271" i="2"/>
  <c r="B271" i="2"/>
  <c r="A271" i="2"/>
  <c r="M270" i="2"/>
  <c r="L270" i="2"/>
  <c r="K270" i="2"/>
  <c r="J270" i="2"/>
  <c r="H270" i="2"/>
  <c r="G270" i="2"/>
  <c r="F270" i="2"/>
  <c r="E270" i="2"/>
  <c r="D270" i="2"/>
  <c r="C270" i="2"/>
  <c r="B270" i="2"/>
  <c r="A270" i="2"/>
  <c r="M269" i="2"/>
  <c r="L269" i="2"/>
  <c r="K269" i="2"/>
  <c r="J269" i="2"/>
  <c r="H269" i="2"/>
  <c r="G269" i="2"/>
  <c r="F269" i="2"/>
  <c r="E269" i="2"/>
  <c r="D269" i="2"/>
  <c r="C269" i="2"/>
  <c r="B269" i="2"/>
  <c r="A269" i="2"/>
  <c r="M268" i="2"/>
  <c r="L268" i="2"/>
  <c r="K268" i="2"/>
  <c r="J268" i="2"/>
  <c r="H268" i="2"/>
  <c r="G268" i="2"/>
  <c r="F268" i="2"/>
  <c r="E268" i="2"/>
  <c r="D268" i="2"/>
  <c r="C268" i="2"/>
  <c r="B268" i="2"/>
  <c r="A268" i="2"/>
  <c r="M267" i="2"/>
  <c r="L267" i="2"/>
  <c r="K267" i="2"/>
  <c r="J267" i="2"/>
  <c r="H267" i="2"/>
  <c r="G267" i="2"/>
  <c r="F267" i="2"/>
  <c r="E267" i="2"/>
  <c r="D267" i="2"/>
  <c r="C267" i="2"/>
  <c r="B267" i="2"/>
  <c r="A267" i="2"/>
  <c r="M266" i="2"/>
  <c r="L266" i="2"/>
  <c r="G266" i="2"/>
  <c r="F266" i="2"/>
  <c r="H266" i="2" s="1"/>
  <c r="E266" i="2"/>
  <c r="D266" i="2"/>
  <c r="C266" i="2"/>
  <c r="B266" i="2"/>
  <c r="A266" i="2"/>
  <c r="M265" i="2"/>
  <c r="L265" i="2"/>
  <c r="H265" i="2"/>
  <c r="G265" i="2"/>
  <c r="F265" i="2"/>
  <c r="E265" i="2"/>
  <c r="D265" i="2"/>
  <c r="C265" i="2"/>
  <c r="B265" i="2"/>
  <c r="A265" i="2"/>
  <c r="M264" i="2"/>
  <c r="L264" i="2"/>
  <c r="G264" i="2"/>
  <c r="F264" i="2"/>
  <c r="H264" i="2" s="1"/>
  <c r="E264" i="2"/>
  <c r="D264" i="2"/>
  <c r="C264" i="2"/>
  <c r="B264" i="2"/>
  <c r="A264" i="2"/>
  <c r="M263" i="2"/>
  <c r="L263" i="2"/>
  <c r="H263" i="2"/>
  <c r="G263" i="2"/>
  <c r="F263" i="2"/>
  <c r="E263" i="2"/>
  <c r="D263" i="2"/>
  <c r="C263" i="2"/>
  <c r="B263" i="2"/>
  <c r="A263" i="2"/>
  <c r="M262" i="2"/>
  <c r="G262" i="2"/>
  <c r="F262" i="2"/>
  <c r="E262" i="2"/>
  <c r="H262" i="2" s="1"/>
  <c r="D262" i="2"/>
  <c r="C262" i="2"/>
  <c r="B262" i="2"/>
  <c r="A262" i="2"/>
  <c r="M261" i="2"/>
  <c r="L261" i="2"/>
  <c r="K261" i="2"/>
  <c r="J261" i="2"/>
  <c r="G261" i="2"/>
  <c r="F261" i="2"/>
  <c r="E261" i="2"/>
  <c r="D261" i="2"/>
  <c r="C261" i="2"/>
  <c r="B261" i="2"/>
  <c r="A261" i="2"/>
  <c r="M260" i="2"/>
  <c r="L260" i="2"/>
  <c r="K260" i="2"/>
  <c r="J260" i="2"/>
  <c r="G260" i="2"/>
  <c r="F260" i="2"/>
  <c r="E260" i="2"/>
  <c r="D260" i="2"/>
  <c r="C260" i="2"/>
  <c r="B260" i="2"/>
  <c r="A260" i="2"/>
  <c r="M259" i="2"/>
  <c r="L259" i="2"/>
  <c r="K259" i="2"/>
  <c r="J259" i="2"/>
  <c r="G259" i="2"/>
  <c r="F259" i="2"/>
  <c r="E259" i="2"/>
  <c r="H259" i="2" s="1"/>
  <c r="D259" i="2"/>
  <c r="C259" i="2"/>
  <c r="B259" i="2"/>
  <c r="A259" i="2"/>
  <c r="M258" i="2"/>
  <c r="L258" i="2"/>
  <c r="K258" i="2"/>
  <c r="J258" i="2"/>
  <c r="G258" i="2"/>
  <c r="F258" i="2"/>
  <c r="E258" i="2"/>
  <c r="H258" i="2" s="1"/>
  <c r="D258" i="2"/>
  <c r="C258" i="2"/>
  <c r="B258" i="2"/>
  <c r="A258" i="2"/>
  <c r="M257" i="2"/>
  <c r="K257" i="2"/>
  <c r="J257" i="2"/>
  <c r="H257" i="2"/>
  <c r="G257" i="2"/>
  <c r="F257" i="2"/>
  <c r="E257" i="2"/>
  <c r="D257" i="2"/>
  <c r="C257" i="2"/>
  <c r="B257" i="2"/>
  <c r="A257" i="2"/>
  <c r="M256" i="2"/>
  <c r="L256" i="2"/>
  <c r="K256" i="2"/>
  <c r="J256" i="2"/>
  <c r="H256" i="2"/>
  <c r="G256" i="2"/>
  <c r="F256" i="2"/>
  <c r="E256" i="2"/>
  <c r="D256" i="2"/>
  <c r="C256" i="2"/>
  <c r="B256" i="2"/>
  <c r="A256" i="2"/>
  <c r="M255" i="2"/>
  <c r="L255" i="2"/>
  <c r="K255" i="2"/>
  <c r="J255" i="2"/>
  <c r="H255" i="2"/>
  <c r="G255" i="2"/>
  <c r="F255" i="2"/>
  <c r="E255" i="2"/>
  <c r="D255" i="2"/>
  <c r="C255" i="2"/>
  <c r="B255" i="2"/>
  <c r="A255" i="2"/>
  <c r="M254" i="2"/>
  <c r="L254" i="2"/>
  <c r="K254" i="2"/>
  <c r="J254" i="2"/>
  <c r="H254" i="2"/>
  <c r="G254" i="2"/>
  <c r="F254" i="2"/>
  <c r="E254" i="2"/>
  <c r="D254" i="2"/>
  <c r="C254" i="2"/>
  <c r="B254" i="2"/>
  <c r="A254" i="2"/>
  <c r="M253" i="2"/>
  <c r="L253" i="2"/>
  <c r="K253" i="2"/>
  <c r="J253" i="2"/>
  <c r="H253" i="2"/>
  <c r="G253" i="2"/>
  <c r="F253" i="2"/>
  <c r="E253" i="2"/>
  <c r="D253" i="2"/>
  <c r="C253" i="2"/>
  <c r="B253" i="2"/>
  <c r="A253" i="2"/>
  <c r="M252" i="2"/>
  <c r="L252" i="2"/>
  <c r="K252" i="2"/>
  <c r="J252" i="2"/>
  <c r="H252" i="2"/>
  <c r="G252" i="2"/>
  <c r="F252" i="2"/>
  <c r="E252" i="2"/>
  <c r="D252" i="2"/>
  <c r="C252" i="2"/>
  <c r="B252" i="2"/>
  <c r="A252" i="2"/>
  <c r="M251" i="2"/>
  <c r="L251" i="2"/>
  <c r="K251" i="2"/>
  <c r="J251" i="2"/>
  <c r="H251" i="2"/>
  <c r="G251" i="2"/>
  <c r="F251" i="2"/>
  <c r="E251" i="2"/>
  <c r="D251" i="2"/>
  <c r="C251" i="2"/>
  <c r="B251" i="2"/>
  <c r="A251" i="2"/>
  <c r="M250" i="2"/>
  <c r="L250" i="2"/>
  <c r="K250" i="2"/>
  <c r="J250" i="2"/>
  <c r="H250" i="2"/>
  <c r="G250" i="2"/>
  <c r="F250" i="2"/>
  <c r="E250" i="2"/>
  <c r="D250" i="2"/>
  <c r="C250" i="2"/>
  <c r="B250" i="2"/>
  <c r="A250" i="2"/>
  <c r="M249" i="2"/>
  <c r="L249" i="2"/>
  <c r="K249" i="2"/>
  <c r="J249" i="2"/>
  <c r="H249" i="2"/>
  <c r="G249" i="2"/>
  <c r="F249" i="2"/>
  <c r="E249" i="2"/>
  <c r="D249" i="2"/>
  <c r="C249" i="2"/>
  <c r="B249" i="2"/>
  <c r="A249" i="2"/>
  <c r="M248" i="2"/>
  <c r="L248" i="2"/>
  <c r="K248" i="2"/>
  <c r="J248" i="2"/>
  <c r="H248" i="2"/>
  <c r="G248" i="2"/>
  <c r="F248" i="2"/>
  <c r="E248" i="2"/>
  <c r="D248" i="2"/>
  <c r="C248" i="2"/>
  <c r="B248" i="2"/>
  <c r="A248" i="2"/>
  <c r="M247" i="2"/>
  <c r="L247" i="2"/>
  <c r="K247" i="2"/>
  <c r="J247" i="2"/>
  <c r="H247" i="2"/>
  <c r="G247" i="2"/>
  <c r="F247" i="2"/>
  <c r="E247" i="2"/>
  <c r="D247" i="2"/>
  <c r="C247" i="2"/>
  <c r="B247" i="2"/>
  <c r="A247" i="2"/>
  <c r="M246" i="2"/>
  <c r="L246" i="2"/>
  <c r="K246" i="2"/>
  <c r="J246" i="2"/>
  <c r="H246" i="2"/>
  <c r="G246" i="2"/>
  <c r="F246" i="2"/>
  <c r="E246" i="2"/>
  <c r="D246" i="2"/>
  <c r="C246" i="2"/>
  <c r="B246" i="2"/>
  <c r="A246" i="2"/>
  <c r="M245" i="2"/>
  <c r="L245" i="2"/>
  <c r="K245" i="2"/>
  <c r="J245" i="2"/>
  <c r="H245" i="2"/>
  <c r="G245" i="2"/>
  <c r="F245" i="2"/>
  <c r="E245" i="2"/>
  <c r="D245" i="2"/>
  <c r="C245" i="2"/>
  <c r="B245" i="2"/>
  <c r="A245" i="2"/>
  <c r="M244" i="2"/>
  <c r="L244" i="2"/>
  <c r="K244" i="2"/>
  <c r="J244" i="2"/>
  <c r="H244" i="2"/>
  <c r="G244" i="2"/>
  <c r="F244" i="2"/>
  <c r="E244" i="2"/>
  <c r="D244" i="2"/>
  <c r="C244" i="2"/>
  <c r="B244" i="2"/>
  <c r="A244" i="2"/>
  <c r="M243" i="2"/>
  <c r="L243" i="2"/>
  <c r="K243" i="2"/>
  <c r="J243" i="2"/>
  <c r="H243" i="2"/>
  <c r="G243" i="2"/>
  <c r="F243" i="2"/>
  <c r="E243" i="2"/>
  <c r="D243" i="2"/>
  <c r="C243" i="2"/>
  <c r="B243" i="2"/>
  <c r="A243" i="2"/>
  <c r="M242" i="2"/>
  <c r="K242" i="2"/>
  <c r="J242" i="2"/>
  <c r="G242" i="2"/>
  <c r="F242" i="2"/>
  <c r="E242" i="2"/>
  <c r="H242" i="2" s="1"/>
  <c r="D242" i="2"/>
  <c r="C242" i="2"/>
  <c r="B242" i="2"/>
  <c r="A242" i="2"/>
  <c r="M241" i="2"/>
  <c r="L241" i="2"/>
  <c r="K241" i="2"/>
  <c r="J241" i="2"/>
  <c r="G241" i="2"/>
  <c r="F241" i="2"/>
  <c r="E241" i="2"/>
  <c r="H241" i="2" s="1"/>
  <c r="D241" i="2"/>
  <c r="C241" i="2"/>
  <c r="B241" i="2"/>
  <c r="A241" i="2"/>
  <c r="M240" i="2"/>
  <c r="L240" i="2"/>
  <c r="K240" i="2"/>
  <c r="J240" i="2"/>
  <c r="G240" i="2"/>
  <c r="F240" i="2"/>
  <c r="E240" i="2"/>
  <c r="D240" i="2"/>
  <c r="C240" i="2"/>
  <c r="B240" i="2"/>
  <c r="A240" i="2"/>
  <c r="M239" i="2"/>
  <c r="L239" i="2"/>
  <c r="K239" i="2"/>
  <c r="J239" i="2"/>
  <c r="G239" i="2"/>
  <c r="F239" i="2"/>
  <c r="E239" i="2"/>
  <c r="D239" i="2"/>
  <c r="C239" i="2"/>
  <c r="B239" i="2"/>
  <c r="A239" i="2"/>
  <c r="M238" i="2"/>
  <c r="L238" i="2"/>
  <c r="K238" i="2"/>
  <c r="J238" i="2"/>
  <c r="G238" i="2"/>
  <c r="F238" i="2"/>
  <c r="E238" i="2"/>
  <c r="H238" i="2" s="1"/>
  <c r="D238" i="2"/>
  <c r="C238" i="2"/>
  <c r="B238" i="2"/>
  <c r="A238" i="2"/>
  <c r="M237" i="2"/>
  <c r="L237" i="2"/>
  <c r="K237" i="2"/>
  <c r="J237" i="2"/>
  <c r="G237" i="2"/>
  <c r="F237" i="2"/>
  <c r="E237" i="2"/>
  <c r="H237" i="2" s="1"/>
  <c r="D237" i="2"/>
  <c r="C237" i="2"/>
  <c r="B237" i="2"/>
  <c r="A237" i="2"/>
  <c r="M236" i="2"/>
  <c r="L236" i="2"/>
  <c r="K236" i="2"/>
  <c r="J236" i="2"/>
  <c r="G236" i="2"/>
  <c r="F236" i="2"/>
  <c r="E236" i="2"/>
  <c r="D236" i="2"/>
  <c r="C236" i="2"/>
  <c r="B236" i="2"/>
  <c r="A236" i="2"/>
  <c r="M235" i="2"/>
  <c r="L235" i="2"/>
  <c r="K235" i="2"/>
  <c r="J235" i="2"/>
  <c r="G235" i="2"/>
  <c r="F235" i="2"/>
  <c r="E235" i="2"/>
  <c r="D235" i="2"/>
  <c r="C235" i="2"/>
  <c r="B235" i="2"/>
  <c r="A235" i="2"/>
  <c r="M234" i="2"/>
  <c r="L234" i="2"/>
  <c r="K234" i="2"/>
  <c r="J234" i="2"/>
  <c r="G234" i="2"/>
  <c r="F234" i="2"/>
  <c r="E234" i="2"/>
  <c r="H234" i="2" s="1"/>
  <c r="D234" i="2"/>
  <c r="C234" i="2"/>
  <c r="B234" i="2"/>
  <c r="A234" i="2"/>
  <c r="M233" i="2"/>
  <c r="L233" i="2"/>
  <c r="K233" i="2"/>
  <c r="J233" i="2"/>
  <c r="G233" i="2"/>
  <c r="F233" i="2"/>
  <c r="E233" i="2"/>
  <c r="H233" i="2" s="1"/>
  <c r="D233" i="2"/>
  <c r="C233" i="2"/>
  <c r="B233" i="2"/>
  <c r="A233" i="2"/>
  <c r="M232" i="2"/>
  <c r="L232" i="2"/>
  <c r="K232" i="2"/>
  <c r="J232" i="2"/>
  <c r="G232" i="2"/>
  <c r="F232" i="2"/>
  <c r="E232" i="2"/>
  <c r="D232" i="2"/>
  <c r="C232" i="2"/>
  <c r="B232" i="2"/>
  <c r="A232" i="2"/>
  <c r="M231" i="2"/>
  <c r="L231" i="2"/>
  <c r="K231" i="2"/>
  <c r="J231" i="2"/>
  <c r="G231" i="2"/>
  <c r="F231" i="2"/>
  <c r="E231" i="2"/>
  <c r="D231" i="2"/>
  <c r="C231" i="2"/>
  <c r="B231" i="2"/>
  <c r="A231" i="2"/>
  <c r="M230" i="2"/>
  <c r="L230" i="2"/>
  <c r="K230" i="2"/>
  <c r="J230" i="2"/>
  <c r="G230" i="2"/>
  <c r="F230" i="2"/>
  <c r="E230" i="2"/>
  <c r="H230" i="2" s="1"/>
  <c r="D230" i="2"/>
  <c r="C230" i="2"/>
  <c r="B230" i="2"/>
  <c r="A230" i="2"/>
  <c r="M229" i="2"/>
  <c r="L229" i="2"/>
  <c r="K229" i="2"/>
  <c r="J229" i="2"/>
  <c r="G229" i="2"/>
  <c r="F229" i="2"/>
  <c r="E229" i="2"/>
  <c r="H229" i="2" s="1"/>
  <c r="D229" i="2"/>
  <c r="C229" i="2"/>
  <c r="B229" i="2"/>
  <c r="A229" i="2"/>
  <c r="M228" i="2"/>
  <c r="L228" i="2"/>
  <c r="K228" i="2"/>
  <c r="J228" i="2"/>
  <c r="G228" i="2"/>
  <c r="F228" i="2"/>
  <c r="E228" i="2"/>
  <c r="D228" i="2"/>
  <c r="C228" i="2"/>
  <c r="B228" i="2"/>
  <c r="A228" i="2"/>
  <c r="M227" i="2"/>
  <c r="L227" i="2"/>
  <c r="G227" i="2"/>
  <c r="F227" i="2"/>
  <c r="E227" i="2"/>
  <c r="H227" i="2" s="1"/>
  <c r="D227" i="2"/>
  <c r="C227" i="2"/>
  <c r="B227" i="2"/>
  <c r="A227" i="2"/>
  <c r="M226" i="2"/>
  <c r="L226" i="2"/>
  <c r="G226" i="2"/>
  <c r="F226" i="2"/>
  <c r="E226" i="2"/>
  <c r="H226" i="2" s="1"/>
  <c r="D226" i="2"/>
  <c r="C226" i="2"/>
  <c r="B226" i="2"/>
  <c r="A226" i="2"/>
  <c r="M225" i="2"/>
  <c r="L225" i="2"/>
  <c r="G225" i="2"/>
  <c r="F225" i="2"/>
  <c r="E225" i="2"/>
  <c r="D225" i="2"/>
  <c r="C225" i="2"/>
  <c r="B225" i="2"/>
  <c r="A225" i="2"/>
  <c r="M224" i="2"/>
  <c r="L224" i="2"/>
  <c r="K224" i="2"/>
  <c r="J224" i="2"/>
  <c r="G224" i="2"/>
  <c r="F224" i="2"/>
  <c r="E224" i="2"/>
  <c r="H224" i="2" s="1"/>
  <c r="D224" i="2"/>
  <c r="C224" i="2"/>
  <c r="B224" i="2"/>
  <c r="A224" i="2"/>
  <c r="M223" i="2"/>
  <c r="L223" i="2"/>
  <c r="K223" i="2"/>
  <c r="J223" i="2"/>
  <c r="G223" i="2"/>
  <c r="F223" i="2"/>
  <c r="E223" i="2"/>
  <c r="H223" i="2" s="1"/>
  <c r="D223" i="2"/>
  <c r="C223" i="2"/>
  <c r="B223" i="2"/>
  <c r="A223" i="2"/>
  <c r="M222" i="2"/>
  <c r="L222" i="2"/>
  <c r="K222" i="2"/>
  <c r="J222" i="2"/>
  <c r="G222" i="2"/>
  <c r="F222" i="2"/>
  <c r="E222" i="2"/>
  <c r="D222" i="2"/>
  <c r="C222" i="2"/>
  <c r="B222" i="2"/>
  <c r="A222" i="2"/>
  <c r="M221" i="2"/>
  <c r="L221" i="2"/>
  <c r="K221" i="2"/>
  <c r="J221" i="2"/>
  <c r="G221" i="2"/>
  <c r="F221" i="2"/>
  <c r="E221" i="2"/>
  <c r="D221" i="2"/>
  <c r="C221" i="2"/>
  <c r="B221" i="2"/>
  <c r="A221" i="2"/>
  <c r="M220" i="2"/>
  <c r="L220" i="2"/>
  <c r="G220" i="2"/>
  <c r="F220" i="2"/>
  <c r="E220" i="2"/>
  <c r="D220" i="2"/>
  <c r="C220" i="2"/>
  <c r="B220" i="2"/>
  <c r="A220" i="2"/>
  <c r="M219" i="2"/>
  <c r="L219" i="2"/>
  <c r="G219" i="2"/>
  <c r="F219" i="2"/>
  <c r="E219" i="2"/>
  <c r="H219" i="2" s="1"/>
  <c r="D219" i="2"/>
  <c r="C219" i="2"/>
  <c r="B219" i="2"/>
  <c r="A219" i="2"/>
  <c r="M218" i="2"/>
  <c r="L218" i="2"/>
  <c r="G218" i="2"/>
  <c r="F218" i="2"/>
  <c r="E218" i="2"/>
  <c r="H218" i="2" s="1"/>
  <c r="D218" i="2"/>
  <c r="C218" i="2"/>
  <c r="B218" i="2"/>
  <c r="A218" i="2"/>
  <c r="M217" i="2"/>
  <c r="L217" i="2"/>
  <c r="G217" i="2"/>
  <c r="F217" i="2"/>
  <c r="E217" i="2"/>
  <c r="D217" i="2"/>
  <c r="C217" i="2"/>
  <c r="B217" i="2"/>
  <c r="A217" i="2"/>
  <c r="M216" i="2"/>
  <c r="L216" i="2"/>
  <c r="G216" i="2"/>
  <c r="F216" i="2"/>
  <c r="E216" i="2"/>
  <c r="D216" i="2"/>
  <c r="C216" i="2"/>
  <c r="B216" i="2"/>
  <c r="A216" i="2"/>
  <c r="M215" i="2"/>
  <c r="L215" i="2"/>
  <c r="K215" i="2"/>
  <c r="J215" i="2"/>
  <c r="G215" i="2"/>
  <c r="F215" i="2"/>
  <c r="E215" i="2"/>
  <c r="D215" i="2"/>
  <c r="C215" i="2"/>
  <c r="B215" i="2"/>
  <c r="A215" i="2"/>
  <c r="M214" i="2"/>
  <c r="L214" i="2"/>
  <c r="K214" i="2"/>
  <c r="J214" i="2"/>
  <c r="G214" i="2"/>
  <c r="F214" i="2"/>
  <c r="E214" i="2"/>
  <c r="H214" i="2" s="1"/>
  <c r="D214" i="2"/>
  <c r="C214" i="2"/>
  <c r="B214" i="2"/>
  <c r="A214" i="2"/>
  <c r="M213" i="2"/>
  <c r="L213" i="2"/>
  <c r="K213" i="2"/>
  <c r="J213" i="2"/>
  <c r="G213" i="2"/>
  <c r="F213" i="2"/>
  <c r="E213" i="2"/>
  <c r="H213" i="2" s="1"/>
  <c r="D213" i="2"/>
  <c r="C213" i="2"/>
  <c r="B213" i="2"/>
  <c r="A213" i="2"/>
  <c r="M212" i="2"/>
  <c r="L212" i="2"/>
  <c r="K212" i="2"/>
  <c r="J212" i="2"/>
  <c r="G212" i="2"/>
  <c r="F212" i="2"/>
  <c r="E212" i="2"/>
  <c r="D212" i="2"/>
  <c r="C212" i="2"/>
  <c r="B212" i="2"/>
  <c r="A212" i="2"/>
  <c r="M211" i="2"/>
  <c r="L211" i="2"/>
  <c r="K211" i="2"/>
  <c r="J211" i="2"/>
  <c r="G211" i="2"/>
  <c r="F211" i="2"/>
  <c r="E211" i="2"/>
  <c r="D211" i="2"/>
  <c r="C211" i="2"/>
  <c r="B211" i="2"/>
  <c r="A211" i="2"/>
  <c r="M210" i="2"/>
  <c r="L210" i="2"/>
  <c r="K210" i="2"/>
  <c r="J210" i="2"/>
  <c r="G210" i="2"/>
  <c r="F210" i="2"/>
  <c r="E210" i="2"/>
  <c r="H210" i="2" s="1"/>
  <c r="D210" i="2"/>
  <c r="C210" i="2"/>
  <c r="B210" i="2"/>
  <c r="A210" i="2"/>
  <c r="M209" i="2"/>
  <c r="L209" i="2"/>
  <c r="K209" i="2"/>
  <c r="J209" i="2"/>
  <c r="G209" i="2"/>
  <c r="F209" i="2"/>
  <c r="E209" i="2"/>
  <c r="H209" i="2" s="1"/>
  <c r="D209" i="2"/>
  <c r="C209" i="2"/>
  <c r="B209" i="2"/>
  <c r="A209" i="2"/>
  <c r="M208" i="2"/>
  <c r="L208" i="2"/>
  <c r="K208" i="2"/>
  <c r="J208" i="2"/>
  <c r="G208" i="2"/>
  <c r="F208" i="2"/>
  <c r="E208" i="2"/>
  <c r="D208" i="2"/>
  <c r="C208" i="2"/>
  <c r="B208" i="2"/>
  <c r="A208" i="2"/>
  <c r="M207" i="2"/>
  <c r="L207" i="2"/>
  <c r="K207" i="2"/>
  <c r="J207" i="2"/>
  <c r="G207" i="2"/>
  <c r="F207" i="2"/>
  <c r="E207" i="2"/>
  <c r="D207" i="2"/>
  <c r="C207" i="2"/>
  <c r="B207" i="2"/>
  <c r="A207" i="2"/>
  <c r="M206" i="2"/>
  <c r="L206" i="2"/>
  <c r="G206" i="2"/>
  <c r="F206" i="2"/>
  <c r="E206" i="2"/>
  <c r="D206" i="2"/>
  <c r="C206" i="2"/>
  <c r="B206" i="2"/>
  <c r="A206" i="2"/>
  <c r="M205" i="2"/>
  <c r="L205" i="2"/>
  <c r="G205" i="2"/>
  <c r="F205" i="2"/>
  <c r="E205" i="2"/>
  <c r="H205" i="2" s="1"/>
  <c r="D205" i="2"/>
  <c r="C205" i="2"/>
  <c r="B205" i="2"/>
  <c r="A205" i="2"/>
  <c r="M204" i="2"/>
  <c r="L204" i="2"/>
  <c r="G204" i="2"/>
  <c r="F204" i="2"/>
  <c r="E204" i="2"/>
  <c r="H204" i="2" s="1"/>
  <c r="D204" i="2"/>
  <c r="C204" i="2"/>
  <c r="B204" i="2"/>
  <c r="A204" i="2"/>
  <c r="M203" i="2"/>
  <c r="L203" i="2"/>
  <c r="G203" i="2"/>
  <c r="F203" i="2"/>
  <c r="E203" i="2"/>
  <c r="D203" i="2"/>
  <c r="C203" i="2"/>
  <c r="B203" i="2"/>
  <c r="A203" i="2"/>
  <c r="M202" i="2"/>
  <c r="L202" i="2"/>
  <c r="G202" i="2"/>
  <c r="F202" i="2"/>
  <c r="E202" i="2"/>
  <c r="D202" i="2"/>
  <c r="C202" i="2"/>
  <c r="B202" i="2"/>
  <c r="A202" i="2"/>
  <c r="M201" i="2"/>
  <c r="L201" i="2"/>
  <c r="G201" i="2"/>
  <c r="F201" i="2"/>
  <c r="E201" i="2"/>
  <c r="H201" i="2" s="1"/>
  <c r="D201" i="2"/>
  <c r="C201" i="2"/>
  <c r="B201" i="2"/>
  <c r="A201" i="2"/>
  <c r="M200" i="2"/>
  <c r="L200" i="2"/>
  <c r="G200" i="2"/>
  <c r="F200" i="2"/>
  <c r="E200" i="2"/>
  <c r="H200" i="2" s="1"/>
  <c r="D200" i="2"/>
  <c r="C200" i="2"/>
  <c r="B200" i="2"/>
  <c r="A200" i="2"/>
  <c r="M199" i="2"/>
  <c r="L199" i="2"/>
  <c r="G199" i="2"/>
  <c r="F199" i="2"/>
  <c r="E199" i="2"/>
  <c r="D199" i="2"/>
  <c r="C199" i="2"/>
  <c r="B199" i="2"/>
  <c r="A199" i="2"/>
  <c r="M198" i="2"/>
  <c r="L198" i="2"/>
  <c r="G198" i="2"/>
  <c r="F198" i="2"/>
  <c r="E198" i="2"/>
  <c r="D198" i="2"/>
  <c r="C198" i="2"/>
  <c r="B198" i="2"/>
  <c r="A198" i="2"/>
  <c r="M197" i="2"/>
  <c r="L197" i="2"/>
  <c r="G197" i="2"/>
  <c r="F197" i="2"/>
  <c r="E197" i="2"/>
  <c r="H197" i="2" s="1"/>
  <c r="D197" i="2"/>
  <c r="C197" i="2"/>
  <c r="B197" i="2"/>
  <c r="A197" i="2"/>
  <c r="M196" i="2"/>
  <c r="L196" i="2"/>
  <c r="K196" i="2"/>
  <c r="J196" i="2"/>
  <c r="G196" i="2"/>
  <c r="F196" i="2"/>
  <c r="E196" i="2"/>
  <c r="D196" i="2"/>
  <c r="C196" i="2"/>
  <c r="B196" i="2"/>
  <c r="A196" i="2"/>
  <c r="M195" i="2"/>
  <c r="L195" i="2"/>
  <c r="K195" i="2"/>
  <c r="J195" i="2"/>
  <c r="G195" i="2"/>
  <c r="F195" i="2"/>
  <c r="E195" i="2"/>
  <c r="D195" i="2"/>
  <c r="C195" i="2"/>
  <c r="B195" i="2"/>
  <c r="A195" i="2"/>
  <c r="M194" i="2"/>
  <c r="L194" i="2"/>
  <c r="K194" i="2"/>
  <c r="J194" i="2"/>
  <c r="G194" i="2"/>
  <c r="F194" i="2"/>
  <c r="E194" i="2"/>
  <c r="H194" i="2" s="1"/>
  <c r="D194" i="2"/>
  <c r="C194" i="2"/>
  <c r="B194" i="2"/>
  <c r="A194" i="2"/>
  <c r="M193" i="2"/>
  <c r="L193" i="2"/>
  <c r="K193" i="2"/>
  <c r="J193" i="2"/>
  <c r="G193" i="2"/>
  <c r="F193" i="2"/>
  <c r="E193" i="2"/>
  <c r="H193" i="2" s="1"/>
  <c r="D193" i="2"/>
  <c r="C193" i="2"/>
  <c r="B193" i="2"/>
  <c r="A193" i="2"/>
  <c r="M192" i="2"/>
  <c r="L192" i="2"/>
  <c r="K192" i="2"/>
  <c r="J192" i="2"/>
  <c r="G192" i="2"/>
  <c r="F192" i="2"/>
  <c r="E192" i="2"/>
  <c r="D192" i="2"/>
  <c r="C192" i="2"/>
  <c r="B192" i="2"/>
  <c r="A192" i="2"/>
  <c r="M191" i="2"/>
  <c r="L191" i="2"/>
  <c r="K191" i="2"/>
  <c r="J191" i="2"/>
  <c r="G191" i="2"/>
  <c r="F191" i="2"/>
  <c r="E191" i="2"/>
  <c r="D191" i="2"/>
  <c r="C191" i="2"/>
  <c r="B191" i="2"/>
  <c r="A191" i="2"/>
  <c r="M190" i="2"/>
  <c r="L190" i="2"/>
  <c r="K190" i="2"/>
  <c r="J190" i="2"/>
  <c r="G190" i="2"/>
  <c r="F190" i="2"/>
  <c r="E190" i="2"/>
  <c r="H190" i="2" s="1"/>
  <c r="D190" i="2"/>
  <c r="C190" i="2"/>
  <c r="B190" i="2"/>
  <c r="A190" i="2"/>
  <c r="M189" i="2"/>
  <c r="L189" i="2"/>
  <c r="K189" i="2"/>
  <c r="J189" i="2"/>
  <c r="G189" i="2"/>
  <c r="F189" i="2"/>
  <c r="E189" i="2"/>
  <c r="H189" i="2" s="1"/>
  <c r="D189" i="2"/>
  <c r="C189" i="2"/>
  <c r="B189" i="2"/>
  <c r="A189" i="2"/>
  <c r="M188" i="2"/>
  <c r="L188" i="2"/>
  <c r="K188" i="2"/>
  <c r="J188" i="2"/>
  <c r="G188" i="2"/>
  <c r="F188" i="2"/>
  <c r="E188" i="2"/>
  <c r="D188" i="2"/>
  <c r="C188" i="2"/>
  <c r="B188" i="2"/>
  <c r="A188" i="2"/>
  <c r="M187" i="2"/>
  <c r="L187" i="2"/>
  <c r="K187" i="2"/>
  <c r="J187" i="2"/>
  <c r="G187" i="2"/>
  <c r="F187" i="2"/>
  <c r="E187" i="2"/>
  <c r="D187" i="2"/>
  <c r="C187" i="2"/>
  <c r="B187" i="2"/>
  <c r="A187" i="2"/>
  <c r="M186" i="2"/>
  <c r="L186" i="2"/>
  <c r="K186" i="2"/>
  <c r="J186" i="2"/>
  <c r="G186" i="2"/>
  <c r="F186" i="2"/>
  <c r="E186" i="2"/>
  <c r="H186" i="2" s="1"/>
  <c r="D186" i="2"/>
  <c r="C186" i="2"/>
  <c r="B186" i="2"/>
  <c r="A186" i="2"/>
  <c r="M185" i="2"/>
  <c r="L185" i="2"/>
  <c r="G185" i="2"/>
  <c r="F185" i="2"/>
  <c r="E185" i="2"/>
  <c r="D185" i="2"/>
  <c r="C185" i="2"/>
  <c r="B185" i="2"/>
  <c r="A185" i="2"/>
  <c r="M184" i="2"/>
  <c r="L184" i="2"/>
  <c r="K184" i="2"/>
  <c r="J184" i="2"/>
  <c r="G184" i="2"/>
  <c r="F184" i="2"/>
  <c r="E184" i="2"/>
  <c r="H184" i="2" s="1"/>
  <c r="D184" i="2"/>
  <c r="C184" i="2"/>
  <c r="B184" i="2"/>
  <c r="A184" i="2"/>
  <c r="M183" i="2"/>
  <c r="L183" i="2"/>
  <c r="K183" i="2"/>
  <c r="J183" i="2"/>
  <c r="G183" i="2"/>
  <c r="F183" i="2"/>
  <c r="E183" i="2"/>
  <c r="H183" i="2" s="1"/>
  <c r="D183" i="2"/>
  <c r="C183" i="2"/>
  <c r="B183" i="2"/>
  <c r="A183" i="2"/>
  <c r="M182" i="2"/>
  <c r="L182" i="2"/>
  <c r="K182" i="2"/>
  <c r="J182" i="2"/>
  <c r="G182" i="2"/>
  <c r="F182" i="2"/>
  <c r="E182" i="2"/>
  <c r="D182" i="2"/>
  <c r="C182" i="2"/>
  <c r="B182" i="2"/>
  <c r="A182" i="2"/>
  <c r="M181" i="2"/>
  <c r="L181" i="2"/>
  <c r="K181" i="2"/>
  <c r="J181" i="2"/>
  <c r="G181" i="2"/>
  <c r="F181" i="2"/>
  <c r="E181" i="2"/>
  <c r="D181" i="2"/>
  <c r="C181" i="2"/>
  <c r="B181" i="2"/>
  <c r="A181" i="2"/>
  <c r="M180" i="2"/>
  <c r="L180" i="2"/>
  <c r="G180" i="2"/>
  <c r="F180" i="2"/>
  <c r="E180" i="2"/>
  <c r="D180" i="2"/>
  <c r="C180" i="2"/>
  <c r="B180" i="2"/>
  <c r="A180" i="2"/>
  <c r="M179" i="2"/>
  <c r="L179" i="2"/>
  <c r="G179" i="2"/>
  <c r="F179" i="2"/>
  <c r="E179" i="2"/>
  <c r="H179" i="2" s="1"/>
  <c r="D179" i="2"/>
  <c r="C179" i="2"/>
  <c r="B179" i="2"/>
  <c r="A179" i="2"/>
  <c r="M178" i="2"/>
  <c r="L178" i="2"/>
  <c r="K178" i="2"/>
  <c r="J178" i="2"/>
  <c r="G178" i="2"/>
  <c r="F178" i="2"/>
  <c r="E178" i="2"/>
  <c r="D178" i="2"/>
  <c r="C178" i="2"/>
  <c r="B178" i="2"/>
  <c r="A178" i="2"/>
  <c r="M177" i="2"/>
  <c r="L177" i="2"/>
  <c r="K177" i="2"/>
  <c r="G177" i="2"/>
  <c r="F177" i="2"/>
  <c r="H177" i="2" s="1"/>
  <c r="E177" i="2"/>
  <c r="D177" i="2"/>
  <c r="C177" i="2"/>
  <c r="B177" i="2"/>
  <c r="A177" i="2"/>
  <c r="M176" i="2"/>
  <c r="L176" i="2"/>
  <c r="K176" i="2"/>
  <c r="J176" i="2"/>
  <c r="G176" i="2"/>
  <c r="F176" i="2"/>
  <c r="H176" i="2" s="1"/>
  <c r="E176" i="2"/>
  <c r="D176" i="2"/>
  <c r="C176" i="2"/>
  <c r="B176" i="2"/>
  <c r="A176" i="2"/>
  <c r="M175" i="2"/>
  <c r="L175" i="2"/>
  <c r="K175" i="2"/>
  <c r="J175" i="2"/>
  <c r="G175" i="2"/>
  <c r="F175" i="2"/>
  <c r="H175" i="2" s="1"/>
  <c r="E175" i="2"/>
  <c r="D175" i="2"/>
  <c r="C175" i="2"/>
  <c r="B175" i="2"/>
  <c r="A175" i="2"/>
  <c r="M174" i="2"/>
  <c r="L174" i="2"/>
  <c r="K174" i="2"/>
  <c r="J174" i="2"/>
  <c r="G174" i="2"/>
  <c r="F174" i="2"/>
  <c r="H174" i="2" s="1"/>
  <c r="E174" i="2"/>
  <c r="D174" i="2"/>
  <c r="C174" i="2"/>
  <c r="B174" i="2"/>
  <c r="A174" i="2"/>
  <c r="M173" i="2"/>
  <c r="L173" i="2"/>
  <c r="K173" i="2"/>
  <c r="J173" i="2"/>
  <c r="G173" i="2"/>
  <c r="F173" i="2"/>
  <c r="H173" i="2" s="1"/>
  <c r="E173" i="2"/>
  <c r="D173" i="2"/>
  <c r="C173" i="2"/>
  <c r="B173" i="2"/>
  <c r="A173" i="2"/>
  <c r="M172" i="2"/>
  <c r="L172" i="2"/>
  <c r="J172" i="2"/>
  <c r="G172" i="2"/>
  <c r="F172" i="2"/>
  <c r="E172" i="2"/>
  <c r="H172" i="2" s="1"/>
  <c r="D172" i="2"/>
  <c r="C172" i="2"/>
  <c r="B172" i="2"/>
  <c r="A172" i="2"/>
  <c r="M171" i="2"/>
  <c r="L171" i="2"/>
  <c r="K171" i="2"/>
  <c r="J171" i="2"/>
  <c r="G171" i="2"/>
  <c r="F171" i="2"/>
  <c r="E171" i="2"/>
  <c r="D171" i="2"/>
  <c r="C171" i="2"/>
  <c r="B171" i="2"/>
  <c r="A171" i="2"/>
  <c r="M170" i="2"/>
  <c r="L170" i="2"/>
  <c r="J170" i="2"/>
  <c r="G170" i="2"/>
  <c r="F170" i="2"/>
  <c r="H170" i="2" s="1"/>
  <c r="E170" i="2"/>
  <c r="D170" i="2"/>
  <c r="C170" i="2"/>
  <c r="B170" i="2"/>
  <c r="A170" i="2"/>
  <c r="M169" i="2"/>
  <c r="L169" i="2"/>
  <c r="K169" i="2"/>
  <c r="J169" i="2"/>
  <c r="G169" i="2"/>
  <c r="F169" i="2"/>
  <c r="H169" i="2" s="1"/>
  <c r="E169" i="2"/>
  <c r="D169" i="2"/>
  <c r="C169" i="2"/>
  <c r="B169" i="2"/>
  <c r="A169" i="2"/>
  <c r="M168" i="2"/>
  <c r="L168" i="2"/>
  <c r="K168" i="2"/>
  <c r="J168" i="2"/>
  <c r="G168" i="2"/>
  <c r="F168" i="2"/>
  <c r="H168" i="2" s="1"/>
  <c r="E168" i="2"/>
  <c r="D168" i="2"/>
  <c r="C168" i="2"/>
  <c r="B168" i="2"/>
  <c r="A168" i="2"/>
  <c r="M167" i="2"/>
  <c r="L167" i="2"/>
  <c r="H167" i="2"/>
  <c r="G167" i="2"/>
  <c r="F167" i="2"/>
  <c r="E167" i="2"/>
  <c r="D167" i="2"/>
  <c r="C167" i="2"/>
  <c r="B167" i="2"/>
  <c r="A167" i="2"/>
  <c r="M166" i="2"/>
  <c r="L166" i="2"/>
  <c r="G166" i="2"/>
  <c r="F166" i="2"/>
  <c r="H166" i="2" s="1"/>
  <c r="E166" i="2"/>
  <c r="D166" i="2"/>
  <c r="C166" i="2"/>
  <c r="B166" i="2"/>
  <c r="A166" i="2"/>
  <c r="M165" i="2"/>
  <c r="L165" i="2"/>
  <c r="H165" i="2"/>
  <c r="G165" i="2"/>
  <c r="F165" i="2"/>
  <c r="E165" i="2"/>
  <c r="D165" i="2"/>
  <c r="C165" i="2"/>
  <c r="B165" i="2"/>
  <c r="A165" i="2"/>
  <c r="M164" i="2"/>
  <c r="L164" i="2"/>
  <c r="K164" i="2"/>
  <c r="J164" i="2"/>
  <c r="H164" i="2"/>
  <c r="G164" i="2"/>
  <c r="F164" i="2"/>
  <c r="E164" i="2"/>
  <c r="D164" i="2"/>
  <c r="C164" i="2"/>
  <c r="B164" i="2"/>
  <c r="A164" i="2"/>
  <c r="M163" i="2"/>
  <c r="L163" i="2"/>
  <c r="K163" i="2"/>
  <c r="J163" i="2"/>
  <c r="H163" i="2"/>
  <c r="G163" i="2"/>
  <c r="F163" i="2"/>
  <c r="E163" i="2"/>
  <c r="D163" i="2"/>
  <c r="C163" i="2"/>
  <c r="B163" i="2"/>
  <c r="A163" i="2"/>
  <c r="M162" i="2"/>
  <c r="L162" i="2"/>
  <c r="K162" i="2"/>
  <c r="J162" i="2"/>
  <c r="H162" i="2"/>
  <c r="G162" i="2"/>
  <c r="F162" i="2"/>
  <c r="E162" i="2"/>
  <c r="D162" i="2"/>
  <c r="C162" i="2"/>
  <c r="B162" i="2"/>
  <c r="A162" i="2"/>
  <c r="M161" i="2"/>
  <c r="L161" i="2"/>
  <c r="K161" i="2"/>
  <c r="J161" i="2"/>
  <c r="H161" i="2"/>
  <c r="G161" i="2"/>
  <c r="F161" i="2"/>
  <c r="E161" i="2"/>
  <c r="D161" i="2"/>
  <c r="C161" i="2"/>
  <c r="B161" i="2"/>
  <c r="A161" i="2"/>
  <c r="M160" i="2"/>
  <c r="L160" i="2"/>
  <c r="K160" i="2"/>
  <c r="J160" i="2"/>
  <c r="H160" i="2"/>
  <c r="G160" i="2"/>
  <c r="F160" i="2"/>
  <c r="E160" i="2"/>
  <c r="D160" i="2"/>
  <c r="C160" i="2"/>
  <c r="B160" i="2"/>
  <c r="A160" i="2"/>
  <c r="M159" i="2"/>
  <c r="L159" i="2"/>
  <c r="K159" i="2"/>
  <c r="J159" i="2"/>
  <c r="H159" i="2"/>
  <c r="G159" i="2"/>
  <c r="F159" i="2"/>
  <c r="E159" i="2"/>
  <c r="D159" i="2"/>
  <c r="C159" i="2"/>
  <c r="B159" i="2"/>
  <c r="A159" i="2"/>
  <c r="M158" i="2"/>
  <c r="L158" i="2"/>
  <c r="K158" i="2"/>
  <c r="J158" i="2"/>
  <c r="H158" i="2"/>
  <c r="G158" i="2"/>
  <c r="F158" i="2"/>
  <c r="E158" i="2"/>
  <c r="D158" i="2"/>
  <c r="C158" i="2"/>
  <c r="B158" i="2"/>
  <c r="A158" i="2"/>
  <c r="M157" i="2"/>
  <c r="L157" i="2"/>
  <c r="K157" i="2"/>
  <c r="J157" i="2"/>
  <c r="H157" i="2"/>
  <c r="G157" i="2"/>
  <c r="F157" i="2"/>
  <c r="E157" i="2"/>
  <c r="D157" i="2"/>
  <c r="C157" i="2"/>
  <c r="B157" i="2"/>
  <c r="A157" i="2"/>
  <c r="M156" i="2"/>
  <c r="L156" i="2"/>
  <c r="G156" i="2"/>
  <c r="F156" i="2"/>
  <c r="H156" i="2" s="1"/>
  <c r="E156" i="2"/>
  <c r="D156" i="2"/>
  <c r="C156" i="2"/>
  <c r="B156" i="2"/>
  <c r="A156" i="2"/>
  <c r="M155" i="2"/>
  <c r="L155" i="2"/>
  <c r="H155" i="2"/>
  <c r="G155" i="2"/>
  <c r="F155" i="2"/>
  <c r="E155" i="2"/>
  <c r="D155" i="2"/>
  <c r="C155" i="2"/>
  <c r="B155" i="2"/>
  <c r="A155" i="2"/>
  <c r="M154" i="2"/>
  <c r="L154" i="2"/>
  <c r="K154" i="2"/>
  <c r="J154" i="2"/>
  <c r="H154" i="2"/>
  <c r="G154" i="2"/>
  <c r="F154" i="2"/>
  <c r="E154" i="2"/>
  <c r="D154" i="2"/>
  <c r="C154" i="2"/>
  <c r="B154" i="2"/>
  <c r="A154" i="2"/>
  <c r="M153" i="2"/>
  <c r="L153" i="2"/>
  <c r="K153" i="2"/>
  <c r="J153" i="2"/>
  <c r="H153" i="2"/>
  <c r="G153" i="2"/>
  <c r="F153" i="2"/>
  <c r="E153" i="2"/>
  <c r="D153" i="2"/>
  <c r="C153" i="2"/>
  <c r="B153" i="2"/>
  <c r="A153" i="2"/>
  <c r="M152" i="2"/>
  <c r="L152" i="2"/>
  <c r="G152" i="2"/>
  <c r="F152" i="2"/>
  <c r="H152" i="2" s="1"/>
  <c r="E152" i="2"/>
  <c r="D152" i="2"/>
  <c r="C152" i="2"/>
  <c r="B152" i="2"/>
  <c r="A152" i="2"/>
  <c r="M151" i="2"/>
  <c r="L151" i="2"/>
  <c r="H151" i="2"/>
  <c r="G151" i="2"/>
  <c r="F151" i="2"/>
  <c r="E151" i="2"/>
  <c r="D151" i="2"/>
  <c r="C151" i="2"/>
  <c r="B151" i="2"/>
  <c r="A151" i="2"/>
  <c r="M150" i="2"/>
  <c r="L150" i="2"/>
  <c r="K150" i="2"/>
  <c r="J150" i="2"/>
  <c r="H150" i="2"/>
  <c r="G150" i="2"/>
  <c r="F150" i="2"/>
  <c r="E150" i="2"/>
  <c r="D150" i="2"/>
  <c r="C150" i="2"/>
  <c r="B150" i="2"/>
  <c r="A150" i="2"/>
  <c r="M149" i="2"/>
  <c r="L149" i="2"/>
  <c r="K149" i="2"/>
  <c r="J149" i="2"/>
  <c r="H149" i="2"/>
  <c r="G149" i="2"/>
  <c r="F149" i="2"/>
  <c r="E149" i="2"/>
  <c r="D149" i="2"/>
  <c r="C149" i="2"/>
  <c r="B149" i="2"/>
  <c r="A149" i="2"/>
  <c r="M148" i="2"/>
  <c r="L148" i="2"/>
  <c r="K148" i="2"/>
  <c r="J148" i="2"/>
  <c r="H148" i="2"/>
  <c r="G148" i="2"/>
  <c r="F148" i="2"/>
  <c r="E148" i="2"/>
  <c r="D148" i="2"/>
  <c r="C148" i="2"/>
  <c r="B148" i="2"/>
  <c r="A148" i="2"/>
  <c r="M147" i="2"/>
  <c r="L147" i="2"/>
  <c r="K147" i="2"/>
  <c r="J147" i="2"/>
  <c r="H147" i="2"/>
  <c r="G147" i="2"/>
  <c r="F147" i="2"/>
  <c r="E147" i="2"/>
  <c r="D147" i="2"/>
  <c r="C147" i="2"/>
  <c r="B147" i="2"/>
  <c r="A147" i="2"/>
  <c r="M146" i="2"/>
  <c r="L146" i="2"/>
  <c r="K146" i="2"/>
  <c r="J146" i="2"/>
  <c r="H146" i="2"/>
  <c r="G146" i="2"/>
  <c r="F146" i="2"/>
  <c r="E146" i="2"/>
  <c r="D146" i="2"/>
  <c r="C146" i="2"/>
  <c r="B146" i="2"/>
  <c r="A146" i="2"/>
  <c r="M145" i="2"/>
  <c r="L145" i="2"/>
  <c r="K145" i="2"/>
  <c r="J145" i="2"/>
  <c r="H145" i="2"/>
  <c r="G145" i="2"/>
  <c r="F145" i="2"/>
  <c r="E145" i="2"/>
  <c r="D145" i="2"/>
  <c r="C145" i="2"/>
  <c r="B145" i="2"/>
  <c r="A145" i="2"/>
  <c r="M144" i="2"/>
  <c r="L144" i="2"/>
  <c r="G144" i="2"/>
  <c r="F144" i="2"/>
  <c r="H144" i="2" s="1"/>
  <c r="E144" i="2"/>
  <c r="D144" i="2"/>
  <c r="C144" i="2"/>
  <c r="B144" i="2"/>
  <c r="A144" i="2"/>
  <c r="M143" i="2"/>
  <c r="L143" i="2"/>
  <c r="H143" i="2"/>
  <c r="G143" i="2"/>
  <c r="F143" i="2"/>
  <c r="E143" i="2"/>
  <c r="D143" i="2"/>
  <c r="C143" i="2"/>
  <c r="B143" i="2"/>
  <c r="A143" i="2"/>
  <c r="M142" i="2"/>
  <c r="L142" i="2"/>
  <c r="G142" i="2"/>
  <c r="F142" i="2"/>
  <c r="H142" i="2" s="1"/>
  <c r="E142" i="2"/>
  <c r="D142" i="2"/>
  <c r="C142" i="2"/>
  <c r="B142" i="2"/>
  <c r="A142" i="2"/>
  <c r="M141" i="2"/>
  <c r="L141" i="2"/>
  <c r="H141" i="2"/>
  <c r="G141" i="2"/>
  <c r="F141" i="2"/>
  <c r="E141" i="2"/>
  <c r="D141" i="2"/>
  <c r="C141" i="2"/>
  <c r="B141" i="2"/>
  <c r="A141" i="2"/>
  <c r="M140" i="2"/>
  <c r="L140" i="2"/>
  <c r="G140" i="2"/>
  <c r="F140" i="2"/>
  <c r="H140" i="2" s="1"/>
  <c r="E140" i="2"/>
  <c r="D140" i="2"/>
  <c r="C140" i="2"/>
  <c r="B140" i="2"/>
  <c r="A140" i="2"/>
  <c r="M139" i="2"/>
  <c r="L139" i="2"/>
  <c r="H139" i="2"/>
  <c r="G139" i="2"/>
  <c r="F139" i="2"/>
  <c r="E139" i="2"/>
  <c r="D139" i="2"/>
  <c r="C139" i="2"/>
  <c r="B139" i="2"/>
  <c r="A139" i="2"/>
  <c r="M138" i="2"/>
  <c r="L138" i="2"/>
  <c r="K138" i="2"/>
  <c r="J138" i="2"/>
  <c r="H138" i="2"/>
  <c r="G138" i="2"/>
  <c r="F138" i="2"/>
  <c r="E138" i="2"/>
  <c r="D138" i="2"/>
  <c r="C138" i="2"/>
  <c r="B138" i="2"/>
  <c r="A138" i="2"/>
  <c r="M137" i="2"/>
  <c r="L137" i="2"/>
  <c r="K137" i="2"/>
  <c r="J137" i="2"/>
  <c r="H137" i="2"/>
  <c r="G137" i="2"/>
  <c r="F137" i="2"/>
  <c r="E137" i="2"/>
  <c r="D137" i="2"/>
  <c r="C137" i="2"/>
  <c r="B137" i="2"/>
  <c r="A137" i="2"/>
  <c r="M136" i="2"/>
  <c r="L136" i="2"/>
  <c r="K136" i="2"/>
  <c r="J136" i="2"/>
  <c r="H136" i="2"/>
  <c r="G136" i="2"/>
  <c r="F136" i="2"/>
  <c r="E136" i="2"/>
  <c r="D136" i="2"/>
  <c r="C136" i="2"/>
  <c r="B136" i="2"/>
  <c r="A136" i="2"/>
  <c r="M135" i="2"/>
  <c r="L135" i="2"/>
  <c r="K135" i="2"/>
  <c r="J135" i="2"/>
  <c r="H135" i="2"/>
  <c r="G135" i="2"/>
  <c r="F135" i="2"/>
  <c r="E135" i="2"/>
  <c r="D135" i="2"/>
  <c r="C135" i="2"/>
  <c r="B135" i="2"/>
  <c r="A135" i="2"/>
  <c r="M134" i="2"/>
  <c r="L134" i="2"/>
  <c r="K134" i="2"/>
  <c r="J134" i="2"/>
  <c r="H134" i="2"/>
  <c r="G134" i="2"/>
  <c r="F134" i="2"/>
  <c r="E134" i="2"/>
  <c r="D134" i="2"/>
  <c r="C134" i="2"/>
  <c r="B134" i="2"/>
  <c r="A134" i="2"/>
  <c r="M133" i="2"/>
  <c r="L133" i="2"/>
  <c r="K133" i="2"/>
  <c r="J133" i="2"/>
  <c r="H133" i="2"/>
  <c r="G133" i="2"/>
  <c r="F133" i="2"/>
  <c r="E133" i="2"/>
  <c r="D133" i="2"/>
  <c r="C133" i="2"/>
  <c r="B133" i="2"/>
  <c r="A133" i="2"/>
  <c r="M132" i="2"/>
  <c r="L132" i="2"/>
  <c r="K132" i="2"/>
  <c r="J132" i="2"/>
  <c r="H132" i="2"/>
  <c r="G132" i="2"/>
  <c r="F132" i="2"/>
  <c r="E132" i="2"/>
  <c r="D132" i="2"/>
  <c r="C132" i="2"/>
  <c r="B132" i="2"/>
  <c r="A132" i="2"/>
  <c r="M131" i="2"/>
  <c r="L131" i="2"/>
  <c r="G131" i="2"/>
  <c r="F131" i="2"/>
  <c r="H131" i="2" s="1"/>
  <c r="E131" i="2"/>
  <c r="D131" i="2"/>
  <c r="C131" i="2"/>
  <c r="B131" i="2"/>
  <c r="A131" i="2"/>
  <c r="M130" i="2"/>
  <c r="L130" i="2"/>
  <c r="K130" i="2"/>
  <c r="J130" i="2"/>
  <c r="G130" i="2"/>
  <c r="F130" i="2"/>
  <c r="H130" i="2" s="1"/>
  <c r="E130" i="2"/>
  <c r="D130" i="2"/>
  <c r="C130" i="2"/>
  <c r="B130" i="2"/>
  <c r="A130" i="2"/>
  <c r="M129" i="2"/>
  <c r="L129" i="2"/>
  <c r="K129" i="2"/>
  <c r="J129" i="2"/>
  <c r="G129" i="2"/>
  <c r="F129" i="2"/>
  <c r="H129" i="2" s="1"/>
  <c r="E129" i="2"/>
  <c r="D129" i="2"/>
  <c r="C129" i="2"/>
  <c r="B129" i="2"/>
  <c r="A129" i="2"/>
  <c r="M128" i="2"/>
  <c r="L128" i="2"/>
  <c r="K128" i="2"/>
  <c r="J128" i="2"/>
  <c r="G128" i="2"/>
  <c r="F128" i="2"/>
  <c r="H128" i="2" s="1"/>
  <c r="E128" i="2"/>
  <c r="D128" i="2"/>
  <c r="C128" i="2"/>
  <c r="B128" i="2"/>
  <c r="A128" i="2"/>
  <c r="M127" i="2"/>
  <c r="L127" i="2"/>
  <c r="H127" i="2"/>
  <c r="G127" i="2"/>
  <c r="F127" i="2"/>
  <c r="E127" i="2"/>
  <c r="D127" i="2"/>
  <c r="C127" i="2"/>
  <c r="B127" i="2"/>
  <c r="A127" i="2"/>
  <c r="M126" i="2"/>
  <c r="L126" i="2"/>
  <c r="G126" i="2"/>
  <c r="F126" i="2"/>
  <c r="H126" i="2" s="1"/>
  <c r="E126" i="2"/>
  <c r="D126" i="2"/>
  <c r="C126" i="2"/>
  <c r="B126" i="2"/>
  <c r="A126" i="2"/>
  <c r="M125" i="2"/>
  <c r="L125" i="2"/>
  <c r="H125" i="2"/>
  <c r="G125" i="2"/>
  <c r="F125" i="2"/>
  <c r="E125" i="2"/>
  <c r="D125" i="2"/>
  <c r="C125" i="2"/>
  <c r="B125" i="2"/>
  <c r="A125" i="2"/>
  <c r="M124" i="2"/>
  <c r="L124" i="2"/>
  <c r="G124" i="2"/>
  <c r="F124" i="2"/>
  <c r="H124" i="2" s="1"/>
  <c r="E124" i="2"/>
  <c r="D124" i="2"/>
  <c r="C124" i="2"/>
  <c r="B124" i="2"/>
  <c r="A124" i="2"/>
  <c r="M123" i="2"/>
  <c r="L123" i="2"/>
  <c r="H123" i="2"/>
  <c r="G123" i="2"/>
  <c r="F123" i="2"/>
  <c r="E123" i="2"/>
  <c r="D123" i="2"/>
  <c r="C123" i="2"/>
  <c r="B123" i="2"/>
  <c r="A123" i="2"/>
  <c r="M122" i="2"/>
  <c r="L122" i="2"/>
  <c r="G122" i="2"/>
  <c r="F122" i="2"/>
  <c r="H122" i="2" s="1"/>
  <c r="E122" i="2"/>
  <c r="D122" i="2"/>
  <c r="C122" i="2"/>
  <c r="B122" i="2"/>
  <c r="A122" i="2"/>
  <c r="M121" i="2"/>
  <c r="L121" i="2"/>
  <c r="H121" i="2"/>
  <c r="G121" i="2"/>
  <c r="F121" i="2"/>
  <c r="E121" i="2"/>
  <c r="D121" i="2"/>
  <c r="C121" i="2"/>
  <c r="B121" i="2"/>
  <c r="A121" i="2"/>
  <c r="M120" i="2"/>
  <c r="L120" i="2"/>
  <c r="G120" i="2"/>
  <c r="F120" i="2"/>
  <c r="H120" i="2" s="1"/>
  <c r="E120" i="2"/>
  <c r="D120" i="2"/>
  <c r="C120" i="2"/>
  <c r="B120" i="2"/>
  <c r="A120" i="2"/>
  <c r="M119" i="2"/>
  <c r="L119" i="2"/>
  <c r="H119" i="2"/>
  <c r="G119" i="2"/>
  <c r="F119" i="2"/>
  <c r="E119" i="2"/>
  <c r="D119" i="2"/>
  <c r="C119" i="2"/>
  <c r="B119" i="2"/>
  <c r="A119" i="2"/>
  <c r="M118" i="2"/>
  <c r="L118" i="2"/>
  <c r="G118" i="2"/>
  <c r="F118" i="2"/>
  <c r="H118" i="2" s="1"/>
  <c r="E118" i="2"/>
  <c r="D118" i="2"/>
  <c r="C118" i="2"/>
  <c r="B118" i="2"/>
  <c r="A118" i="2"/>
  <c r="M117" i="2"/>
  <c r="L117" i="2"/>
  <c r="H117" i="2"/>
  <c r="G117" i="2"/>
  <c r="F117" i="2"/>
  <c r="E117" i="2"/>
  <c r="D117" i="2"/>
  <c r="C117" i="2"/>
  <c r="B117" i="2"/>
  <c r="A117" i="2"/>
  <c r="M116" i="2"/>
  <c r="L116" i="2"/>
  <c r="G116" i="2"/>
  <c r="F116" i="2"/>
  <c r="H116" i="2" s="1"/>
  <c r="E116" i="2"/>
  <c r="D116" i="2"/>
  <c r="C116" i="2"/>
  <c r="B116" i="2"/>
  <c r="A116" i="2"/>
  <c r="M115" i="2"/>
  <c r="L115" i="2"/>
  <c r="H115" i="2"/>
  <c r="G115" i="2"/>
  <c r="F115" i="2"/>
  <c r="E115" i="2"/>
  <c r="D115" i="2"/>
  <c r="C115" i="2"/>
  <c r="B115" i="2"/>
  <c r="A115" i="2"/>
  <c r="M114" i="2"/>
  <c r="L114" i="2"/>
  <c r="G114" i="2"/>
  <c r="F114" i="2"/>
  <c r="H114" i="2" s="1"/>
  <c r="E114" i="2"/>
  <c r="D114" i="2"/>
  <c r="C114" i="2"/>
  <c r="B114" i="2"/>
  <c r="A114" i="2"/>
  <c r="M113" i="2"/>
  <c r="L113" i="2"/>
  <c r="H113" i="2"/>
  <c r="G113" i="2"/>
  <c r="F113" i="2"/>
  <c r="E113" i="2"/>
  <c r="D113" i="2"/>
  <c r="C113" i="2"/>
  <c r="B113" i="2"/>
  <c r="A113" i="2"/>
  <c r="M112" i="2"/>
  <c r="L112" i="2"/>
  <c r="G112" i="2"/>
  <c r="F112" i="2"/>
  <c r="H112" i="2" s="1"/>
  <c r="E112" i="2"/>
  <c r="D112" i="2"/>
  <c r="C112" i="2"/>
  <c r="B112" i="2"/>
  <c r="A112" i="2"/>
  <c r="M111" i="2"/>
  <c r="L111" i="2"/>
  <c r="H111" i="2"/>
  <c r="G111" i="2"/>
  <c r="F111" i="2"/>
  <c r="E111" i="2"/>
  <c r="D111" i="2"/>
  <c r="C111" i="2"/>
  <c r="B111" i="2"/>
  <c r="A111" i="2"/>
  <c r="M110" i="2"/>
  <c r="L110" i="2"/>
  <c r="G110" i="2"/>
  <c r="F110" i="2"/>
  <c r="H110" i="2" s="1"/>
  <c r="E110" i="2"/>
  <c r="D110" i="2"/>
  <c r="C110" i="2"/>
  <c r="B110" i="2"/>
  <c r="A110" i="2"/>
  <c r="M109" i="2"/>
  <c r="L109" i="2"/>
  <c r="H109" i="2"/>
  <c r="G109" i="2"/>
  <c r="F109" i="2"/>
  <c r="E109" i="2"/>
  <c r="D109" i="2"/>
  <c r="C109" i="2"/>
  <c r="B109" i="2"/>
  <c r="A109" i="2"/>
  <c r="M108" i="2"/>
  <c r="L108" i="2"/>
  <c r="G108" i="2"/>
  <c r="F108" i="2"/>
  <c r="H108" i="2" s="1"/>
  <c r="E108" i="2"/>
  <c r="D108" i="2"/>
  <c r="C108" i="2"/>
  <c r="B108" i="2"/>
  <c r="A108" i="2"/>
  <c r="M107" i="2"/>
  <c r="L107" i="2"/>
  <c r="H107" i="2"/>
  <c r="G107" i="2"/>
  <c r="F107" i="2"/>
  <c r="E107" i="2"/>
  <c r="D107" i="2"/>
  <c r="C107" i="2"/>
  <c r="B107" i="2"/>
  <c r="A107" i="2"/>
  <c r="M106" i="2"/>
  <c r="L106" i="2"/>
  <c r="G106" i="2"/>
  <c r="F106" i="2"/>
  <c r="H106" i="2" s="1"/>
  <c r="E106" i="2"/>
  <c r="D106" i="2"/>
  <c r="C106" i="2"/>
  <c r="B106" i="2"/>
  <c r="A106" i="2"/>
  <c r="M105" i="2"/>
  <c r="L105" i="2"/>
  <c r="H105" i="2"/>
  <c r="G105" i="2"/>
  <c r="F105" i="2"/>
  <c r="E105" i="2"/>
  <c r="D105" i="2"/>
  <c r="C105" i="2"/>
  <c r="B105" i="2"/>
  <c r="A105" i="2"/>
  <c r="M104" i="2"/>
  <c r="L104" i="2"/>
  <c r="G104" i="2"/>
  <c r="F104" i="2"/>
  <c r="H104" i="2" s="1"/>
  <c r="E104" i="2"/>
  <c r="D104" i="2"/>
  <c r="C104" i="2"/>
  <c r="B104" i="2"/>
  <c r="A104" i="2"/>
  <c r="M103" i="2"/>
  <c r="L103" i="2"/>
  <c r="H103" i="2"/>
  <c r="G103" i="2"/>
  <c r="F103" i="2"/>
  <c r="E103" i="2"/>
  <c r="D103" i="2"/>
  <c r="C103" i="2"/>
  <c r="B103" i="2"/>
  <c r="A103" i="2"/>
  <c r="M102" i="2"/>
  <c r="L102" i="2"/>
  <c r="G102" i="2"/>
  <c r="F102" i="2"/>
  <c r="H102" i="2" s="1"/>
  <c r="E102" i="2"/>
  <c r="D102" i="2"/>
  <c r="C102" i="2"/>
  <c r="B102" i="2"/>
  <c r="A102" i="2"/>
  <c r="M101" i="2"/>
  <c r="L101" i="2"/>
  <c r="H101" i="2"/>
  <c r="G101" i="2"/>
  <c r="F101" i="2"/>
  <c r="E101" i="2"/>
  <c r="D101" i="2"/>
  <c r="C101" i="2"/>
  <c r="B101" i="2"/>
  <c r="A101" i="2"/>
  <c r="M100" i="2"/>
  <c r="L100" i="2"/>
  <c r="G100" i="2"/>
  <c r="F100" i="2"/>
  <c r="H100" i="2" s="1"/>
  <c r="E100" i="2"/>
  <c r="D100" i="2"/>
  <c r="C100" i="2"/>
  <c r="B100" i="2"/>
  <c r="A100" i="2"/>
  <c r="M99" i="2"/>
  <c r="L99" i="2"/>
  <c r="H99" i="2"/>
  <c r="G99" i="2"/>
  <c r="F99" i="2"/>
  <c r="E99" i="2"/>
  <c r="D99" i="2"/>
  <c r="C99" i="2"/>
  <c r="B99" i="2"/>
  <c r="A99" i="2"/>
  <c r="M98" i="2"/>
  <c r="L98" i="2"/>
  <c r="G98" i="2"/>
  <c r="F98" i="2"/>
  <c r="H98" i="2" s="1"/>
  <c r="E98" i="2"/>
  <c r="D98" i="2"/>
  <c r="C98" i="2"/>
  <c r="B98" i="2"/>
  <c r="A98" i="2"/>
  <c r="M97" i="2"/>
  <c r="L97" i="2"/>
  <c r="H97" i="2"/>
  <c r="G97" i="2"/>
  <c r="F97" i="2"/>
  <c r="E97" i="2"/>
  <c r="D97" i="2"/>
  <c r="C97" i="2"/>
  <c r="B97" i="2"/>
  <c r="A97" i="2"/>
  <c r="M96" i="2"/>
  <c r="L96" i="2"/>
  <c r="G96" i="2"/>
  <c r="F96" i="2"/>
  <c r="H96" i="2" s="1"/>
  <c r="E96" i="2"/>
  <c r="D96" i="2"/>
  <c r="C96" i="2"/>
  <c r="B96" i="2"/>
  <c r="A96" i="2"/>
  <c r="M95" i="2"/>
  <c r="L95" i="2"/>
  <c r="H95" i="2"/>
  <c r="G95" i="2"/>
  <c r="F95" i="2"/>
  <c r="E95" i="2"/>
  <c r="D95" i="2"/>
  <c r="C95" i="2"/>
  <c r="B95" i="2"/>
  <c r="A95" i="2"/>
  <c r="M94" i="2"/>
  <c r="L94" i="2"/>
  <c r="G94" i="2"/>
  <c r="F94" i="2"/>
  <c r="H94" i="2" s="1"/>
  <c r="E94" i="2"/>
  <c r="D94" i="2"/>
  <c r="C94" i="2"/>
  <c r="B94" i="2"/>
  <c r="A94" i="2"/>
  <c r="M93" i="2"/>
  <c r="G93" i="2"/>
  <c r="F93" i="2"/>
  <c r="E93" i="2"/>
  <c r="D93" i="2"/>
  <c r="C93" i="2"/>
  <c r="B93" i="2"/>
  <c r="A93" i="2"/>
  <c r="M92" i="2"/>
  <c r="L92" i="2"/>
  <c r="G92" i="2"/>
  <c r="F92" i="2"/>
  <c r="E92" i="2"/>
  <c r="D92" i="2"/>
  <c r="C92" i="2"/>
  <c r="B92" i="2"/>
  <c r="A92" i="2"/>
  <c r="M91" i="2"/>
  <c r="L91" i="2"/>
  <c r="G91" i="2"/>
  <c r="F91" i="2"/>
  <c r="E91" i="2"/>
  <c r="H91" i="2" s="1"/>
  <c r="D91" i="2"/>
  <c r="C91" i="2"/>
  <c r="B91" i="2"/>
  <c r="A91" i="2"/>
  <c r="M90" i="2"/>
  <c r="L90" i="2"/>
  <c r="G90" i="2"/>
  <c r="F90" i="2"/>
  <c r="E90" i="2"/>
  <c r="H90" i="2" s="1"/>
  <c r="D90" i="2"/>
  <c r="C90" i="2"/>
  <c r="B90" i="2"/>
  <c r="A90" i="2"/>
  <c r="M89" i="2"/>
  <c r="L89" i="2"/>
  <c r="K89" i="2"/>
  <c r="J89" i="2"/>
  <c r="G89" i="2"/>
  <c r="F89" i="2"/>
  <c r="E89" i="2"/>
  <c r="H89" i="2" s="1"/>
  <c r="D89" i="2"/>
  <c r="C89" i="2"/>
  <c r="B89" i="2"/>
  <c r="A89" i="2"/>
  <c r="M88" i="2"/>
  <c r="L88" i="2"/>
  <c r="K88" i="2"/>
  <c r="J88" i="2"/>
  <c r="G88" i="2"/>
  <c r="F88" i="2"/>
  <c r="E88" i="2"/>
  <c r="D88" i="2"/>
  <c r="C88" i="2"/>
  <c r="B88" i="2"/>
  <c r="A88" i="2"/>
  <c r="M87" i="2"/>
  <c r="L87" i="2"/>
  <c r="K87" i="2"/>
  <c r="J87" i="2"/>
  <c r="G87" i="2"/>
  <c r="F87" i="2"/>
  <c r="E87" i="2"/>
  <c r="D87" i="2"/>
  <c r="C87" i="2"/>
  <c r="B87" i="2"/>
  <c r="A87" i="2"/>
  <c r="M86" i="2"/>
  <c r="L86" i="2"/>
  <c r="K86" i="2"/>
  <c r="J86" i="2"/>
  <c r="G86" i="2"/>
  <c r="F86" i="2"/>
  <c r="E86" i="2"/>
  <c r="H86" i="2" s="1"/>
  <c r="D86" i="2"/>
  <c r="C86" i="2"/>
  <c r="B86" i="2"/>
  <c r="A86" i="2"/>
  <c r="M85" i="2"/>
  <c r="L85" i="2"/>
  <c r="K85" i="2"/>
  <c r="J85" i="2"/>
  <c r="G85" i="2"/>
  <c r="F85" i="2"/>
  <c r="E85" i="2"/>
  <c r="H85" i="2" s="1"/>
  <c r="D85" i="2"/>
  <c r="C85" i="2"/>
  <c r="B85" i="2"/>
  <c r="A85" i="2"/>
  <c r="M84" i="2"/>
  <c r="L84" i="2"/>
  <c r="K84" i="2"/>
  <c r="J84" i="2"/>
  <c r="G84" i="2"/>
  <c r="F84" i="2"/>
  <c r="E84" i="2"/>
  <c r="D84" i="2"/>
  <c r="C84" i="2"/>
  <c r="B84" i="2"/>
  <c r="A84" i="2"/>
  <c r="M83" i="2"/>
  <c r="L83" i="2"/>
  <c r="K83" i="2"/>
  <c r="J83" i="2"/>
  <c r="G83" i="2"/>
  <c r="F83" i="2"/>
  <c r="E83" i="2"/>
  <c r="D83" i="2"/>
  <c r="C83" i="2"/>
  <c r="B83" i="2"/>
  <c r="A83" i="2"/>
  <c r="M82" i="2"/>
  <c r="L82" i="2"/>
  <c r="K82" i="2"/>
  <c r="J82" i="2"/>
  <c r="G82" i="2"/>
  <c r="F82" i="2"/>
  <c r="E82" i="2"/>
  <c r="H82" i="2" s="1"/>
  <c r="D82" i="2"/>
  <c r="C82" i="2"/>
  <c r="B82" i="2"/>
  <c r="A82" i="2"/>
  <c r="M81" i="2"/>
  <c r="L81" i="2"/>
  <c r="K81" i="2"/>
  <c r="J81" i="2"/>
  <c r="G81" i="2"/>
  <c r="F81" i="2"/>
  <c r="E81" i="2"/>
  <c r="H81" i="2" s="1"/>
  <c r="D81" i="2"/>
  <c r="C81" i="2"/>
  <c r="B81" i="2"/>
  <c r="A81" i="2"/>
  <c r="M80" i="2"/>
  <c r="L80" i="2"/>
  <c r="K80" i="2"/>
  <c r="J80" i="2"/>
  <c r="G80" i="2"/>
  <c r="F80" i="2"/>
  <c r="E80" i="2"/>
  <c r="D80" i="2"/>
  <c r="C80" i="2"/>
  <c r="B80" i="2"/>
  <c r="A80" i="2"/>
  <c r="M79" i="2"/>
  <c r="L79" i="2"/>
  <c r="J79" i="2"/>
  <c r="G79" i="2"/>
  <c r="F79" i="2"/>
  <c r="H79" i="2" s="1"/>
  <c r="E79" i="2"/>
  <c r="D79" i="2"/>
  <c r="C79" i="2"/>
  <c r="B79" i="2"/>
  <c r="A79" i="2"/>
  <c r="M78" i="2"/>
  <c r="L78" i="2"/>
  <c r="K78" i="2"/>
  <c r="J78" i="2"/>
  <c r="G78" i="2"/>
  <c r="F78" i="2"/>
  <c r="H78" i="2" s="1"/>
  <c r="E78" i="2"/>
  <c r="D78" i="2"/>
  <c r="C78" i="2"/>
  <c r="B78" i="2"/>
  <c r="A78" i="2"/>
  <c r="M77" i="2"/>
  <c r="L77" i="2"/>
  <c r="K77" i="2"/>
  <c r="J77" i="2"/>
  <c r="G77" i="2"/>
  <c r="F77" i="2"/>
  <c r="H77" i="2" s="1"/>
  <c r="E77" i="2"/>
  <c r="D77" i="2"/>
  <c r="C77" i="2"/>
  <c r="B77" i="2"/>
  <c r="A77" i="2"/>
  <c r="M76" i="2"/>
  <c r="L76" i="2"/>
  <c r="K76" i="2"/>
  <c r="J76" i="2"/>
  <c r="G76" i="2"/>
  <c r="F76" i="2"/>
  <c r="H76" i="2" s="1"/>
  <c r="E76" i="2"/>
  <c r="D76" i="2"/>
  <c r="C76" i="2"/>
  <c r="B76" i="2"/>
  <c r="A76" i="2"/>
  <c r="M75" i="2"/>
  <c r="L75" i="2"/>
  <c r="K75" i="2"/>
  <c r="J75" i="2"/>
  <c r="H75" i="2"/>
  <c r="G75" i="2"/>
  <c r="F75" i="2"/>
  <c r="E75" i="2"/>
  <c r="D75" i="2"/>
  <c r="C75" i="2"/>
  <c r="B75" i="2"/>
  <c r="A75" i="2"/>
  <c r="M74" i="2"/>
  <c r="L74" i="2"/>
  <c r="J74" i="2"/>
  <c r="G74" i="2"/>
  <c r="F74" i="2"/>
  <c r="E74" i="2"/>
  <c r="H74" i="2" s="1"/>
  <c r="D74" i="2"/>
  <c r="C74" i="2"/>
  <c r="B74" i="2"/>
  <c r="A74" i="2"/>
  <c r="M73" i="2"/>
  <c r="L73" i="2"/>
  <c r="K73" i="2"/>
  <c r="J73" i="2"/>
  <c r="G73" i="2"/>
  <c r="F73" i="2"/>
  <c r="E73" i="2"/>
  <c r="H73" i="2" s="1"/>
  <c r="D73" i="2"/>
  <c r="C73" i="2"/>
  <c r="B73" i="2"/>
  <c r="A73" i="2"/>
  <c r="M72" i="2"/>
  <c r="L72" i="2"/>
  <c r="K72" i="2"/>
  <c r="J72" i="2"/>
  <c r="G72" i="2"/>
  <c r="F72" i="2"/>
  <c r="E72" i="2"/>
  <c r="D72" i="2"/>
  <c r="C72" i="2"/>
  <c r="B72" i="2"/>
  <c r="A72" i="2"/>
  <c r="M71" i="2"/>
  <c r="L71" i="2"/>
  <c r="K71" i="2"/>
  <c r="J71" i="2"/>
  <c r="G71" i="2"/>
  <c r="F71" i="2"/>
  <c r="E71" i="2"/>
  <c r="D71" i="2"/>
  <c r="C71" i="2"/>
  <c r="B71" i="2"/>
  <c r="A71" i="2"/>
  <c r="M70" i="2"/>
  <c r="L70" i="2"/>
  <c r="K70" i="2"/>
  <c r="J70" i="2"/>
  <c r="G70" i="2"/>
  <c r="F70" i="2"/>
  <c r="E70" i="2"/>
  <c r="H70" i="2" s="1"/>
  <c r="D70" i="2"/>
  <c r="C70" i="2"/>
  <c r="B70" i="2"/>
  <c r="A70" i="2"/>
  <c r="M69" i="2"/>
  <c r="L69" i="2"/>
  <c r="K69" i="2"/>
  <c r="J69" i="2"/>
  <c r="G69" i="2"/>
  <c r="F69" i="2"/>
  <c r="E69" i="2"/>
  <c r="H69" i="2" s="1"/>
  <c r="D69" i="2"/>
  <c r="C69" i="2"/>
  <c r="B69" i="2"/>
  <c r="A69" i="2"/>
  <c r="M68" i="2"/>
  <c r="L68" i="2"/>
  <c r="K68" i="2"/>
  <c r="J68" i="2"/>
  <c r="G68" i="2"/>
  <c r="F68" i="2"/>
  <c r="E68" i="2"/>
  <c r="D68" i="2"/>
  <c r="C68" i="2"/>
  <c r="B68" i="2"/>
  <c r="A68" i="2"/>
  <c r="M67" i="2"/>
  <c r="L67" i="2"/>
  <c r="J67" i="2"/>
  <c r="G67" i="2"/>
  <c r="F67" i="2"/>
  <c r="H67" i="2" s="1"/>
  <c r="E67" i="2"/>
  <c r="D67" i="2"/>
  <c r="C67" i="2"/>
  <c r="B67" i="2"/>
  <c r="A67" i="2"/>
  <c r="M66" i="2"/>
  <c r="L66" i="2"/>
  <c r="K66" i="2"/>
  <c r="G66" i="2"/>
  <c r="F66" i="2"/>
  <c r="E66" i="2"/>
  <c r="D66" i="2"/>
  <c r="C66" i="2"/>
  <c r="B66" i="2"/>
  <c r="A66" i="2"/>
  <c r="M65" i="2"/>
  <c r="L65" i="2"/>
  <c r="K65" i="2"/>
  <c r="J65" i="2"/>
  <c r="G65" i="2"/>
  <c r="F65" i="2"/>
  <c r="E65" i="2"/>
  <c r="D65" i="2"/>
  <c r="C65" i="2"/>
  <c r="B65" i="2"/>
  <c r="A65" i="2"/>
  <c r="M64" i="2"/>
  <c r="L64" i="2"/>
  <c r="K64" i="2"/>
  <c r="J64" i="2"/>
  <c r="G64" i="2"/>
  <c r="F64" i="2"/>
  <c r="E64" i="2"/>
  <c r="H64" i="2" s="1"/>
  <c r="D64" i="2"/>
  <c r="C64" i="2"/>
  <c r="B64" i="2"/>
  <c r="A64" i="2"/>
  <c r="M63" i="2"/>
  <c r="L63" i="2"/>
  <c r="K63" i="2"/>
  <c r="J63" i="2"/>
  <c r="G63" i="2"/>
  <c r="F63" i="2"/>
  <c r="E63" i="2"/>
  <c r="H63" i="2" s="1"/>
  <c r="D63" i="2"/>
  <c r="C63" i="2"/>
  <c r="B63" i="2"/>
  <c r="A63" i="2"/>
  <c r="M62" i="2"/>
  <c r="L62" i="2"/>
  <c r="K62" i="2"/>
  <c r="J62" i="2"/>
  <c r="G62" i="2"/>
  <c r="F62" i="2"/>
  <c r="E62" i="2"/>
  <c r="D62" i="2"/>
  <c r="C62" i="2"/>
  <c r="B62" i="2"/>
  <c r="A62" i="2"/>
  <c r="M61" i="2"/>
  <c r="L61" i="2"/>
  <c r="K61" i="2"/>
  <c r="J61" i="2"/>
  <c r="G61" i="2"/>
  <c r="F61" i="2"/>
  <c r="E61" i="2"/>
  <c r="D61" i="2"/>
  <c r="C61" i="2"/>
  <c r="B61" i="2"/>
  <c r="A61" i="2"/>
  <c r="M60" i="2"/>
  <c r="L60" i="2"/>
  <c r="K60" i="2"/>
  <c r="J60" i="2"/>
  <c r="G60" i="2"/>
  <c r="F60" i="2"/>
  <c r="E60" i="2"/>
  <c r="H60" i="2" s="1"/>
  <c r="D60" i="2"/>
  <c r="C60" i="2"/>
  <c r="B60" i="2"/>
  <c r="A60" i="2"/>
  <c r="M59" i="2"/>
  <c r="L59" i="2"/>
  <c r="K59" i="2"/>
  <c r="J59" i="2"/>
  <c r="G59" i="2"/>
  <c r="F59" i="2"/>
  <c r="E59" i="2"/>
  <c r="H59" i="2" s="1"/>
  <c r="D59" i="2"/>
  <c r="C59" i="2"/>
  <c r="B59" i="2"/>
  <c r="A59" i="2"/>
  <c r="M58" i="2"/>
  <c r="L58" i="2"/>
  <c r="K58" i="2"/>
  <c r="J58" i="2"/>
  <c r="G58" i="2"/>
  <c r="F58" i="2"/>
  <c r="E58" i="2"/>
  <c r="D58" i="2"/>
  <c r="C58" i="2"/>
  <c r="B58" i="2"/>
  <c r="A58" i="2"/>
  <c r="M57" i="2"/>
  <c r="L57" i="2"/>
  <c r="K57" i="2"/>
  <c r="J57" i="2"/>
  <c r="G57" i="2"/>
  <c r="F57" i="2"/>
  <c r="E57" i="2"/>
  <c r="D57" i="2"/>
  <c r="C57" i="2"/>
  <c r="B57" i="2"/>
  <c r="A57" i="2"/>
  <c r="M56" i="2"/>
  <c r="L56" i="2"/>
  <c r="K56" i="2"/>
  <c r="J56" i="2"/>
  <c r="G56" i="2"/>
  <c r="F56" i="2"/>
  <c r="E56" i="2"/>
  <c r="H56" i="2" s="1"/>
  <c r="D56" i="2"/>
  <c r="C56" i="2"/>
  <c r="B56" i="2"/>
  <c r="A56" i="2"/>
  <c r="M55" i="2"/>
  <c r="J55" i="2"/>
  <c r="G55" i="2"/>
  <c r="H55" i="2" s="1"/>
  <c r="F55" i="2"/>
  <c r="E55" i="2"/>
  <c r="D55" i="2"/>
  <c r="C55" i="2"/>
  <c r="B55" i="2"/>
  <c r="A55" i="2"/>
  <c r="M54" i="2"/>
  <c r="L54" i="2"/>
  <c r="K54" i="2"/>
  <c r="J54" i="2"/>
  <c r="G54" i="2"/>
  <c r="H54" i="2" s="1"/>
  <c r="F54" i="2"/>
  <c r="E54" i="2"/>
  <c r="D54" i="2"/>
  <c r="C54" i="2"/>
  <c r="B54" i="2"/>
  <c r="A54" i="2"/>
  <c r="M53" i="2"/>
  <c r="L53" i="2"/>
  <c r="K53" i="2"/>
  <c r="J53" i="2"/>
  <c r="G53" i="2"/>
  <c r="H53" i="2" s="1"/>
  <c r="F53" i="2"/>
  <c r="E53" i="2"/>
  <c r="D53" i="2"/>
  <c r="C53" i="2"/>
  <c r="B53" i="2"/>
  <c r="A53" i="2"/>
  <c r="M52" i="2"/>
  <c r="L52" i="2"/>
  <c r="K52" i="2"/>
  <c r="J52" i="2"/>
  <c r="G52" i="2"/>
  <c r="H52" i="2" s="1"/>
  <c r="F52" i="2"/>
  <c r="E52" i="2"/>
  <c r="D52" i="2"/>
  <c r="C52" i="2"/>
  <c r="B52" i="2"/>
  <c r="A52" i="2"/>
  <c r="M51" i="2"/>
  <c r="L51" i="2"/>
  <c r="K51" i="2"/>
  <c r="J51" i="2"/>
  <c r="G51" i="2"/>
  <c r="H51" i="2" s="1"/>
  <c r="F51" i="2"/>
  <c r="E51" i="2"/>
  <c r="D51" i="2"/>
  <c r="C51" i="2"/>
  <c r="B51" i="2"/>
  <c r="A51" i="2"/>
  <c r="M50" i="2"/>
  <c r="L50" i="2"/>
  <c r="K50" i="2"/>
  <c r="J50" i="2"/>
  <c r="G50" i="2"/>
  <c r="H50" i="2" s="1"/>
  <c r="F50" i="2"/>
  <c r="E50" i="2"/>
  <c r="D50" i="2"/>
  <c r="C50" i="2"/>
  <c r="B50" i="2"/>
  <c r="A50" i="2"/>
  <c r="M49" i="2"/>
  <c r="L49" i="2"/>
  <c r="K49" i="2"/>
  <c r="J49" i="2"/>
  <c r="G49" i="2"/>
  <c r="H49" i="2" s="1"/>
  <c r="F49" i="2"/>
  <c r="E49" i="2"/>
  <c r="D49" i="2"/>
  <c r="C49" i="2"/>
  <c r="B49" i="2"/>
  <c r="A49" i="2"/>
  <c r="M48" i="2"/>
  <c r="L48" i="2"/>
  <c r="K48" i="2"/>
  <c r="J48" i="2"/>
  <c r="G48" i="2"/>
  <c r="H48" i="2" s="1"/>
  <c r="F48" i="2"/>
  <c r="E48" i="2"/>
  <c r="D48" i="2"/>
  <c r="C48" i="2"/>
  <c r="B48" i="2"/>
  <c r="A48" i="2"/>
  <c r="M47" i="2"/>
  <c r="L47" i="2"/>
  <c r="K47" i="2"/>
  <c r="J47" i="2"/>
  <c r="G47" i="2"/>
  <c r="H47" i="2" s="1"/>
  <c r="F47" i="2"/>
  <c r="E47" i="2"/>
  <c r="D47" i="2"/>
  <c r="C47" i="2"/>
  <c r="B47" i="2"/>
  <c r="A47" i="2"/>
  <c r="M46" i="2"/>
  <c r="L46" i="2"/>
  <c r="K46" i="2"/>
  <c r="J46" i="2"/>
  <c r="G46" i="2"/>
  <c r="H46" i="2" s="1"/>
  <c r="F46" i="2"/>
  <c r="E46" i="2"/>
  <c r="D46" i="2"/>
  <c r="C46" i="2"/>
  <c r="B46" i="2"/>
  <c r="A46" i="2"/>
  <c r="M45" i="2"/>
  <c r="L45" i="2"/>
  <c r="K45" i="2"/>
  <c r="J45" i="2"/>
  <c r="G45" i="2"/>
  <c r="H45" i="2" s="1"/>
  <c r="F45" i="2"/>
  <c r="E45" i="2"/>
  <c r="D45" i="2"/>
  <c r="C45" i="2"/>
  <c r="B45" i="2"/>
  <c r="A45" i="2"/>
  <c r="M44" i="2"/>
  <c r="L44" i="2"/>
  <c r="K44" i="2"/>
  <c r="J44" i="2"/>
  <c r="G44" i="2"/>
  <c r="H44" i="2" s="1"/>
  <c r="F44" i="2"/>
  <c r="E44" i="2"/>
  <c r="D44" i="2"/>
  <c r="C44" i="2"/>
  <c r="B44" i="2"/>
  <c r="A44" i="2"/>
  <c r="M43" i="2"/>
  <c r="L43" i="2"/>
  <c r="K43" i="2"/>
  <c r="J43" i="2"/>
  <c r="G43" i="2"/>
  <c r="H43" i="2" s="1"/>
  <c r="F43" i="2"/>
  <c r="E43" i="2"/>
  <c r="D43" i="2"/>
  <c r="C43" i="2"/>
  <c r="B43" i="2"/>
  <c r="A43" i="2"/>
  <c r="M42" i="2"/>
  <c r="L42" i="2"/>
  <c r="K42" i="2"/>
  <c r="J42" i="2"/>
  <c r="G42" i="2"/>
  <c r="H42" i="2" s="1"/>
  <c r="F42" i="2"/>
  <c r="E42" i="2"/>
  <c r="D42" i="2"/>
  <c r="C42" i="2"/>
  <c r="B42" i="2"/>
  <c r="A42" i="2"/>
  <c r="M41" i="2"/>
  <c r="L41" i="2"/>
  <c r="K41" i="2"/>
  <c r="J41" i="2"/>
  <c r="G41" i="2"/>
  <c r="H41" i="2" s="1"/>
  <c r="F41" i="2"/>
  <c r="E41" i="2"/>
  <c r="D41" i="2"/>
  <c r="C41" i="2"/>
  <c r="B41" i="2"/>
  <c r="A41" i="2"/>
  <c r="M40" i="2"/>
  <c r="L40" i="2"/>
  <c r="K40" i="2"/>
  <c r="J40" i="2"/>
  <c r="G40" i="2"/>
  <c r="H40" i="2" s="1"/>
  <c r="F40" i="2"/>
  <c r="E40" i="2"/>
  <c r="D40" i="2"/>
  <c r="C40" i="2"/>
  <c r="B40" i="2"/>
  <c r="A40" i="2"/>
  <c r="M39" i="2"/>
  <c r="L39" i="2"/>
  <c r="K39" i="2"/>
  <c r="J39" i="2"/>
  <c r="G39" i="2"/>
  <c r="H39" i="2" s="1"/>
  <c r="F39" i="2"/>
  <c r="E39" i="2"/>
  <c r="D39" i="2"/>
  <c r="C39" i="2"/>
  <c r="B39" i="2"/>
  <c r="A39" i="2"/>
  <c r="M38" i="2"/>
  <c r="L38" i="2"/>
  <c r="K38" i="2"/>
  <c r="J38" i="2"/>
  <c r="G38" i="2"/>
  <c r="H38" i="2" s="1"/>
  <c r="F38" i="2"/>
  <c r="E38" i="2"/>
  <c r="D38" i="2"/>
  <c r="C38" i="2"/>
  <c r="B38" i="2"/>
  <c r="A38" i="2"/>
  <c r="M37" i="2"/>
  <c r="L37" i="2"/>
  <c r="G37" i="2"/>
  <c r="F37" i="2"/>
  <c r="E37" i="2"/>
  <c r="H37" i="2" s="1"/>
  <c r="D37" i="2"/>
  <c r="C37" i="2"/>
  <c r="B37" i="2"/>
  <c r="A37" i="2"/>
  <c r="M36" i="2"/>
  <c r="L36" i="2"/>
  <c r="G36" i="2"/>
  <c r="H36" i="2" s="1"/>
  <c r="F36" i="2"/>
  <c r="E36" i="2"/>
  <c r="D36" i="2"/>
  <c r="C36" i="2"/>
  <c r="B36" i="2"/>
  <c r="A36" i="2"/>
  <c r="M35" i="2"/>
  <c r="L35" i="2"/>
  <c r="G35" i="2"/>
  <c r="F35" i="2"/>
  <c r="E35" i="2"/>
  <c r="D35" i="2"/>
  <c r="C35" i="2"/>
  <c r="B35" i="2"/>
  <c r="A35" i="2"/>
  <c r="M34" i="2"/>
  <c r="H34" i="2"/>
  <c r="G34" i="2"/>
  <c r="F34" i="2"/>
  <c r="E34" i="2"/>
  <c r="D34" i="2"/>
  <c r="C34" i="2"/>
  <c r="B34" i="2"/>
  <c r="A34" i="2"/>
  <c r="M33" i="2"/>
  <c r="L33" i="2"/>
  <c r="K33" i="2"/>
  <c r="J33" i="2"/>
  <c r="H33" i="2"/>
  <c r="G33" i="2"/>
  <c r="F33" i="2"/>
  <c r="E33" i="2"/>
  <c r="D33" i="2"/>
  <c r="C33" i="2"/>
  <c r="B33" i="2"/>
  <c r="A33" i="2"/>
  <c r="M32" i="2"/>
  <c r="L32" i="2"/>
  <c r="K32" i="2"/>
  <c r="J32" i="2"/>
  <c r="H32" i="2"/>
  <c r="G32" i="2"/>
  <c r="F32" i="2"/>
  <c r="E32" i="2"/>
  <c r="D32" i="2"/>
  <c r="C32" i="2"/>
  <c r="B32" i="2"/>
  <c r="A32" i="2"/>
  <c r="M31" i="2"/>
  <c r="L31" i="2"/>
  <c r="K31" i="2"/>
  <c r="J31" i="2"/>
  <c r="H31" i="2"/>
  <c r="G31" i="2"/>
  <c r="F31" i="2"/>
  <c r="E31" i="2"/>
  <c r="D31" i="2"/>
  <c r="C31" i="2"/>
  <c r="B31" i="2"/>
  <c r="A31" i="2"/>
  <c r="M30" i="2"/>
  <c r="J30" i="2"/>
  <c r="G30" i="2"/>
  <c r="F30" i="2"/>
  <c r="H30" i="2" s="1"/>
  <c r="E30" i="2"/>
  <c r="D30" i="2"/>
  <c r="C30" i="2"/>
  <c r="B30" i="2"/>
  <c r="A30" i="2"/>
  <c r="M29" i="2"/>
  <c r="L29" i="2"/>
  <c r="H29" i="2"/>
  <c r="G29" i="2"/>
  <c r="F29" i="2"/>
  <c r="E29" i="2"/>
  <c r="D29" i="2"/>
  <c r="C29" i="2"/>
  <c r="B29" i="2"/>
  <c r="A29" i="2"/>
  <c r="M28" i="2"/>
  <c r="L28" i="2"/>
  <c r="K28" i="2"/>
  <c r="J28" i="2"/>
  <c r="H28" i="2"/>
  <c r="G28" i="2"/>
  <c r="F28" i="2"/>
  <c r="E28" i="2"/>
  <c r="D28" i="2"/>
  <c r="C28" i="2"/>
  <c r="B28" i="2"/>
  <c r="A28" i="2"/>
  <c r="M27" i="2"/>
  <c r="L27" i="2"/>
  <c r="G27" i="2"/>
  <c r="F27" i="2"/>
  <c r="H27" i="2" s="1"/>
  <c r="E27" i="2"/>
  <c r="D27" i="2"/>
  <c r="C27" i="2"/>
  <c r="B27" i="2"/>
  <c r="A27" i="2"/>
  <c r="M26" i="2"/>
  <c r="L26" i="2"/>
  <c r="H26" i="2"/>
  <c r="G26" i="2"/>
  <c r="F26" i="2"/>
  <c r="E26" i="2"/>
  <c r="D26" i="2"/>
  <c r="C26" i="2"/>
  <c r="B26" i="2"/>
  <c r="A26" i="2"/>
  <c r="M25" i="2"/>
  <c r="L25" i="2"/>
  <c r="G25" i="2"/>
  <c r="F25" i="2"/>
  <c r="H25" i="2" s="1"/>
  <c r="E25" i="2"/>
  <c r="D25" i="2"/>
  <c r="C25" i="2"/>
  <c r="B25" i="2"/>
  <c r="A25" i="2"/>
  <c r="M24" i="2"/>
  <c r="L24" i="2"/>
  <c r="H24" i="2"/>
  <c r="G24" i="2"/>
  <c r="F24" i="2"/>
  <c r="E24" i="2"/>
  <c r="D24" i="2"/>
  <c r="C24" i="2"/>
  <c r="B24" i="2"/>
  <c r="A24" i="2"/>
  <c r="M23" i="2"/>
  <c r="L23" i="2"/>
  <c r="G23" i="2"/>
  <c r="F23" i="2"/>
  <c r="H23" i="2" s="1"/>
  <c r="E23" i="2"/>
  <c r="D23" i="2"/>
  <c r="C23" i="2"/>
  <c r="B23" i="2"/>
  <c r="A23" i="2"/>
  <c r="M22" i="2"/>
  <c r="L22" i="2"/>
  <c r="H22" i="2"/>
  <c r="G22" i="2"/>
  <c r="F22" i="2"/>
  <c r="E22" i="2"/>
  <c r="D22" i="2"/>
  <c r="C22" i="2"/>
  <c r="B22" i="2"/>
  <c r="A22" i="2"/>
  <c r="M21" i="2"/>
  <c r="L21" i="2"/>
  <c r="G21" i="2"/>
  <c r="F21" i="2"/>
  <c r="H21" i="2" s="1"/>
  <c r="E21" i="2"/>
  <c r="D21" i="2"/>
  <c r="C21" i="2"/>
  <c r="B21" i="2"/>
  <c r="A21" i="2"/>
  <c r="M20" i="2"/>
  <c r="L20" i="2"/>
  <c r="H20" i="2"/>
  <c r="G20" i="2"/>
  <c r="F20" i="2"/>
  <c r="E20" i="2"/>
  <c r="D20" i="2"/>
  <c r="C20" i="2"/>
  <c r="B20" i="2"/>
  <c r="A20" i="2"/>
  <c r="M19" i="2"/>
  <c r="L19" i="2"/>
  <c r="K19" i="2"/>
  <c r="J19" i="2"/>
  <c r="H19" i="2"/>
  <c r="G19" i="2"/>
  <c r="F19" i="2"/>
  <c r="E19" i="2"/>
  <c r="D19" i="2"/>
  <c r="C19" i="2"/>
  <c r="B19" i="2"/>
  <c r="A19" i="2"/>
  <c r="M18" i="2"/>
  <c r="L18" i="2"/>
  <c r="K18" i="2"/>
  <c r="J18" i="2"/>
  <c r="H18" i="2"/>
  <c r="G18" i="2"/>
  <c r="F18" i="2"/>
  <c r="E18" i="2"/>
  <c r="D18" i="2"/>
  <c r="C18" i="2"/>
  <c r="B18" i="2"/>
  <c r="A18" i="2"/>
  <c r="M17" i="2"/>
  <c r="L17" i="2"/>
  <c r="K17" i="2"/>
  <c r="J17" i="2"/>
  <c r="H17" i="2"/>
  <c r="G17" i="2"/>
  <c r="F17" i="2"/>
  <c r="E17" i="2"/>
  <c r="D17" i="2"/>
  <c r="C17" i="2"/>
  <c r="B17" i="2"/>
  <c r="A17" i="2"/>
  <c r="M16" i="2"/>
  <c r="L16" i="2"/>
  <c r="K16" i="2"/>
  <c r="J16" i="2"/>
  <c r="H16" i="2"/>
  <c r="G16" i="2"/>
  <c r="F16" i="2"/>
  <c r="E16" i="2"/>
  <c r="D16" i="2"/>
  <c r="C16" i="2"/>
  <c r="B16" i="2"/>
  <c r="A16" i="2"/>
  <c r="M15" i="2"/>
  <c r="L15" i="2"/>
  <c r="K15" i="2"/>
  <c r="J15" i="2"/>
  <c r="H15" i="2"/>
  <c r="G15" i="2"/>
  <c r="F15" i="2"/>
  <c r="E15" i="2"/>
  <c r="D15" i="2"/>
  <c r="C15" i="2"/>
  <c r="B15" i="2"/>
  <c r="A15" i="2"/>
  <c r="M14" i="2"/>
  <c r="L14" i="2"/>
  <c r="K14" i="2"/>
  <c r="J14" i="2"/>
  <c r="H14" i="2"/>
  <c r="G14" i="2"/>
  <c r="F14" i="2"/>
  <c r="E14" i="2"/>
  <c r="D14" i="2"/>
  <c r="C14" i="2"/>
  <c r="B14" i="2"/>
  <c r="A14" i="2"/>
  <c r="M13" i="2"/>
  <c r="L13" i="2"/>
  <c r="K13" i="2"/>
  <c r="J13" i="2"/>
  <c r="H13" i="2"/>
  <c r="G13" i="2"/>
  <c r="F13" i="2"/>
  <c r="E13" i="2"/>
  <c r="D13" i="2"/>
  <c r="C13" i="2"/>
  <c r="B13" i="2"/>
  <c r="A13" i="2"/>
  <c r="M12" i="2"/>
  <c r="L12" i="2"/>
  <c r="K12" i="2"/>
  <c r="J12" i="2"/>
  <c r="H12" i="2"/>
  <c r="G12" i="2"/>
  <c r="F12" i="2"/>
  <c r="E12" i="2"/>
  <c r="D12" i="2"/>
  <c r="C12" i="2"/>
  <c r="B12" i="2"/>
  <c r="A12" i="2"/>
  <c r="M11" i="2"/>
  <c r="L11" i="2"/>
  <c r="K11" i="2"/>
  <c r="J11" i="2"/>
  <c r="H11" i="2"/>
  <c r="G11" i="2"/>
  <c r="F11" i="2"/>
  <c r="E11" i="2"/>
  <c r="D11" i="2"/>
  <c r="C11" i="2"/>
  <c r="B11" i="2"/>
  <c r="A11" i="2"/>
  <c r="M10" i="2"/>
  <c r="L10" i="2"/>
  <c r="K10" i="2"/>
  <c r="J10" i="2"/>
  <c r="H10" i="2"/>
  <c r="G10" i="2"/>
  <c r="F10" i="2"/>
  <c r="E10" i="2"/>
  <c r="D10" i="2"/>
  <c r="C10" i="2"/>
  <c r="B10" i="2"/>
  <c r="A10" i="2"/>
  <c r="M9" i="2"/>
  <c r="L9" i="2"/>
  <c r="G9" i="2"/>
  <c r="F9" i="2"/>
  <c r="H9" i="2" s="1"/>
  <c r="E9" i="2"/>
  <c r="D9" i="2"/>
  <c r="C9" i="2"/>
  <c r="B9" i="2"/>
  <c r="A9" i="2"/>
  <c r="M8" i="2"/>
  <c r="L8" i="2"/>
  <c r="H8" i="2"/>
  <c r="G8" i="2"/>
  <c r="F8" i="2"/>
  <c r="E8" i="2"/>
  <c r="D8" i="2"/>
  <c r="C8" i="2"/>
  <c r="B8" i="2"/>
  <c r="A8" i="2"/>
  <c r="M7" i="2"/>
  <c r="L7" i="2"/>
  <c r="G7" i="2"/>
  <c r="F7" i="2"/>
  <c r="H7" i="2" s="1"/>
  <c r="E7" i="2"/>
  <c r="D7" i="2"/>
  <c r="C7" i="2"/>
  <c r="B7" i="2"/>
  <c r="A7" i="2"/>
  <c r="M6" i="2"/>
  <c r="L6" i="2"/>
  <c r="K6" i="2"/>
  <c r="J6" i="2"/>
  <c r="G6" i="2"/>
  <c r="F6" i="2"/>
  <c r="H6" i="2" s="1"/>
  <c r="E6" i="2"/>
  <c r="D6" i="2"/>
  <c r="C6" i="2"/>
  <c r="B6" i="2"/>
  <c r="A6" i="2"/>
  <c r="M5" i="2"/>
  <c r="L5" i="2"/>
  <c r="K5" i="2"/>
  <c r="J5" i="2"/>
  <c r="G5" i="2"/>
  <c r="F5" i="2"/>
  <c r="H5" i="2" s="1"/>
  <c r="E5" i="2"/>
  <c r="D5" i="2"/>
  <c r="C5" i="2"/>
  <c r="B5" i="2"/>
  <c r="A5" i="2"/>
  <c r="M4" i="2"/>
  <c r="L4" i="2"/>
  <c r="K4" i="2"/>
  <c r="J4" i="2"/>
  <c r="G4" i="2"/>
  <c r="F4" i="2"/>
  <c r="H4" i="2" s="1"/>
  <c r="E4" i="2"/>
  <c r="D4" i="2"/>
  <c r="C4" i="2"/>
  <c r="B4" i="2"/>
  <c r="A4" i="2"/>
  <c r="M3" i="2"/>
  <c r="L3" i="2"/>
  <c r="K3" i="2"/>
  <c r="J3" i="2"/>
  <c r="G3" i="2"/>
  <c r="F3" i="2"/>
  <c r="H3" i="2" s="1"/>
  <c r="E3" i="2"/>
  <c r="D3" i="2"/>
  <c r="C3" i="2"/>
  <c r="B3" i="2"/>
  <c r="A3" i="2"/>
  <c r="M2" i="2"/>
  <c r="L2" i="2"/>
  <c r="K2" i="2"/>
  <c r="J2" i="2"/>
  <c r="G2" i="2"/>
  <c r="F2" i="2"/>
  <c r="H2" i="2" s="1"/>
  <c r="E2" i="2"/>
  <c r="D2" i="2"/>
  <c r="C2" i="2"/>
  <c r="B2" i="2"/>
  <c r="A2" i="2"/>
  <c r="H35" i="2" l="1"/>
  <c r="H58" i="2"/>
  <c r="H62" i="2"/>
  <c r="H66" i="2"/>
  <c r="H71" i="2"/>
  <c r="H80" i="2"/>
  <c r="H84" i="2"/>
  <c r="H88" i="2"/>
  <c r="H92" i="2"/>
  <c r="H171" i="2"/>
  <c r="H178" i="2"/>
  <c r="H180" i="2"/>
  <c r="H182" i="2"/>
  <c r="H188" i="2"/>
  <c r="H192" i="2"/>
  <c r="H196" i="2"/>
  <c r="H198" i="2"/>
  <c r="H202" i="2"/>
  <c r="H206" i="2"/>
  <c r="H208" i="2"/>
  <c r="H212" i="2"/>
  <c r="H216" i="2"/>
  <c r="H220" i="2"/>
  <c r="H222" i="2"/>
  <c r="H228" i="2"/>
  <c r="H232" i="2"/>
  <c r="H236" i="2"/>
  <c r="H240" i="2"/>
  <c r="H261" i="2"/>
  <c r="H307" i="2"/>
  <c r="H311" i="2"/>
  <c r="H315" i="2"/>
  <c r="H317" i="2"/>
  <c r="H319" i="2"/>
  <c r="H321" i="2"/>
  <c r="H327" i="2"/>
  <c r="H329" i="2"/>
  <c r="H335" i="2"/>
  <c r="H57" i="2"/>
  <c r="H61" i="2"/>
  <c r="H65" i="2"/>
  <c r="H68" i="2"/>
  <c r="H72" i="2"/>
  <c r="H83" i="2"/>
  <c r="H87" i="2"/>
  <c r="H93" i="2"/>
  <c r="H181" i="2"/>
  <c r="H185" i="2"/>
  <c r="H187" i="2"/>
  <c r="H191" i="2"/>
  <c r="H195" i="2"/>
  <c r="H199" i="2"/>
  <c r="H203" i="2"/>
  <c r="H207" i="2"/>
  <c r="H211" i="2"/>
  <c r="H215" i="2"/>
  <c r="H217" i="2"/>
  <c r="H221" i="2"/>
  <c r="H225" i="2"/>
  <c r="H231" i="2"/>
  <c r="H235" i="2"/>
  <c r="H239" i="2"/>
  <c r="H260" i="2"/>
  <c r="H305" i="2"/>
  <c r="H306" i="2"/>
  <c r="H310" i="2"/>
  <c r="H312" i="2"/>
  <c r="H314" i="2"/>
  <c r="H316" i="2"/>
  <c r="H324" i="2"/>
  <c r="H326" i="2"/>
  <c r="H328" i="2"/>
  <c r="H332" i="2"/>
  <c r="H338" i="2"/>
</calcChain>
</file>

<file path=xl/sharedStrings.xml><?xml version="1.0" encoding="utf-8"?>
<sst xmlns="http://schemas.openxmlformats.org/spreadsheetml/2006/main" count="3737" uniqueCount="901">
  <si>
    <t>Horodateur</t>
  </si>
  <si>
    <t>NOM PRÉNOM</t>
  </si>
  <si>
    <t>SEXE</t>
  </si>
  <si>
    <t xml:space="preserve">DATE DE NAISSANCE  </t>
  </si>
  <si>
    <t>CATÉGORIE</t>
  </si>
  <si>
    <t xml:space="preserve">TYPE D'ÉTABLISSEMENT
</t>
  </si>
  <si>
    <t>NOM ÉCOLE OU COLLÈGE</t>
  </si>
  <si>
    <t>VILLE DE L' ÉTABLISSEMENT SCOLAIRE</t>
  </si>
  <si>
    <t>Justificatif médical reçu</t>
  </si>
  <si>
    <t>CERTIFICAT MEDICAL OU QUESTIONNAIRE DE SANTE</t>
  </si>
  <si>
    <t>ADRESSE MAIL</t>
  </si>
  <si>
    <t>TELEPHONE</t>
  </si>
  <si>
    <t>ADRESSE</t>
  </si>
  <si>
    <t/>
  </si>
  <si>
    <t>DEJOYE Casey</t>
  </si>
  <si>
    <t>H</t>
  </si>
  <si>
    <t>EVEIL ATHLE</t>
  </si>
  <si>
    <t xml:space="preserve">ECOLE
</t>
  </si>
  <si>
    <t>RPI APREMONT</t>
  </si>
  <si>
    <t>APREMONT</t>
  </si>
  <si>
    <t>OK</t>
  </si>
  <si>
    <t>ameline.rouget@laposte.net</t>
  </si>
  <si>
    <t>06 31 40 36 40</t>
  </si>
  <si>
    <t>70100 APREMONT</t>
  </si>
  <si>
    <t>FARIELLO Jeanne</t>
  </si>
  <si>
    <t>F</t>
  </si>
  <si>
    <t>APREMON</t>
  </si>
  <si>
    <t>sandrine.chretien@wanadoo.fr</t>
  </si>
  <si>
    <t>06 86 46 20 73</t>
  </si>
  <si>
    <t>70100 GERMIGNEY</t>
  </si>
  <si>
    <t>RONDEY Augustin</t>
  </si>
  <si>
    <t>steve.70@live.fr</t>
  </si>
  <si>
    <t>06 30 79 59 45</t>
  </si>
  <si>
    <t>MAJ Maxine</t>
  </si>
  <si>
    <t>POUSSINS</t>
  </si>
  <si>
    <t>maj.vincent.gabriel@gmail.com</t>
  </si>
  <si>
    <t>06 08 47 52 56</t>
  </si>
  <si>
    <t>70100 LE TREMBLOIS</t>
  </si>
  <si>
    <t>RONDEY Ninon</t>
  </si>
  <si>
    <t>RPI APREMON</t>
  </si>
  <si>
    <t>POURET Léna</t>
  </si>
  <si>
    <t>BABY ATHLE</t>
  </si>
  <si>
    <t>LOUIS PERGAUD</t>
  </si>
  <si>
    <t>ARC LES GRAY</t>
  </si>
  <si>
    <t>ihami@outlook.fr</t>
  </si>
  <si>
    <t>06 81 64 69 37</t>
  </si>
  <si>
    <t>70100 ARC LES GRAY</t>
  </si>
  <si>
    <t>ETTAOUSSI Rita</t>
  </si>
  <si>
    <t>hinham28@hotmail.com</t>
  </si>
  <si>
    <t>06 63 42 61 84</t>
  </si>
  <si>
    <t>PARMENTIER Tom</t>
  </si>
  <si>
    <t>cindyroux7021@gmail.com</t>
  </si>
  <si>
    <t>06 70 69 81 57</t>
  </si>
  <si>
    <t>70100 MANTOCHE</t>
  </si>
  <si>
    <t>BAILLY Laurent</t>
  </si>
  <si>
    <t>OUI</t>
  </si>
  <si>
    <t>lolobabail@hotmail.com</t>
  </si>
  <si>
    <t>403 rue du Val de Saône 70100 GRAY LA VILLE</t>
  </si>
  <si>
    <t>CLAUSSE Margot</t>
  </si>
  <si>
    <t>clarisse.coquibus@gmail.com</t>
  </si>
  <si>
    <t>06 48 77 78 78</t>
  </si>
  <si>
    <t>25170 PELOUSEY</t>
  </si>
  <si>
    <t>GUENOT Léna</t>
  </si>
  <si>
    <t>julienet-elodie@orange.fr</t>
  </si>
  <si>
    <t>06 33 36 63 05</t>
  </si>
  <si>
    <t>JEANNERET Noa</t>
  </si>
  <si>
    <t>ced.jeanneret@orange.fr</t>
  </si>
  <si>
    <t>06 88 90 94 16</t>
  </si>
  <si>
    <t>LAMBERT Gabin</t>
  </si>
  <si>
    <t>lambertangelique70@gmail.com</t>
  </si>
  <si>
    <t>06 89 03 23 73</t>
  </si>
  <si>
    <t>MARTIN Kyllian</t>
  </si>
  <si>
    <t>mlle.samantha-39@live.fr</t>
  </si>
  <si>
    <t>06 46 82 41 91</t>
  </si>
  <si>
    <t>70100 NANTILLY</t>
  </si>
  <si>
    <t>PAILLOTTET Clara</t>
  </si>
  <si>
    <t>laurentetveronique70@orange.fr</t>
  </si>
  <si>
    <t>07 50 35 68 68</t>
  </si>
  <si>
    <t>DUMAIN Léane</t>
  </si>
  <si>
    <t>AUTHOISON</t>
  </si>
  <si>
    <t>lucileravillon@hotmail.fr</t>
  </si>
  <si>
    <t>06 74 99 08 71</t>
  </si>
  <si>
    <t>70190 AUTHOISON</t>
  </si>
  <si>
    <t>COLLINET Meredith</t>
  </si>
  <si>
    <t>AUTREY LES GRAY</t>
  </si>
  <si>
    <t>70100 BROYE LES LOUPS</t>
  </si>
  <si>
    <t>HAREL Apolline</t>
  </si>
  <si>
    <t>matt1602@hotmail.fr</t>
  </si>
  <si>
    <t>06 60 77 10 34</t>
  </si>
  <si>
    <t>25000 BESANCON</t>
  </si>
  <si>
    <t>HERGAS Gabin</t>
  </si>
  <si>
    <t>cecileparisot@hotmail.fr</t>
  </si>
  <si>
    <t>06 83 73 11 61</t>
  </si>
  <si>
    <t>70100 BOUHANS</t>
  </si>
  <si>
    <t>RIGOLLOT Camille</t>
  </si>
  <si>
    <t>tony.rigollot@gmail.com</t>
  </si>
  <si>
    <t>06 84 08 84 84</t>
  </si>
  <si>
    <t>AIT SADI Safiya</t>
  </si>
  <si>
    <t>BELLENEUVE</t>
  </si>
  <si>
    <t>oumilyes43@gmail.com</t>
  </si>
  <si>
    <t>07 78 43 52 76</t>
  </si>
  <si>
    <t>70100 GRAY</t>
  </si>
  <si>
    <t>BELGUEMARI MOUSSARD Louna</t>
  </si>
  <si>
    <t>moussard4@gmail.com</t>
  </si>
  <si>
    <t>06 38 47 7986</t>
  </si>
  <si>
    <t>BONVALOT Emma</t>
  </si>
  <si>
    <t>elise.bonvalot@outlook.fr</t>
  </si>
  <si>
    <t>06 89 24 50 74</t>
  </si>
  <si>
    <t>CARIOT BESANCON Alice</t>
  </si>
  <si>
    <t>micka.70@hotmail.fr</t>
  </si>
  <si>
    <t>06 45 04 69 59</t>
  </si>
  <si>
    <t>70100 CHARGEY LES GRAY</t>
  </si>
  <si>
    <t>CHEVAUX Lara</t>
  </si>
  <si>
    <t>chevauxjonathan@hotmail.fr</t>
  </si>
  <si>
    <t>06 88 60 60 67</t>
  </si>
  <si>
    <t>COURVOISIER Léa</t>
  </si>
  <si>
    <t>lylyhomann@hotmail.com</t>
  </si>
  <si>
    <t>06 70 53 76 20</t>
  </si>
  <si>
    <t>70600 VARS</t>
  </si>
  <si>
    <t>DELAMOTTE Ambroise</t>
  </si>
  <si>
    <t>m.delamotte@orange.fr</t>
  </si>
  <si>
    <t>06 58 21 85 76</t>
  </si>
  <si>
    <t>DINC Elif</t>
  </si>
  <si>
    <t>laurie.88@hotmail.fr</t>
  </si>
  <si>
    <t>06 37 75 87 07</t>
  </si>
  <si>
    <t>70100 GRAY LA VILLE</t>
  </si>
  <si>
    <t>GRISOUARD Margaux</t>
  </si>
  <si>
    <t>francois.grisouard@laposte.net</t>
  </si>
  <si>
    <t>06 72 13 43 39</t>
  </si>
  <si>
    <t>GUEGUEN Dorian</t>
  </si>
  <si>
    <t>estelle.revoy@gmail.com</t>
  </si>
  <si>
    <t>06 74 66 26 23</t>
  </si>
  <si>
    <t>HARO MUNOZ Camille</t>
  </si>
  <si>
    <t>leblanc.laura31@gmail.com</t>
  </si>
  <si>
    <t>07 81 98 63 49</t>
  </si>
  <si>
    <t>HERNANDEZ Tiago</t>
  </si>
  <si>
    <t>jenny_70100@gmail.com</t>
  </si>
  <si>
    <t>06 81 24 51 76</t>
  </si>
  <si>
    <t>HULIN Amélya</t>
  </si>
  <si>
    <t>guillaumehulin@yahoo.fr</t>
  </si>
  <si>
    <t>07 57 43 63 38</t>
  </si>
  <si>
    <t>JACOPIN Jade</t>
  </si>
  <si>
    <t>nathalie.ruchet@hotmail.fr</t>
  </si>
  <si>
    <t>06 31 41 79 94</t>
  </si>
  <si>
    <t>70100 SAINT LOUP NANTOUARD</t>
  </si>
  <si>
    <t>TASSI Ethan</t>
  </si>
  <si>
    <t>alexandralamboule@gmail.com</t>
  </si>
  <si>
    <t>06 78 40 06 11</t>
  </si>
  <si>
    <t>21310 BELLENEUVE</t>
  </si>
  <si>
    <t>TEIXEIRA LOPES Mathéo</t>
  </si>
  <si>
    <t>amandinebobert@outlook.fr</t>
  </si>
  <si>
    <t>06 40 40 05 65</t>
  </si>
  <si>
    <t>TELLIER Adèle</t>
  </si>
  <si>
    <t>joachim.tellier@orange.fr</t>
  </si>
  <si>
    <t>06 38 72 85 63</t>
  </si>
  <si>
    <t>BAULARD Anthon</t>
  </si>
  <si>
    <t>MINIMES</t>
  </si>
  <si>
    <t>COLLEGE</t>
  </si>
  <si>
    <t>70100 MONTUREUX</t>
  </si>
  <si>
    <t>BLANC Evan</t>
  </si>
  <si>
    <t>brussey.sonia@orange.fr</t>
  </si>
  <si>
    <t>06 81 83 11 28</t>
  </si>
  <si>
    <t>BOISSON Eléonore</t>
  </si>
  <si>
    <t>eleonoree.boisson@gmail.com</t>
  </si>
  <si>
    <t>06 30 13 11 99</t>
  </si>
  <si>
    <t>70000 VESOUL</t>
  </si>
  <si>
    <t>BONNAIRE Nathan</t>
  </si>
  <si>
    <t>anne20202000@yahoo.fr</t>
  </si>
  <si>
    <t>06 89 51 01 15</t>
  </si>
  <si>
    <t>03600 LOUROUX DE BEAUNE</t>
  </si>
  <si>
    <t>BOSSU Romain</t>
  </si>
  <si>
    <t>bossumaud@wanadoo.fr</t>
  </si>
  <si>
    <t>06 88 89 60 36</t>
  </si>
  <si>
    <t>70700 BUCEY LES GY</t>
  </si>
  <si>
    <t>BOUVIER Roxane</t>
  </si>
  <si>
    <t>stefbouvier@wanadoo.fr</t>
  </si>
  <si>
    <t>06 03 96 82 13</t>
  </si>
  <si>
    <t>70140 PESMES</t>
  </si>
  <si>
    <t>BOZON Paul</t>
  </si>
  <si>
    <t>stephanie.ob@gmail.com</t>
  </si>
  <si>
    <t>07 89 02 31 08</t>
  </si>
  <si>
    <t>21610 FONTENELLE</t>
  </si>
  <si>
    <t>BRESSON Romane</t>
  </si>
  <si>
    <t>lylounico@gmail.com</t>
  </si>
  <si>
    <t>06 72 90 69 91</t>
  </si>
  <si>
    <t>70190 SORANS LES BREUREY</t>
  </si>
  <si>
    <t>CADET Chloé</t>
  </si>
  <si>
    <t>al.clement@wanadoo.fr</t>
  </si>
  <si>
    <t>06 81 04 07 99</t>
  </si>
  <si>
    <t>21610 FONTAINE-FRANCAISE</t>
  </si>
  <si>
    <t>CAMUSET Lucie</t>
  </si>
  <si>
    <t>camuset.fc@gmail.com</t>
  </si>
  <si>
    <t>06 85 31 64 37</t>
  </si>
  <si>
    <t>70100 CHAMPTONNAY</t>
  </si>
  <si>
    <t>CARNEIRO Tiago</t>
  </si>
  <si>
    <t>carneiroda@wanadoo.fr</t>
  </si>
  <si>
    <t>06 32 68 94 31</t>
  </si>
  <si>
    <t>70600 CHAMPLITTE</t>
  </si>
  <si>
    <t>CHABOZ-CHARRASSIER Lylou</t>
  </si>
  <si>
    <t>legouxlaurene@gmail.Com</t>
  </si>
  <si>
    <t>07 69 72 20 76</t>
  </si>
  <si>
    <t>70100 BEAUJEU</t>
  </si>
  <si>
    <t>CHAMBLANC Zoé</t>
  </si>
  <si>
    <t>06 77 87 70 24</t>
  </si>
  <si>
    <t>CHAUVELOT Alix</t>
  </si>
  <si>
    <t>sebetso@hotmail.Fr</t>
  </si>
  <si>
    <t>07 88 26 57 22</t>
  </si>
  <si>
    <t>70100 ANCIER</t>
  </si>
  <si>
    <t>CHAUVELOT Bastien</t>
  </si>
  <si>
    <t>07 82 26 57 22</t>
  </si>
  <si>
    <t>CLERGET Nataël</t>
  </si>
  <si>
    <t>clergetemilie@yahoo.fr</t>
  </si>
  <si>
    <t>06 88 39 53 28</t>
  </si>
  <si>
    <t>25170 BURGILLE</t>
  </si>
  <si>
    <t>COMPAGNON Eloïse</t>
  </si>
  <si>
    <t>annpomm@hotmail.fr</t>
  </si>
  <si>
    <t>06 73 60 41 34</t>
  </si>
  <si>
    <t>70100 VELET</t>
  </si>
  <si>
    <t>CORNEVIN Emeric</t>
  </si>
  <si>
    <t>baptiste.cornevin@orange.fr</t>
  </si>
  <si>
    <t>06 49 37 73 05</t>
  </si>
  <si>
    <t>70700 ANGIREY</t>
  </si>
  <si>
    <t>COURAGEAOT Victor</t>
  </si>
  <si>
    <t>florencecourageot82@gmail.com</t>
  </si>
  <si>
    <t>06 88 58 94 62</t>
  </si>
  <si>
    <t>70700 GY</t>
  </si>
  <si>
    <t>DELORME Manon</t>
  </si>
  <si>
    <t>06 85 28 10 76</t>
  </si>
  <si>
    <t>DELPOUX Maxence</t>
  </si>
  <si>
    <t>aurel.sab@free.fr</t>
  </si>
  <si>
    <t>06 74 87 40 93</t>
  </si>
  <si>
    <t>70120 FRETIGNEY</t>
  </si>
  <si>
    <t>DONDOLINI Emy</t>
  </si>
  <si>
    <t>anthony.dondolini@sfr.fr</t>
  </si>
  <si>
    <t>06 86 01 26 65</t>
  </si>
  <si>
    <t>70200 VY LES LURE</t>
  </si>
  <si>
    <t>FRANTZ-GUYOT Dorian</t>
  </si>
  <si>
    <t>erico70@hotmail.fr</t>
  </si>
  <si>
    <t>06 88 74 64 28</t>
  </si>
  <si>
    <t>GAUTHIER Lisa</t>
  </si>
  <si>
    <t>floetmanu@orange.fr</t>
  </si>
  <si>
    <t>03 84 31 67 21</t>
  </si>
  <si>
    <t>70140 VALAY</t>
  </si>
  <si>
    <t>GAUTHIER Zélie</t>
  </si>
  <si>
    <t>06 38 80 20 42</t>
  </si>
  <si>
    <t>GENIN Aaron</t>
  </si>
  <si>
    <t>mikalex.esmoulins@orange.fr</t>
  </si>
  <si>
    <t>06 81 84 21 87</t>
  </si>
  <si>
    <t>70100 ESMOULINS</t>
  </si>
  <si>
    <t>GRISOT Mathéo</t>
  </si>
  <si>
    <t>d.thomas686@laposte.net</t>
  </si>
  <si>
    <t>07 70 27 26 65</t>
  </si>
  <si>
    <t>HERMELINE PRIGIONE Grégory</t>
  </si>
  <si>
    <t>sad.angélique.prigione@gmail.com</t>
  </si>
  <si>
    <t>06 25 84 20 10</t>
  </si>
  <si>
    <t>70100 AUVET</t>
  </si>
  <si>
    <t>HORVAT Lise</t>
  </si>
  <si>
    <t>corinepasquier@orange.fr</t>
  </si>
  <si>
    <t>06 81 11 61 27</t>
  </si>
  <si>
    <t>HUBLARD Céleste</t>
  </si>
  <si>
    <t>emeline.revoy@orange.fr</t>
  </si>
  <si>
    <t>06 86 63 36 75</t>
  </si>
  <si>
    <t>HUGOT Zoé</t>
  </si>
  <si>
    <t>maximehugot@live.fr</t>
  </si>
  <si>
    <t>06 47 04 60 43</t>
  </si>
  <si>
    <t>JAMINET Shanna</t>
  </si>
  <si>
    <t>jaminet.tiphanny@orange.fr</t>
  </si>
  <si>
    <t>06 31 85 08 66</t>
  </si>
  <si>
    <t>JEANNOT Marius</t>
  </si>
  <si>
    <t>melanie.jeannot1@gmail.com</t>
  </si>
  <si>
    <t>06 81 21 73 75</t>
  </si>
  <si>
    <t>JULIEN Zoé</t>
  </si>
  <si>
    <t>motochelozo@gmail.com</t>
  </si>
  <si>
    <t>06 86 57 50 51</t>
  </si>
  <si>
    <t>70140 MONTAGNEY</t>
  </si>
  <si>
    <t>LACOMBE Benjamin</t>
  </si>
  <si>
    <t>lacombeseb@icloud.com</t>
  </si>
  <si>
    <t>06 50 46 91 03</t>
  </si>
  <si>
    <t>70600 FRAMONT</t>
  </si>
  <si>
    <t>BIGOURDAN Thaïs</t>
  </si>
  <si>
    <t>BENJAMINS</t>
  </si>
  <si>
    <t>NOTRE DAME</t>
  </si>
  <si>
    <t>BESANCON</t>
  </si>
  <si>
    <t>peggy.bigourdan@gmail.com</t>
  </si>
  <si>
    <t>06 03 38 26 48</t>
  </si>
  <si>
    <t>25480 ECOLE-VALENTIN</t>
  </si>
  <si>
    <t>SAHLER Raphaël</t>
  </si>
  <si>
    <t>mimye25@yahoo.fr</t>
  </si>
  <si>
    <t>06 75 08 78 68</t>
  </si>
  <si>
    <t>25320 MONTFERRAND LE CHÂTEAU</t>
  </si>
  <si>
    <t>MISSIOUX-BORDAT Lilyan</t>
  </si>
  <si>
    <t>JEANNE D'ARC</t>
  </si>
  <si>
    <t>CHAMPAGNOLE</t>
  </si>
  <si>
    <t>pascallaetitia21@orange.fr</t>
  </si>
  <si>
    <t>06 47 60 62 71</t>
  </si>
  <si>
    <t>21270 PONTAILLER SUR SAONE</t>
  </si>
  <si>
    <t>BAULARD Méline</t>
  </si>
  <si>
    <t>CHAMPLITTE</t>
  </si>
  <si>
    <t>ludivine.jeannot@gmail.com</t>
  </si>
  <si>
    <t>06 76 58 39 89</t>
  </si>
  <si>
    <t>70600 MONTARLOT</t>
  </si>
  <si>
    <t>GRAPPOTTE Jim</t>
  </si>
  <si>
    <t>meullemeulle@hotmail.fr</t>
  </si>
  <si>
    <t>06 48 05 75 54</t>
  </si>
  <si>
    <t>GRAPPOTTE Julia</t>
  </si>
  <si>
    <t>BAULARD Lara</t>
  </si>
  <si>
    <t>GRAPPOTTE Charlotte</t>
  </si>
  <si>
    <t>nico.grappotte@wanadoo;fr</t>
  </si>
  <si>
    <t>06 87 19 47 86</t>
  </si>
  <si>
    <t>70600 NEUVELLE LES CHAMPLITTE</t>
  </si>
  <si>
    <t>HAREL Capucine</t>
  </si>
  <si>
    <t>LACOMBE Océane</t>
  </si>
  <si>
    <t>MAGNY Samuel</t>
  </si>
  <si>
    <t>CHARGEY LES GRAY</t>
  </si>
  <si>
    <t>melanie702108@hotmail.fr</t>
  </si>
  <si>
    <t>07 57 50 16 69</t>
  </si>
  <si>
    <t>ROLAND Linoa</t>
  </si>
  <si>
    <t>nonette70@hotmail.fr</t>
  </si>
  <si>
    <t>06 59 02 71 28</t>
  </si>
  <si>
    <t>70600 OYRIERES</t>
  </si>
  <si>
    <t>DECUGNIET-GONGET Ethan</t>
  </si>
  <si>
    <t>cindygongetàgmail.com</t>
  </si>
  <si>
    <t>06 74 15 09 78</t>
  </si>
  <si>
    <t>DUMONT Alice</t>
  </si>
  <si>
    <t>laurent.dumont8@orange.fr</t>
  </si>
  <si>
    <t>07 56 83 30 12</t>
  </si>
  <si>
    <t>69006 LYON</t>
  </si>
  <si>
    <t>BLANC Prune</t>
  </si>
  <si>
    <t>doud.15@hotmail.fr</t>
  </si>
  <si>
    <t>06 71 69 66 30</t>
  </si>
  <si>
    <t>MEIER Chloé</t>
  </si>
  <si>
    <t>celine.cv@hotmail.fr</t>
  </si>
  <si>
    <t>07 71 84 76 98</t>
  </si>
  <si>
    <t>JACOT Lénaïk</t>
  </si>
  <si>
    <t>MARPAIN</t>
  </si>
  <si>
    <t>DAMMARTIN</t>
  </si>
  <si>
    <t>jenniferjacot26@gmail.com</t>
  </si>
  <si>
    <t>06 79 17 72 71</t>
  </si>
  <si>
    <t>39290 THERVAY</t>
  </si>
  <si>
    <t>JACOT Malohé</t>
  </si>
  <si>
    <t>CHONE Maxime</t>
  </si>
  <si>
    <t>DAMPIERRE SUR SALON</t>
  </si>
  <si>
    <t>debelle70@hotmail.fr</t>
  </si>
  <si>
    <t>06 79 19 53 54</t>
  </si>
  <si>
    <t>70180 DELAIN</t>
  </si>
  <si>
    <t>ROUSSEL Louise</t>
  </si>
  <si>
    <t>melanierpahael@hotmail.fr</t>
  </si>
  <si>
    <t>06 77 21 15 46</t>
  </si>
  <si>
    <t>70130 RAY SUR SAONE</t>
  </si>
  <si>
    <t>ZIEGLER Jorine</t>
  </si>
  <si>
    <t>laetitia.baulard@orange.fr</t>
  </si>
  <si>
    <t>06 76 55 05 22</t>
  </si>
  <si>
    <t>CANNAC Simon</t>
  </si>
  <si>
    <t>didier.cannac@gmail.com</t>
  </si>
  <si>
    <t>06 74 68 46 26</t>
  </si>
  <si>
    <t>70180 DAMPIERRE SUR SALON</t>
  </si>
  <si>
    <t>CUENOT Louise</t>
  </si>
  <si>
    <t>emilieguichardan@hotmail.fr</t>
  </si>
  <si>
    <t>06 72 89 10 08</t>
  </si>
  <si>
    <t>MARTIN Charles</t>
  </si>
  <si>
    <t>bomstud@hotmail.fr</t>
  </si>
  <si>
    <t>06 77 15 37 74</t>
  </si>
  <si>
    <t>70180 MEMBREY</t>
  </si>
  <si>
    <t>MARTIN Augustine</t>
  </si>
  <si>
    <t>bomstuf@hotmail.fr</t>
  </si>
  <si>
    <t>POITTEVIN Alicia</t>
  </si>
  <si>
    <t>deichelbahrerroselyne@hotmail.fr</t>
  </si>
  <si>
    <t>07 69 79 19 99</t>
  </si>
  <si>
    <t>MARCEL GIL DE SOUZA Maya</t>
  </si>
  <si>
    <t>EDMOND BOUR</t>
  </si>
  <si>
    <t>GRAY</t>
  </si>
  <si>
    <t>sandrine.gildesouza@laposte.net</t>
  </si>
  <si>
    <t>06 44 73 16 37</t>
  </si>
  <si>
    <t>70100 ESSERTENNE</t>
  </si>
  <si>
    <t>ABOUDA Ahmed</t>
  </si>
  <si>
    <t>FONTAINE FRANCAISE</t>
  </si>
  <si>
    <t>hassanabouda21@gmail.com</t>
  </si>
  <si>
    <t>06 49 31 72 52</t>
  </si>
  <si>
    <t>ANGUENOT Tom</t>
  </si>
  <si>
    <t>06 40 94 95 34</t>
  </si>
  <si>
    <t>21610 FONTAINE FRANCAISE</t>
  </si>
  <si>
    <t>BERTHE Noémie</t>
  </si>
  <si>
    <t>delphine.lestrat@laposte.net</t>
  </si>
  <si>
    <t>07 81 28 79 64</t>
  </si>
  <si>
    <t>CALINON Baptiste</t>
  </si>
  <si>
    <t>06 75 46 67 94</t>
  </si>
  <si>
    <t>21610 POUILLY SUR VINGEANNE</t>
  </si>
  <si>
    <t>LEGER Gwenaëlle</t>
  </si>
  <si>
    <t>helene66.leger@gmail.com</t>
  </si>
  <si>
    <t>06 51 07 40 18</t>
  </si>
  <si>
    <t>21610 SAINT SEINE SUR VINGEANNE</t>
  </si>
  <si>
    <t>MORISOT Louane</t>
  </si>
  <si>
    <t>murielpetitt@gmail.com</t>
  </si>
  <si>
    <t>07 86 00 21 50</t>
  </si>
  <si>
    <t>TASSIN Noémie</t>
  </si>
  <si>
    <t>legnio21@gmail.com</t>
  </si>
  <si>
    <t>06 81 94 47 86</t>
  </si>
  <si>
    <t>VILBOUX Noan</t>
  </si>
  <si>
    <t>madeline21@gmail.com</t>
  </si>
  <si>
    <t>06 07 17 12 15</t>
  </si>
  <si>
    <t>STEPHAN Lià</t>
  </si>
  <si>
    <t>gwan.stephan@gmail.com</t>
  </si>
  <si>
    <t>03 80 75 43 12</t>
  </si>
  <si>
    <t>CADET Manon</t>
  </si>
  <si>
    <t>06 81 04 07 95</t>
  </si>
  <si>
    <t>VERHILLE Simon</t>
  </si>
  <si>
    <t>FRASNE (25)</t>
  </si>
  <si>
    <t>FRASNE</t>
  </si>
  <si>
    <t>florence.verhille@gmail.com</t>
  </si>
  <si>
    <t>06 51 05 23 91</t>
  </si>
  <si>
    <t>25560 FRASNE</t>
  </si>
  <si>
    <t>BARH Adèle</t>
  </si>
  <si>
    <t>GENLIS</t>
  </si>
  <si>
    <t>nathaliebarh@gmail.com</t>
  </si>
  <si>
    <t>06 52 14 09 41</t>
  </si>
  <si>
    <t>BERNARD Lorenzo</t>
  </si>
  <si>
    <t>06 71 78 97 14</t>
  </si>
  <si>
    <t>MILLOT Alexis</t>
  </si>
  <si>
    <t>thierrymillot@laposte.net</t>
  </si>
  <si>
    <t>06 25 95 12 15</t>
  </si>
  <si>
    <t>21140 VARANGES</t>
  </si>
  <si>
    <t>DIZAMBOURG jeanne</t>
  </si>
  <si>
    <t>emmanuelle.tacnet@laposte.net</t>
  </si>
  <si>
    <t>06 23 82 10 12</t>
  </si>
  <si>
    <t>HENTINGER Anna</t>
  </si>
  <si>
    <t>huguenin.apolline@gmail.com</t>
  </si>
  <si>
    <t>06 45 96 66 47</t>
  </si>
  <si>
    <t>HORVAT Pauline</t>
  </si>
  <si>
    <t>JUGNIER Tristan</t>
  </si>
  <si>
    <t>lucas.junier@hotmail.fr</t>
  </si>
  <si>
    <t>06 87 17 87 15</t>
  </si>
  <si>
    <t>70100 BATTRANS</t>
  </si>
  <si>
    <t>SENSES Zumra</t>
  </si>
  <si>
    <t>232/02/2015</t>
  </si>
  <si>
    <t>g.senses@outlook.fr</t>
  </si>
  <si>
    <t>07 67 57 39 61</t>
  </si>
  <si>
    <t>BOUHELIER Eden</t>
  </si>
  <si>
    <t>florinebouchasson@gmail.com</t>
  </si>
  <si>
    <t>06 06 78 73 84</t>
  </si>
  <si>
    <t>DESCOLLONGES Jade</t>
  </si>
  <si>
    <t>marion.gauliard@laposte.fr</t>
  </si>
  <si>
    <t>06 33 22 78 96</t>
  </si>
  <si>
    <t>LAMAZOUERE Eva</t>
  </si>
  <si>
    <t>aline.guinet@orange.fr</t>
  </si>
  <si>
    <t>06 32 07 37 61</t>
  </si>
  <si>
    <t>MOUGENOT Charlyne</t>
  </si>
  <si>
    <t>alexandramougenot@gmail.com</t>
  </si>
  <si>
    <t>06 50 96 80 08</t>
  </si>
  <si>
    <t>PELTRET Nathan</t>
  </si>
  <si>
    <t>aurore didelot lucie@gmail.com</t>
  </si>
  <si>
    <t>06 31 89 15 85</t>
  </si>
  <si>
    <t>SENECAL Pharell</t>
  </si>
  <si>
    <t>e-somoke.shap@outlook.fr</t>
  </si>
  <si>
    <t>07 67 89 45 76</t>
  </si>
  <si>
    <t>PILLOT Mélissa</t>
  </si>
  <si>
    <t>MOISE LEVY</t>
  </si>
  <si>
    <t>bernadettesimonin@yahoo.fr</t>
  </si>
  <si>
    <t>06 30 05 68 79</t>
  </si>
  <si>
    <t>ALAHMAD Ahmad</t>
  </si>
  <si>
    <t>alahmadabdulwahb06@gmail.com</t>
  </si>
  <si>
    <t>07 67 03 09 15</t>
  </si>
  <si>
    <t>ALAHMAD Layan</t>
  </si>
  <si>
    <t>CHANTEPIE Loris</t>
  </si>
  <si>
    <t>melanie11988@hotmail.fr</t>
  </si>
  <si>
    <t>06 86 22 11 18</t>
  </si>
  <si>
    <t>70100 VENERE</t>
  </si>
  <si>
    <t>SHAMS Shabnam</t>
  </si>
  <si>
    <t>shamsghulamnabi0@gmail.com</t>
  </si>
  <si>
    <t>07 51 29 79 88</t>
  </si>
  <si>
    <t>BOSCH Pascaline</t>
  </si>
  <si>
    <t>28/102014</t>
  </si>
  <si>
    <t>mwa_x@laposte.net</t>
  </si>
  <si>
    <t>07 69 69 91 84</t>
  </si>
  <si>
    <t>LAROCHERIE Tristan</t>
  </si>
  <si>
    <t>cegreffier@laposte.net</t>
  </si>
  <si>
    <t>06 81 94 45 14</t>
  </si>
  <si>
    <t>LEBRAS Mathis</t>
  </si>
  <si>
    <t>sabronalebras9@gmail.com</t>
  </si>
  <si>
    <t>06 77 03 68 41</t>
  </si>
  <si>
    <t>LEBRAS Théo</t>
  </si>
  <si>
    <t>LOMBARD Laïna</t>
  </si>
  <si>
    <t>SAINT PIERRE FOURIER</t>
  </si>
  <si>
    <t>irenelazhar@gmail.com</t>
  </si>
  <si>
    <t>06 48 72 64 11</t>
  </si>
  <si>
    <t>SCOLAN Candice</t>
  </si>
  <si>
    <t>ninitango@gmail.com</t>
  </si>
  <si>
    <t>09 75 25 13 48</t>
  </si>
  <si>
    <t>SCOLAN Joshua</t>
  </si>
  <si>
    <t>LAFOSSE Timéo</t>
  </si>
  <si>
    <t>davylafosse70@gmail.com</t>
  </si>
  <si>
    <t>06 42 70 12 81</t>
  </si>
  <si>
    <t>AHOVI Maëlle</t>
  </si>
  <si>
    <t>DELAUNAY</t>
  </si>
  <si>
    <t>oK</t>
  </si>
  <si>
    <t>clemencelemercier25@gmail.com</t>
  </si>
  <si>
    <t>07 88 15 91 96</t>
  </si>
  <si>
    <t>ALMEIDA Lina</t>
  </si>
  <si>
    <t>magaliecoiffe@yahoo.fr</t>
  </si>
  <si>
    <t>07 71 05 83 87</t>
  </si>
  <si>
    <t>BILLION Agathe</t>
  </si>
  <si>
    <t>lucas.billion@wanadoo.fr</t>
  </si>
  <si>
    <t>06 87 36 07 08</t>
  </si>
  <si>
    <t>BLONDEAU Renan</t>
  </si>
  <si>
    <t>helenelaplanche@hotmail.com</t>
  </si>
  <si>
    <t>06 37 17 69 22</t>
  </si>
  <si>
    <t>70100 RIGNY</t>
  </si>
  <si>
    <t>BOCKSTAHLER Ethan</t>
  </si>
  <si>
    <t>bockstahler.stephane@orange.fr</t>
  </si>
  <si>
    <t>06 87 35 00 34</t>
  </si>
  <si>
    <t>70100 AUTREY LES GRAY</t>
  </si>
  <si>
    <t>BONNAVENTURE Lucien</t>
  </si>
  <si>
    <t>sbonnaventure@yahoo.fr</t>
  </si>
  <si>
    <t>06 07 55 54 37</t>
  </si>
  <si>
    <t>CHAUVELOT Emma</t>
  </si>
  <si>
    <t>sandrine.jacquet@orange.fr</t>
  </si>
  <si>
    <t>06 77 41 29 41</t>
  </si>
  <si>
    <t>COLLINET Mahé</t>
  </si>
  <si>
    <t>arvinie2@hotmail.fr</t>
  </si>
  <si>
    <t>06 22 04 73 45</t>
  </si>
  <si>
    <t>DROUOT Arthur</t>
  </si>
  <si>
    <t>mathieu.drouot@outlook.fr</t>
  </si>
  <si>
    <t>06 51 70 54 45</t>
  </si>
  <si>
    <t>ETTAOUSSI Dina</t>
  </si>
  <si>
    <t>GIROUX Louis</t>
  </si>
  <si>
    <t>gael.giroux@orange.fr</t>
  </si>
  <si>
    <t>06 62 28 74 30</t>
  </si>
  <si>
    <t>HULIN Louane</t>
  </si>
  <si>
    <t>JEANNOT Célestine</t>
  </si>
  <si>
    <t>JEAN-PIERRE Gabriel</t>
  </si>
  <si>
    <t>annierevoy@hotmail.fr</t>
  </si>
  <si>
    <t>06 86 44 56 08</t>
  </si>
  <si>
    <t>LAMARCHE Dimitri</t>
  </si>
  <si>
    <t>lamarcheolga@orange.fr</t>
  </si>
  <si>
    <t>LAMBERT Paul</t>
  </si>
  <si>
    <t>MAIRET Lisa</t>
  </si>
  <si>
    <t>guylainehugot@hotmail.fr</t>
  </si>
  <si>
    <t>06 47 97 23 89</t>
  </si>
  <si>
    <t>MARTIN Maël</t>
  </si>
  <si>
    <t>m.tolle@hotmail.fr</t>
  </si>
  <si>
    <t>06 74 51 36 43</t>
  </si>
  <si>
    <t>MARTINOTY Fauve</t>
  </si>
  <si>
    <t>melomartinoty@gmail.com</t>
  </si>
  <si>
    <t>06 88 49 92 17</t>
  </si>
  <si>
    <t>MAUCLAIR LAMBERT Faustine</t>
  </si>
  <si>
    <t>frederic.mauclair@wanadoo.fr</t>
  </si>
  <si>
    <t>06 07 56 45 21</t>
  </si>
  <si>
    <t>MILLARDET Lisa</t>
  </si>
  <si>
    <t>c.soittoux@outlook.fr</t>
  </si>
  <si>
    <t>06 43 36 62 03</t>
  </si>
  <si>
    <t>70600 ECUELLE</t>
  </si>
  <si>
    <t>MINY Clémence</t>
  </si>
  <si>
    <t>sebastien.miny@sfr.fr</t>
  </si>
  <si>
    <t>03 84 65 02 28</t>
  </si>
  <si>
    <t>PINEAULT Zoé</t>
  </si>
  <si>
    <t>magetsteph@sfr.fr</t>
  </si>
  <si>
    <t>06 18 48 13 56</t>
  </si>
  <si>
    <t>PROENCA Klémens</t>
  </si>
  <si>
    <t>cedric.proenca7@orange.fr</t>
  </si>
  <si>
    <t>06 14 45 07 38</t>
  </si>
  <si>
    <t>REVOY Lylou</t>
  </si>
  <si>
    <t>laurence-j@orange.fr</t>
  </si>
  <si>
    <t>06 33 23 35 79</t>
  </si>
  <si>
    <t>SCHOLLER Jules</t>
  </si>
  <si>
    <t>audreyschollerhulin@gmail.com</t>
  </si>
  <si>
    <t>06 31 83 92 36</t>
  </si>
  <si>
    <t>SEGATTI Kelya</t>
  </si>
  <si>
    <t>kelya.segatti@icloud.com</t>
  </si>
  <si>
    <t>06 26 15 59 86</t>
  </si>
  <si>
    <t>SEMYSHKUR Mariia</t>
  </si>
  <si>
    <t>tutifu43@gmail.com</t>
  </si>
  <si>
    <t>06 79 70 50 28</t>
  </si>
  <si>
    <t>TORRES Ethan</t>
  </si>
  <si>
    <t>185/03/2011</t>
  </si>
  <si>
    <t>rachel.castioni@hotmail.com</t>
  </si>
  <si>
    <t>06 86 82 50 88</t>
  </si>
  <si>
    <t>LACROIX Thomas</t>
  </si>
  <si>
    <t>mercelcs@yahoo.fr</t>
  </si>
  <si>
    <t>MINY Thibaud</t>
  </si>
  <si>
    <t>POINCENOT Gabin</t>
  </si>
  <si>
    <t>20/17/2009</t>
  </si>
  <si>
    <t>tripot.marie@orange.fr</t>
  </si>
  <si>
    <t>06 84 30 81 67</t>
  </si>
  <si>
    <t>ROLAND Rayen</t>
  </si>
  <si>
    <t>TOURNERET Loïs</t>
  </si>
  <si>
    <t>severine.gaverini@orange.fr</t>
  </si>
  <si>
    <t>06 32 84 41 40</t>
  </si>
  <si>
    <t>ALAHMAD Noura</t>
  </si>
  <si>
    <t>ROME DE L'ISLE</t>
  </si>
  <si>
    <t>alahmadabdulwahab06@gmail.com</t>
  </si>
  <si>
    <t>0 7 67 03 09 15</t>
  </si>
  <si>
    <t>CHAIN Ambre</t>
  </si>
  <si>
    <t>valerie.chain1981@yahoo.com</t>
  </si>
  <si>
    <t>06 83 24 52 18</t>
  </si>
  <si>
    <t>70100 ECHEVANNE</t>
  </si>
  <si>
    <t>CONSLIN VOUILLOT Marley</t>
  </si>
  <si>
    <t>vouillotesther@gmail.com</t>
  </si>
  <si>
    <t>06 01 42 35 78</t>
  </si>
  <si>
    <t>COURBEY-GONY Maël</t>
  </si>
  <si>
    <t>courbey.mikael@orange.fr</t>
  </si>
  <si>
    <t>06 84 15 37 42</t>
  </si>
  <si>
    <t>KESSLER Laurine</t>
  </si>
  <si>
    <t>06 33 17 96 58</t>
  </si>
  <si>
    <t>LAMARCHE LECOQ Livia</t>
  </si>
  <si>
    <t>laurent.lamarche@orange.fr</t>
  </si>
  <si>
    <t>06 75 47 56 28</t>
  </si>
  <si>
    <t>MAITREJEAN Anaël</t>
  </si>
  <si>
    <t>nini_morel38@hotmail.fr</t>
  </si>
  <si>
    <t>06 38 66 32 36</t>
  </si>
  <si>
    <t>PILLOT Léon</t>
  </si>
  <si>
    <t>ROMERO Lana</t>
  </si>
  <si>
    <t>cannard.anais@laposte.net</t>
  </si>
  <si>
    <t>06 40 24 87 88</t>
  </si>
  <si>
    <t>RUFFY Louane</t>
  </si>
  <si>
    <t>cortique1212@gmail.com</t>
  </si>
  <si>
    <t>06 38 72 06 92</t>
  </si>
  <si>
    <t>TACLET Nathan</t>
  </si>
  <si>
    <t>millot_nathalie@orange.fr</t>
  </si>
  <si>
    <t>06 47 98 35 15</t>
  </si>
  <si>
    <t>PASCAUD Nathan</t>
  </si>
  <si>
    <t>christophepascaud7@gmail.com</t>
  </si>
  <si>
    <t>07 83 09 76 08</t>
  </si>
  <si>
    <t>70100 SAINT BROING</t>
  </si>
  <si>
    <t>BOISSON Gabriel</t>
  </si>
  <si>
    <t>GY</t>
  </si>
  <si>
    <t>carolineboisson86@gmail.com</t>
  </si>
  <si>
    <t>06 07 50 24 22</t>
  </si>
  <si>
    <t>BOLLET Kilian</t>
  </si>
  <si>
    <t>sonia.bollet.70@gmail.com</t>
  </si>
  <si>
    <t>06 31 50 43 57</t>
  </si>
  <si>
    <t>BOUTTEMY Marcel</t>
  </si>
  <si>
    <t>guillaume.bouttemy@orange.fr</t>
  </si>
  <si>
    <t>06 95 84 28 82</t>
  </si>
  <si>
    <t>70700 CHOYE</t>
  </si>
  <si>
    <t>GRILLOT Lucien</t>
  </si>
  <si>
    <t>grillot.em@gmail.com</t>
  </si>
  <si>
    <t>06 79 60 30 22</t>
  </si>
  <si>
    <t>70130 LA VERNOTTE</t>
  </si>
  <si>
    <t>LASSARTESSE Maxime</t>
  </si>
  <si>
    <t>cedric.lassartesse@gmail.com</t>
  </si>
  <si>
    <t>06 58 42 69 00</t>
  </si>
  <si>
    <t>LAROCHERIE Esteban</t>
  </si>
  <si>
    <t>REVEVRET Clélia</t>
  </si>
  <si>
    <t>emeline_garnier@yahoo.fr</t>
  </si>
  <si>
    <t>06 85 34 85 06</t>
  </si>
  <si>
    <t>70700 CUGNEY</t>
  </si>
  <si>
    <t>CHAUVASSAGNE Gabriel</t>
  </si>
  <si>
    <t>CATHERINE FRAISCHOT</t>
  </si>
  <si>
    <t>nathalie.biton@hotmail.fr</t>
  </si>
  <si>
    <t>06 75 24 69 70</t>
  </si>
  <si>
    <t>70700 VANTOUX</t>
  </si>
  <si>
    <t>CHAUVASSAGNE Benjamin</t>
  </si>
  <si>
    <t>CHAMPEL Lucas</t>
  </si>
  <si>
    <t>LAMARCHE SUR SAONE</t>
  </si>
  <si>
    <t>mel.lime@hotmail.fr</t>
  </si>
  <si>
    <t>06 83 11 52 21</t>
  </si>
  <si>
    <t>21270 MONTMANCON</t>
  </si>
  <si>
    <t>PIERRE Eloïse</t>
  </si>
  <si>
    <t>LURE</t>
  </si>
  <si>
    <t>frederic.pierre@hotmail.fr</t>
  </si>
  <si>
    <t>70200 MOFFANS</t>
  </si>
  <si>
    <t>CHANTEAU Léonore</t>
  </si>
  <si>
    <t>MARNAY</t>
  </si>
  <si>
    <t>elisabeth.petit-3@gmail.com</t>
  </si>
  <si>
    <t>06 84 54 56 67</t>
  </si>
  <si>
    <t>70150 CULT</t>
  </si>
  <si>
    <t>COLEZ Damien</t>
  </si>
  <si>
    <t>amaury.colez@gmail.com</t>
  </si>
  <si>
    <t>07 86 49 79 60</t>
  </si>
  <si>
    <t>70150 MARNAY</t>
  </si>
  <si>
    <t>MOUREY Adèle</t>
  </si>
  <si>
    <t>lesfassenet@orange.fr</t>
  </si>
  <si>
    <t>06 79 81 31 41</t>
  </si>
  <si>
    <t>CHANTEAU Louison</t>
  </si>
  <si>
    <t>elisabeth.petit-6@gmail.com</t>
  </si>
  <si>
    <t>MANDRET PENA Tina</t>
  </si>
  <si>
    <t>mailisp25@gmail.com</t>
  </si>
  <si>
    <t>06 78 66 75 55</t>
  </si>
  <si>
    <t>70150 CHENEVREY</t>
  </si>
  <si>
    <t>DI BENEDETTO Isaura</t>
  </si>
  <si>
    <t>MAXILLY SUR SAÔNE</t>
  </si>
  <si>
    <t>06 67 31 23 93</t>
  </si>
  <si>
    <t>21270 HEUILLEY SUR SAONE</t>
  </si>
  <si>
    <t>DEVELET Paul</t>
  </si>
  <si>
    <t>MIREBEAU</t>
  </si>
  <si>
    <t>jessicadidion@hotmail.fr</t>
  </si>
  <si>
    <t>06 87 42 84 95</t>
  </si>
  <si>
    <t>21310 RENEVE</t>
  </si>
  <si>
    <t>SUARD OUDIN Johanes</t>
  </si>
  <si>
    <t>je.suard@msigs.fr</t>
  </si>
  <si>
    <t>06 45 69 21 74</t>
  </si>
  <si>
    <t>SUCHET AUGER Flavien</t>
  </si>
  <si>
    <t>sebastien.suchet@orange.fr</t>
  </si>
  <si>
    <t>07 88 19 95 29</t>
  </si>
  <si>
    <t>70000 ECHENOZ LA MELINE</t>
  </si>
  <si>
    <t>SUARD OUDIN Sacha</t>
  </si>
  <si>
    <t>SUARD OUDIN Maxens</t>
  </si>
  <si>
    <t>HOUSSINE Chloé</t>
  </si>
  <si>
    <t>aimevictoria417@gmail.com</t>
  </si>
  <si>
    <t>06 98 76 64 61</t>
  </si>
  <si>
    <t>ORRY Léa</t>
  </si>
  <si>
    <t>MONTAGNEY</t>
  </si>
  <si>
    <t>cecilia.alvarez@orange.fr</t>
  </si>
  <si>
    <t>06 83 69 05 74</t>
  </si>
  <si>
    <t>70 140 BRESILLEY</t>
  </si>
  <si>
    <t>SAHLER Clémence</t>
  </si>
  <si>
    <t>MONTFERRAND LE CHÂTEAU</t>
  </si>
  <si>
    <t>mimge25@yahoo.fr</t>
  </si>
  <si>
    <t>POUYET Léane</t>
  </si>
  <si>
    <t>NOIDANS VESOUL - JULES VALLES</t>
  </si>
  <si>
    <t>NOIDANS LESVESOUL</t>
  </si>
  <si>
    <t>steph.nono70@yahoo.fr</t>
  </si>
  <si>
    <t>06 74 53 10 71</t>
  </si>
  <si>
    <t>70000 ANDELARROT</t>
  </si>
  <si>
    <t>RICHARD Léa</t>
  </si>
  <si>
    <t>PESMES</t>
  </si>
  <si>
    <t>richardaurelia70@gmail.com</t>
  </si>
  <si>
    <t>06 80 78 74 33</t>
  </si>
  <si>
    <t>70140 LA GRANDE RESIE</t>
  </si>
  <si>
    <t>CASTILLO Théo</t>
  </si>
  <si>
    <t>PONTAILLER SUR SAÔNE</t>
  </si>
  <si>
    <t>vinifazer@hotmail.fr</t>
  </si>
  <si>
    <t>06 48 77 19 32</t>
  </si>
  <si>
    <t>CHAMPEL Clémence</t>
  </si>
  <si>
    <t>06 83 11 53 21</t>
  </si>
  <si>
    <t>L'HOMMEE Gabin</t>
  </si>
  <si>
    <t>cathy.lhommee@sfr.fr</t>
  </si>
  <si>
    <t>06 76 40 11 15</t>
  </si>
  <si>
    <t>21270 PERRIGNY SUR L'OGNON</t>
  </si>
  <si>
    <t>PLACET Lilou</t>
  </si>
  <si>
    <t>RECOLOGNE</t>
  </si>
  <si>
    <t>vincent.placet@univ-fcomte.fr</t>
  </si>
  <si>
    <t>06 64 32 82 34</t>
  </si>
  <si>
    <t>25170 RECOLOGNE</t>
  </si>
  <si>
    <t>PERRET Louane</t>
  </si>
  <si>
    <t>RPI BEAUJEU / SEVEUX</t>
  </si>
  <si>
    <t>BEAUJEAU</t>
  </si>
  <si>
    <t>borne.val@gmail.com</t>
  </si>
  <si>
    <t>06 45 85 99 18</t>
  </si>
  <si>
    <t>CAMPANA Enzo</t>
  </si>
  <si>
    <t>RPI NANTILLY / MANTOCHE / ESSERTENNE</t>
  </si>
  <si>
    <t>MANTOCHE</t>
  </si>
  <si>
    <t>nadege.demougin01@orange.fr</t>
  </si>
  <si>
    <t>06 30 71 01 78</t>
  </si>
  <si>
    <t>LAMBERT Noé</t>
  </si>
  <si>
    <t>severine.lambert624@laposte.net</t>
  </si>
  <si>
    <t>06 19 15 41 62</t>
  </si>
  <si>
    <t>LAMBERT Zoé</t>
  </si>
  <si>
    <t>CAMPANA Lindsey</t>
  </si>
  <si>
    <t>REVOY Lilian</t>
  </si>
  <si>
    <t>RPI VELET/GRAY-LA-VILLE</t>
  </si>
  <si>
    <t>GRAY LA VILLE</t>
  </si>
  <si>
    <t>maite.gerard@gmail.com</t>
  </si>
  <si>
    <t>06 83 93 36 68</t>
  </si>
  <si>
    <t>CANTORE Margaux</t>
  </si>
  <si>
    <t>chevalleymaurane@yahoo.fr</t>
  </si>
  <si>
    <t>06 72 23 22 32</t>
  </si>
  <si>
    <t>CANTORE Maxence</t>
  </si>
  <si>
    <t>FROTEY Aloïs</t>
  </si>
  <si>
    <t>laetitia.frotey@orange.fr</t>
  </si>
  <si>
    <t>06 83 39 44 88</t>
  </si>
  <si>
    <t>SANKHARE Maryam</t>
  </si>
  <si>
    <t>SAINT-VIT</t>
  </si>
  <si>
    <t>remyrun@hotmail.fr</t>
  </si>
  <si>
    <t>06 29 72 25 20</t>
  </si>
  <si>
    <t>25410 SAINT VIT</t>
  </si>
  <si>
    <t>MUZARD Louane</t>
  </si>
  <si>
    <t>SCEY SUR SAONE</t>
  </si>
  <si>
    <t>muzardnathalie@live.fr</t>
  </si>
  <si>
    <t>06 78 57 88 05</t>
  </si>
  <si>
    <t>LETHO Camille</t>
  </si>
  <si>
    <t>SORNAY</t>
  </si>
  <si>
    <t>alexandraletho@yahoo.fr</t>
  </si>
  <si>
    <t>06 37 73 50 66</t>
  </si>
  <si>
    <t>70150 SORNAY</t>
  </si>
  <si>
    <t>BAROUIN Léonie</t>
  </si>
  <si>
    <t>gilliard.sabrina@orange.fr</t>
  </si>
  <si>
    <t>06 84 39 57 72</t>
  </si>
  <si>
    <t>DORDOR Jeanne</t>
  </si>
  <si>
    <t>dordor.michaelàyahoo.fr</t>
  </si>
  <si>
    <t>06 78 07 34 63</t>
  </si>
  <si>
    <t>70140 BARD LES PESMES</t>
  </si>
  <si>
    <t>ALIBERT Etienne</t>
  </si>
  <si>
    <t>ST PIERRE FOURIER</t>
  </si>
  <si>
    <t>beatricealibert@laposte.net</t>
  </si>
  <si>
    <t>03 81 54 33 70</t>
  </si>
  <si>
    <t>ALIBERT Maëlic</t>
  </si>
  <si>
    <t>BARH Clovis</t>
  </si>
  <si>
    <t>BILLET Léana</t>
  </si>
  <si>
    <t>06 32 37 66 10</t>
  </si>
  <si>
    <t>70100 CRESANCEY</t>
  </si>
  <si>
    <t>CARDINAUX Enzo</t>
  </si>
  <si>
    <t>elise.dimas@hotmail.fr</t>
  </si>
  <si>
    <t>06 23 04 57 00</t>
  </si>
  <si>
    <t>CORNET Valentin</t>
  </si>
  <si>
    <t>cnougat@gmail.com</t>
  </si>
  <si>
    <t>06 74 52 50 27</t>
  </si>
  <si>
    <t>21270 TALMAY</t>
  </si>
  <si>
    <t>DA SILVA Mariane</t>
  </si>
  <si>
    <t>marianegendresoares@gmail.com</t>
  </si>
  <si>
    <t>06 48 33 52 44</t>
  </si>
  <si>
    <t>70140 BROYE AUBIGNEY MONTSEUGNY</t>
  </si>
  <si>
    <t>DAGUET Coralie</t>
  </si>
  <si>
    <t>daguetaurelie@gmail.com</t>
  </si>
  <si>
    <t>06 78 09 82 25</t>
  </si>
  <si>
    <t>DEL GROSSO Malory</t>
  </si>
  <si>
    <t>alex.del.grosso@hotmail.fr</t>
  </si>
  <si>
    <t>06 79 62 27 23</t>
  </si>
  <si>
    <t>70700 AUTOREILLE</t>
  </si>
  <si>
    <t>DEL GROSSO Timothé</t>
  </si>
  <si>
    <t>DELPOUX Maëlys</t>
  </si>
  <si>
    <t>DESCHAMPS Aaron</t>
  </si>
  <si>
    <t>lili0213@hotmail.fr</t>
  </si>
  <si>
    <t>06 58 27 98 40</t>
  </si>
  <si>
    <t>70140 CHAUMERCENNE</t>
  </si>
  <si>
    <t>FLEUROTTE Robin</t>
  </si>
  <si>
    <t>ol.fleurotte@orange.fr</t>
  </si>
  <si>
    <t>06 89 53 25 15</t>
  </si>
  <si>
    <t>HELARY Ninon</t>
  </si>
  <si>
    <t>marmierherve@orange.fr</t>
  </si>
  <si>
    <t>07 86 95 23 10</t>
  </si>
  <si>
    <t>HERMELINE-PRIGIONE Dylan</t>
  </si>
  <si>
    <t>sad.angelique.grigione@gmail.com</t>
  </si>
  <si>
    <t>LACOMBE Yanis</t>
  </si>
  <si>
    <t>LEBLANC Arthur</t>
  </si>
  <si>
    <t>clairealeblanc@gmail.com</t>
  </si>
  <si>
    <t>06 13 23 06 87</t>
  </si>
  <si>
    <t>LIZZI Perle</t>
  </si>
  <si>
    <t>potfablizzi@gmail.com</t>
  </si>
  <si>
    <t>06 72 08 03 34</t>
  </si>
  <si>
    <t>MARCHISET Arthur</t>
  </si>
  <si>
    <t>lambertac1984@gmail.com</t>
  </si>
  <si>
    <t>06 71 34 69 36</t>
  </si>
  <si>
    <t>MELLET Charlotte</t>
  </si>
  <si>
    <t>jo-ailes@sfr.fr</t>
  </si>
  <si>
    <t>06 14 94 73 00</t>
  </si>
  <si>
    <t>PALYS Valentina</t>
  </si>
  <si>
    <t>gmeugnier@live.fr</t>
  </si>
  <si>
    <t>07 68 71 22 54</t>
  </si>
  <si>
    <t>PINTO ROCHA Pierre</t>
  </si>
  <si>
    <t>e.rocha@hotmail.fr</t>
  </si>
  <si>
    <t>06 33 23 46 81</t>
  </si>
  <si>
    <t>70150 BRUSSEY</t>
  </si>
  <si>
    <t>RIMET Sullyvan</t>
  </si>
  <si>
    <t>corine.rimet@sfr.fr</t>
  </si>
  <si>
    <t>06 37 72 53 24</t>
  </si>
  <si>
    <t>ROHR-BOUAISSA Emma</t>
  </si>
  <si>
    <t>laetitia70100@outlook.fr</t>
  </si>
  <si>
    <t>06 81 55 13 54</t>
  </si>
  <si>
    <t>SOITOUX Raphaël</t>
  </si>
  <si>
    <t>soitoux.amelie@gmail.com</t>
  </si>
  <si>
    <t>06 33 70 10 97</t>
  </si>
  <si>
    <t>70120 LAVONCOURT</t>
  </si>
  <si>
    <t>THIBAULT Estelle</t>
  </si>
  <si>
    <t>thibaulta.70@orange.fr</t>
  </si>
  <si>
    <t>06 81 41 60 71</t>
  </si>
  <si>
    <t>VAIRON Jérémi</t>
  </si>
  <si>
    <t>isabellevairon@orange.fr</t>
  </si>
  <si>
    <t>06 70 80 77 41</t>
  </si>
  <si>
    <t>70000 RAZE</t>
  </si>
  <si>
    <t>LUGAN Sten</t>
  </si>
  <si>
    <t>lucie.tortajada@orange.fr</t>
  </si>
  <si>
    <t>06 79 62 17 36</t>
  </si>
  <si>
    <t>25410 ROSET-FLUANS</t>
  </si>
  <si>
    <t>PARE Leandro</t>
  </si>
  <si>
    <t>dpsb@hotmail.fr</t>
  </si>
  <si>
    <t>06 15 89 75 07</t>
  </si>
  <si>
    <t>PILARD Maya</t>
  </si>
  <si>
    <t>pilard-laurent@orange.fr</t>
  </si>
  <si>
    <t>06 99 73 93 68</t>
  </si>
  <si>
    <t>PINTO ROCHA Antoine</t>
  </si>
  <si>
    <t>PLANAVERGNE Evanna</t>
  </si>
  <si>
    <t>comi70@hotmail.fr</t>
  </si>
  <si>
    <t>06 30 30 41 28</t>
  </si>
  <si>
    <t>70180 AUTET</t>
  </si>
  <si>
    <t>POIREY-ROY Roméo</t>
  </si>
  <si>
    <t>gpoirey@orange.fr</t>
  </si>
  <si>
    <t>06 11 62 55 51</t>
  </si>
  <si>
    <t>39700 OUR</t>
  </si>
  <si>
    <t>PRIEUR Wallas</t>
  </si>
  <si>
    <t>06 45 40 19 73</t>
  </si>
  <si>
    <t>TIMOTEO Mayline</t>
  </si>
  <si>
    <t>mkmjn42@yahoo.com</t>
  </si>
  <si>
    <t>07 69 70 11 32</t>
  </si>
  <si>
    <t>YILDIZ Maëlys</t>
  </si>
  <si>
    <t>adeline.petrignet@orange.fr</t>
  </si>
  <si>
    <t>06 76 79 09 33</t>
  </si>
  <si>
    <t>ANDRE Lukas</t>
  </si>
  <si>
    <t>VALAY</t>
  </si>
  <si>
    <t>beatrice.theveno23@gmail.com</t>
  </si>
  <si>
    <t>06 82 70 18 22</t>
  </si>
  <si>
    <t>MENETREY Lilio</t>
  </si>
  <si>
    <t>sebastien70menetrey@gmail.com</t>
  </si>
  <si>
    <t>06 33 94 12 30</t>
  </si>
  <si>
    <t>70140 LA RESIE SAINT MARTIN</t>
  </si>
  <si>
    <t>METTEY Jules</t>
  </si>
  <si>
    <t>LES MYOSOTIS</t>
  </si>
  <si>
    <t>VAUJEAUCOURT</t>
  </si>
  <si>
    <t>j.pillot@hotmail.fr</t>
  </si>
  <si>
    <t>06 37 75 57 96</t>
  </si>
  <si>
    <t>25420 VOUJEAUCOURT</t>
  </si>
  <si>
    <t>NOM ETABLISSEMENT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</si>
</sst>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6" x14ac:knownFonts="1">
    <font>
      <sz val="10"/>
      <color rgb="FF000000"/>
      <name val="Arial"/>
      <scheme val="minor"/>
    </font>
    <font>
      <sz val="10"/>
      <color theme="1"/>
      <name val="Arial"/>
      <scheme val="minor"/>
    </font>
    <font>
      <sz val="14"/>
      <color rgb="FF000000"/>
      <name val="Calibri"/>
    </font>
    <font>
      <b/>
      <sz val="10"/>
      <color theme="1"/>
      <name val="Arial"/>
      <scheme val="minor"/>
    </font>
    <font>
      <sz val="12"/>
      <color rgb="FF000000"/>
      <name val="Calibri"/>
    </font>
    <font>
      <b/>
      <sz val="14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2" fillId="0" borderId="0" xfId="0" applyFont="1" applyAlignment="1">
      <alignment horizontal="center" wrapText="1"/>
    </xf>
    <xf numFmtId="0" fontId="3" fillId="0" borderId="0" xfId="0" applyFont="1" applyAlignment="1">
      <alignment wrapText="1"/>
    </xf>
    <xf numFmtId="0" fontId="4" fillId="2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3" borderId="0" xfId="0" applyFont="1" applyFill="1" applyAlignment="1">
      <alignment horizontal="center"/>
    </xf>
    <xf numFmtId="0" fontId="3" fillId="2" borderId="0" xfId="0" applyFont="1" applyFill="1" applyAlignment="1">
      <alignment wrapText="1"/>
    </xf>
    <xf numFmtId="0" fontId="3" fillId="0" borderId="0" xfId="0" applyFont="1"/>
    <xf numFmtId="0" fontId="5" fillId="0" borderId="0" xfId="0" applyFont="1" applyAlignment="1">
      <alignment horizontal="center" wrapText="1"/>
    </xf>
    <xf numFmtId="0" fontId="1" fillId="0" borderId="0" xfId="0" applyFont="1"/>
    <xf numFmtId="164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381000</xdr:colOff>
      <xdr:row>0</xdr:row>
      <xdr:rowOff>95250</xdr:rowOff>
    </xdr:from>
    <xdr:ext cx="5286375" cy="1714500"/>
    <xdr:sp macro="" textlink="">
      <xdr:nvSpPr>
        <xdr:cNvPr id="3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34125" y="175925"/>
          <a:ext cx="5268600" cy="1695300"/>
        </a:xfrm>
        <a:prstGeom prst="rect">
          <a:avLst/>
        </a:prstGeom>
        <a:solidFill>
          <a:srgbClr val="B6D7A8"/>
        </a:solidFill>
        <a:ln>
          <a:noFill/>
        </a:ln>
      </xdr:spPr>
      <xdr:txBody>
        <a:bodyPr spcFirstLastPara="1" wrap="square" lIns="91425" tIns="91425" rIns="91425" bIns="91425" anchor="t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 b="1"/>
            <a:t>Cliquez sur :</a:t>
          </a:r>
          <a:endParaRPr sz="1400" b="1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 b="1"/>
            <a:t>Fichier - Télécharger - Microsoft Excel (XLSX )</a:t>
          </a:r>
          <a:endParaRPr sz="1400" b="1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 b="1"/>
            <a:t>Ensuite ouvrir le cfichier sur votre PC et l’enregistrer sous : “ INSCRIPTIONS “ (respecter l’orthographe du NOM ).</a:t>
          </a:r>
          <a:endParaRPr sz="1400" b="1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 b="1"/>
            <a:t>Puis retourner sur le fichier “ COURSES JEUNES “ et cliquez sur le bouton “ TELECHARGER LES DONNEES “</a:t>
          </a:r>
          <a:endParaRPr sz="1400" b="1"/>
        </a:p>
      </xdr:txBody>
    </xdr:sp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152400</xdr:colOff>
      <xdr:row>0</xdr:row>
      <xdr:rowOff>152400</xdr:rowOff>
    </xdr:from>
    <xdr:ext cx="6010275" cy="1485900"/>
    <xdr:sp macro="" textlink="">
      <xdr:nvSpPr>
        <xdr:cNvPr id="4" name="Shape 4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0" y="0"/>
          <a:ext cx="6002400" cy="1477500"/>
        </a:xfrm>
        <a:prstGeom prst="rect">
          <a:avLst/>
        </a:prstGeom>
        <a:solidFill>
          <a:srgbClr val="93C47D"/>
        </a:solidFill>
        <a:ln>
          <a:noFill/>
        </a:ln>
      </xdr:spPr>
      <xdr:txBody>
        <a:bodyPr spcFirstLastPara="1" wrap="square" lIns="91425" tIns="91425" rIns="91425" bIns="91425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 b="1"/>
            <a:t>Cliquez sur :</a:t>
          </a:r>
          <a:endParaRPr sz="1400" b="1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 b="1"/>
            <a:t>Fichier - Télécharger - Microsoft Excel (XLSX )</a:t>
          </a:r>
          <a:endParaRPr sz="1400" b="1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 b="1"/>
            <a:t>Ensuite ouvrir le fichier sur votre PC et l’enregistrer sous : “ INSCRIPTIONS “ (respecter l’orthographe du NOM ).</a:t>
          </a:r>
          <a:endParaRPr sz="1400" b="1"/>
        </a:p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 b="1"/>
            <a:t>Puis retourner sur le fichier “ COURSES JEUNES “ et cliquez sur le bouton “ TELECHARGER LES DONNEES “</a:t>
          </a:r>
          <a:endParaRPr sz="1400" b="1"/>
        </a:p>
      </xdr:txBody>
    </xdr:sp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U834"/>
  <sheetViews>
    <sheetView tabSelected="1" workbookViewId="0">
      <pane ySplit="1" topLeftCell="A2" activePane="bottomLeft" state="frozen"/>
      <selection pane="bottomLeft" activeCell="B3" sqref="B3"/>
    </sheetView>
  </sheetViews>
  <sheetFormatPr baseColWidth="10" defaultColWidth="12.6328125" defaultRowHeight="15.75" customHeight="1" x14ac:dyDescent="0.25"/>
  <cols>
    <col min="1" max="1" width="18.90625" customWidth="1"/>
    <col min="2" max="2" width="24.08984375" customWidth="1"/>
    <col min="3" max="3" width="12.90625" customWidth="1"/>
    <col min="4" max="4" width="13.26953125" customWidth="1"/>
    <col min="5" max="5" width="24.453125" customWidth="1"/>
    <col min="6" max="6" width="21.26953125" customWidth="1"/>
    <col min="7" max="7" width="26.90625" customWidth="1"/>
    <col min="8" max="8" width="25.453125" customWidth="1"/>
    <col min="9" max="9" width="12.90625" customWidth="1"/>
    <col min="10" max="10" width="15.26953125" customWidth="1"/>
    <col min="11" max="11" width="27.90625" customWidth="1"/>
    <col min="12" max="12" width="24.453125" customWidth="1"/>
    <col min="13" max="13" width="41" customWidth="1"/>
    <col min="14" max="21" width="18.90625" customWidth="1"/>
  </cols>
  <sheetData>
    <row r="1" spans="1:21" ht="186" customHeight="1" x14ac:dyDescent="0.4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3" t="s">
        <v>8</v>
      </c>
      <c r="J1" s="4" t="s">
        <v>9</v>
      </c>
      <c r="K1" s="1" t="s">
        <v>10</v>
      </c>
      <c r="L1" s="1" t="s">
        <v>11</v>
      </c>
      <c r="M1" s="1" t="s">
        <v>12</v>
      </c>
      <c r="N1" s="1"/>
      <c r="O1" s="1"/>
      <c r="P1" s="1" t="s">
        <v>13</v>
      </c>
      <c r="Q1" s="1" t="s">
        <v>13</v>
      </c>
      <c r="R1" s="1"/>
      <c r="S1" s="1"/>
      <c r="T1" s="1"/>
      <c r="U1" s="1"/>
    </row>
    <row r="2" spans="1:21" ht="15.5" x14ac:dyDescent="0.35">
      <c r="B2" s="5" t="s">
        <v>14</v>
      </c>
      <c r="C2" s="6" t="s">
        <v>15</v>
      </c>
      <c r="D2" s="7">
        <v>42819</v>
      </c>
      <c r="E2" s="6" t="s">
        <v>16</v>
      </c>
      <c r="F2" s="6" t="s">
        <v>17</v>
      </c>
      <c r="G2" s="8" t="s">
        <v>18</v>
      </c>
      <c r="H2" s="6" t="s">
        <v>19</v>
      </c>
      <c r="I2" s="6"/>
      <c r="J2" s="6" t="s">
        <v>20</v>
      </c>
      <c r="K2" s="6" t="s">
        <v>21</v>
      </c>
      <c r="L2" s="6" t="s">
        <v>22</v>
      </c>
      <c r="M2" s="6" t="s">
        <v>23</v>
      </c>
      <c r="N2" s="6"/>
      <c r="O2" s="6"/>
      <c r="P2" s="6"/>
      <c r="Q2" s="6"/>
    </row>
    <row r="3" spans="1:21" ht="15.5" x14ac:dyDescent="0.35">
      <c r="B3" s="5" t="s">
        <v>24</v>
      </c>
      <c r="C3" s="6" t="s">
        <v>25</v>
      </c>
      <c r="D3" s="7">
        <v>42163</v>
      </c>
      <c r="E3" s="6" t="s">
        <v>16</v>
      </c>
      <c r="F3" s="6" t="s">
        <v>17</v>
      </c>
      <c r="G3" s="8" t="s">
        <v>26</v>
      </c>
      <c r="H3" s="6" t="s">
        <v>19</v>
      </c>
      <c r="I3" s="6"/>
      <c r="J3" s="6" t="s">
        <v>20</v>
      </c>
      <c r="K3" s="6" t="s">
        <v>27</v>
      </c>
      <c r="L3" s="6" t="s">
        <v>28</v>
      </c>
      <c r="M3" s="6" t="s">
        <v>29</v>
      </c>
      <c r="N3" s="6"/>
      <c r="O3" s="6"/>
      <c r="P3" s="6"/>
      <c r="Q3" s="6"/>
    </row>
    <row r="4" spans="1:21" ht="15.5" x14ac:dyDescent="0.35">
      <c r="B4" s="5" t="s">
        <v>30</v>
      </c>
      <c r="C4" s="6" t="s">
        <v>15</v>
      </c>
      <c r="D4" s="7">
        <v>42714</v>
      </c>
      <c r="E4" s="6" t="s">
        <v>16</v>
      </c>
      <c r="F4" s="6" t="s">
        <v>17</v>
      </c>
      <c r="G4" s="8" t="s">
        <v>19</v>
      </c>
      <c r="H4" s="6" t="s">
        <v>19</v>
      </c>
      <c r="I4" s="6"/>
      <c r="J4" s="6" t="s">
        <v>20</v>
      </c>
      <c r="K4" s="6" t="s">
        <v>31</v>
      </c>
      <c r="L4" s="6" t="s">
        <v>32</v>
      </c>
      <c r="M4" s="6" t="s">
        <v>23</v>
      </c>
      <c r="N4" s="6"/>
      <c r="O4" s="6"/>
      <c r="P4" s="6"/>
      <c r="Q4" s="6"/>
    </row>
    <row r="5" spans="1:21" ht="15.5" x14ac:dyDescent="0.35">
      <c r="B5" s="5" t="s">
        <v>33</v>
      </c>
      <c r="C5" s="6" t="s">
        <v>25</v>
      </c>
      <c r="D5" s="7">
        <v>41337</v>
      </c>
      <c r="E5" s="6" t="s">
        <v>34</v>
      </c>
      <c r="F5" s="6" t="s">
        <v>17</v>
      </c>
      <c r="G5" s="8" t="s">
        <v>18</v>
      </c>
      <c r="H5" s="6" t="s">
        <v>26</v>
      </c>
      <c r="I5" s="6"/>
      <c r="J5" s="6" t="s">
        <v>20</v>
      </c>
      <c r="K5" s="6" t="s">
        <v>35</v>
      </c>
      <c r="L5" s="6" t="s">
        <v>36</v>
      </c>
      <c r="M5" s="6" t="s">
        <v>37</v>
      </c>
      <c r="N5" s="6"/>
      <c r="O5" s="6"/>
      <c r="P5" s="6"/>
      <c r="Q5" s="6"/>
    </row>
    <row r="6" spans="1:21" ht="15.5" x14ac:dyDescent="0.35">
      <c r="B6" s="5" t="s">
        <v>38</v>
      </c>
      <c r="C6" s="6" t="s">
        <v>25</v>
      </c>
      <c r="D6" s="7">
        <v>41798</v>
      </c>
      <c r="E6" s="6" t="s">
        <v>34</v>
      </c>
      <c r="F6" s="6" t="s">
        <v>17</v>
      </c>
      <c r="G6" s="8" t="s">
        <v>19</v>
      </c>
      <c r="H6" s="6" t="s">
        <v>19</v>
      </c>
      <c r="I6" s="6"/>
      <c r="J6" s="6" t="s">
        <v>20</v>
      </c>
      <c r="K6" s="6" t="s">
        <v>31</v>
      </c>
      <c r="L6" s="6" t="s">
        <v>32</v>
      </c>
      <c r="M6" s="6" t="s">
        <v>23</v>
      </c>
      <c r="N6" s="6"/>
      <c r="O6" s="6"/>
      <c r="P6" s="6"/>
      <c r="Q6" s="6"/>
    </row>
    <row r="7" spans="1:21" ht="15.5" x14ac:dyDescent="0.35">
      <c r="B7" s="5" t="s">
        <v>30</v>
      </c>
      <c r="C7" s="6" t="s">
        <v>15</v>
      </c>
      <c r="D7" s="7">
        <v>42714</v>
      </c>
      <c r="E7" s="6" t="s">
        <v>16</v>
      </c>
      <c r="F7" s="6" t="s">
        <v>17</v>
      </c>
      <c r="G7" s="8" t="s">
        <v>19</v>
      </c>
      <c r="H7" s="6" t="s">
        <v>19</v>
      </c>
      <c r="I7" s="6"/>
      <c r="J7" s="6"/>
      <c r="K7" s="6"/>
      <c r="L7" s="6" t="s">
        <v>32</v>
      </c>
      <c r="M7" s="6" t="s">
        <v>23</v>
      </c>
      <c r="N7" s="6"/>
      <c r="O7" s="6"/>
      <c r="P7" s="6"/>
      <c r="Q7" s="6"/>
    </row>
    <row r="8" spans="1:21" ht="15.5" x14ac:dyDescent="0.35">
      <c r="B8" s="5" t="s">
        <v>33</v>
      </c>
      <c r="C8" s="6" t="s">
        <v>25</v>
      </c>
      <c r="D8" s="7">
        <v>41337</v>
      </c>
      <c r="E8" s="6" t="s">
        <v>34</v>
      </c>
      <c r="F8" s="6" t="s">
        <v>17</v>
      </c>
      <c r="G8" s="8" t="s">
        <v>19</v>
      </c>
      <c r="H8" s="6" t="s">
        <v>19</v>
      </c>
      <c r="I8" s="6"/>
      <c r="J8" s="6"/>
      <c r="K8" s="6"/>
      <c r="L8" s="6" t="s">
        <v>36</v>
      </c>
      <c r="M8" s="6" t="s">
        <v>37</v>
      </c>
      <c r="N8" s="6"/>
      <c r="O8" s="6"/>
      <c r="P8" s="6"/>
      <c r="Q8" s="6"/>
    </row>
    <row r="9" spans="1:21" ht="15.5" x14ac:dyDescent="0.35">
      <c r="B9" s="5" t="s">
        <v>38</v>
      </c>
      <c r="C9" s="6" t="s">
        <v>25</v>
      </c>
      <c r="D9" s="7">
        <v>41798</v>
      </c>
      <c r="E9" s="6" t="s">
        <v>34</v>
      </c>
      <c r="F9" s="6" t="s">
        <v>17</v>
      </c>
      <c r="G9" s="8" t="s">
        <v>39</v>
      </c>
      <c r="H9" s="6" t="s">
        <v>19</v>
      </c>
      <c r="I9" s="6"/>
      <c r="J9" s="6"/>
      <c r="K9" s="6"/>
      <c r="L9" s="6" t="s">
        <v>32</v>
      </c>
      <c r="M9" s="6" t="s">
        <v>23</v>
      </c>
      <c r="N9" s="6"/>
      <c r="O9" s="6"/>
      <c r="P9" s="6"/>
      <c r="Q9" s="6"/>
    </row>
    <row r="10" spans="1:21" ht="15.5" x14ac:dyDescent="0.35">
      <c r="B10" s="5" t="s">
        <v>40</v>
      </c>
      <c r="C10" s="6" t="s">
        <v>25</v>
      </c>
      <c r="D10" s="7">
        <v>43976</v>
      </c>
      <c r="E10" s="6" t="s">
        <v>41</v>
      </c>
      <c r="F10" s="6" t="s">
        <v>17</v>
      </c>
      <c r="G10" s="8" t="s">
        <v>42</v>
      </c>
      <c r="H10" s="6" t="s">
        <v>43</v>
      </c>
      <c r="I10" s="6"/>
      <c r="J10" s="6" t="s">
        <v>20</v>
      </c>
      <c r="K10" s="6" t="s">
        <v>44</v>
      </c>
      <c r="L10" s="6" t="s">
        <v>45</v>
      </c>
      <c r="M10" s="6" t="s">
        <v>46</v>
      </c>
      <c r="N10" s="6"/>
      <c r="O10" s="6"/>
      <c r="P10" s="6"/>
      <c r="Q10" s="6"/>
    </row>
    <row r="11" spans="1:21" ht="15.5" x14ac:dyDescent="0.35">
      <c r="B11" s="5" t="s">
        <v>47</v>
      </c>
      <c r="C11" s="6" t="s">
        <v>25</v>
      </c>
      <c r="D11" s="7">
        <v>42474</v>
      </c>
      <c r="E11" s="6" t="s">
        <v>16</v>
      </c>
      <c r="F11" s="6" t="s">
        <v>17</v>
      </c>
      <c r="G11" s="8" t="s">
        <v>42</v>
      </c>
      <c r="H11" s="6" t="s">
        <v>43</v>
      </c>
      <c r="I11" s="6"/>
      <c r="J11" s="6" t="s">
        <v>20</v>
      </c>
      <c r="K11" s="6" t="s">
        <v>48</v>
      </c>
      <c r="L11" s="6" t="s">
        <v>49</v>
      </c>
      <c r="M11" s="6" t="s">
        <v>46</v>
      </c>
      <c r="N11" s="6"/>
      <c r="O11" s="6"/>
      <c r="P11" s="6"/>
      <c r="Q11" s="6"/>
    </row>
    <row r="12" spans="1:21" ht="15.5" x14ac:dyDescent="0.35">
      <c r="B12" s="5" t="s">
        <v>50</v>
      </c>
      <c r="C12" s="6" t="s">
        <v>15</v>
      </c>
      <c r="D12" s="7">
        <v>42546</v>
      </c>
      <c r="E12" s="6" t="s">
        <v>16</v>
      </c>
      <c r="F12" s="6" t="s">
        <v>17</v>
      </c>
      <c r="G12" s="8" t="s">
        <v>42</v>
      </c>
      <c r="H12" s="6" t="s">
        <v>43</v>
      </c>
      <c r="I12" s="6"/>
      <c r="J12" s="6" t="s">
        <v>20</v>
      </c>
      <c r="K12" s="6" t="s">
        <v>51</v>
      </c>
      <c r="L12" s="6" t="s">
        <v>52</v>
      </c>
      <c r="M12" s="6" t="s">
        <v>53</v>
      </c>
      <c r="N12" s="6"/>
      <c r="O12" s="6"/>
      <c r="P12" s="6"/>
      <c r="Q12" s="6"/>
    </row>
    <row r="13" spans="1:21" ht="15.5" x14ac:dyDescent="0.35">
      <c r="B13" s="5" t="s">
        <v>54</v>
      </c>
      <c r="C13" s="6" t="s">
        <v>15</v>
      </c>
      <c r="D13" s="7">
        <v>42219</v>
      </c>
      <c r="E13" s="6" t="s">
        <v>34</v>
      </c>
      <c r="F13" s="6" t="s">
        <v>17</v>
      </c>
      <c r="G13" s="8" t="s">
        <v>42</v>
      </c>
      <c r="H13" s="6" t="s">
        <v>43</v>
      </c>
      <c r="I13" s="6"/>
      <c r="J13" s="6" t="s">
        <v>55</v>
      </c>
      <c r="K13" s="6" t="s">
        <v>56</v>
      </c>
      <c r="L13" s="6">
        <v>628260472</v>
      </c>
      <c r="M13" s="6" t="s">
        <v>57</v>
      </c>
      <c r="N13" s="6"/>
      <c r="O13" s="6"/>
      <c r="P13" s="6"/>
      <c r="Q13" s="6"/>
    </row>
    <row r="14" spans="1:21" ht="15.5" x14ac:dyDescent="0.35">
      <c r="B14" s="5" t="s">
        <v>58</v>
      </c>
      <c r="C14" s="6" t="s">
        <v>25</v>
      </c>
      <c r="D14" s="7">
        <v>41968</v>
      </c>
      <c r="E14" s="6" t="s">
        <v>34</v>
      </c>
      <c r="F14" s="6" t="s">
        <v>17</v>
      </c>
      <c r="G14" s="8" t="s">
        <v>42</v>
      </c>
      <c r="H14" s="6" t="s">
        <v>43</v>
      </c>
      <c r="I14" s="6"/>
      <c r="J14" s="6" t="s">
        <v>20</v>
      </c>
      <c r="K14" s="6" t="s">
        <v>59</v>
      </c>
      <c r="L14" s="6" t="s">
        <v>60</v>
      </c>
      <c r="M14" s="6" t="s">
        <v>61</v>
      </c>
      <c r="N14" s="6"/>
      <c r="O14" s="6"/>
      <c r="P14" s="6"/>
      <c r="Q14" s="6"/>
    </row>
    <row r="15" spans="1:21" ht="15.5" x14ac:dyDescent="0.35">
      <c r="B15" s="5" t="s">
        <v>62</v>
      </c>
      <c r="C15" s="6" t="s">
        <v>25</v>
      </c>
      <c r="D15" s="7">
        <v>41330</v>
      </c>
      <c r="E15" s="6" t="s">
        <v>34</v>
      </c>
      <c r="F15" s="6" t="s">
        <v>17</v>
      </c>
      <c r="G15" s="8" t="s">
        <v>42</v>
      </c>
      <c r="H15" s="6" t="s">
        <v>43</v>
      </c>
      <c r="I15" s="6"/>
      <c r="J15" s="6" t="s">
        <v>20</v>
      </c>
      <c r="K15" s="6" t="s">
        <v>63</v>
      </c>
      <c r="L15" s="6" t="s">
        <v>64</v>
      </c>
      <c r="M15" s="6" t="s">
        <v>46</v>
      </c>
      <c r="N15" s="6"/>
      <c r="O15" s="6"/>
      <c r="P15" s="6"/>
      <c r="Q15" s="6"/>
    </row>
    <row r="16" spans="1:21" ht="15.5" x14ac:dyDescent="0.35">
      <c r="B16" s="5" t="s">
        <v>65</v>
      </c>
      <c r="C16" s="6" t="s">
        <v>15</v>
      </c>
      <c r="D16" s="7">
        <v>41754</v>
      </c>
      <c r="E16" s="6" t="s">
        <v>34</v>
      </c>
      <c r="F16" s="6" t="s">
        <v>17</v>
      </c>
      <c r="G16" s="8" t="s">
        <v>42</v>
      </c>
      <c r="H16" s="6" t="s">
        <v>43</v>
      </c>
      <c r="I16" s="6"/>
      <c r="J16" s="6" t="s">
        <v>20</v>
      </c>
      <c r="K16" s="6" t="s">
        <v>66</v>
      </c>
      <c r="L16" s="6" t="s">
        <v>67</v>
      </c>
      <c r="M16" s="6" t="s">
        <v>46</v>
      </c>
      <c r="N16" s="6"/>
      <c r="O16" s="6"/>
      <c r="P16" s="6"/>
      <c r="Q16" s="6"/>
    </row>
    <row r="17" spans="2:17" ht="15.5" x14ac:dyDescent="0.35">
      <c r="B17" s="5" t="s">
        <v>68</v>
      </c>
      <c r="C17" s="6" t="s">
        <v>15</v>
      </c>
      <c r="D17" s="7">
        <v>41710</v>
      </c>
      <c r="E17" s="6" t="s">
        <v>34</v>
      </c>
      <c r="F17" s="6" t="s">
        <v>17</v>
      </c>
      <c r="G17" s="8" t="s">
        <v>42</v>
      </c>
      <c r="H17" s="6" t="s">
        <v>43</v>
      </c>
      <c r="I17" s="6"/>
      <c r="J17" s="6" t="s">
        <v>20</v>
      </c>
      <c r="K17" s="6" t="s">
        <v>69</v>
      </c>
      <c r="L17" s="6" t="s">
        <v>70</v>
      </c>
      <c r="M17" s="6" t="s">
        <v>46</v>
      </c>
      <c r="N17" s="6"/>
      <c r="O17" s="6"/>
      <c r="P17" s="6"/>
      <c r="Q17" s="6"/>
    </row>
    <row r="18" spans="2:17" ht="15.5" x14ac:dyDescent="0.35">
      <c r="B18" s="5" t="s">
        <v>71</v>
      </c>
      <c r="C18" s="6" t="s">
        <v>15</v>
      </c>
      <c r="D18" s="7">
        <v>41627</v>
      </c>
      <c r="E18" s="6" t="s">
        <v>34</v>
      </c>
      <c r="F18" s="6" t="s">
        <v>17</v>
      </c>
      <c r="G18" s="8" t="s">
        <v>42</v>
      </c>
      <c r="H18" s="6" t="s">
        <v>43</v>
      </c>
      <c r="I18" s="6"/>
      <c r="J18" s="6" t="s">
        <v>20</v>
      </c>
      <c r="K18" s="6" t="s">
        <v>72</v>
      </c>
      <c r="L18" s="6" t="s">
        <v>73</v>
      </c>
      <c r="M18" s="6" t="s">
        <v>74</v>
      </c>
      <c r="N18" s="6"/>
      <c r="O18" s="6"/>
      <c r="P18" s="6"/>
      <c r="Q18" s="6"/>
    </row>
    <row r="19" spans="2:17" ht="15.5" x14ac:dyDescent="0.35">
      <c r="B19" s="5" t="s">
        <v>75</v>
      </c>
      <c r="C19" s="6" t="s">
        <v>25</v>
      </c>
      <c r="D19" s="7">
        <v>41286</v>
      </c>
      <c r="E19" s="6" t="s">
        <v>34</v>
      </c>
      <c r="F19" s="6" t="s">
        <v>17</v>
      </c>
      <c r="G19" s="8" t="s">
        <v>42</v>
      </c>
      <c r="H19" s="6" t="s">
        <v>43</v>
      </c>
      <c r="I19" s="6"/>
      <c r="J19" s="6" t="s">
        <v>20</v>
      </c>
      <c r="K19" s="6" t="s">
        <v>76</v>
      </c>
      <c r="L19" s="6" t="s">
        <v>77</v>
      </c>
      <c r="M19" s="6" t="s">
        <v>46</v>
      </c>
      <c r="N19" s="6"/>
      <c r="O19" s="6"/>
      <c r="P19" s="6"/>
      <c r="Q19" s="6"/>
    </row>
    <row r="20" spans="2:17" ht="15.5" x14ac:dyDescent="0.35">
      <c r="B20" s="5" t="s">
        <v>50</v>
      </c>
      <c r="C20" s="6" t="s">
        <v>15</v>
      </c>
      <c r="D20" s="7">
        <v>42546</v>
      </c>
      <c r="E20" s="6" t="s">
        <v>16</v>
      </c>
      <c r="F20" s="6" t="s">
        <v>17</v>
      </c>
      <c r="G20" s="8" t="s">
        <v>42</v>
      </c>
      <c r="H20" s="6" t="s">
        <v>43</v>
      </c>
      <c r="I20" s="6"/>
      <c r="J20" s="6"/>
      <c r="K20" s="6"/>
      <c r="L20" s="6" t="s">
        <v>52</v>
      </c>
      <c r="M20" s="6" t="s">
        <v>53</v>
      </c>
      <c r="N20" s="6"/>
      <c r="O20" s="6"/>
      <c r="P20" s="6"/>
      <c r="Q20" s="6"/>
    </row>
    <row r="21" spans="2:17" ht="15.5" x14ac:dyDescent="0.35">
      <c r="B21" s="5" t="s">
        <v>54</v>
      </c>
      <c r="C21" s="6" t="s">
        <v>15</v>
      </c>
      <c r="D21" s="7">
        <v>42219</v>
      </c>
      <c r="E21" s="6" t="s">
        <v>34</v>
      </c>
      <c r="F21" s="6" t="s">
        <v>17</v>
      </c>
      <c r="G21" s="8" t="s">
        <v>42</v>
      </c>
      <c r="H21" s="6" t="s">
        <v>43</v>
      </c>
      <c r="I21" s="6"/>
      <c r="J21" s="6"/>
      <c r="K21" s="6"/>
      <c r="L21" s="6">
        <v>628260472</v>
      </c>
      <c r="M21" s="6" t="s">
        <v>57</v>
      </c>
      <c r="N21" s="6"/>
      <c r="O21" s="6"/>
      <c r="P21" s="6"/>
      <c r="Q21" s="6"/>
    </row>
    <row r="22" spans="2:17" ht="15.5" x14ac:dyDescent="0.35">
      <c r="B22" s="5" t="s">
        <v>58</v>
      </c>
      <c r="C22" s="6" t="s">
        <v>25</v>
      </c>
      <c r="D22" s="7">
        <v>41968</v>
      </c>
      <c r="E22" s="6" t="s">
        <v>34</v>
      </c>
      <c r="F22" s="6" t="s">
        <v>17</v>
      </c>
      <c r="G22" s="8" t="s">
        <v>42</v>
      </c>
      <c r="H22" s="6" t="s">
        <v>43</v>
      </c>
      <c r="I22" s="6"/>
      <c r="J22" s="6"/>
      <c r="K22" s="6"/>
      <c r="L22" s="6" t="s">
        <v>60</v>
      </c>
      <c r="M22" s="6" t="s">
        <v>61</v>
      </c>
      <c r="N22" s="6"/>
      <c r="O22" s="6"/>
      <c r="P22" s="6"/>
      <c r="Q22" s="6"/>
    </row>
    <row r="23" spans="2:17" ht="15.5" x14ac:dyDescent="0.35">
      <c r="B23" s="5" t="s">
        <v>62</v>
      </c>
      <c r="C23" s="6" t="s">
        <v>25</v>
      </c>
      <c r="D23" s="7">
        <v>41330</v>
      </c>
      <c r="E23" s="6" t="s">
        <v>34</v>
      </c>
      <c r="F23" s="6" t="s">
        <v>17</v>
      </c>
      <c r="G23" s="8" t="s">
        <v>42</v>
      </c>
      <c r="H23" s="6" t="s">
        <v>43</v>
      </c>
      <c r="I23" s="6"/>
      <c r="J23" s="6"/>
      <c r="K23" s="6"/>
      <c r="L23" s="6" t="s">
        <v>64</v>
      </c>
      <c r="M23" s="6" t="s">
        <v>46</v>
      </c>
      <c r="N23" s="6"/>
      <c r="O23" s="6"/>
      <c r="P23" s="6"/>
      <c r="Q23" s="6"/>
    </row>
    <row r="24" spans="2:17" ht="15.5" x14ac:dyDescent="0.35">
      <c r="B24" s="5" t="s">
        <v>65</v>
      </c>
      <c r="C24" s="6" t="s">
        <v>15</v>
      </c>
      <c r="D24" s="7">
        <v>41754</v>
      </c>
      <c r="E24" s="6" t="s">
        <v>34</v>
      </c>
      <c r="F24" s="6" t="s">
        <v>17</v>
      </c>
      <c r="G24" s="8" t="s">
        <v>42</v>
      </c>
      <c r="H24" s="6" t="s">
        <v>43</v>
      </c>
      <c r="I24" s="6"/>
      <c r="J24" s="6"/>
      <c r="K24" s="6"/>
      <c r="L24" s="6" t="s">
        <v>67</v>
      </c>
      <c r="M24" s="6" t="s">
        <v>46</v>
      </c>
      <c r="N24" s="6"/>
      <c r="O24" s="6"/>
      <c r="P24" s="6"/>
      <c r="Q24" s="6"/>
    </row>
    <row r="25" spans="2:17" ht="15.5" x14ac:dyDescent="0.35">
      <c r="B25" s="5" t="s">
        <v>68</v>
      </c>
      <c r="C25" s="6" t="s">
        <v>15</v>
      </c>
      <c r="D25" s="7">
        <v>41710</v>
      </c>
      <c r="E25" s="6" t="s">
        <v>34</v>
      </c>
      <c r="F25" s="6" t="s">
        <v>17</v>
      </c>
      <c r="G25" s="8" t="s">
        <v>42</v>
      </c>
      <c r="H25" s="6" t="s">
        <v>43</v>
      </c>
      <c r="I25" s="6"/>
      <c r="J25" s="6"/>
      <c r="K25" s="6"/>
      <c r="L25" s="6" t="s">
        <v>70</v>
      </c>
      <c r="M25" s="6" t="s">
        <v>46</v>
      </c>
      <c r="N25" s="6"/>
      <c r="O25" s="6"/>
      <c r="P25" s="6"/>
      <c r="Q25" s="6"/>
    </row>
    <row r="26" spans="2:17" ht="15.5" x14ac:dyDescent="0.35">
      <c r="B26" s="5" t="s">
        <v>71</v>
      </c>
      <c r="C26" s="6" t="s">
        <v>15</v>
      </c>
      <c r="D26" s="7">
        <v>41627</v>
      </c>
      <c r="E26" s="6" t="s">
        <v>34</v>
      </c>
      <c r="F26" s="6" t="s">
        <v>17</v>
      </c>
      <c r="G26" s="8" t="s">
        <v>42</v>
      </c>
      <c r="H26" s="6" t="s">
        <v>43</v>
      </c>
      <c r="I26" s="6"/>
      <c r="J26" s="6"/>
      <c r="K26" s="6"/>
      <c r="L26" s="6" t="s">
        <v>73</v>
      </c>
      <c r="M26" s="6" t="s">
        <v>74</v>
      </c>
      <c r="N26" s="6"/>
      <c r="O26" s="6"/>
      <c r="P26" s="6"/>
      <c r="Q26" s="6"/>
    </row>
    <row r="27" spans="2:17" ht="15.5" x14ac:dyDescent="0.35">
      <c r="B27" s="5" t="s">
        <v>75</v>
      </c>
      <c r="C27" s="6" t="s">
        <v>25</v>
      </c>
      <c r="D27" s="7">
        <v>41286</v>
      </c>
      <c r="E27" s="6" t="s">
        <v>34</v>
      </c>
      <c r="F27" s="6" t="s">
        <v>17</v>
      </c>
      <c r="G27" s="8" t="s">
        <v>42</v>
      </c>
      <c r="H27" s="6" t="s">
        <v>43</v>
      </c>
      <c r="I27" s="6"/>
      <c r="J27" s="6"/>
      <c r="K27" s="6"/>
      <c r="L27" s="6" t="s">
        <v>77</v>
      </c>
      <c r="M27" s="6" t="s">
        <v>46</v>
      </c>
      <c r="N27" s="6"/>
      <c r="O27" s="6"/>
      <c r="P27" s="6"/>
      <c r="Q27" s="6"/>
    </row>
    <row r="28" spans="2:17" ht="15.5" x14ac:dyDescent="0.35">
      <c r="B28" s="5" t="s">
        <v>78</v>
      </c>
      <c r="C28" s="6" t="s">
        <v>25</v>
      </c>
      <c r="D28" s="7">
        <v>41527</v>
      </c>
      <c r="E28" s="6" t="s">
        <v>34</v>
      </c>
      <c r="F28" s="6" t="s">
        <v>17</v>
      </c>
      <c r="G28" s="8" t="s">
        <v>79</v>
      </c>
      <c r="H28" s="6" t="s">
        <v>79</v>
      </c>
      <c r="I28" s="6"/>
      <c r="J28" s="6" t="s">
        <v>20</v>
      </c>
      <c r="K28" s="6" t="s">
        <v>80</v>
      </c>
      <c r="L28" s="6" t="s">
        <v>81</v>
      </c>
      <c r="M28" s="6" t="s">
        <v>82</v>
      </c>
      <c r="N28" s="6"/>
      <c r="O28" s="6"/>
      <c r="P28" s="6"/>
      <c r="Q28" s="6"/>
    </row>
    <row r="29" spans="2:17" ht="15.5" x14ac:dyDescent="0.35">
      <c r="B29" s="5" t="s">
        <v>78</v>
      </c>
      <c r="C29" s="6" t="s">
        <v>25</v>
      </c>
      <c r="D29" s="7">
        <v>41527</v>
      </c>
      <c r="E29" s="6" t="s">
        <v>34</v>
      </c>
      <c r="F29" s="6" t="s">
        <v>17</v>
      </c>
      <c r="G29" s="8" t="s">
        <v>79</v>
      </c>
      <c r="H29" s="6" t="s">
        <v>79</v>
      </c>
      <c r="I29" s="6"/>
      <c r="J29" s="6"/>
      <c r="K29" s="6"/>
      <c r="L29" s="6" t="s">
        <v>81</v>
      </c>
      <c r="M29" s="6" t="s">
        <v>82</v>
      </c>
      <c r="N29" s="6"/>
      <c r="O29" s="6"/>
      <c r="P29" s="6"/>
      <c r="Q29" s="6"/>
    </row>
    <row r="30" spans="2:17" ht="15.5" x14ac:dyDescent="0.35">
      <c r="B30" s="5" t="s">
        <v>83</v>
      </c>
      <c r="C30" s="6" t="s">
        <v>25</v>
      </c>
      <c r="D30" s="7">
        <v>41546</v>
      </c>
      <c r="E30" s="6" t="s">
        <v>34</v>
      </c>
      <c r="F30" s="6" t="s">
        <v>17</v>
      </c>
      <c r="G30" s="8" t="s">
        <v>84</v>
      </c>
      <c r="H30" s="6" t="s">
        <v>84</v>
      </c>
      <c r="I30" s="6"/>
      <c r="J30" s="6" t="s">
        <v>20</v>
      </c>
      <c r="K30" s="6"/>
      <c r="L30" s="6"/>
      <c r="M30" s="6" t="s">
        <v>85</v>
      </c>
      <c r="N30" s="6"/>
      <c r="O30" s="6"/>
      <c r="P30" s="6"/>
      <c r="Q30" s="6"/>
    </row>
    <row r="31" spans="2:17" ht="15.5" x14ac:dyDescent="0.35">
      <c r="B31" s="5" t="s">
        <v>86</v>
      </c>
      <c r="C31" s="6" t="s">
        <v>25</v>
      </c>
      <c r="D31" s="7">
        <v>41938</v>
      </c>
      <c r="E31" s="6" t="s">
        <v>34</v>
      </c>
      <c r="F31" s="6" t="s">
        <v>17</v>
      </c>
      <c r="G31" s="8" t="s">
        <v>84</v>
      </c>
      <c r="H31" s="6" t="s">
        <v>84</v>
      </c>
      <c r="I31" s="6"/>
      <c r="J31" s="6" t="s">
        <v>20</v>
      </c>
      <c r="K31" s="6" t="s">
        <v>87</v>
      </c>
      <c r="L31" s="6" t="s">
        <v>88</v>
      </c>
      <c r="M31" s="6" t="s">
        <v>89</v>
      </c>
      <c r="N31" s="6"/>
      <c r="O31" s="6"/>
      <c r="P31" s="6"/>
      <c r="Q31" s="6"/>
    </row>
    <row r="32" spans="2:17" ht="15.5" x14ac:dyDescent="0.35">
      <c r="B32" s="5" t="s">
        <v>90</v>
      </c>
      <c r="C32" s="6" t="s">
        <v>15</v>
      </c>
      <c r="D32" s="7">
        <v>41850</v>
      </c>
      <c r="E32" s="6" t="s">
        <v>34</v>
      </c>
      <c r="F32" s="6" t="s">
        <v>17</v>
      </c>
      <c r="G32" s="8" t="s">
        <v>84</v>
      </c>
      <c r="H32" s="6" t="s">
        <v>84</v>
      </c>
      <c r="I32" s="6"/>
      <c r="J32" s="6" t="s">
        <v>20</v>
      </c>
      <c r="K32" s="6" t="s">
        <v>91</v>
      </c>
      <c r="L32" s="6" t="s">
        <v>92</v>
      </c>
      <c r="M32" s="6" t="s">
        <v>93</v>
      </c>
      <c r="N32" s="6"/>
      <c r="O32" s="6"/>
      <c r="P32" s="6"/>
      <c r="Q32" s="6"/>
    </row>
    <row r="33" spans="2:17" ht="15.5" x14ac:dyDescent="0.35">
      <c r="B33" s="5" t="s">
        <v>94</v>
      </c>
      <c r="C33" s="6" t="s">
        <v>25</v>
      </c>
      <c r="D33" s="7">
        <v>41499</v>
      </c>
      <c r="E33" s="6" t="s">
        <v>34</v>
      </c>
      <c r="F33" s="6" t="s">
        <v>17</v>
      </c>
      <c r="G33" s="8" t="s">
        <v>84</v>
      </c>
      <c r="H33" s="6" t="s">
        <v>84</v>
      </c>
      <c r="I33" s="6"/>
      <c r="J33" s="6" t="s">
        <v>20</v>
      </c>
      <c r="K33" s="6" t="s">
        <v>95</v>
      </c>
      <c r="L33" s="6" t="s">
        <v>96</v>
      </c>
      <c r="M33" s="6" t="s">
        <v>93</v>
      </c>
      <c r="N33" s="6"/>
      <c r="O33" s="6"/>
      <c r="P33" s="6"/>
      <c r="Q33" s="6"/>
    </row>
    <row r="34" spans="2:17" ht="15.5" x14ac:dyDescent="0.35">
      <c r="B34" s="5" t="s">
        <v>83</v>
      </c>
      <c r="C34" s="6" t="s">
        <v>25</v>
      </c>
      <c r="D34" s="7">
        <v>41546</v>
      </c>
      <c r="E34" s="6" t="s">
        <v>34</v>
      </c>
      <c r="F34" s="6" t="s">
        <v>17</v>
      </c>
      <c r="G34" s="8" t="s">
        <v>84</v>
      </c>
      <c r="H34" s="6" t="s">
        <v>84</v>
      </c>
      <c r="I34" s="6"/>
      <c r="J34" s="6"/>
      <c r="K34" s="6"/>
      <c r="L34" s="6"/>
      <c r="M34" s="6" t="s">
        <v>85</v>
      </c>
      <c r="N34" s="6"/>
      <c r="O34" s="6"/>
      <c r="P34" s="6"/>
      <c r="Q34" s="6"/>
    </row>
    <row r="35" spans="2:17" ht="15.5" x14ac:dyDescent="0.35">
      <c r="B35" s="5" t="s">
        <v>86</v>
      </c>
      <c r="C35" s="6" t="s">
        <v>25</v>
      </c>
      <c r="D35" s="7">
        <v>41938</v>
      </c>
      <c r="E35" s="6" t="s">
        <v>34</v>
      </c>
      <c r="F35" s="6" t="s">
        <v>17</v>
      </c>
      <c r="G35" s="8" t="s">
        <v>84</v>
      </c>
      <c r="H35" s="6" t="s">
        <v>84</v>
      </c>
      <c r="I35" s="6"/>
      <c r="J35" s="6"/>
      <c r="K35" s="6"/>
      <c r="L35" s="6" t="s">
        <v>88</v>
      </c>
      <c r="M35" s="6" t="s">
        <v>89</v>
      </c>
      <c r="N35" s="6"/>
      <c r="O35" s="6"/>
      <c r="P35" s="6"/>
      <c r="Q35" s="6"/>
    </row>
    <row r="36" spans="2:17" ht="15.5" x14ac:dyDescent="0.35">
      <c r="B36" s="5" t="s">
        <v>90</v>
      </c>
      <c r="C36" s="6" t="s">
        <v>15</v>
      </c>
      <c r="D36" s="7">
        <v>41850</v>
      </c>
      <c r="E36" s="6" t="s">
        <v>34</v>
      </c>
      <c r="F36" s="6" t="s">
        <v>17</v>
      </c>
      <c r="G36" s="8" t="s">
        <v>84</v>
      </c>
      <c r="H36" s="6" t="s">
        <v>84</v>
      </c>
      <c r="I36" s="6"/>
      <c r="J36" s="6"/>
      <c r="K36" s="6"/>
      <c r="L36" s="6" t="s">
        <v>92</v>
      </c>
      <c r="M36" s="6" t="s">
        <v>93</v>
      </c>
      <c r="N36" s="6"/>
      <c r="O36" s="6"/>
      <c r="P36" s="6"/>
      <c r="Q36" s="6"/>
    </row>
    <row r="37" spans="2:17" ht="15.5" x14ac:dyDescent="0.35">
      <c r="B37" s="5" t="s">
        <v>94</v>
      </c>
      <c r="C37" s="6" t="s">
        <v>25</v>
      </c>
      <c r="D37" s="7">
        <v>41499</v>
      </c>
      <c r="E37" s="6" t="s">
        <v>34</v>
      </c>
      <c r="F37" s="6" t="s">
        <v>17</v>
      </c>
      <c r="G37" s="8" t="s">
        <v>84</v>
      </c>
      <c r="H37" s="6" t="s">
        <v>84</v>
      </c>
      <c r="I37" s="6"/>
      <c r="J37" s="6"/>
      <c r="K37" s="6"/>
      <c r="L37" s="6" t="s">
        <v>96</v>
      </c>
      <c r="M37" s="6" t="s">
        <v>93</v>
      </c>
      <c r="N37" s="6"/>
      <c r="O37" s="6"/>
      <c r="P37" s="6"/>
      <c r="Q37" s="6"/>
    </row>
    <row r="38" spans="2:17" ht="15.5" x14ac:dyDescent="0.35">
      <c r="B38" s="5" t="s">
        <v>97</v>
      </c>
      <c r="C38" s="6" t="s">
        <v>25</v>
      </c>
      <c r="D38" s="7">
        <v>43852</v>
      </c>
      <c r="E38" s="6" t="s">
        <v>41</v>
      </c>
      <c r="F38" s="6" t="s">
        <v>17</v>
      </c>
      <c r="G38" s="8" t="s">
        <v>98</v>
      </c>
      <c r="H38" s="6" t="s">
        <v>98</v>
      </c>
      <c r="I38" s="6"/>
      <c r="J38" s="6" t="s">
        <v>20</v>
      </c>
      <c r="K38" s="6" t="s">
        <v>99</v>
      </c>
      <c r="L38" s="6" t="s">
        <v>100</v>
      </c>
      <c r="M38" s="6" t="s">
        <v>101</v>
      </c>
      <c r="N38" s="6"/>
      <c r="O38" s="6"/>
      <c r="P38" s="6"/>
      <c r="Q38" s="6"/>
    </row>
    <row r="39" spans="2:17" ht="15.5" x14ac:dyDescent="0.35">
      <c r="B39" s="5" t="s">
        <v>102</v>
      </c>
      <c r="C39" s="6" t="s">
        <v>25</v>
      </c>
      <c r="D39" s="7">
        <v>43918</v>
      </c>
      <c r="E39" s="6" t="s">
        <v>41</v>
      </c>
      <c r="F39" s="6" t="s">
        <v>17</v>
      </c>
      <c r="G39" s="8" t="s">
        <v>98</v>
      </c>
      <c r="H39" s="6" t="s">
        <v>98</v>
      </c>
      <c r="I39" s="6"/>
      <c r="J39" s="6" t="s">
        <v>20</v>
      </c>
      <c r="K39" s="6" t="s">
        <v>103</v>
      </c>
      <c r="L39" s="6" t="s">
        <v>104</v>
      </c>
      <c r="M39" s="6" t="s">
        <v>46</v>
      </c>
      <c r="N39" s="6"/>
      <c r="O39" s="6"/>
      <c r="P39" s="6"/>
      <c r="Q39" s="6"/>
    </row>
    <row r="40" spans="2:17" ht="15.5" x14ac:dyDescent="0.35">
      <c r="B40" s="5" t="s">
        <v>105</v>
      </c>
      <c r="C40" s="6" t="s">
        <v>25</v>
      </c>
      <c r="D40" s="7">
        <v>43488</v>
      </c>
      <c r="E40" s="6" t="s">
        <v>41</v>
      </c>
      <c r="F40" s="6" t="s">
        <v>17</v>
      </c>
      <c r="G40" s="8" t="s">
        <v>98</v>
      </c>
      <c r="H40" s="6" t="s">
        <v>98</v>
      </c>
      <c r="I40" s="6"/>
      <c r="J40" s="6" t="s">
        <v>20</v>
      </c>
      <c r="K40" s="6" t="s">
        <v>106</v>
      </c>
      <c r="L40" s="6" t="s">
        <v>107</v>
      </c>
      <c r="M40" s="6" t="s">
        <v>37</v>
      </c>
      <c r="N40" s="6"/>
      <c r="O40" s="6"/>
      <c r="P40" s="6"/>
      <c r="Q40" s="6"/>
    </row>
    <row r="41" spans="2:17" ht="15.5" x14ac:dyDescent="0.35">
      <c r="B41" s="5" t="s">
        <v>108</v>
      </c>
      <c r="C41" s="6" t="s">
        <v>25</v>
      </c>
      <c r="D41" s="7">
        <v>44007</v>
      </c>
      <c r="E41" s="6" t="s">
        <v>41</v>
      </c>
      <c r="F41" s="6" t="s">
        <v>17</v>
      </c>
      <c r="G41" s="8" t="s">
        <v>98</v>
      </c>
      <c r="H41" s="6" t="s">
        <v>98</v>
      </c>
      <c r="I41" s="6"/>
      <c r="J41" s="6" t="s">
        <v>20</v>
      </c>
      <c r="K41" s="6" t="s">
        <v>109</v>
      </c>
      <c r="L41" s="6" t="s">
        <v>110</v>
      </c>
      <c r="M41" s="6" t="s">
        <v>111</v>
      </c>
      <c r="N41" s="6"/>
      <c r="O41" s="6"/>
      <c r="P41" s="6"/>
      <c r="Q41" s="6"/>
    </row>
    <row r="42" spans="2:17" ht="15.5" x14ac:dyDescent="0.35">
      <c r="B42" s="5" t="s">
        <v>112</v>
      </c>
      <c r="C42" s="6" t="s">
        <v>25</v>
      </c>
      <c r="D42" s="7">
        <v>43306</v>
      </c>
      <c r="E42" s="6" t="s">
        <v>41</v>
      </c>
      <c r="F42" s="6" t="s">
        <v>17</v>
      </c>
      <c r="G42" s="8" t="s">
        <v>98</v>
      </c>
      <c r="H42" s="6" t="s">
        <v>98</v>
      </c>
      <c r="I42" s="6"/>
      <c r="J42" s="6" t="s">
        <v>20</v>
      </c>
      <c r="K42" s="6" t="s">
        <v>113</v>
      </c>
      <c r="L42" s="6" t="s">
        <v>114</v>
      </c>
      <c r="M42" s="6" t="s">
        <v>46</v>
      </c>
      <c r="N42" s="6"/>
      <c r="O42" s="6"/>
      <c r="P42" s="6"/>
      <c r="Q42" s="6"/>
    </row>
    <row r="43" spans="2:17" ht="15.5" x14ac:dyDescent="0.35">
      <c r="B43" s="5" t="s">
        <v>115</v>
      </c>
      <c r="C43" s="6" t="s">
        <v>25</v>
      </c>
      <c r="D43" s="7">
        <v>43530</v>
      </c>
      <c r="E43" s="6" t="s">
        <v>41</v>
      </c>
      <c r="F43" s="6" t="s">
        <v>17</v>
      </c>
      <c r="G43" s="8" t="s">
        <v>98</v>
      </c>
      <c r="H43" s="6" t="s">
        <v>98</v>
      </c>
      <c r="I43" s="6"/>
      <c r="J43" s="6" t="s">
        <v>20</v>
      </c>
      <c r="K43" s="6" t="s">
        <v>116</v>
      </c>
      <c r="L43" s="6" t="s">
        <v>117</v>
      </c>
      <c r="M43" s="6" t="s">
        <v>118</v>
      </c>
      <c r="N43" s="6"/>
      <c r="O43" s="6"/>
      <c r="P43" s="6"/>
      <c r="Q43" s="6"/>
    </row>
    <row r="44" spans="2:17" ht="15.5" x14ac:dyDescent="0.35">
      <c r="B44" s="5" t="s">
        <v>119</v>
      </c>
      <c r="C44" s="6" t="s">
        <v>15</v>
      </c>
      <c r="D44" s="7">
        <v>43262</v>
      </c>
      <c r="E44" s="6" t="s">
        <v>41</v>
      </c>
      <c r="F44" s="6" t="s">
        <v>17</v>
      </c>
      <c r="G44" s="8" t="s">
        <v>98</v>
      </c>
      <c r="H44" s="6" t="s">
        <v>98</v>
      </c>
      <c r="I44" s="6"/>
      <c r="J44" s="6" t="s">
        <v>20</v>
      </c>
      <c r="K44" s="6" t="s">
        <v>120</v>
      </c>
      <c r="L44" s="6" t="s">
        <v>121</v>
      </c>
      <c r="M44" s="6" t="s">
        <v>101</v>
      </c>
      <c r="N44" s="6"/>
      <c r="O44" s="6"/>
      <c r="P44" s="6"/>
      <c r="Q44" s="6"/>
    </row>
    <row r="45" spans="2:17" ht="15.5" x14ac:dyDescent="0.35">
      <c r="B45" s="5" t="s">
        <v>122</v>
      </c>
      <c r="C45" s="6" t="s">
        <v>25</v>
      </c>
      <c r="D45" s="7">
        <v>43437</v>
      </c>
      <c r="E45" s="6" t="s">
        <v>41</v>
      </c>
      <c r="F45" s="6" t="s">
        <v>17</v>
      </c>
      <c r="G45" s="8" t="s">
        <v>98</v>
      </c>
      <c r="H45" s="6" t="s">
        <v>98</v>
      </c>
      <c r="I45" s="6"/>
      <c r="J45" s="6" t="s">
        <v>20</v>
      </c>
      <c r="K45" s="6" t="s">
        <v>123</v>
      </c>
      <c r="L45" s="6" t="s">
        <v>124</v>
      </c>
      <c r="M45" s="6" t="s">
        <v>125</v>
      </c>
      <c r="N45" s="6"/>
      <c r="O45" s="6"/>
      <c r="P45" s="6"/>
      <c r="Q45" s="6"/>
    </row>
    <row r="46" spans="2:17" ht="15.5" x14ac:dyDescent="0.35">
      <c r="B46" s="5" t="s">
        <v>126</v>
      </c>
      <c r="C46" s="6" t="s">
        <v>25</v>
      </c>
      <c r="D46" s="7">
        <v>43370</v>
      </c>
      <c r="E46" s="6" t="s">
        <v>41</v>
      </c>
      <c r="F46" s="6" t="s">
        <v>17</v>
      </c>
      <c r="G46" s="8" t="s">
        <v>98</v>
      </c>
      <c r="H46" s="6" t="s">
        <v>98</v>
      </c>
      <c r="I46" s="6"/>
      <c r="J46" s="6" t="s">
        <v>20</v>
      </c>
      <c r="K46" s="6" t="s">
        <v>127</v>
      </c>
      <c r="L46" s="6" t="s">
        <v>128</v>
      </c>
      <c r="M46" s="6" t="s">
        <v>111</v>
      </c>
      <c r="N46" s="6"/>
      <c r="O46" s="6"/>
      <c r="P46" s="6"/>
      <c r="Q46" s="6"/>
    </row>
    <row r="47" spans="2:17" ht="15.5" x14ac:dyDescent="0.35">
      <c r="B47" s="5" t="s">
        <v>129</v>
      </c>
      <c r="C47" s="6" t="s">
        <v>15</v>
      </c>
      <c r="D47" s="7">
        <v>43697</v>
      </c>
      <c r="E47" s="6" t="s">
        <v>41</v>
      </c>
      <c r="F47" s="6" t="s">
        <v>17</v>
      </c>
      <c r="G47" s="8" t="s">
        <v>98</v>
      </c>
      <c r="H47" s="6" t="s">
        <v>98</v>
      </c>
      <c r="I47" s="6"/>
      <c r="J47" s="6" t="s">
        <v>20</v>
      </c>
      <c r="K47" s="6" t="s">
        <v>130</v>
      </c>
      <c r="L47" s="6" t="s">
        <v>131</v>
      </c>
      <c r="M47" s="6" t="s">
        <v>23</v>
      </c>
      <c r="N47" s="6"/>
      <c r="O47" s="6"/>
      <c r="P47" s="6"/>
      <c r="Q47" s="6"/>
    </row>
    <row r="48" spans="2:17" ht="15.5" x14ac:dyDescent="0.35">
      <c r="B48" s="5" t="s">
        <v>132</v>
      </c>
      <c r="C48" s="6" t="s">
        <v>15</v>
      </c>
      <c r="D48" s="7">
        <v>44168</v>
      </c>
      <c r="E48" s="6" t="s">
        <v>41</v>
      </c>
      <c r="F48" s="6" t="s">
        <v>17</v>
      </c>
      <c r="G48" s="8" t="s">
        <v>98</v>
      </c>
      <c r="H48" s="6" t="s">
        <v>98</v>
      </c>
      <c r="I48" s="6"/>
      <c r="J48" s="6" t="s">
        <v>20</v>
      </c>
      <c r="K48" s="6" t="s">
        <v>133</v>
      </c>
      <c r="L48" s="6" t="s">
        <v>134</v>
      </c>
      <c r="M48" s="6" t="s">
        <v>46</v>
      </c>
      <c r="N48" s="6"/>
      <c r="O48" s="6"/>
      <c r="P48" s="6"/>
      <c r="Q48" s="6"/>
    </row>
    <row r="49" spans="2:17" ht="15.5" x14ac:dyDescent="0.35">
      <c r="B49" s="5" t="s">
        <v>135</v>
      </c>
      <c r="C49" s="6" t="s">
        <v>15</v>
      </c>
      <c r="D49" s="7">
        <v>43954</v>
      </c>
      <c r="E49" s="6" t="s">
        <v>41</v>
      </c>
      <c r="F49" s="6" t="s">
        <v>17</v>
      </c>
      <c r="G49" s="8" t="s">
        <v>98</v>
      </c>
      <c r="H49" s="6" t="s">
        <v>98</v>
      </c>
      <c r="I49" s="6"/>
      <c r="J49" s="6" t="s">
        <v>20</v>
      </c>
      <c r="K49" s="6" t="s">
        <v>136</v>
      </c>
      <c r="L49" s="6" t="s">
        <v>137</v>
      </c>
      <c r="M49" s="6" t="s">
        <v>46</v>
      </c>
      <c r="N49" s="6"/>
      <c r="O49" s="6"/>
      <c r="P49" s="6"/>
      <c r="Q49" s="6"/>
    </row>
    <row r="50" spans="2:17" ht="15.5" x14ac:dyDescent="0.35">
      <c r="B50" s="5" t="s">
        <v>138</v>
      </c>
      <c r="C50" s="6" t="s">
        <v>25</v>
      </c>
      <c r="D50" s="7">
        <v>44059</v>
      </c>
      <c r="E50" s="6" t="s">
        <v>41</v>
      </c>
      <c r="F50" s="6" t="s">
        <v>17</v>
      </c>
      <c r="G50" s="8" t="s">
        <v>98</v>
      </c>
      <c r="H50" s="6" t="s">
        <v>98</v>
      </c>
      <c r="I50" s="6"/>
      <c r="J50" s="6" t="s">
        <v>20</v>
      </c>
      <c r="K50" s="6" t="s">
        <v>139</v>
      </c>
      <c r="L50" s="6" t="s">
        <v>140</v>
      </c>
      <c r="M50" s="6" t="s">
        <v>101</v>
      </c>
      <c r="N50" s="6"/>
      <c r="O50" s="6"/>
      <c r="P50" s="6"/>
      <c r="Q50" s="6"/>
    </row>
    <row r="51" spans="2:17" ht="15.5" x14ac:dyDescent="0.35">
      <c r="B51" s="5" t="s">
        <v>141</v>
      </c>
      <c r="C51" s="6" t="s">
        <v>25</v>
      </c>
      <c r="D51" s="7">
        <v>43352</v>
      </c>
      <c r="E51" s="6" t="s">
        <v>41</v>
      </c>
      <c r="F51" s="6" t="s">
        <v>17</v>
      </c>
      <c r="G51" s="8" t="s">
        <v>98</v>
      </c>
      <c r="H51" s="6" t="s">
        <v>98</v>
      </c>
      <c r="I51" s="6"/>
      <c r="J51" s="6" t="s">
        <v>20</v>
      </c>
      <c r="K51" s="6" t="s">
        <v>142</v>
      </c>
      <c r="L51" s="6" t="s">
        <v>143</v>
      </c>
      <c r="M51" s="6" t="s">
        <v>144</v>
      </c>
      <c r="N51" s="6"/>
      <c r="O51" s="6"/>
      <c r="P51" s="6"/>
      <c r="Q51" s="6"/>
    </row>
    <row r="52" spans="2:17" ht="15.5" x14ac:dyDescent="0.35">
      <c r="B52" s="5" t="s">
        <v>145</v>
      </c>
      <c r="C52" s="6" t="s">
        <v>15</v>
      </c>
      <c r="D52" s="7">
        <v>42592</v>
      </c>
      <c r="E52" s="6" t="s">
        <v>16</v>
      </c>
      <c r="F52" s="6" t="s">
        <v>17</v>
      </c>
      <c r="G52" s="8" t="s">
        <v>98</v>
      </c>
      <c r="H52" s="6" t="s">
        <v>98</v>
      </c>
      <c r="I52" s="6"/>
      <c r="J52" s="6" t="s">
        <v>20</v>
      </c>
      <c r="K52" s="6" t="s">
        <v>146</v>
      </c>
      <c r="L52" s="6" t="s">
        <v>147</v>
      </c>
      <c r="M52" s="6" t="s">
        <v>148</v>
      </c>
      <c r="N52" s="6"/>
      <c r="O52" s="6"/>
      <c r="P52" s="6"/>
      <c r="Q52" s="6"/>
    </row>
    <row r="53" spans="2:17" ht="15.5" x14ac:dyDescent="0.35">
      <c r="B53" s="5" t="s">
        <v>149</v>
      </c>
      <c r="C53" s="6" t="s">
        <v>15</v>
      </c>
      <c r="D53" s="7">
        <v>42304</v>
      </c>
      <c r="E53" s="6" t="s">
        <v>16</v>
      </c>
      <c r="F53" s="6" t="s">
        <v>17</v>
      </c>
      <c r="G53" s="8" t="s">
        <v>98</v>
      </c>
      <c r="H53" s="6" t="s">
        <v>98</v>
      </c>
      <c r="I53" s="6"/>
      <c r="J53" s="6" t="s">
        <v>20</v>
      </c>
      <c r="K53" s="6" t="s">
        <v>150</v>
      </c>
      <c r="L53" s="6" t="s">
        <v>151</v>
      </c>
      <c r="M53" s="6" t="s">
        <v>37</v>
      </c>
      <c r="N53" s="6"/>
      <c r="O53" s="6"/>
      <c r="P53" s="6"/>
      <c r="Q53" s="6"/>
    </row>
    <row r="54" spans="2:17" ht="15.5" x14ac:dyDescent="0.35">
      <c r="B54" s="5" t="s">
        <v>152</v>
      </c>
      <c r="C54" s="6" t="s">
        <v>25</v>
      </c>
      <c r="D54" s="7">
        <v>43000</v>
      </c>
      <c r="E54" s="6" t="s">
        <v>16</v>
      </c>
      <c r="F54" s="6" t="s">
        <v>17</v>
      </c>
      <c r="G54" s="8" t="s">
        <v>98</v>
      </c>
      <c r="H54" s="6" t="s">
        <v>98</v>
      </c>
      <c r="I54" s="6"/>
      <c r="J54" s="6" t="s">
        <v>20</v>
      </c>
      <c r="K54" s="6" t="s">
        <v>153</v>
      </c>
      <c r="L54" s="6" t="s">
        <v>154</v>
      </c>
      <c r="M54" s="6" t="s">
        <v>23</v>
      </c>
      <c r="N54" s="6"/>
      <c r="O54" s="6"/>
      <c r="P54" s="6"/>
      <c r="Q54" s="6"/>
    </row>
    <row r="55" spans="2:17" ht="15.5" x14ac:dyDescent="0.35">
      <c r="B55" s="5" t="s">
        <v>155</v>
      </c>
      <c r="C55" s="6" t="s">
        <v>15</v>
      </c>
      <c r="D55" s="7">
        <v>40060</v>
      </c>
      <c r="E55" s="6" t="s">
        <v>156</v>
      </c>
      <c r="F55" s="6" t="s">
        <v>157</v>
      </c>
      <c r="G55" s="8" t="s">
        <v>98</v>
      </c>
      <c r="H55" s="6" t="s">
        <v>98</v>
      </c>
      <c r="I55" s="6"/>
      <c r="J55" s="6" t="s">
        <v>20</v>
      </c>
      <c r="K55" s="6"/>
      <c r="L55" s="6"/>
      <c r="M55" s="6" t="s">
        <v>158</v>
      </c>
      <c r="N55" s="6"/>
      <c r="O55" s="6"/>
      <c r="P55" s="6"/>
      <c r="Q55" s="6"/>
    </row>
    <row r="56" spans="2:17" ht="15.5" x14ac:dyDescent="0.35">
      <c r="B56" s="5" t="s">
        <v>159</v>
      </c>
      <c r="C56" s="6" t="s">
        <v>15</v>
      </c>
      <c r="D56" s="7">
        <v>40477</v>
      </c>
      <c r="E56" s="6" t="s">
        <v>156</v>
      </c>
      <c r="F56" s="6" t="s">
        <v>157</v>
      </c>
      <c r="G56" s="8" t="s">
        <v>98</v>
      </c>
      <c r="H56" s="6" t="s">
        <v>98</v>
      </c>
      <c r="I56" s="6"/>
      <c r="J56" s="6" t="s">
        <v>20</v>
      </c>
      <c r="K56" s="6" t="s">
        <v>160</v>
      </c>
      <c r="L56" s="6" t="s">
        <v>161</v>
      </c>
      <c r="M56" s="6" t="s">
        <v>29</v>
      </c>
      <c r="N56" s="6"/>
      <c r="O56" s="6"/>
      <c r="P56" s="6"/>
      <c r="Q56" s="6"/>
    </row>
    <row r="57" spans="2:17" ht="15.5" x14ac:dyDescent="0.35">
      <c r="B57" s="5" t="s">
        <v>162</v>
      </c>
      <c r="C57" s="6" t="s">
        <v>25</v>
      </c>
      <c r="D57" s="7">
        <v>39891</v>
      </c>
      <c r="E57" s="6" t="s">
        <v>156</v>
      </c>
      <c r="F57" s="6" t="s">
        <v>157</v>
      </c>
      <c r="G57" s="8" t="s">
        <v>98</v>
      </c>
      <c r="H57" s="6" t="s">
        <v>98</v>
      </c>
      <c r="I57" s="6"/>
      <c r="J57" s="6" t="s">
        <v>20</v>
      </c>
      <c r="K57" s="6" t="s">
        <v>163</v>
      </c>
      <c r="L57" s="6" t="s">
        <v>164</v>
      </c>
      <c r="M57" s="6" t="s">
        <v>165</v>
      </c>
      <c r="N57" s="6"/>
      <c r="O57" s="6"/>
      <c r="P57" s="6"/>
      <c r="Q57" s="6"/>
    </row>
    <row r="58" spans="2:17" ht="15.5" x14ac:dyDescent="0.35">
      <c r="B58" s="5" t="s">
        <v>166</v>
      </c>
      <c r="C58" s="6" t="s">
        <v>15</v>
      </c>
      <c r="D58" s="7">
        <v>40249</v>
      </c>
      <c r="E58" s="6" t="s">
        <v>156</v>
      </c>
      <c r="F58" s="6" t="s">
        <v>157</v>
      </c>
      <c r="G58" s="8" t="s">
        <v>98</v>
      </c>
      <c r="H58" s="6" t="s">
        <v>98</v>
      </c>
      <c r="I58" s="6"/>
      <c r="J58" s="6" t="s">
        <v>20</v>
      </c>
      <c r="K58" s="6" t="s">
        <v>167</v>
      </c>
      <c r="L58" s="6" t="s">
        <v>168</v>
      </c>
      <c r="M58" s="6" t="s">
        <v>169</v>
      </c>
      <c r="N58" s="6"/>
      <c r="O58" s="6"/>
      <c r="P58" s="6"/>
      <c r="Q58" s="6"/>
    </row>
    <row r="59" spans="2:17" ht="15.5" x14ac:dyDescent="0.35">
      <c r="B59" s="5" t="s">
        <v>170</v>
      </c>
      <c r="C59" s="6" t="s">
        <v>15</v>
      </c>
      <c r="D59" s="7">
        <v>40007</v>
      </c>
      <c r="E59" s="6" t="s">
        <v>156</v>
      </c>
      <c r="F59" s="6" t="s">
        <v>157</v>
      </c>
      <c r="G59" s="8" t="s">
        <v>98</v>
      </c>
      <c r="H59" s="6" t="s">
        <v>98</v>
      </c>
      <c r="I59" s="6"/>
      <c r="J59" s="6" t="s">
        <v>20</v>
      </c>
      <c r="K59" s="6" t="s">
        <v>171</v>
      </c>
      <c r="L59" s="6" t="s">
        <v>172</v>
      </c>
      <c r="M59" s="6" t="s">
        <v>173</v>
      </c>
      <c r="N59" s="6"/>
      <c r="O59" s="6"/>
      <c r="P59" s="6"/>
      <c r="Q59" s="6"/>
    </row>
    <row r="60" spans="2:17" ht="15.5" x14ac:dyDescent="0.35">
      <c r="B60" s="5" t="s">
        <v>174</v>
      </c>
      <c r="C60" s="6" t="s">
        <v>25</v>
      </c>
      <c r="D60" s="7">
        <v>39966</v>
      </c>
      <c r="E60" s="6" t="s">
        <v>156</v>
      </c>
      <c r="F60" s="6" t="s">
        <v>157</v>
      </c>
      <c r="G60" s="8" t="s">
        <v>98</v>
      </c>
      <c r="H60" s="6" t="s">
        <v>98</v>
      </c>
      <c r="I60" s="6"/>
      <c r="J60" s="6" t="s">
        <v>20</v>
      </c>
      <c r="K60" s="6" t="s">
        <v>175</v>
      </c>
      <c r="L60" s="6" t="s">
        <v>176</v>
      </c>
      <c r="M60" s="6" t="s">
        <v>177</v>
      </c>
      <c r="N60" s="6"/>
      <c r="O60" s="6"/>
      <c r="P60" s="6"/>
      <c r="Q60" s="6"/>
    </row>
    <row r="61" spans="2:17" ht="15.5" x14ac:dyDescent="0.35">
      <c r="B61" s="5" t="s">
        <v>178</v>
      </c>
      <c r="C61" s="6" t="s">
        <v>15</v>
      </c>
      <c r="D61" s="7">
        <v>40407</v>
      </c>
      <c r="E61" s="6" t="s">
        <v>156</v>
      </c>
      <c r="F61" s="6" t="s">
        <v>157</v>
      </c>
      <c r="G61" s="8" t="s">
        <v>98</v>
      </c>
      <c r="H61" s="6" t="s">
        <v>98</v>
      </c>
      <c r="I61" s="6"/>
      <c r="J61" s="6" t="s">
        <v>20</v>
      </c>
      <c r="K61" s="6" t="s">
        <v>179</v>
      </c>
      <c r="L61" s="6" t="s">
        <v>180</v>
      </c>
      <c r="M61" s="6" t="s">
        <v>181</v>
      </c>
      <c r="N61" s="6"/>
      <c r="O61" s="6"/>
      <c r="P61" s="6"/>
      <c r="Q61" s="6"/>
    </row>
    <row r="62" spans="2:17" ht="15.5" x14ac:dyDescent="0.35">
      <c r="B62" s="5" t="s">
        <v>182</v>
      </c>
      <c r="C62" s="6" t="s">
        <v>25</v>
      </c>
      <c r="D62" s="7">
        <v>40257</v>
      </c>
      <c r="E62" s="6" t="s">
        <v>156</v>
      </c>
      <c r="F62" s="6" t="s">
        <v>157</v>
      </c>
      <c r="G62" s="8" t="s">
        <v>98</v>
      </c>
      <c r="H62" s="6" t="s">
        <v>98</v>
      </c>
      <c r="I62" s="6"/>
      <c r="J62" s="6" t="s">
        <v>20</v>
      </c>
      <c r="K62" s="6" t="s">
        <v>183</v>
      </c>
      <c r="L62" s="6" t="s">
        <v>184</v>
      </c>
      <c r="M62" s="6" t="s">
        <v>185</v>
      </c>
      <c r="N62" s="6"/>
      <c r="O62" s="6"/>
      <c r="P62" s="6"/>
      <c r="Q62" s="6"/>
    </row>
    <row r="63" spans="2:17" ht="15.5" x14ac:dyDescent="0.35">
      <c r="B63" s="5" t="s">
        <v>186</v>
      </c>
      <c r="C63" s="6" t="s">
        <v>25</v>
      </c>
      <c r="D63" s="7">
        <v>40120</v>
      </c>
      <c r="E63" s="6" t="s">
        <v>156</v>
      </c>
      <c r="F63" s="6" t="s">
        <v>157</v>
      </c>
      <c r="G63" s="8" t="s">
        <v>98</v>
      </c>
      <c r="H63" s="6" t="s">
        <v>98</v>
      </c>
      <c r="I63" s="6"/>
      <c r="J63" s="6" t="s">
        <v>20</v>
      </c>
      <c r="K63" s="6" t="s">
        <v>187</v>
      </c>
      <c r="L63" s="6" t="s">
        <v>188</v>
      </c>
      <c r="M63" s="6" t="s">
        <v>189</v>
      </c>
      <c r="N63" s="6"/>
      <c r="O63" s="6"/>
      <c r="P63" s="6"/>
      <c r="Q63" s="6"/>
    </row>
    <row r="64" spans="2:17" ht="15.5" x14ac:dyDescent="0.35">
      <c r="B64" s="5" t="s">
        <v>190</v>
      </c>
      <c r="C64" s="6" t="s">
        <v>25</v>
      </c>
      <c r="D64" s="7">
        <v>39970</v>
      </c>
      <c r="E64" s="6" t="s">
        <v>156</v>
      </c>
      <c r="F64" s="6" t="s">
        <v>157</v>
      </c>
      <c r="G64" s="8" t="s">
        <v>98</v>
      </c>
      <c r="H64" s="6" t="s">
        <v>98</v>
      </c>
      <c r="I64" s="6"/>
      <c r="J64" s="6" t="s">
        <v>20</v>
      </c>
      <c r="K64" s="6" t="s">
        <v>191</v>
      </c>
      <c r="L64" s="6" t="s">
        <v>192</v>
      </c>
      <c r="M64" s="6" t="s">
        <v>193</v>
      </c>
      <c r="N64" s="6"/>
      <c r="O64" s="6"/>
      <c r="P64" s="6"/>
      <c r="Q64" s="6"/>
    </row>
    <row r="65" spans="2:17" ht="15.5" x14ac:dyDescent="0.35">
      <c r="B65" s="5" t="s">
        <v>194</v>
      </c>
      <c r="C65" s="6" t="s">
        <v>15</v>
      </c>
      <c r="D65" s="7">
        <v>40327</v>
      </c>
      <c r="E65" s="6" t="s">
        <v>156</v>
      </c>
      <c r="F65" s="6" t="s">
        <v>157</v>
      </c>
      <c r="G65" s="8" t="s">
        <v>98</v>
      </c>
      <c r="H65" s="6" t="s">
        <v>98</v>
      </c>
      <c r="I65" s="6"/>
      <c r="J65" s="6" t="s">
        <v>20</v>
      </c>
      <c r="K65" s="6" t="s">
        <v>195</v>
      </c>
      <c r="L65" s="6" t="s">
        <v>196</v>
      </c>
      <c r="M65" s="6" t="s">
        <v>197</v>
      </c>
      <c r="N65" s="6"/>
      <c r="O65" s="6"/>
      <c r="P65" s="6"/>
      <c r="Q65" s="6"/>
    </row>
    <row r="66" spans="2:17" ht="15.5" x14ac:dyDescent="0.35">
      <c r="B66" s="5" t="s">
        <v>198</v>
      </c>
      <c r="C66" s="6" t="s">
        <v>25</v>
      </c>
      <c r="D66" s="7">
        <v>40512</v>
      </c>
      <c r="E66" s="6" t="s">
        <v>156</v>
      </c>
      <c r="F66" s="6" t="s">
        <v>157</v>
      </c>
      <c r="G66" s="8" t="s">
        <v>98</v>
      </c>
      <c r="H66" s="6" t="s">
        <v>98</v>
      </c>
      <c r="I66" s="6"/>
      <c r="J66" s="6"/>
      <c r="K66" s="6" t="s">
        <v>199</v>
      </c>
      <c r="L66" s="6" t="s">
        <v>200</v>
      </c>
      <c r="M66" s="6" t="s">
        <v>201</v>
      </c>
      <c r="N66" s="6"/>
      <c r="O66" s="6"/>
      <c r="P66" s="6"/>
      <c r="Q66" s="6"/>
    </row>
    <row r="67" spans="2:17" ht="15.5" x14ac:dyDescent="0.35">
      <c r="B67" s="5" t="s">
        <v>202</v>
      </c>
      <c r="C67" s="6" t="s">
        <v>25</v>
      </c>
      <c r="D67" s="7">
        <v>40269</v>
      </c>
      <c r="E67" s="6" t="s">
        <v>156</v>
      </c>
      <c r="F67" s="6" t="s">
        <v>157</v>
      </c>
      <c r="G67" s="8" t="s">
        <v>98</v>
      </c>
      <c r="H67" s="6" t="s">
        <v>98</v>
      </c>
      <c r="I67" s="6"/>
      <c r="J67" s="6" t="s">
        <v>20</v>
      </c>
      <c r="K67" s="6"/>
      <c r="L67" s="6" t="s">
        <v>203</v>
      </c>
      <c r="M67" s="6" t="s">
        <v>101</v>
      </c>
      <c r="N67" s="6"/>
      <c r="O67" s="6"/>
      <c r="P67" s="6"/>
      <c r="Q67" s="6"/>
    </row>
    <row r="68" spans="2:17" ht="15.5" x14ac:dyDescent="0.35">
      <c r="B68" s="5" t="s">
        <v>204</v>
      </c>
      <c r="C68" s="6" t="s">
        <v>25</v>
      </c>
      <c r="D68" s="7">
        <v>40537</v>
      </c>
      <c r="E68" s="6" t="s">
        <v>156</v>
      </c>
      <c r="F68" s="6" t="s">
        <v>157</v>
      </c>
      <c r="G68" s="8" t="s">
        <v>98</v>
      </c>
      <c r="H68" s="6" t="s">
        <v>98</v>
      </c>
      <c r="I68" s="6"/>
      <c r="J68" s="6" t="s">
        <v>20</v>
      </c>
      <c r="K68" s="6" t="s">
        <v>205</v>
      </c>
      <c r="L68" s="6" t="s">
        <v>206</v>
      </c>
      <c r="M68" s="6" t="s">
        <v>207</v>
      </c>
      <c r="N68" s="6"/>
      <c r="O68" s="6"/>
      <c r="P68" s="6"/>
      <c r="Q68" s="6"/>
    </row>
    <row r="69" spans="2:17" ht="15.5" x14ac:dyDescent="0.35">
      <c r="B69" s="5" t="s">
        <v>208</v>
      </c>
      <c r="C69" s="6" t="s">
        <v>15</v>
      </c>
      <c r="D69" s="7">
        <v>40537</v>
      </c>
      <c r="E69" s="6" t="s">
        <v>156</v>
      </c>
      <c r="F69" s="6" t="s">
        <v>157</v>
      </c>
      <c r="G69" s="8" t="s">
        <v>98</v>
      </c>
      <c r="H69" s="6" t="s">
        <v>98</v>
      </c>
      <c r="I69" s="6"/>
      <c r="J69" s="6" t="s">
        <v>20</v>
      </c>
      <c r="K69" s="6" t="s">
        <v>205</v>
      </c>
      <c r="L69" s="6" t="s">
        <v>209</v>
      </c>
      <c r="M69" s="6" t="s">
        <v>207</v>
      </c>
      <c r="N69" s="6"/>
      <c r="O69" s="6"/>
      <c r="P69" s="6"/>
      <c r="Q69" s="6"/>
    </row>
    <row r="70" spans="2:17" ht="15.5" x14ac:dyDescent="0.35">
      <c r="B70" s="5" t="s">
        <v>210</v>
      </c>
      <c r="C70" s="6" t="s">
        <v>15</v>
      </c>
      <c r="D70" s="7">
        <v>40055</v>
      </c>
      <c r="E70" s="6" t="s">
        <v>156</v>
      </c>
      <c r="F70" s="6" t="s">
        <v>157</v>
      </c>
      <c r="G70" s="8" t="s">
        <v>98</v>
      </c>
      <c r="H70" s="6" t="s">
        <v>98</v>
      </c>
      <c r="I70" s="6"/>
      <c r="J70" s="6" t="s">
        <v>20</v>
      </c>
      <c r="K70" s="6" t="s">
        <v>211</v>
      </c>
      <c r="L70" s="6" t="s">
        <v>212</v>
      </c>
      <c r="M70" s="6" t="s">
        <v>213</v>
      </c>
      <c r="N70" s="6"/>
      <c r="O70" s="6"/>
      <c r="P70" s="6"/>
      <c r="Q70" s="6"/>
    </row>
    <row r="71" spans="2:17" ht="15.5" x14ac:dyDescent="0.35">
      <c r="B71" s="5" t="s">
        <v>214</v>
      </c>
      <c r="C71" s="6" t="s">
        <v>25</v>
      </c>
      <c r="D71" s="7">
        <v>39823</v>
      </c>
      <c r="E71" s="6" t="s">
        <v>156</v>
      </c>
      <c r="F71" s="6" t="s">
        <v>157</v>
      </c>
      <c r="G71" s="8" t="s">
        <v>98</v>
      </c>
      <c r="H71" s="6" t="s">
        <v>98</v>
      </c>
      <c r="I71" s="6"/>
      <c r="J71" s="6" t="s">
        <v>20</v>
      </c>
      <c r="K71" s="6" t="s">
        <v>215</v>
      </c>
      <c r="L71" s="6" t="s">
        <v>216</v>
      </c>
      <c r="M71" s="6" t="s">
        <v>217</v>
      </c>
      <c r="N71" s="6"/>
      <c r="O71" s="6"/>
      <c r="P71" s="6"/>
      <c r="Q71" s="6"/>
    </row>
    <row r="72" spans="2:17" ht="15.5" x14ac:dyDescent="0.35">
      <c r="B72" s="5" t="s">
        <v>218</v>
      </c>
      <c r="C72" s="6" t="s">
        <v>15</v>
      </c>
      <c r="D72" s="7">
        <v>39927</v>
      </c>
      <c r="E72" s="6" t="s">
        <v>156</v>
      </c>
      <c r="F72" s="6" t="s">
        <v>157</v>
      </c>
      <c r="G72" s="8" t="s">
        <v>98</v>
      </c>
      <c r="H72" s="6" t="s">
        <v>98</v>
      </c>
      <c r="I72" s="6"/>
      <c r="J72" s="6" t="s">
        <v>20</v>
      </c>
      <c r="K72" s="6" t="s">
        <v>219</v>
      </c>
      <c r="L72" s="6" t="s">
        <v>220</v>
      </c>
      <c r="M72" s="6" t="s">
        <v>221</v>
      </c>
      <c r="N72" s="6"/>
      <c r="O72" s="6"/>
      <c r="P72" s="6"/>
      <c r="Q72" s="6"/>
    </row>
    <row r="73" spans="2:17" ht="15.5" x14ac:dyDescent="0.35">
      <c r="B73" s="5" t="s">
        <v>222</v>
      </c>
      <c r="C73" s="6" t="s">
        <v>15</v>
      </c>
      <c r="D73" s="7">
        <v>40540</v>
      </c>
      <c r="E73" s="6" t="s">
        <v>156</v>
      </c>
      <c r="F73" s="6" t="s">
        <v>157</v>
      </c>
      <c r="G73" s="8" t="s">
        <v>98</v>
      </c>
      <c r="H73" s="6" t="s">
        <v>98</v>
      </c>
      <c r="I73" s="6"/>
      <c r="J73" s="6" t="s">
        <v>20</v>
      </c>
      <c r="K73" s="6" t="s">
        <v>223</v>
      </c>
      <c r="L73" s="6" t="s">
        <v>224</v>
      </c>
      <c r="M73" s="6" t="s">
        <v>225</v>
      </c>
      <c r="N73" s="6"/>
      <c r="O73" s="6"/>
      <c r="P73" s="6"/>
      <c r="Q73" s="6"/>
    </row>
    <row r="74" spans="2:17" ht="15.5" x14ac:dyDescent="0.35">
      <c r="B74" s="5" t="s">
        <v>226</v>
      </c>
      <c r="C74" s="6" t="s">
        <v>25</v>
      </c>
      <c r="D74" s="7">
        <v>39980</v>
      </c>
      <c r="E74" s="6" t="s">
        <v>156</v>
      </c>
      <c r="F74" s="6" t="s">
        <v>157</v>
      </c>
      <c r="G74" s="8" t="s">
        <v>98</v>
      </c>
      <c r="H74" s="6" t="s">
        <v>98</v>
      </c>
      <c r="I74" s="6"/>
      <c r="J74" s="6" t="s">
        <v>20</v>
      </c>
      <c r="K74" s="6"/>
      <c r="L74" s="6" t="s">
        <v>227</v>
      </c>
      <c r="M74" s="6" t="s">
        <v>181</v>
      </c>
      <c r="N74" s="6"/>
      <c r="O74" s="6"/>
      <c r="P74" s="6"/>
      <c r="Q74" s="6"/>
    </row>
    <row r="75" spans="2:17" ht="15.5" x14ac:dyDescent="0.35">
      <c r="B75" s="5" t="s">
        <v>228</v>
      </c>
      <c r="C75" s="6" t="s">
        <v>15</v>
      </c>
      <c r="D75" s="7">
        <v>40448</v>
      </c>
      <c r="E75" s="6" t="s">
        <v>156</v>
      </c>
      <c r="F75" s="6" t="s">
        <v>157</v>
      </c>
      <c r="G75" s="8" t="s">
        <v>98</v>
      </c>
      <c r="H75" s="6" t="s">
        <v>98</v>
      </c>
      <c r="I75" s="6"/>
      <c r="J75" s="6" t="s">
        <v>20</v>
      </c>
      <c r="K75" s="6" t="s">
        <v>229</v>
      </c>
      <c r="L75" s="6" t="s">
        <v>230</v>
      </c>
      <c r="M75" s="6" t="s">
        <v>231</v>
      </c>
      <c r="N75" s="6"/>
      <c r="O75" s="6"/>
      <c r="P75" s="6"/>
      <c r="Q75" s="6"/>
    </row>
    <row r="76" spans="2:17" ht="15.5" x14ac:dyDescent="0.35">
      <c r="B76" s="5" t="s">
        <v>232</v>
      </c>
      <c r="C76" s="6" t="s">
        <v>25</v>
      </c>
      <c r="D76" s="7">
        <v>39936</v>
      </c>
      <c r="E76" s="6" t="s">
        <v>156</v>
      </c>
      <c r="F76" s="6" t="s">
        <v>157</v>
      </c>
      <c r="G76" s="8" t="s">
        <v>98</v>
      </c>
      <c r="H76" s="6" t="s">
        <v>98</v>
      </c>
      <c r="I76" s="6"/>
      <c r="J76" s="6" t="s">
        <v>20</v>
      </c>
      <c r="K76" s="6" t="s">
        <v>233</v>
      </c>
      <c r="L76" s="6" t="s">
        <v>234</v>
      </c>
      <c r="M76" s="6" t="s">
        <v>235</v>
      </c>
      <c r="N76" s="6"/>
      <c r="O76" s="6"/>
      <c r="P76" s="6"/>
      <c r="Q76" s="6"/>
    </row>
    <row r="77" spans="2:17" ht="15.5" x14ac:dyDescent="0.35">
      <c r="B77" s="5" t="s">
        <v>236</v>
      </c>
      <c r="C77" s="6" t="s">
        <v>15</v>
      </c>
      <c r="D77" s="7">
        <v>40309</v>
      </c>
      <c r="E77" s="6" t="s">
        <v>156</v>
      </c>
      <c r="F77" s="6" t="s">
        <v>157</v>
      </c>
      <c r="G77" s="8" t="s">
        <v>98</v>
      </c>
      <c r="H77" s="6" t="s">
        <v>98</v>
      </c>
      <c r="I77" s="6"/>
      <c r="J77" s="6" t="s">
        <v>20</v>
      </c>
      <c r="K77" s="6" t="s">
        <v>237</v>
      </c>
      <c r="L77" s="6" t="s">
        <v>238</v>
      </c>
      <c r="M77" s="6" t="s">
        <v>197</v>
      </c>
      <c r="N77" s="6"/>
      <c r="O77" s="6"/>
      <c r="P77" s="6"/>
      <c r="Q77" s="6"/>
    </row>
    <row r="78" spans="2:17" ht="15.5" x14ac:dyDescent="0.35">
      <c r="B78" s="5" t="s">
        <v>239</v>
      </c>
      <c r="C78" s="6" t="s">
        <v>25</v>
      </c>
      <c r="D78" s="7">
        <v>40219</v>
      </c>
      <c r="E78" s="6" t="s">
        <v>156</v>
      </c>
      <c r="F78" s="6" t="s">
        <v>157</v>
      </c>
      <c r="G78" s="8" t="s">
        <v>98</v>
      </c>
      <c r="H78" s="6" t="s">
        <v>98</v>
      </c>
      <c r="I78" s="6"/>
      <c r="J78" s="6" t="s">
        <v>20</v>
      </c>
      <c r="K78" s="6" t="s">
        <v>240</v>
      </c>
      <c r="L78" s="6" t="s">
        <v>241</v>
      </c>
      <c r="M78" s="6" t="s">
        <v>242</v>
      </c>
      <c r="N78" s="6"/>
      <c r="O78" s="6"/>
      <c r="P78" s="6"/>
      <c r="Q78" s="6"/>
    </row>
    <row r="79" spans="2:17" ht="15.5" x14ac:dyDescent="0.35">
      <c r="B79" s="5" t="s">
        <v>243</v>
      </c>
      <c r="C79" s="6" t="s">
        <v>25</v>
      </c>
      <c r="D79" s="7">
        <v>40170</v>
      </c>
      <c r="E79" s="6" t="s">
        <v>156</v>
      </c>
      <c r="F79" s="6" t="s">
        <v>157</v>
      </c>
      <c r="G79" s="8" t="s">
        <v>98</v>
      </c>
      <c r="H79" s="6" t="s">
        <v>98</v>
      </c>
      <c r="I79" s="6"/>
      <c r="J79" s="6" t="s">
        <v>20</v>
      </c>
      <c r="K79" s="6"/>
      <c r="L79" s="6" t="s">
        <v>244</v>
      </c>
      <c r="M79" s="6" t="s">
        <v>207</v>
      </c>
      <c r="N79" s="6"/>
      <c r="O79" s="6"/>
      <c r="P79" s="6"/>
      <c r="Q79" s="6"/>
    </row>
    <row r="80" spans="2:17" ht="15.5" x14ac:dyDescent="0.35">
      <c r="B80" s="5" t="s">
        <v>245</v>
      </c>
      <c r="C80" s="6" t="s">
        <v>15</v>
      </c>
      <c r="D80" s="7">
        <v>40238</v>
      </c>
      <c r="E80" s="6" t="s">
        <v>156</v>
      </c>
      <c r="F80" s="6" t="s">
        <v>157</v>
      </c>
      <c r="G80" s="8" t="s">
        <v>98</v>
      </c>
      <c r="H80" s="6" t="s">
        <v>98</v>
      </c>
      <c r="I80" s="6"/>
      <c r="J80" s="6" t="s">
        <v>20</v>
      </c>
      <c r="K80" s="6" t="s">
        <v>246</v>
      </c>
      <c r="L80" s="6" t="s">
        <v>247</v>
      </c>
      <c r="M80" s="6" t="s">
        <v>248</v>
      </c>
      <c r="N80" s="6"/>
      <c r="O80" s="6"/>
      <c r="P80" s="6"/>
      <c r="Q80" s="6"/>
    </row>
    <row r="81" spans="2:17" ht="15.5" x14ac:dyDescent="0.35">
      <c r="B81" s="5" t="s">
        <v>249</v>
      </c>
      <c r="C81" s="6" t="s">
        <v>15</v>
      </c>
      <c r="D81" s="7">
        <v>40437</v>
      </c>
      <c r="E81" s="6" t="s">
        <v>156</v>
      </c>
      <c r="F81" s="6" t="s">
        <v>157</v>
      </c>
      <c r="G81" s="8" t="s">
        <v>98</v>
      </c>
      <c r="H81" s="6" t="s">
        <v>98</v>
      </c>
      <c r="I81" s="6"/>
      <c r="J81" s="6" t="s">
        <v>20</v>
      </c>
      <c r="K81" s="6" t="s">
        <v>250</v>
      </c>
      <c r="L81" s="6" t="s">
        <v>251</v>
      </c>
      <c r="M81" s="6" t="s">
        <v>207</v>
      </c>
      <c r="N81" s="6"/>
      <c r="O81" s="6"/>
      <c r="P81" s="6"/>
      <c r="Q81" s="6"/>
    </row>
    <row r="82" spans="2:17" ht="15.5" x14ac:dyDescent="0.35">
      <c r="B82" s="5" t="s">
        <v>252</v>
      </c>
      <c r="C82" s="6" t="s">
        <v>15</v>
      </c>
      <c r="D82" s="7">
        <v>39914</v>
      </c>
      <c r="E82" s="6" t="s">
        <v>156</v>
      </c>
      <c r="F82" s="6" t="s">
        <v>157</v>
      </c>
      <c r="G82" s="8" t="s">
        <v>98</v>
      </c>
      <c r="H82" s="6" t="s">
        <v>98</v>
      </c>
      <c r="I82" s="6"/>
      <c r="J82" s="6" t="s">
        <v>20</v>
      </c>
      <c r="K82" s="6" t="s">
        <v>253</v>
      </c>
      <c r="L82" s="6" t="s">
        <v>254</v>
      </c>
      <c r="M82" s="6" t="s">
        <v>255</v>
      </c>
      <c r="N82" s="6"/>
      <c r="O82" s="6"/>
      <c r="P82" s="6"/>
      <c r="Q82" s="6"/>
    </row>
    <row r="83" spans="2:17" ht="15.5" x14ac:dyDescent="0.35">
      <c r="B83" s="5" t="s">
        <v>256</v>
      </c>
      <c r="C83" s="6" t="s">
        <v>25</v>
      </c>
      <c r="D83" s="7">
        <v>40070</v>
      </c>
      <c r="E83" s="6" t="s">
        <v>156</v>
      </c>
      <c r="F83" s="6" t="s">
        <v>157</v>
      </c>
      <c r="G83" s="8" t="s">
        <v>98</v>
      </c>
      <c r="H83" s="6" t="s">
        <v>98</v>
      </c>
      <c r="I83" s="6"/>
      <c r="J83" s="6" t="s">
        <v>20</v>
      </c>
      <c r="K83" s="6" t="s">
        <v>257</v>
      </c>
      <c r="L83" s="6" t="s">
        <v>258</v>
      </c>
      <c r="M83" s="6" t="s">
        <v>125</v>
      </c>
      <c r="N83" s="6"/>
      <c r="O83" s="6"/>
      <c r="P83" s="6"/>
      <c r="Q83" s="6"/>
    </row>
    <row r="84" spans="2:17" ht="15.5" x14ac:dyDescent="0.35">
      <c r="B84" s="5" t="s">
        <v>259</v>
      </c>
      <c r="C84" s="6" t="s">
        <v>25</v>
      </c>
      <c r="D84" s="7">
        <v>40420</v>
      </c>
      <c r="E84" s="6" t="s">
        <v>156</v>
      </c>
      <c r="F84" s="6" t="s">
        <v>157</v>
      </c>
      <c r="G84" s="8" t="s">
        <v>98</v>
      </c>
      <c r="H84" s="6" t="s">
        <v>98</v>
      </c>
      <c r="I84" s="6"/>
      <c r="J84" s="6" t="s">
        <v>20</v>
      </c>
      <c r="K84" s="6" t="s">
        <v>260</v>
      </c>
      <c r="L84" s="6" t="s">
        <v>261</v>
      </c>
      <c r="M84" s="6" t="s">
        <v>111</v>
      </c>
      <c r="N84" s="6"/>
      <c r="O84" s="6"/>
      <c r="P84" s="6"/>
      <c r="Q84" s="6"/>
    </row>
    <row r="85" spans="2:17" ht="15.5" x14ac:dyDescent="0.35">
      <c r="B85" s="5" t="s">
        <v>262</v>
      </c>
      <c r="C85" s="6" t="s">
        <v>25</v>
      </c>
      <c r="D85" s="7">
        <v>39894</v>
      </c>
      <c r="E85" s="6" t="s">
        <v>156</v>
      </c>
      <c r="F85" s="6" t="s">
        <v>157</v>
      </c>
      <c r="G85" s="8" t="s">
        <v>98</v>
      </c>
      <c r="H85" s="6" t="s">
        <v>98</v>
      </c>
      <c r="I85" s="6"/>
      <c r="J85" s="6" t="s">
        <v>20</v>
      </c>
      <c r="K85" s="6" t="s">
        <v>263</v>
      </c>
      <c r="L85" s="6" t="s">
        <v>264</v>
      </c>
      <c r="M85" s="6" t="s">
        <v>101</v>
      </c>
      <c r="N85" s="6"/>
      <c r="O85" s="6"/>
      <c r="P85" s="6"/>
      <c r="Q85" s="6"/>
    </row>
    <row r="86" spans="2:17" ht="15.5" x14ac:dyDescent="0.35">
      <c r="B86" s="5" t="s">
        <v>265</v>
      </c>
      <c r="C86" s="6" t="s">
        <v>25</v>
      </c>
      <c r="D86" s="7">
        <v>39946</v>
      </c>
      <c r="E86" s="6" t="s">
        <v>156</v>
      </c>
      <c r="F86" s="6" t="s">
        <v>157</v>
      </c>
      <c r="G86" s="8" t="s">
        <v>98</v>
      </c>
      <c r="H86" s="6" t="s">
        <v>98</v>
      </c>
      <c r="I86" s="6"/>
      <c r="J86" s="6" t="s">
        <v>20</v>
      </c>
      <c r="K86" s="6" t="s">
        <v>266</v>
      </c>
      <c r="L86" s="6" t="s">
        <v>267</v>
      </c>
      <c r="M86" s="6" t="s">
        <v>201</v>
      </c>
      <c r="N86" s="6"/>
      <c r="O86" s="6"/>
      <c r="P86" s="6"/>
      <c r="Q86" s="6"/>
    </row>
    <row r="87" spans="2:17" ht="15.5" x14ac:dyDescent="0.35">
      <c r="B87" s="5" t="s">
        <v>268</v>
      </c>
      <c r="C87" s="6" t="s">
        <v>15</v>
      </c>
      <c r="D87" s="7">
        <v>40319</v>
      </c>
      <c r="E87" s="6" t="s">
        <v>156</v>
      </c>
      <c r="F87" s="6" t="s">
        <v>157</v>
      </c>
      <c r="G87" s="8" t="s">
        <v>98</v>
      </c>
      <c r="H87" s="6" t="s">
        <v>98</v>
      </c>
      <c r="I87" s="6"/>
      <c r="J87" s="6" t="s">
        <v>20</v>
      </c>
      <c r="K87" s="6" t="s">
        <v>269</v>
      </c>
      <c r="L87" s="6" t="s">
        <v>270</v>
      </c>
      <c r="M87" s="6" t="s">
        <v>111</v>
      </c>
      <c r="N87" s="6"/>
      <c r="O87" s="6"/>
      <c r="P87" s="6"/>
      <c r="Q87" s="6"/>
    </row>
    <row r="88" spans="2:17" ht="15.5" x14ac:dyDescent="0.35">
      <c r="B88" s="5" t="s">
        <v>271</v>
      </c>
      <c r="C88" s="6" t="s">
        <v>25</v>
      </c>
      <c r="D88" s="7">
        <v>40059</v>
      </c>
      <c r="E88" s="6" t="s">
        <v>156</v>
      </c>
      <c r="F88" s="6" t="s">
        <v>157</v>
      </c>
      <c r="G88" s="8" t="s">
        <v>98</v>
      </c>
      <c r="H88" s="6" t="s">
        <v>98</v>
      </c>
      <c r="I88" s="6"/>
      <c r="J88" s="6" t="s">
        <v>20</v>
      </c>
      <c r="K88" s="6" t="s">
        <v>272</v>
      </c>
      <c r="L88" s="6" t="s">
        <v>273</v>
      </c>
      <c r="M88" s="6" t="s">
        <v>274</v>
      </c>
      <c r="N88" s="6"/>
      <c r="O88" s="6"/>
      <c r="P88" s="6"/>
      <c r="Q88" s="6"/>
    </row>
    <row r="89" spans="2:17" ht="15.5" x14ac:dyDescent="0.35">
      <c r="B89" s="5" t="s">
        <v>275</v>
      </c>
      <c r="C89" s="6" t="s">
        <v>15</v>
      </c>
      <c r="D89" s="7">
        <v>39977</v>
      </c>
      <c r="E89" s="6" t="s">
        <v>156</v>
      </c>
      <c r="F89" s="6" t="s">
        <v>157</v>
      </c>
      <c r="G89" s="8" t="s">
        <v>98</v>
      </c>
      <c r="H89" s="6" t="s">
        <v>98</v>
      </c>
      <c r="I89" s="6"/>
      <c r="J89" s="6" t="s">
        <v>20</v>
      </c>
      <c r="K89" s="6" t="s">
        <v>276</v>
      </c>
      <c r="L89" s="6" t="s">
        <v>277</v>
      </c>
      <c r="M89" s="6" t="s">
        <v>278</v>
      </c>
      <c r="N89" s="6"/>
      <c r="O89" s="6"/>
      <c r="P89" s="6"/>
      <c r="Q89" s="6"/>
    </row>
    <row r="90" spans="2:17" ht="15.5" x14ac:dyDescent="0.35">
      <c r="B90" s="5" t="s">
        <v>145</v>
      </c>
      <c r="C90" s="6" t="s">
        <v>15</v>
      </c>
      <c r="D90" s="7">
        <v>42592</v>
      </c>
      <c r="E90" s="6" t="s">
        <v>16</v>
      </c>
      <c r="F90" s="6" t="s">
        <v>17</v>
      </c>
      <c r="G90" s="8" t="s">
        <v>98</v>
      </c>
      <c r="H90" s="6" t="s">
        <v>98</v>
      </c>
      <c r="I90" s="6"/>
      <c r="J90" s="6"/>
      <c r="K90" s="6"/>
      <c r="L90" s="6" t="s">
        <v>147</v>
      </c>
      <c r="M90" s="6" t="s">
        <v>148</v>
      </c>
      <c r="N90" s="6"/>
      <c r="O90" s="6"/>
      <c r="P90" s="6"/>
      <c r="Q90" s="6"/>
    </row>
    <row r="91" spans="2:17" ht="15.5" x14ac:dyDescent="0.35">
      <c r="B91" s="5" t="s">
        <v>149</v>
      </c>
      <c r="C91" s="6" t="s">
        <v>15</v>
      </c>
      <c r="D91" s="7">
        <v>42304</v>
      </c>
      <c r="E91" s="6" t="s">
        <v>16</v>
      </c>
      <c r="F91" s="6" t="s">
        <v>17</v>
      </c>
      <c r="G91" s="8" t="s">
        <v>98</v>
      </c>
      <c r="H91" s="6" t="s">
        <v>98</v>
      </c>
      <c r="I91" s="6"/>
      <c r="J91" s="6"/>
      <c r="K91" s="6"/>
      <c r="L91" s="6" t="s">
        <v>151</v>
      </c>
      <c r="M91" s="6" t="s">
        <v>37</v>
      </c>
      <c r="N91" s="6"/>
      <c r="O91" s="6"/>
      <c r="P91" s="6"/>
      <c r="Q91" s="6"/>
    </row>
    <row r="92" spans="2:17" ht="15.5" x14ac:dyDescent="0.35">
      <c r="B92" s="5" t="s">
        <v>152</v>
      </c>
      <c r="C92" s="6" t="s">
        <v>25</v>
      </c>
      <c r="D92" s="7">
        <v>43000</v>
      </c>
      <c r="E92" s="6" t="s">
        <v>16</v>
      </c>
      <c r="F92" s="6" t="s">
        <v>17</v>
      </c>
      <c r="G92" s="8" t="s">
        <v>98</v>
      </c>
      <c r="H92" s="6" t="s">
        <v>98</v>
      </c>
      <c r="I92" s="6"/>
      <c r="J92" s="6"/>
      <c r="K92" s="6"/>
      <c r="L92" s="6" t="s">
        <v>154</v>
      </c>
      <c r="M92" s="6" t="s">
        <v>23</v>
      </c>
      <c r="N92" s="6"/>
      <c r="O92" s="6"/>
      <c r="P92" s="6"/>
      <c r="Q92" s="6"/>
    </row>
    <row r="93" spans="2:17" ht="15.5" x14ac:dyDescent="0.35">
      <c r="B93" s="5" t="s">
        <v>155</v>
      </c>
      <c r="C93" s="6" t="s">
        <v>15</v>
      </c>
      <c r="D93" s="7">
        <v>40060</v>
      </c>
      <c r="E93" s="6" t="s">
        <v>156</v>
      </c>
      <c r="F93" s="6" t="s">
        <v>157</v>
      </c>
      <c r="G93" s="8" t="s">
        <v>98</v>
      </c>
      <c r="H93" s="6" t="s">
        <v>98</v>
      </c>
      <c r="I93" s="6"/>
      <c r="J93" s="6"/>
      <c r="K93" s="6"/>
      <c r="L93" s="6"/>
      <c r="M93" s="6" t="s">
        <v>158</v>
      </c>
      <c r="N93" s="6"/>
      <c r="O93" s="6"/>
      <c r="P93" s="6"/>
      <c r="Q93" s="6"/>
    </row>
    <row r="94" spans="2:17" ht="15.5" x14ac:dyDescent="0.35">
      <c r="B94" s="5" t="s">
        <v>159</v>
      </c>
      <c r="C94" s="6" t="s">
        <v>15</v>
      </c>
      <c r="D94" s="7">
        <v>40477</v>
      </c>
      <c r="E94" s="6" t="s">
        <v>156</v>
      </c>
      <c r="F94" s="6" t="s">
        <v>157</v>
      </c>
      <c r="G94" s="8" t="s">
        <v>98</v>
      </c>
      <c r="H94" s="6" t="s">
        <v>98</v>
      </c>
      <c r="I94" s="6"/>
      <c r="J94" s="6"/>
      <c r="K94" s="6"/>
      <c r="L94" s="6" t="s">
        <v>161</v>
      </c>
      <c r="M94" s="6" t="s">
        <v>29</v>
      </c>
      <c r="N94" s="6"/>
      <c r="O94" s="6"/>
      <c r="P94" s="6"/>
      <c r="Q94" s="6"/>
    </row>
    <row r="95" spans="2:17" ht="15.5" x14ac:dyDescent="0.35">
      <c r="B95" s="5" t="s">
        <v>162</v>
      </c>
      <c r="C95" s="6" t="s">
        <v>25</v>
      </c>
      <c r="D95" s="7">
        <v>39891</v>
      </c>
      <c r="E95" s="6" t="s">
        <v>156</v>
      </c>
      <c r="F95" s="6" t="s">
        <v>157</v>
      </c>
      <c r="G95" s="8" t="s">
        <v>98</v>
      </c>
      <c r="H95" s="6" t="s">
        <v>98</v>
      </c>
      <c r="I95" s="6"/>
      <c r="J95" s="6"/>
      <c r="K95" s="6"/>
      <c r="L95" s="6" t="s">
        <v>164</v>
      </c>
      <c r="M95" s="6" t="s">
        <v>165</v>
      </c>
      <c r="N95" s="6"/>
      <c r="O95" s="6"/>
      <c r="P95" s="6"/>
      <c r="Q95" s="6"/>
    </row>
    <row r="96" spans="2:17" ht="15.5" x14ac:dyDescent="0.35">
      <c r="B96" s="5" t="s">
        <v>166</v>
      </c>
      <c r="C96" s="6" t="s">
        <v>15</v>
      </c>
      <c r="D96" s="7">
        <v>40249</v>
      </c>
      <c r="E96" s="6" t="s">
        <v>156</v>
      </c>
      <c r="F96" s="6" t="s">
        <v>157</v>
      </c>
      <c r="G96" s="8" t="s">
        <v>98</v>
      </c>
      <c r="H96" s="6" t="s">
        <v>98</v>
      </c>
      <c r="I96" s="6"/>
      <c r="J96" s="6"/>
      <c r="K96" s="6"/>
      <c r="L96" s="6" t="s">
        <v>168</v>
      </c>
      <c r="M96" s="6" t="s">
        <v>169</v>
      </c>
      <c r="N96" s="6"/>
      <c r="O96" s="6"/>
      <c r="P96" s="6"/>
      <c r="Q96" s="6"/>
    </row>
    <row r="97" spans="2:17" ht="15.5" x14ac:dyDescent="0.35">
      <c r="B97" s="5" t="s">
        <v>170</v>
      </c>
      <c r="C97" s="6" t="s">
        <v>15</v>
      </c>
      <c r="D97" s="7">
        <v>40007</v>
      </c>
      <c r="E97" s="6" t="s">
        <v>156</v>
      </c>
      <c r="F97" s="6" t="s">
        <v>157</v>
      </c>
      <c r="G97" s="8" t="s">
        <v>98</v>
      </c>
      <c r="H97" s="6" t="s">
        <v>98</v>
      </c>
      <c r="I97" s="6"/>
      <c r="J97" s="6"/>
      <c r="K97" s="6"/>
      <c r="L97" s="6" t="s">
        <v>172</v>
      </c>
      <c r="M97" s="6" t="s">
        <v>173</v>
      </c>
      <c r="N97" s="6"/>
      <c r="O97" s="6"/>
      <c r="P97" s="6"/>
      <c r="Q97" s="6"/>
    </row>
    <row r="98" spans="2:17" ht="15.5" x14ac:dyDescent="0.35">
      <c r="B98" s="5" t="s">
        <v>174</v>
      </c>
      <c r="C98" s="6" t="s">
        <v>25</v>
      </c>
      <c r="D98" s="7">
        <v>39966</v>
      </c>
      <c r="E98" s="6" t="s">
        <v>156</v>
      </c>
      <c r="F98" s="6" t="s">
        <v>157</v>
      </c>
      <c r="G98" s="8" t="s">
        <v>98</v>
      </c>
      <c r="H98" s="6" t="s">
        <v>98</v>
      </c>
      <c r="I98" s="6"/>
      <c r="J98" s="6"/>
      <c r="K98" s="6"/>
      <c r="L98" s="6" t="s">
        <v>176</v>
      </c>
      <c r="M98" s="6" t="s">
        <v>177</v>
      </c>
      <c r="N98" s="6"/>
      <c r="O98" s="6"/>
      <c r="P98" s="6"/>
      <c r="Q98" s="6"/>
    </row>
    <row r="99" spans="2:17" ht="15.5" x14ac:dyDescent="0.35">
      <c r="B99" s="5" t="s">
        <v>178</v>
      </c>
      <c r="C99" s="6" t="s">
        <v>15</v>
      </c>
      <c r="D99" s="7">
        <v>40407</v>
      </c>
      <c r="E99" s="6" t="s">
        <v>156</v>
      </c>
      <c r="F99" s="6" t="s">
        <v>157</v>
      </c>
      <c r="G99" s="8" t="s">
        <v>98</v>
      </c>
      <c r="H99" s="6" t="s">
        <v>98</v>
      </c>
      <c r="I99" s="6"/>
      <c r="J99" s="6"/>
      <c r="K99" s="6"/>
      <c r="L99" s="6" t="s">
        <v>180</v>
      </c>
      <c r="M99" s="6" t="s">
        <v>181</v>
      </c>
      <c r="N99" s="6"/>
      <c r="O99" s="6"/>
      <c r="P99" s="6"/>
      <c r="Q99" s="6"/>
    </row>
    <row r="100" spans="2:17" ht="15.5" x14ac:dyDescent="0.35">
      <c r="B100" s="5" t="s">
        <v>182</v>
      </c>
      <c r="C100" s="6" t="s">
        <v>25</v>
      </c>
      <c r="D100" s="7">
        <v>40257</v>
      </c>
      <c r="E100" s="6" t="s">
        <v>156</v>
      </c>
      <c r="F100" s="6" t="s">
        <v>157</v>
      </c>
      <c r="G100" s="8" t="s">
        <v>98</v>
      </c>
      <c r="H100" s="6" t="s">
        <v>98</v>
      </c>
      <c r="I100" s="6"/>
      <c r="J100" s="6"/>
      <c r="K100" s="6"/>
      <c r="L100" s="6" t="s">
        <v>184</v>
      </c>
      <c r="M100" s="6" t="s">
        <v>185</v>
      </c>
      <c r="N100" s="6"/>
      <c r="O100" s="6"/>
      <c r="P100" s="6"/>
      <c r="Q100" s="6"/>
    </row>
    <row r="101" spans="2:17" ht="15.5" x14ac:dyDescent="0.35">
      <c r="B101" s="5" t="s">
        <v>186</v>
      </c>
      <c r="C101" s="6" t="s">
        <v>25</v>
      </c>
      <c r="D101" s="7">
        <v>40120</v>
      </c>
      <c r="E101" s="6" t="s">
        <v>156</v>
      </c>
      <c r="F101" s="6" t="s">
        <v>157</v>
      </c>
      <c r="G101" s="8" t="s">
        <v>98</v>
      </c>
      <c r="H101" s="6" t="s">
        <v>98</v>
      </c>
      <c r="I101" s="6"/>
      <c r="J101" s="6"/>
      <c r="K101" s="6"/>
      <c r="L101" s="6" t="s">
        <v>188</v>
      </c>
      <c r="M101" s="6" t="s">
        <v>189</v>
      </c>
      <c r="N101" s="6"/>
      <c r="O101" s="6"/>
      <c r="P101" s="6"/>
      <c r="Q101" s="6"/>
    </row>
    <row r="102" spans="2:17" ht="15.5" x14ac:dyDescent="0.35">
      <c r="B102" s="5" t="s">
        <v>190</v>
      </c>
      <c r="C102" s="6" t="s">
        <v>25</v>
      </c>
      <c r="D102" s="7">
        <v>39970</v>
      </c>
      <c r="E102" s="6" t="s">
        <v>156</v>
      </c>
      <c r="F102" s="6" t="s">
        <v>157</v>
      </c>
      <c r="G102" s="8" t="s">
        <v>98</v>
      </c>
      <c r="H102" s="6" t="s">
        <v>98</v>
      </c>
      <c r="I102" s="6"/>
      <c r="J102" s="6"/>
      <c r="K102" s="6"/>
      <c r="L102" s="6" t="s">
        <v>192</v>
      </c>
      <c r="M102" s="6" t="s">
        <v>193</v>
      </c>
      <c r="N102" s="6"/>
      <c r="O102" s="6"/>
      <c r="P102" s="6"/>
      <c r="Q102" s="6"/>
    </row>
    <row r="103" spans="2:17" ht="15.5" x14ac:dyDescent="0.35">
      <c r="B103" s="5" t="s">
        <v>194</v>
      </c>
      <c r="C103" s="6" t="s">
        <v>15</v>
      </c>
      <c r="D103" s="7">
        <v>40327</v>
      </c>
      <c r="E103" s="6" t="s">
        <v>156</v>
      </c>
      <c r="F103" s="6" t="s">
        <v>157</v>
      </c>
      <c r="G103" s="8" t="s">
        <v>98</v>
      </c>
      <c r="H103" s="6" t="s">
        <v>98</v>
      </c>
      <c r="I103" s="6"/>
      <c r="J103" s="6"/>
      <c r="K103" s="6"/>
      <c r="L103" s="6" t="s">
        <v>196</v>
      </c>
      <c r="M103" s="6" t="s">
        <v>197</v>
      </c>
      <c r="N103" s="6"/>
      <c r="O103" s="6"/>
      <c r="P103" s="6"/>
      <c r="Q103" s="6"/>
    </row>
    <row r="104" spans="2:17" ht="15.5" x14ac:dyDescent="0.35">
      <c r="B104" s="5" t="s">
        <v>198</v>
      </c>
      <c r="C104" s="6" t="s">
        <v>25</v>
      </c>
      <c r="D104" s="7">
        <v>40512</v>
      </c>
      <c r="E104" s="6" t="s">
        <v>156</v>
      </c>
      <c r="F104" s="6" t="s">
        <v>157</v>
      </c>
      <c r="G104" s="8" t="s">
        <v>98</v>
      </c>
      <c r="H104" s="6" t="s">
        <v>98</v>
      </c>
      <c r="I104" s="6"/>
      <c r="J104" s="6"/>
      <c r="K104" s="6"/>
      <c r="L104" s="6" t="s">
        <v>200</v>
      </c>
      <c r="M104" s="6" t="s">
        <v>201</v>
      </c>
      <c r="N104" s="6"/>
      <c r="O104" s="6"/>
      <c r="P104" s="6"/>
      <c r="Q104" s="6"/>
    </row>
    <row r="105" spans="2:17" ht="15.5" x14ac:dyDescent="0.35">
      <c r="B105" s="5" t="s">
        <v>202</v>
      </c>
      <c r="C105" s="6" t="s">
        <v>25</v>
      </c>
      <c r="D105" s="7">
        <v>40269</v>
      </c>
      <c r="E105" s="6" t="s">
        <v>156</v>
      </c>
      <c r="F105" s="6" t="s">
        <v>157</v>
      </c>
      <c r="G105" s="8" t="s">
        <v>98</v>
      </c>
      <c r="H105" s="6" t="s">
        <v>98</v>
      </c>
      <c r="I105" s="6"/>
      <c r="J105" s="6"/>
      <c r="K105" s="6"/>
      <c r="L105" s="6" t="s">
        <v>203</v>
      </c>
      <c r="M105" s="6" t="s">
        <v>101</v>
      </c>
      <c r="N105" s="6"/>
      <c r="O105" s="6"/>
      <c r="P105" s="6"/>
      <c r="Q105" s="6"/>
    </row>
    <row r="106" spans="2:17" ht="15.5" x14ac:dyDescent="0.35">
      <c r="B106" s="5" t="s">
        <v>204</v>
      </c>
      <c r="C106" s="6" t="s">
        <v>25</v>
      </c>
      <c r="D106" s="7">
        <v>40537</v>
      </c>
      <c r="E106" s="6" t="s">
        <v>156</v>
      </c>
      <c r="F106" s="6" t="s">
        <v>157</v>
      </c>
      <c r="G106" s="8" t="s">
        <v>98</v>
      </c>
      <c r="H106" s="6" t="s">
        <v>98</v>
      </c>
      <c r="I106" s="6"/>
      <c r="J106" s="6"/>
      <c r="K106" s="6"/>
      <c r="L106" s="6" t="s">
        <v>206</v>
      </c>
      <c r="M106" s="6" t="s">
        <v>207</v>
      </c>
      <c r="N106" s="6"/>
      <c r="O106" s="6"/>
      <c r="P106" s="6"/>
      <c r="Q106" s="6"/>
    </row>
    <row r="107" spans="2:17" ht="15.5" x14ac:dyDescent="0.35">
      <c r="B107" s="5" t="s">
        <v>208</v>
      </c>
      <c r="C107" s="6" t="s">
        <v>15</v>
      </c>
      <c r="D107" s="7">
        <v>40537</v>
      </c>
      <c r="E107" s="6" t="s">
        <v>156</v>
      </c>
      <c r="F107" s="6" t="s">
        <v>157</v>
      </c>
      <c r="G107" s="8" t="s">
        <v>98</v>
      </c>
      <c r="H107" s="6" t="s">
        <v>98</v>
      </c>
      <c r="I107" s="6"/>
      <c r="J107" s="6"/>
      <c r="K107" s="6"/>
      <c r="L107" s="6" t="s">
        <v>209</v>
      </c>
      <c r="M107" s="6" t="s">
        <v>207</v>
      </c>
      <c r="N107" s="6"/>
      <c r="O107" s="6"/>
      <c r="P107" s="6"/>
      <c r="Q107" s="6"/>
    </row>
    <row r="108" spans="2:17" ht="15.5" x14ac:dyDescent="0.35">
      <c r="B108" s="5" t="s">
        <v>210</v>
      </c>
      <c r="C108" s="6" t="s">
        <v>15</v>
      </c>
      <c r="D108" s="7">
        <v>40055</v>
      </c>
      <c r="E108" s="6" t="s">
        <v>156</v>
      </c>
      <c r="F108" s="6" t="s">
        <v>157</v>
      </c>
      <c r="G108" s="8" t="s">
        <v>98</v>
      </c>
      <c r="H108" s="6" t="s">
        <v>98</v>
      </c>
      <c r="I108" s="6"/>
      <c r="J108" s="6"/>
      <c r="K108" s="6"/>
      <c r="L108" s="6" t="s">
        <v>212</v>
      </c>
      <c r="M108" s="6" t="s">
        <v>213</v>
      </c>
      <c r="N108" s="6"/>
      <c r="O108" s="6"/>
      <c r="P108" s="6"/>
      <c r="Q108" s="6"/>
    </row>
    <row r="109" spans="2:17" ht="15.5" x14ac:dyDescent="0.35">
      <c r="B109" s="5" t="s">
        <v>214</v>
      </c>
      <c r="C109" s="6" t="s">
        <v>25</v>
      </c>
      <c r="D109" s="7">
        <v>39823</v>
      </c>
      <c r="E109" s="6" t="s">
        <v>156</v>
      </c>
      <c r="F109" s="6" t="s">
        <v>157</v>
      </c>
      <c r="G109" s="8" t="s">
        <v>98</v>
      </c>
      <c r="H109" s="6" t="s">
        <v>98</v>
      </c>
      <c r="I109" s="6"/>
      <c r="J109" s="6"/>
      <c r="K109" s="6"/>
      <c r="L109" s="6" t="s">
        <v>216</v>
      </c>
      <c r="M109" s="6" t="s">
        <v>217</v>
      </c>
      <c r="N109" s="6"/>
      <c r="O109" s="6"/>
      <c r="P109" s="6"/>
      <c r="Q109" s="6"/>
    </row>
    <row r="110" spans="2:17" ht="15.5" x14ac:dyDescent="0.35">
      <c r="B110" s="5" t="s">
        <v>218</v>
      </c>
      <c r="C110" s="6" t="s">
        <v>15</v>
      </c>
      <c r="D110" s="7">
        <v>39927</v>
      </c>
      <c r="E110" s="6" t="s">
        <v>156</v>
      </c>
      <c r="F110" s="6" t="s">
        <v>157</v>
      </c>
      <c r="G110" s="8" t="s">
        <v>98</v>
      </c>
      <c r="H110" s="6" t="s">
        <v>98</v>
      </c>
      <c r="I110" s="6"/>
      <c r="J110" s="6"/>
      <c r="K110" s="6"/>
      <c r="L110" s="6" t="s">
        <v>220</v>
      </c>
      <c r="M110" s="6" t="s">
        <v>221</v>
      </c>
      <c r="N110" s="6"/>
      <c r="O110" s="6"/>
      <c r="P110" s="6"/>
      <c r="Q110" s="6"/>
    </row>
    <row r="111" spans="2:17" ht="15.5" x14ac:dyDescent="0.35">
      <c r="B111" s="5" t="s">
        <v>222</v>
      </c>
      <c r="C111" s="6" t="s">
        <v>15</v>
      </c>
      <c r="D111" s="7">
        <v>40540</v>
      </c>
      <c r="E111" s="6" t="s">
        <v>156</v>
      </c>
      <c r="F111" s="6" t="s">
        <v>157</v>
      </c>
      <c r="G111" s="8" t="s">
        <v>98</v>
      </c>
      <c r="H111" s="6" t="s">
        <v>98</v>
      </c>
      <c r="I111" s="6"/>
      <c r="J111" s="6"/>
      <c r="K111" s="6"/>
      <c r="L111" s="6" t="s">
        <v>224</v>
      </c>
      <c r="M111" s="6" t="s">
        <v>225</v>
      </c>
      <c r="N111" s="6"/>
      <c r="O111" s="6"/>
      <c r="P111" s="6"/>
      <c r="Q111" s="6"/>
    </row>
    <row r="112" spans="2:17" ht="15.5" x14ac:dyDescent="0.35">
      <c r="B112" s="5" t="s">
        <v>226</v>
      </c>
      <c r="C112" s="6" t="s">
        <v>25</v>
      </c>
      <c r="D112" s="7">
        <v>39980</v>
      </c>
      <c r="E112" s="6" t="s">
        <v>156</v>
      </c>
      <c r="F112" s="6" t="s">
        <v>157</v>
      </c>
      <c r="G112" s="8" t="s">
        <v>98</v>
      </c>
      <c r="H112" s="6" t="s">
        <v>98</v>
      </c>
      <c r="I112" s="6"/>
      <c r="J112" s="6"/>
      <c r="K112" s="6"/>
      <c r="L112" s="6" t="s">
        <v>227</v>
      </c>
      <c r="M112" s="6" t="s">
        <v>181</v>
      </c>
      <c r="N112" s="6"/>
      <c r="O112" s="6"/>
      <c r="P112" s="6"/>
      <c r="Q112" s="6"/>
    </row>
    <row r="113" spans="2:17" ht="15.5" x14ac:dyDescent="0.35">
      <c r="B113" s="5" t="s">
        <v>228</v>
      </c>
      <c r="C113" s="6" t="s">
        <v>15</v>
      </c>
      <c r="D113" s="7">
        <v>40448</v>
      </c>
      <c r="E113" s="6" t="s">
        <v>156</v>
      </c>
      <c r="F113" s="6" t="s">
        <v>157</v>
      </c>
      <c r="G113" s="8" t="s">
        <v>98</v>
      </c>
      <c r="H113" s="6" t="s">
        <v>98</v>
      </c>
      <c r="I113" s="6"/>
      <c r="J113" s="6"/>
      <c r="K113" s="6"/>
      <c r="L113" s="6" t="s">
        <v>230</v>
      </c>
      <c r="M113" s="6" t="s">
        <v>231</v>
      </c>
      <c r="N113" s="6"/>
      <c r="O113" s="6"/>
      <c r="P113" s="6"/>
      <c r="Q113" s="6"/>
    </row>
    <row r="114" spans="2:17" ht="15.5" x14ac:dyDescent="0.35">
      <c r="B114" s="5" t="s">
        <v>232</v>
      </c>
      <c r="C114" s="6" t="s">
        <v>25</v>
      </c>
      <c r="D114" s="7">
        <v>39936</v>
      </c>
      <c r="E114" s="6" t="s">
        <v>156</v>
      </c>
      <c r="F114" s="6" t="s">
        <v>157</v>
      </c>
      <c r="G114" s="8" t="s">
        <v>98</v>
      </c>
      <c r="H114" s="6" t="s">
        <v>98</v>
      </c>
      <c r="I114" s="6"/>
      <c r="J114" s="6"/>
      <c r="K114" s="6"/>
      <c r="L114" s="6" t="s">
        <v>234</v>
      </c>
      <c r="M114" s="6" t="s">
        <v>235</v>
      </c>
      <c r="N114" s="6"/>
      <c r="O114" s="6"/>
      <c r="P114" s="6"/>
      <c r="Q114" s="6"/>
    </row>
    <row r="115" spans="2:17" ht="15.5" x14ac:dyDescent="0.35">
      <c r="B115" s="5" t="s">
        <v>236</v>
      </c>
      <c r="C115" s="6" t="s">
        <v>15</v>
      </c>
      <c r="D115" s="7">
        <v>40309</v>
      </c>
      <c r="E115" s="6" t="s">
        <v>156</v>
      </c>
      <c r="F115" s="6" t="s">
        <v>157</v>
      </c>
      <c r="G115" s="8" t="s">
        <v>98</v>
      </c>
      <c r="H115" s="6" t="s">
        <v>98</v>
      </c>
      <c r="I115" s="6"/>
      <c r="J115" s="6"/>
      <c r="K115" s="6"/>
      <c r="L115" s="6" t="s">
        <v>238</v>
      </c>
      <c r="M115" s="6" t="s">
        <v>197</v>
      </c>
      <c r="N115" s="6"/>
      <c r="O115" s="6"/>
      <c r="P115" s="6"/>
      <c r="Q115" s="6"/>
    </row>
    <row r="116" spans="2:17" ht="15.5" x14ac:dyDescent="0.35">
      <c r="B116" s="5" t="s">
        <v>239</v>
      </c>
      <c r="C116" s="6" t="s">
        <v>25</v>
      </c>
      <c r="D116" s="7">
        <v>40219</v>
      </c>
      <c r="E116" s="6" t="s">
        <v>156</v>
      </c>
      <c r="F116" s="6" t="s">
        <v>157</v>
      </c>
      <c r="G116" s="8" t="s">
        <v>98</v>
      </c>
      <c r="H116" s="6" t="s">
        <v>98</v>
      </c>
      <c r="I116" s="6"/>
      <c r="J116" s="6"/>
      <c r="K116" s="6"/>
      <c r="L116" s="6" t="s">
        <v>241</v>
      </c>
      <c r="M116" s="6" t="s">
        <v>242</v>
      </c>
      <c r="N116" s="6"/>
      <c r="O116" s="6"/>
      <c r="P116" s="6"/>
      <c r="Q116" s="6"/>
    </row>
    <row r="117" spans="2:17" ht="15.5" x14ac:dyDescent="0.35">
      <c r="B117" s="5" t="s">
        <v>243</v>
      </c>
      <c r="C117" s="6" t="s">
        <v>25</v>
      </c>
      <c r="D117" s="7">
        <v>40170</v>
      </c>
      <c r="E117" s="6" t="s">
        <v>156</v>
      </c>
      <c r="F117" s="6" t="s">
        <v>157</v>
      </c>
      <c r="G117" s="8" t="s">
        <v>98</v>
      </c>
      <c r="H117" s="6" t="s">
        <v>98</v>
      </c>
      <c r="I117" s="6"/>
      <c r="J117" s="6"/>
      <c r="K117" s="6"/>
      <c r="L117" s="6" t="s">
        <v>244</v>
      </c>
      <c r="M117" s="6" t="s">
        <v>207</v>
      </c>
      <c r="N117" s="6"/>
      <c r="O117" s="6"/>
      <c r="P117" s="6"/>
      <c r="Q117" s="6"/>
    </row>
    <row r="118" spans="2:17" ht="15.5" x14ac:dyDescent="0.35">
      <c r="B118" s="5" t="s">
        <v>245</v>
      </c>
      <c r="C118" s="6" t="s">
        <v>15</v>
      </c>
      <c r="D118" s="7">
        <v>40238</v>
      </c>
      <c r="E118" s="6" t="s">
        <v>156</v>
      </c>
      <c r="F118" s="6" t="s">
        <v>157</v>
      </c>
      <c r="G118" s="8" t="s">
        <v>98</v>
      </c>
      <c r="H118" s="6" t="s">
        <v>98</v>
      </c>
      <c r="I118" s="6"/>
      <c r="J118" s="6"/>
      <c r="K118" s="6"/>
      <c r="L118" s="6" t="s">
        <v>247</v>
      </c>
      <c r="M118" s="6" t="s">
        <v>248</v>
      </c>
      <c r="N118" s="6"/>
      <c r="O118" s="6"/>
      <c r="P118" s="6"/>
      <c r="Q118" s="6"/>
    </row>
    <row r="119" spans="2:17" ht="15.5" x14ac:dyDescent="0.35">
      <c r="B119" s="5" t="s">
        <v>249</v>
      </c>
      <c r="C119" s="6" t="s">
        <v>15</v>
      </c>
      <c r="D119" s="7">
        <v>40437</v>
      </c>
      <c r="E119" s="6" t="s">
        <v>156</v>
      </c>
      <c r="F119" s="6" t="s">
        <v>157</v>
      </c>
      <c r="G119" s="8" t="s">
        <v>98</v>
      </c>
      <c r="H119" s="6" t="s">
        <v>98</v>
      </c>
      <c r="I119" s="6"/>
      <c r="J119" s="6"/>
      <c r="K119" s="6"/>
      <c r="L119" s="6" t="s">
        <v>251</v>
      </c>
      <c r="M119" s="6" t="s">
        <v>207</v>
      </c>
      <c r="N119" s="6"/>
      <c r="O119" s="6"/>
      <c r="P119" s="6"/>
      <c r="Q119" s="6"/>
    </row>
    <row r="120" spans="2:17" ht="15.5" x14ac:dyDescent="0.35">
      <c r="B120" s="5" t="s">
        <v>252</v>
      </c>
      <c r="C120" s="6" t="s">
        <v>15</v>
      </c>
      <c r="D120" s="7">
        <v>39914</v>
      </c>
      <c r="E120" s="6" t="s">
        <v>156</v>
      </c>
      <c r="F120" s="6" t="s">
        <v>157</v>
      </c>
      <c r="G120" s="8" t="s">
        <v>98</v>
      </c>
      <c r="H120" s="6" t="s">
        <v>98</v>
      </c>
      <c r="I120" s="6"/>
      <c r="J120" s="6"/>
      <c r="K120" s="6"/>
      <c r="L120" s="6" t="s">
        <v>254</v>
      </c>
      <c r="M120" s="6" t="s">
        <v>255</v>
      </c>
      <c r="N120" s="6"/>
      <c r="O120" s="6"/>
      <c r="P120" s="6"/>
      <c r="Q120" s="6"/>
    </row>
    <row r="121" spans="2:17" ht="15.5" x14ac:dyDescent="0.35">
      <c r="B121" s="5" t="s">
        <v>256</v>
      </c>
      <c r="C121" s="6" t="s">
        <v>25</v>
      </c>
      <c r="D121" s="7">
        <v>40070</v>
      </c>
      <c r="E121" s="6" t="s">
        <v>156</v>
      </c>
      <c r="F121" s="6" t="s">
        <v>157</v>
      </c>
      <c r="G121" s="8" t="s">
        <v>98</v>
      </c>
      <c r="H121" s="6" t="s">
        <v>98</v>
      </c>
      <c r="I121" s="6"/>
      <c r="J121" s="6"/>
      <c r="K121" s="6"/>
      <c r="L121" s="6" t="s">
        <v>258</v>
      </c>
      <c r="M121" s="6" t="s">
        <v>125</v>
      </c>
      <c r="N121" s="6"/>
      <c r="O121" s="6"/>
      <c r="P121" s="6"/>
      <c r="Q121" s="6"/>
    </row>
    <row r="122" spans="2:17" ht="15.5" x14ac:dyDescent="0.35">
      <c r="B122" s="5" t="s">
        <v>259</v>
      </c>
      <c r="C122" s="6" t="s">
        <v>25</v>
      </c>
      <c r="D122" s="7">
        <v>40420</v>
      </c>
      <c r="E122" s="6" t="s">
        <v>156</v>
      </c>
      <c r="F122" s="6" t="s">
        <v>157</v>
      </c>
      <c r="G122" s="8" t="s">
        <v>98</v>
      </c>
      <c r="H122" s="6" t="s">
        <v>98</v>
      </c>
      <c r="I122" s="6"/>
      <c r="J122" s="6"/>
      <c r="K122" s="6"/>
      <c r="L122" s="6" t="s">
        <v>261</v>
      </c>
      <c r="M122" s="6" t="s">
        <v>111</v>
      </c>
      <c r="N122" s="6"/>
      <c r="O122" s="6"/>
      <c r="P122" s="6"/>
      <c r="Q122" s="6"/>
    </row>
    <row r="123" spans="2:17" ht="15.5" x14ac:dyDescent="0.35">
      <c r="B123" s="5" t="s">
        <v>262</v>
      </c>
      <c r="C123" s="6" t="s">
        <v>25</v>
      </c>
      <c r="D123" s="7">
        <v>39894</v>
      </c>
      <c r="E123" s="6" t="s">
        <v>156</v>
      </c>
      <c r="F123" s="6" t="s">
        <v>157</v>
      </c>
      <c r="G123" s="8" t="s">
        <v>98</v>
      </c>
      <c r="H123" s="6" t="s">
        <v>98</v>
      </c>
      <c r="I123" s="6"/>
      <c r="J123" s="6"/>
      <c r="K123" s="6"/>
      <c r="L123" s="6" t="s">
        <v>264</v>
      </c>
      <c r="M123" s="6" t="s">
        <v>101</v>
      </c>
      <c r="N123" s="6"/>
      <c r="O123" s="6"/>
      <c r="P123" s="6"/>
      <c r="Q123" s="6"/>
    </row>
    <row r="124" spans="2:17" ht="15.5" x14ac:dyDescent="0.35">
      <c r="B124" s="5" t="s">
        <v>265</v>
      </c>
      <c r="C124" s="6" t="s">
        <v>25</v>
      </c>
      <c r="D124" s="7">
        <v>39946</v>
      </c>
      <c r="E124" s="6" t="s">
        <v>156</v>
      </c>
      <c r="F124" s="6" t="s">
        <v>157</v>
      </c>
      <c r="G124" s="8" t="s">
        <v>98</v>
      </c>
      <c r="H124" s="6" t="s">
        <v>98</v>
      </c>
      <c r="I124" s="6"/>
      <c r="J124" s="6"/>
      <c r="K124" s="6"/>
      <c r="L124" s="6" t="s">
        <v>267</v>
      </c>
      <c r="M124" s="6" t="s">
        <v>201</v>
      </c>
      <c r="N124" s="6"/>
      <c r="O124" s="6"/>
      <c r="P124" s="6"/>
      <c r="Q124" s="6"/>
    </row>
    <row r="125" spans="2:17" ht="15.5" x14ac:dyDescent="0.35">
      <c r="B125" s="5" t="s">
        <v>268</v>
      </c>
      <c r="C125" s="6" t="s">
        <v>15</v>
      </c>
      <c r="D125" s="7">
        <v>40319</v>
      </c>
      <c r="E125" s="6" t="s">
        <v>156</v>
      </c>
      <c r="F125" s="6" t="s">
        <v>157</v>
      </c>
      <c r="G125" s="8" t="s">
        <v>98</v>
      </c>
      <c r="H125" s="6" t="s">
        <v>98</v>
      </c>
      <c r="I125" s="6"/>
      <c r="J125" s="6"/>
      <c r="K125" s="6"/>
      <c r="L125" s="6" t="s">
        <v>270</v>
      </c>
      <c r="M125" s="6" t="s">
        <v>111</v>
      </c>
      <c r="N125" s="6"/>
      <c r="O125" s="6"/>
      <c r="P125" s="6"/>
      <c r="Q125" s="6"/>
    </row>
    <row r="126" spans="2:17" ht="15.5" x14ac:dyDescent="0.35">
      <c r="B126" s="5" t="s">
        <v>271</v>
      </c>
      <c r="C126" s="6" t="s">
        <v>25</v>
      </c>
      <c r="D126" s="7">
        <v>40059</v>
      </c>
      <c r="E126" s="6" t="s">
        <v>156</v>
      </c>
      <c r="F126" s="6" t="s">
        <v>157</v>
      </c>
      <c r="G126" s="8" t="s">
        <v>98</v>
      </c>
      <c r="H126" s="6" t="s">
        <v>98</v>
      </c>
      <c r="I126" s="6"/>
      <c r="J126" s="6"/>
      <c r="K126" s="6"/>
      <c r="L126" s="6" t="s">
        <v>273</v>
      </c>
      <c r="M126" s="6" t="s">
        <v>274</v>
      </c>
      <c r="N126" s="6"/>
      <c r="O126" s="6"/>
      <c r="P126" s="6"/>
      <c r="Q126" s="6"/>
    </row>
    <row r="127" spans="2:17" ht="15.5" x14ac:dyDescent="0.35">
      <c r="B127" s="5" t="s">
        <v>275</v>
      </c>
      <c r="C127" s="6" t="s">
        <v>15</v>
      </c>
      <c r="D127" s="7">
        <v>39977</v>
      </c>
      <c r="E127" s="6" t="s">
        <v>156</v>
      </c>
      <c r="F127" s="6" t="s">
        <v>157</v>
      </c>
      <c r="G127" s="8" t="s">
        <v>98</v>
      </c>
      <c r="H127" s="6" t="s">
        <v>98</v>
      </c>
      <c r="I127" s="6"/>
      <c r="J127" s="6"/>
      <c r="K127" s="6"/>
      <c r="L127" s="6" t="s">
        <v>277</v>
      </c>
      <c r="M127" s="6" t="s">
        <v>278</v>
      </c>
      <c r="N127" s="6"/>
      <c r="O127" s="6"/>
      <c r="P127" s="6"/>
      <c r="Q127" s="6"/>
    </row>
    <row r="128" spans="2:17" ht="15.5" x14ac:dyDescent="0.35">
      <c r="B128" s="5" t="s">
        <v>279</v>
      </c>
      <c r="C128" s="6" t="s">
        <v>25</v>
      </c>
      <c r="D128" s="7">
        <v>40771</v>
      </c>
      <c r="E128" s="6" t="s">
        <v>280</v>
      </c>
      <c r="F128" s="6" t="s">
        <v>157</v>
      </c>
      <c r="G128" s="8" t="s">
        <v>281</v>
      </c>
      <c r="H128" s="6" t="s">
        <v>282</v>
      </c>
      <c r="I128" s="6"/>
      <c r="J128" s="6" t="s">
        <v>20</v>
      </c>
      <c r="K128" s="6" t="s">
        <v>283</v>
      </c>
      <c r="L128" s="6" t="s">
        <v>284</v>
      </c>
      <c r="M128" s="6" t="s">
        <v>285</v>
      </c>
      <c r="N128" s="6"/>
      <c r="O128" s="6"/>
      <c r="P128" s="6"/>
      <c r="Q128" s="6"/>
    </row>
    <row r="129" spans="2:17" ht="15.5" x14ac:dyDescent="0.35">
      <c r="B129" s="5" t="s">
        <v>286</v>
      </c>
      <c r="C129" s="6" t="s">
        <v>15</v>
      </c>
      <c r="D129" s="7">
        <v>40761</v>
      </c>
      <c r="E129" s="6" t="s">
        <v>280</v>
      </c>
      <c r="F129" s="6" t="s">
        <v>157</v>
      </c>
      <c r="G129" s="8" t="s">
        <v>281</v>
      </c>
      <c r="H129" s="6" t="s">
        <v>282</v>
      </c>
      <c r="I129" s="6"/>
      <c r="J129" s="6" t="s">
        <v>20</v>
      </c>
      <c r="K129" s="6" t="s">
        <v>287</v>
      </c>
      <c r="L129" s="6" t="s">
        <v>288</v>
      </c>
      <c r="M129" s="6" t="s">
        <v>289</v>
      </c>
      <c r="N129" s="6"/>
      <c r="O129" s="6"/>
      <c r="P129" s="6"/>
      <c r="Q129" s="6"/>
    </row>
    <row r="130" spans="2:17" ht="15.5" x14ac:dyDescent="0.35">
      <c r="B130" s="5" t="s">
        <v>290</v>
      </c>
      <c r="C130" s="6" t="s">
        <v>15</v>
      </c>
      <c r="D130" s="7">
        <v>41304</v>
      </c>
      <c r="E130" s="6" t="s">
        <v>34</v>
      </c>
      <c r="F130" s="6" t="s">
        <v>17</v>
      </c>
      <c r="G130" s="8" t="s">
        <v>291</v>
      </c>
      <c r="H130" s="6" t="s">
        <v>292</v>
      </c>
      <c r="I130" s="6"/>
      <c r="J130" s="6" t="s">
        <v>20</v>
      </c>
      <c r="K130" s="6" t="s">
        <v>293</v>
      </c>
      <c r="L130" s="6" t="s">
        <v>294</v>
      </c>
      <c r="M130" s="6" t="s">
        <v>295</v>
      </c>
      <c r="N130" s="6"/>
      <c r="O130" s="6"/>
      <c r="P130" s="6"/>
      <c r="Q130" s="6"/>
    </row>
    <row r="131" spans="2:17" ht="15.5" x14ac:dyDescent="0.35">
      <c r="B131" s="5" t="s">
        <v>290</v>
      </c>
      <c r="C131" s="6" t="s">
        <v>15</v>
      </c>
      <c r="D131" s="7">
        <v>41304</v>
      </c>
      <c r="E131" s="6" t="s">
        <v>34</v>
      </c>
      <c r="F131" s="6" t="s">
        <v>17</v>
      </c>
      <c r="G131" s="8" t="s">
        <v>291</v>
      </c>
      <c r="H131" s="6" t="s">
        <v>292</v>
      </c>
      <c r="I131" s="6"/>
      <c r="J131" s="6"/>
      <c r="K131" s="6"/>
      <c r="L131" s="6" t="s">
        <v>294</v>
      </c>
      <c r="M131" s="6" t="s">
        <v>295</v>
      </c>
      <c r="N131" s="6"/>
      <c r="O131" s="6"/>
      <c r="P131" s="6"/>
      <c r="Q131" s="6"/>
    </row>
    <row r="132" spans="2:17" ht="15.5" x14ac:dyDescent="0.35">
      <c r="B132" s="5" t="s">
        <v>296</v>
      </c>
      <c r="C132" s="6" t="s">
        <v>25</v>
      </c>
      <c r="D132" s="7">
        <v>42629</v>
      </c>
      <c r="E132" s="6" t="s">
        <v>16</v>
      </c>
      <c r="F132" s="6" t="s">
        <v>17</v>
      </c>
      <c r="G132" s="8" t="s">
        <v>297</v>
      </c>
      <c r="H132" s="6" t="s">
        <v>297</v>
      </c>
      <c r="I132" s="6"/>
      <c r="J132" s="6" t="s">
        <v>20</v>
      </c>
      <c r="K132" s="6" t="s">
        <v>298</v>
      </c>
      <c r="L132" s="6" t="s">
        <v>299</v>
      </c>
      <c r="M132" s="6" t="s">
        <v>300</v>
      </c>
      <c r="N132" s="6"/>
      <c r="O132" s="6"/>
      <c r="P132" s="6"/>
      <c r="Q132" s="6"/>
    </row>
    <row r="133" spans="2:17" ht="15.5" x14ac:dyDescent="0.35">
      <c r="B133" s="5" t="s">
        <v>301</v>
      </c>
      <c r="C133" s="6" t="s">
        <v>15</v>
      </c>
      <c r="D133" s="7">
        <v>42947</v>
      </c>
      <c r="E133" s="6" t="s">
        <v>16</v>
      </c>
      <c r="F133" s="6" t="s">
        <v>17</v>
      </c>
      <c r="G133" s="8" t="s">
        <v>297</v>
      </c>
      <c r="H133" s="6" t="s">
        <v>297</v>
      </c>
      <c r="I133" s="6"/>
      <c r="J133" s="6" t="s">
        <v>20</v>
      </c>
      <c r="K133" s="6" t="s">
        <v>302</v>
      </c>
      <c r="L133" s="6" t="s">
        <v>303</v>
      </c>
      <c r="M133" s="6" t="s">
        <v>197</v>
      </c>
      <c r="N133" s="6"/>
      <c r="O133" s="6"/>
      <c r="P133" s="6"/>
      <c r="Q133" s="6"/>
    </row>
    <row r="134" spans="2:17" ht="15.5" x14ac:dyDescent="0.35">
      <c r="B134" s="5" t="s">
        <v>304</v>
      </c>
      <c r="C134" s="6" t="s">
        <v>25</v>
      </c>
      <c r="D134" s="7">
        <v>42284</v>
      </c>
      <c r="E134" s="6" t="s">
        <v>16</v>
      </c>
      <c r="F134" s="6" t="s">
        <v>17</v>
      </c>
      <c r="G134" s="8" t="s">
        <v>297</v>
      </c>
      <c r="H134" s="6" t="s">
        <v>297</v>
      </c>
      <c r="I134" s="6"/>
      <c r="J134" s="6" t="s">
        <v>20</v>
      </c>
      <c r="K134" s="6" t="s">
        <v>302</v>
      </c>
      <c r="L134" s="6" t="s">
        <v>303</v>
      </c>
      <c r="M134" s="6" t="s">
        <v>197</v>
      </c>
      <c r="N134" s="6"/>
      <c r="O134" s="6"/>
      <c r="P134" s="6"/>
      <c r="Q134" s="6"/>
    </row>
    <row r="135" spans="2:17" ht="15.5" x14ac:dyDescent="0.35">
      <c r="B135" s="5" t="s">
        <v>305</v>
      </c>
      <c r="C135" s="6" t="s">
        <v>25</v>
      </c>
      <c r="D135" s="7">
        <v>41915</v>
      </c>
      <c r="E135" s="6" t="s">
        <v>34</v>
      </c>
      <c r="F135" s="6" t="s">
        <v>17</v>
      </c>
      <c r="G135" s="8" t="s">
        <v>297</v>
      </c>
      <c r="H135" s="6" t="s">
        <v>297</v>
      </c>
      <c r="I135" s="6"/>
      <c r="J135" s="6" t="s">
        <v>20</v>
      </c>
      <c r="K135" s="6" t="s">
        <v>298</v>
      </c>
      <c r="L135" s="6" t="s">
        <v>299</v>
      </c>
      <c r="M135" s="6" t="s">
        <v>300</v>
      </c>
      <c r="N135" s="6"/>
      <c r="O135" s="6"/>
      <c r="P135" s="6"/>
      <c r="Q135" s="6"/>
    </row>
    <row r="136" spans="2:17" ht="15.5" x14ac:dyDescent="0.35">
      <c r="B136" s="5" t="s">
        <v>306</v>
      </c>
      <c r="C136" s="6" t="s">
        <v>25</v>
      </c>
      <c r="D136" s="7">
        <v>41743</v>
      </c>
      <c r="E136" s="6" t="s">
        <v>34</v>
      </c>
      <c r="F136" s="6" t="s">
        <v>17</v>
      </c>
      <c r="G136" s="8" t="s">
        <v>297</v>
      </c>
      <c r="H136" s="6" t="s">
        <v>297</v>
      </c>
      <c r="I136" s="6"/>
      <c r="J136" s="6" t="s">
        <v>20</v>
      </c>
      <c r="K136" s="6" t="s">
        <v>307</v>
      </c>
      <c r="L136" s="6" t="s">
        <v>308</v>
      </c>
      <c r="M136" s="6" t="s">
        <v>309</v>
      </c>
      <c r="N136" s="6"/>
      <c r="O136" s="6"/>
      <c r="P136" s="6"/>
      <c r="Q136" s="6"/>
    </row>
    <row r="137" spans="2:17" ht="15.5" x14ac:dyDescent="0.35">
      <c r="B137" s="5" t="s">
        <v>310</v>
      </c>
      <c r="C137" s="6" t="s">
        <v>25</v>
      </c>
      <c r="D137" s="7">
        <v>41406</v>
      </c>
      <c r="E137" s="6" t="s">
        <v>34</v>
      </c>
      <c r="F137" s="6" t="s">
        <v>17</v>
      </c>
      <c r="G137" s="8" t="s">
        <v>297</v>
      </c>
      <c r="H137" s="6" t="s">
        <v>297</v>
      </c>
      <c r="I137" s="6"/>
      <c r="J137" s="6" t="s">
        <v>20</v>
      </c>
      <c r="K137" s="6" t="s">
        <v>87</v>
      </c>
      <c r="L137" s="6" t="s">
        <v>88</v>
      </c>
      <c r="M137" s="6" t="s">
        <v>89</v>
      </c>
      <c r="N137" s="6"/>
      <c r="O137" s="6"/>
      <c r="P137" s="6"/>
      <c r="Q137" s="6"/>
    </row>
    <row r="138" spans="2:17" ht="15.5" x14ac:dyDescent="0.35">
      <c r="B138" s="5" t="s">
        <v>311</v>
      </c>
      <c r="C138" s="6" t="s">
        <v>25</v>
      </c>
      <c r="D138" s="7">
        <v>41465</v>
      </c>
      <c r="E138" s="6" t="s">
        <v>34</v>
      </c>
      <c r="F138" s="6" t="s">
        <v>17</v>
      </c>
      <c r="G138" s="8" t="s">
        <v>297</v>
      </c>
      <c r="H138" s="6" t="s">
        <v>297</v>
      </c>
      <c r="I138" s="6"/>
      <c r="J138" s="6" t="s">
        <v>20</v>
      </c>
      <c r="K138" s="6" t="s">
        <v>276</v>
      </c>
      <c r="L138" s="6" t="s">
        <v>277</v>
      </c>
      <c r="M138" s="6" t="s">
        <v>278</v>
      </c>
      <c r="N138" s="6"/>
      <c r="O138" s="6"/>
      <c r="P138" s="6"/>
      <c r="Q138" s="6"/>
    </row>
    <row r="139" spans="2:17" ht="15.5" x14ac:dyDescent="0.35">
      <c r="B139" s="5" t="s">
        <v>301</v>
      </c>
      <c r="C139" s="6" t="s">
        <v>15</v>
      </c>
      <c r="D139" s="7">
        <v>42947</v>
      </c>
      <c r="E139" s="6" t="s">
        <v>16</v>
      </c>
      <c r="F139" s="6" t="s">
        <v>17</v>
      </c>
      <c r="G139" s="8" t="s">
        <v>297</v>
      </c>
      <c r="H139" s="6" t="s">
        <v>297</v>
      </c>
      <c r="I139" s="6"/>
      <c r="J139" s="6"/>
      <c r="K139" s="6"/>
      <c r="L139" s="6" t="s">
        <v>303</v>
      </c>
      <c r="M139" s="6" t="s">
        <v>197</v>
      </c>
      <c r="N139" s="6"/>
      <c r="O139" s="6"/>
      <c r="P139" s="6"/>
      <c r="Q139" s="6"/>
    </row>
    <row r="140" spans="2:17" ht="15.5" x14ac:dyDescent="0.35">
      <c r="B140" s="5" t="s">
        <v>304</v>
      </c>
      <c r="C140" s="6" t="s">
        <v>25</v>
      </c>
      <c r="D140" s="7">
        <v>42284</v>
      </c>
      <c r="E140" s="6" t="s">
        <v>16</v>
      </c>
      <c r="F140" s="6" t="s">
        <v>17</v>
      </c>
      <c r="G140" s="8" t="s">
        <v>297</v>
      </c>
      <c r="H140" s="6" t="s">
        <v>297</v>
      </c>
      <c r="I140" s="6"/>
      <c r="J140" s="6"/>
      <c r="K140" s="6"/>
      <c r="L140" s="6" t="s">
        <v>303</v>
      </c>
      <c r="M140" s="6" t="s">
        <v>197</v>
      </c>
      <c r="N140" s="6"/>
      <c r="O140" s="6"/>
      <c r="P140" s="6"/>
      <c r="Q140" s="6"/>
    </row>
    <row r="141" spans="2:17" ht="15.5" x14ac:dyDescent="0.35">
      <c r="B141" s="5" t="s">
        <v>305</v>
      </c>
      <c r="C141" s="6" t="s">
        <v>25</v>
      </c>
      <c r="D141" s="7">
        <v>41915</v>
      </c>
      <c r="E141" s="6" t="s">
        <v>34</v>
      </c>
      <c r="F141" s="6" t="s">
        <v>17</v>
      </c>
      <c r="G141" s="8" t="s">
        <v>297</v>
      </c>
      <c r="H141" s="6" t="s">
        <v>297</v>
      </c>
      <c r="I141" s="6"/>
      <c r="J141" s="6"/>
      <c r="K141" s="6"/>
      <c r="L141" s="6" t="s">
        <v>299</v>
      </c>
      <c r="M141" s="6" t="s">
        <v>300</v>
      </c>
      <c r="N141" s="6"/>
      <c r="O141" s="6"/>
      <c r="P141" s="6"/>
      <c r="Q141" s="6"/>
    </row>
    <row r="142" spans="2:17" ht="15.5" x14ac:dyDescent="0.35">
      <c r="B142" s="5" t="s">
        <v>306</v>
      </c>
      <c r="C142" s="6" t="s">
        <v>25</v>
      </c>
      <c r="D142" s="7">
        <v>41743</v>
      </c>
      <c r="E142" s="6" t="s">
        <v>34</v>
      </c>
      <c r="F142" s="6" t="s">
        <v>17</v>
      </c>
      <c r="G142" s="8" t="s">
        <v>297</v>
      </c>
      <c r="H142" s="6" t="s">
        <v>297</v>
      </c>
      <c r="I142" s="6"/>
      <c r="J142" s="6"/>
      <c r="K142" s="6"/>
      <c r="L142" s="6" t="s">
        <v>308</v>
      </c>
      <c r="M142" s="6" t="s">
        <v>309</v>
      </c>
      <c r="N142" s="6"/>
      <c r="O142" s="6"/>
      <c r="P142" s="6"/>
      <c r="Q142" s="6"/>
    </row>
    <row r="143" spans="2:17" ht="15.5" x14ac:dyDescent="0.35">
      <c r="B143" s="5" t="s">
        <v>310</v>
      </c>
      <c r="C143" s="6" t="s">
        <v>25</v>
      </c>
      <c r="D143" s="7">
        <v>41406</v>
      </c>
      <c r="E143" s="6" t="s">
        <v>34</v>
      </c>
      <c r="F143" s="6" t="s">
        <v>17</v>
      </c>
      <c r="G143" s="8" t="s">
        <v>297</v>
      </c>
      <c r="H143" s="6" t="s">
        <v>297</v>
      </c>
      <c r="I143" s="6"/>
      <c r="J143" s="6"/>
      <c r="K143" s="6"/>
      <c r="L143" s="6" t="s">
        <v>88</v>
      </c>
      <c r="M143" s="6" t="s">
        <v>89</v>
      </c>
      <c r="N143" s="6"/>
      <c r="O143" s="6"/>
      <c r="P143" s="6"/>
      <c r="Q143" s="6"/>
    </row>
    <row r="144" spans="2:17" ht="15.5" x14ac:dyDescent="0.35">
      <c r="B144" s="5" t="s">
        <v>311</v>
      </c>
      <c r="C144" s="6" t="s">
        <v>25</v>
      </c>
      <c r="D144" s="7">
        <v>41465</v>
      </c>
      <c r="E144" s="6" t="s">
        <v>34</v>
      </c>
      <c r="F144" s="6" t="s">
        <v>17</v>
      </c>
      <c r="G144" s="8" t="s">
        <v>297</v>
      </c>
      <c r="H144" s="6" t="s">
        <v>297</v>
      </c>
      <c r="I144" s="6"/>
      <c r="J144" s="6"/>
      <c r="K144" s="6"/>
      <c r="L144" s="6" t="s">
        <v>277</v>
      </c>
      <c r="M144" s="6" t="s">
        <v>278</v>
      </c>
      <c r="N144" s="6"/>
      <c r="O144" s="6"/>
      <c r="P144" s="6"/>
      <c r="Q144" s="6"/>
    </row>
    <row r="145" spans="2:17" ht="15.5" x14ac:dyDescent="0.35">
      <c r="B145" s="5" t="s">
        <v>312</v>
      </c>
      <c r="C145" s="6" t="s">
        <v>15</v>
      </c>
      <c r="D145" s="7">
        <v>43496</v>
      </c>
      <c r="E145" s="6" t="s">
        <v>41</v>
      </c>
      <c r="F145" s="6" t="s">
        <v>17</v>
      </c>
      <c r="G145" s="8" t="s">
        <v>313</v>
      </c>
      <c r="H145" s="6" t="s">
        <v>313</v>
      </c>
      <c r="I145" s="6"/>
      <c r="J145" s="6" t="s">
        <v>20</v>
      </c>
      <c r="K145" s="6" t="s">
        <v>314</v>
      </c>
      <c r="L145" s="6" t="s">
        <v>315</v>
      </c>
      <c r="M145" s="6" t="s">
        <v>118</v>
      </c>
      <c r="N145" s="6"/>
      <c r="O145" s="6"/>
      <c r="P145" s="6"/>
      <c r="Q145" s="6"/>
    </row>
    <row r="146" spans="2:17" ht="15.5" x14ac:dyDescent="0.35">
      <c r="B146" s="5" t="s">
        <v>316</v>
      </c>
      <c r="C146" s="6" t="s">
        <v>25</v>
      </c>
      <c r="D146" s="7">
        <v>44025</v>
      </c>
      <c r="E146" s="6" t="s">
        <v>41</v>
      </c>
      <c r="F146" s="6" t="s">
        <v>17</v>
      </c>
      <c r="G146" s="8" t="s">
        <v>313</v>
      </c>
      <c r="H146" s="6" t="s">
        <v>313</v>
      </c>
      <c r="I146" s="6"/>
      <c r="J146" s="6" t="s">
        <v>20</v>
      </c>
      <c r="K146" s="6" t="s">
        <v>317</v>
      </c>
      <c r="L146" s="6" t="s">
        <v>318</v>
      </c>
      <c r="M146" s="6" t="s">
        <v>319</v>
      </c>
      <c r="N146" s="6"/>
      <c r="O146" s="6"/>
      <c r="P146" s="6"/>
      <c r="Q146" s="6"/>
    </row>
    <row r="147" spans="2:17" ht="15.5" x14ac:dyDescent="0.35">
      <c r="B147" s="5" t="s">
        <v>320</v>
      </c>
      <c r="C147" s="6" t="s">
        <v>15</v>
      </c>
      <c r="D147" s="7">
        <v>42195</v>
      </c>
      <c r="E147" s="6" t="s">
        <v>16</v>
      </c>
      <c r="F147" s="6" t="s">
        <v>17</v>
      </c>
      <c r="G147" s="8" t="s">
        <v>313</v>
      </c>
      <c r="H147" s="6" t="s">
        <v>313</v>
      </c>
      <c r="I147" s="6"/>
      <c r="J147" s="6" t="s">
        <v>20</v>
      </c>
      <c r="K147" s="6" t="s">
        <v>321</v>
      </c>
      <c r="L147" s="6" t="s">
        <v>322</v>
      </c>
      <c r="M147" s="6" t="s">
        <v>118</v>
      </c>
      <c r="N147" s="6"/>
      <c r="O147" s="6"/>
      <c r="P147" s="6"/>
      <c r="Q147" s="6"/>
    </row>
    <row r="148" spans="2:17" ht="15.5" x14ac:dyDescent="0.35">
      <c r="B148" s="5" t="s">
        <v>323</v>
      </c>
      <c r="C148" s="6" t="s">
        <v>25</v>
      </c>
      <c r="D148" s="7">
        <v>42470</v>
      </c>
      <c r="E148" s="6" t="s">
        <v>16</v>
      </c>
      <c r="F148" s="6" t="s">
        <v>17</v>
      </c>
      <c r="G148" s="8" t="s">
        <v>313</v>
      </c>
      <c r="H148" s="6" t="s">
        <v>313</v>
      </c>
      <c r="I148" s="6"/>
      <c r="J148" s="6" t="s">
        <v>20</v>
      </c>
      <c r="K148" s="6" t="s">
        <v>324</v>
      </c>
      <c r="L148" s="6" t="s">
        <v>325</v>
      </c>
      <c r="M148" s="6" t="s">
        <v>326</v>
      </c>
      <c r="N148" s="6"/>
      <c r="O148" s="6"/>
      <c r="P148" s="6"/>
      <c r="Q148" s="6"/>
    </row>
    <row r="149" spans="2:17" ht="15.5" x14ac:dyDescent="0.35">
      <c r="B149" s="5" t="s">
        <v>327</v>
      </c>
      <c r="C149" s="6" t="s">
        <v>25</v>
      </c>
      <c r="D149" s="7">
        <v>41492</v>
      </c>
      <c r="E149" s="6" t="s">
        <v>34</v>
      </c>
      <c r="F149" s="6" t="s">
        <v>17</v>
      </c>
      <c r="G149" s="8" t="s">
        <v>313</v>
      </c>
      <c r="H149" s="6" t="s">
        <v>313</v>
      </c>
      <c r="I149" s="6"/>
      <c r="J149" s="6" t="s">
        <v>20</v>
      </c>
      <c r="K149" s="6" t="s">
        <v>328</v>
      </c>
      <c r="L149" s="6" t="s">
        <v>329</v>
      </c>
      <c r="M149" s="6" t="s">
        <v>319</v>
      </c>
      <c r="N149" s="6"/>
      <c r="O149" s="6"/>
      <c r="P149" s="6"/>
      <c r="Q149" s="6"/>
    </row>
    <row r="150" spans="2:17" ht="15.5" x14ac:dyDescent="0.35">
      <c r="B150" s="5" t="s">
        <v>330</v>
      </c>
      <c r="C150" s="6" t="s">
        <v>25</v>
      </c>
      <c r="D150" s="7">
        <v>41654</v>
      </c>
      <c r="E150" s="6" t="s">
        <v>34</v>
      </c>
      <c r="F150" s="6" t="s">
        <v>17</v>
      </c>
      <c r="G150" s="8" t="s">
        <v>313</v>
      </c>
      <c r="H150" s="6" t="s">
        <v>313</v>
      </c>
      <c r="I150" s="6"/>
      <c r="J150" s="6" t="s">
        <v>20</v>
      </c>
      <c r="K150" s="6" t="s">
        <v>331</v>
      </c>
      <c r="L150" s="6" t="s">
        <v>332</v>
      </c>
      <c r="M150" s="6" t="s">
        <v>111</v>
      </c>
      <c r="N150" s="6"/>
      <c r="O150" s="6"/>
      <c r="P150" s="6"/>
      <c r="Q150" s="6"/>
    </row>
    <row r="151" spans="2:17" ht="15.5" x14ac:dyDescent="0.35">
      <c r="B151" s="5" t="s">
        <v>327</v>
      </c>
      <c r="C151" s="6" t="s">
        <v>25</v>
      </c>
      <c r="D151" s="7">
        <v>41492</v>
      </c>
      <c r="E151" s="6" t="s">
        <v>34</v>
      </c>
      <c r="F151" s="6" t="s">
        <v>17</v>
      </c>
      <c r="G151" s="8" t="s">
        <v>313</v>
      </c>
      <c r="H151" s="6" t="s">
        <v>313</v>
      </c>
      <c r="I151" s="6"/>
      <c r="J151" s="6"/>
      <c r="K151" s="6"/>
      <c r="L151" s="6" t="s">
        <v>329</v>
      </c>
      <c r="M151" s="6" t="s">
        <v>319</v>
      </c>
      <c r="N151" s="6"/>
      <c r="O151" s="6"/>
      <c r="P151" s="6"/>
      <c r="Q151" s="6"/>
    </row>
    <row r="152" spans="2:17" ht="15.5" x14ac:dyDescent="0.35">
      <c r="B152" s="5" t="s">
        <v>330</v>
      </c>
      <c r="C152" s="6" t="s">
        <v>25</v>
      </c>
      <c r="D152" s="7">
        <v>41654</v>
      </c>
      <c r="E152" s="6" t="s">
        <v>34</v>
      </c>
      <c r="F152" s="6" t="s">
        <v>17</v>
      </c>
      <c r="G152" s="8" t="s">
        <v>313</v>
      </c>
      <c r="H152" s="6" t="s">
        <v>313</v>
      </c>
      <c r="I152" s="6"/>
      <c r="J152" s="6"/>
      <c r="K152" s="6"/>
      <c r="L152" s="6" t="s">
        <v>332</v>
      </c>
      <c r="M152" s="6" t="s">
        <v>111</v>
      </c>
      <c r="N152" s="6"/>
      <c r="O152" s="6"/>
      <c r="P152" s="6"/>
      <c r="Q152" s="6"/>
    </row>
    <row r="153" spans="2:17" ht="15.5" x14ac:dyDescent="0.35">
      <c r="B153" s="5" t="s">
        <v>333</v>
      </c>
      <c r="C153" s="6" t="s">
        <v>15</v>
      </c>
      <c r="D153" s="7">
        <v>42759</v>
      </c>
      <c r="E153" s="6" t="s">
        <v>16</v>
      </c>
      <c r="F153" s="6" t="s">
        <v>17</v>
      </c>
      <c r="G153" s="8" t="s">
        <v>334</v>
      </c>
      <c r="H153" s="6" t="s">
        <v>335</v>
      </c>
      <c r="I153" s="6"/>
      <c r="J153" s="6" t="s">
        <v>20</v>
      </c>
      <c r="K153" s="6" t="s">
        <v>336</v>
      </c>
      <c r="L153" s="6" t="s">
        <v>337</v>
      </c>
      <c r="M153" s="6" t="s">
        <v>338</v>
      </c>
      <c r="N153" s="6"/>
      <c r="O153" s="6"/>
      <c r="P153" s="6"/>
      <c r="Q153" s="6"/>
    </row>
    <row r="154" spans="2:17" ht="15.5" x14ac:dyDescent="0.35">
      <c r="B154" s="5" t="s">
        <v>339</v>
      </c>
      <c r="C154" s="6" t="s">
        <v>25</v>
      </c>
      <c r="D154" s="7">
        <v>42014</v>
      </c>
      <c r="E154" s="6" t="s">
        <v>16</v>
      </c>
      <c r="F154" s="6" t="s">
        <v>17</v>
      </c>
      <c r="G154" s="8" t="s">
        <v>334</v>
      </c>
      <c r="H154" s="6" t="s">
        <v>335</v>
      </c>
      <c r="I154" s="6"/>
      <c r="J154" s="6" t="s">
        <v>20</v>
      </c>
      <c r="K154" s="6" t="s">
        <v>336</v>
      </c>
      <c r="L154" s="6" t="s">
        <v>337</v>
      </c>
      <c r="M154" s="6" t="s">
        <v>338</v>
      </c>
      <c r="N154" s="6"/>
      <c r="O154" s="6"/>
      <c r="P154" s="6"/>
      <c r="Q154" s="6"/>
    </row>
    <row r="155" spans="2:17" ht="15.5" x14ac:dyDescent="0.35">
      <c r="B155" s="5" t="s">
        <v>333</v>
      </c>
      <c r="C155" s="6" t="s">
        <v>15</v>
      </c>
      <c r="D155" s="7">
        <v>42759</v>
      </c>
      <c r="E155" s="6" t="s">
        <v>16</v>
      </c>
      <c r="F155" s="6" t="s">
        <v>17</v>
      </c>
      <c r="G155" s="8" t="s">
        <v>334</v>
      </c>
      <c r="H155" s="6" t="s">
        <v>335</v>
      </c>
      <c r="I155" s="6"/>
      <c r="J155" s="6"/>
      <c r="K155" s="6"/>
      <c r="L155" s="6" t="s">
        <v>337</v>
      </c>
      <c r="M155" s="6" t="s">
        <v>338</v>
      </c>
      <c r="N155" s="6"/>
      <c r="O155" s="6"/>
      <c r="P155" s="6"/>
      <c r="Q155" s="6"/>
    </row>
    <row r="156" spans="2:17" ht="15.5" x14ac:dyDescent="0.35">
      <c r="B156" s="5" t="s">
        <v>339</v>
      </c>
      <c r="C156" s="6" t="s">
        <v>25</v>
      </c>
      <c r="D156" s="7">
        <v>42014</v>
      </c>
      <c r="E156" s="6" t="s">
        <v>16</v>
      </c>
      <c r="F156" s="6" t="s">
        <v>17</v>
      </c>
      <c r="G156" s="8" t="s">
        <v>334</v>
      </c>
      <c r="H156" s="6" t="s">
        <v>335</v>
      </c>
      <c r="I156" s="6"/>
      <c r="J156" s="6"/>
      <c r="K156" s="6"/>
      <c r="L156" s="6" t="s">
        <v>337</v>
      </c>
      <c r="M156" s="6" t="s">
        <v>338</v>
      </c>
      <c r="N156" s="6"/>
      <c r="O156" s="6"/>
      <c r="P156" s="6"/>
      <c r="Q156" s="6"/>
    </row>
    <row r="157" spans="2:17" ht="15.5" x14ac:dyDescent="0.35">
      <c r="B157" s="5" t="s">
        <v>340</v>
      </c>
      <c r="C157" s="6" t="s">
        <v>15</v>
      </c>
      <c r="D157" s="7">
        <v>41187</v>
      </c>
      <c r="E157" s="6" t="s">
        <v>280</v>
      </c>
      <c r="F157" s="6" t="s">
        <v>157</v>
      </c>
      <c r="G157" s="8" t="s">
        <v>341</v>
      </c>
      <c r="H157" s="6" t="s">
        <v>341</v>
      </c>
      <c r="I157" s="6"/>
      <c r="J157" s="6" t="s">
        <v>20</v>
      </c>
      <c r="K157" s="6" t="s">
        <v>342</v>
      </c>
      <c r="L157" s="6" t="s">
        <v>343</v>
      </c>
      <c r="M157" s="6" t="s">
        <v>344</v>
      </c>
      <c r="N157" s="6"/>
      <c r="O157" s="6"/>
      <c r="P157" s="6"/>
      <c r="Q157" s="6"/>
    </row>
    <row r="158" spans="2:17" ht="15.5" x14ac:dyDescent="0.35">
      <c r="B158" s="5" t="s">
        <v>345</v>
      </c>
      <c r="C158" s="6" t="s">
        <v>25</v>
      </c>
      <c r="D158" s="7">
        <v>40844</v>
      </c>
      <c r="E158" s="6" t="s">
        <v>280</v>
      </c>
      <c r="F158" s="6" t="s">
        <v>157</v>
      </c>
      <c r="G158" s="8" t="s">
        <v>341</v>
      </c>
      <c r="H158" s="6" t="s">
        <v>341</v>
      </c>
      <c r="I158" s="6"/>
      <c r="J158" s="6" t="s">
        <v>20</v>
      </c>
      <c r="K158" s="6" t="s">
        <v>346</v>
      </c>
      <c r="L158" s="6" t="s">
        <v>347</v>
      </c>
      <c r="M158" s="6" t="s">
        <v>348</v>
      </c>
      <c r="N158" s="6"/>
      <c r="O158" s="6"/>
      <c r="P158" s="6"/>
      <c r="Q158" s="6"/>
    </row>
    <row r="159" spans="2:17" ht="15.5" x14ac:dyDescent="0.35">
      <c r="B159" s="5" t="s">
        <v>349</v>
      </c>
      <c r="C159" s="6" t="s">
        <v>25</v>
      </c>
      <c r="D159" s="7">
        <v>41173</v>
      </c>
      <c r="E159" s="6" t="s">
        <v>280</v>
      </c>
      <c r="F159" s="6" t="s">
        <v>157</v>
      </c>
      <c r="G159" s="8" t="s">
        <v>341</v>
      </c>
      <c r="H159" s="6" t="s">
        <v>341</v>
      </c>
      <c r="I159" s="6"/>
      <c r="J159" s="6" t="s">
        <v>20</v>
      </c>
      <c r="K159" s="6" t="s">
        <v>350</v>
      </c>
      <c r="L159" s="6" t="s">
        <v>351</v>
      </c>
      <c r="M159" s="6" t="s">
        <v>197</v>
      </c>
      <c r="N159" s="6"/>
      <c r="O159" s="6"/>
      <c r="P159" s="6"/>
      <c r="Q159" s="6"/>
    </row>
    <row r="160" spans="2:17" ht="15.5" x14ac:dyDescent="0.35">
      <c r="B160" s="5" t="s">
        <v>352</v>
      </c>
      <c r="C160" s="6" t="s">
        <v>15</v>
      </c>
      <c r="D160" s="7">
        <v>43026</v>
      </c>
      <c r="E160" s="6" t="s">
        <v>16</v>
      </c>
      <c r="F160" s="6" t="s">
        <v>17</v>
      </c>
      <c r="G160" s="8" t="s">
        <v>341</v>
      </c>
      <c r="H160" s="6" t="s">
        <v>341</v>
      </c>
      <c r="I160" s="6"/>
      <c r="J160" s="6" t="s">
        <v>20</v>
      </c>
      <c r="K160" s="6" t="s">
        <v>353</v>
      </c>
      <c r="L160" s="6" t="s">
        <v>354</v>
      </c>
      <c r="M160" s="6" t="s">
        <v>355</v>
      </c>
      <c r="N160" s="6"/>
      <c r="O160" s="6"/>
      <c r="P160" s="6"/>
      <c r="Q160" s="6"/>
    </row>
    <row r="161" spans="2:17" ht="15.5" x14ac:dyDescent="0.35">
      <c r="B161" s="5" t="s">
        <v>356</v>
      </c>
      <c r="C161" s="6" t="s">
        <v>25</v>
      </c>
      <c r="D161" s="7">
        <v>42618</v>
      </c>
      <c r="E161" s="6" t="s">
        <v>16</v>
      </c>
      <c r="F161" s="6" t="s">
        <v>17</v>
      </c>
      <c r="G161" s="8" t="s">
        <v>341</v>
      </c>
      <c r="H161" s="6" t="s">
        <v>341</v>
      </c>
      <c r="I161" s="6"/>
      <c r="J161" s="6" t="s">
        <v>20</v>
      </c>
      <c r="K161" s="6" t="s">
        <v>357</v>
      </c>
      <c r="L161" s="6" t="s">
        <v>358</v>
      </c>
      <c r="M161" s="6" t="s">
        <v>355</v>
      </c>
      <c r="N161" s="6"/>
      <c r="O161" s="6"/>
      <c r="P161" s="6"/>
      <c r="Q161" s="6"/>
    </row>
    <row r="162" spans="2:17" ht="15.5" x14ac:dyDescent="0.35">
      <c r="B162" s="5" t="s">
        <v>359</v>
      </c>
      <c r="C162" s="6" t="s">
        <v>15</v>
      </c>
      <c r="D162" s="7">
        <v>42501</v>
      </c>
      <c r="E162" s="6" t="s">
        <v>16</v>
      </c>
      <c r="F162" s="6" t="s">
        <v>17</v>
      </c>
      <c r="G162" s="8" t="s">
        <v>341</v>
      </c>
      <c r="H162" s="6" t="s">
        <v>341</v>
      </c>
      <c r="I162" s="6"/>
      <c r="J162" s="6" t="s">
        <v>20</v>
      </c>
      <c r="K162" s="6" t="s">
        <v>360</v>
      </c>
      <c r="L162" s="6" t="s">
        <v>361</v>
      </c>
      <c r="M162" s="6" t="s">
        <v>362</v>
      </c>
      <c r="N162" s="6"/>
      <c r="O162" s="6"/>
      <c r="P162" s="6"/>
      <c r="Q162" s="6"/>
    </row>
    <row r="163" spans="2:17" ht="15.5" x14ac:dyDescent="0.35">
      <c r="B163" s="5" t="s">
        <v>363</v>
      </c>
      <c r="C163" s="6" t="s">
        <v>25</v>
      </c>
      <c r="D163" s="7">
        <v>41615</v>
      </c>
      <c r="E163" s="6" t="s">
        <v>34</v>
      </c>
      <c r="F163" s="6" t="s">
        <v>17</v>
      </c>
      <c r="G163" s="8" t="s">
        <v>341</v>
      </c>
      <c r="H163" s="6" t="s">
        <v>341</v>
      </c>
      <c r="I163" s="6"/>
      <c r="J163" s="6" t="s">
        <v>20</v>
      </c>
      <c r="K163" s="6" t="s">
        <v>364</v>
      </c>
      <c r="L163" s="6" t="s">
        <v>361</v>
      </c>
      <c r="M163" s="6" t="s">
        <v>362</v>
      </c>
      <c r="N163" s="6"/>
      <c r="O163" s="6"/>
      <c r="P163" s="6"/>
      <c r="Q163" s="6"/>
    </row>
    <row r="164" spans="2:17" ht="15.5" x14ac:dyDescent="0.35">
      <c r="B164" s="5" t="s">
        <v>365</v>
      </c>
      <c r="C164" s="6" t="s">
        <v>25</v>
      </c>
      <c r="D164" s="7">
        <v>41748</v>
      </c>
      <c r="E164" s="6" t="s">
        <v>34</v>
      </c>
      <c r="F164" s="6" t="s">
        <v>17</v>
      </c>
      <c r="G164" s="8" t="s">
        <v>341</v>
      </c>
      <c r="H164" s="6" t="s">
        <v>341</v>
      </c>
      <c r="I164" s="6"/>
      <c r="J164" s="6" t="s">
        <v>20</v>
      </c>
      <c r="K164" s="6" t="s">
        <v>366</v>
      </c>
      <c r="L164" s="6" t="s">
        <v>367</v>
      </c>
      <c r="M164" s="6" t="s">
        <v>355</v>
      </c>
      <c r="N164" s="6"/>
      <c r="O164" s="6"/>
      <c r="P164" s="6"/>
      <c r="Q164" s="6"/>
    </row>
    <row r="165" spans="2:17" ht="15.5" x14ac:dyDescent="0.35">
      <c r="B165" s="5" t="s">
        <v>359</v>
      </c>
      <c r="C165" s="6" t="s">
        <v>15</v>
      </c>
      <c r="D165" s="7">
        <v>42501</v>
      </c>
      <c r="E165" s="6" t="s">
        <v>16</v>
      </c>
      <c r="F165" s="6" t="s">
        <v>17</v>
      </c>
      <c r="G165" s="8" t="s">
        <v>341</v>
      </c>
      <c r="H165" s="6" t="s">
        <v>341</v>
      </c>
      <c r="I165" s="6"/>
      <c r="J165" s="6"/>
      <c r="K165" s="6"/>
      <c r="L165" s="6" t="s">
        <v>361</v>
      </c>
      <c r="M165" s="6" t="s">
        <v>362</v>
      </c>
      <c r="N165" s="6"/>
      <c r="O165" s="6"/>
      <c r="P165" s="6"/>
      <c r="Q165" s="6"/>
    </row>
    <row r="166" spans="2:17" ht="15.5" x14ac:dyDescent="0.35">
      <c r="B166" s="5" t="s">
        <v>363</v>
      </c>
      <c r="C166" s="6" t="s">
        <v>25</v>
      </c>
      <c r="D166" s="7">
        <v>41615</v>
      </c>
      <c r="E166" s="6" t="s">
        <v>34</v>
      </c>
      <c r="F166" s="6" t="s">
        <v>17</v>
      </c>
      <c r="G166" s="8" t="s">
        <v>341</v>
      </c>
      <c r="H166" s="6" t="s">
        <v>341</v>
      </c>
      <c r="I166" s="6"/>
      <c r="J166" s="6"/>
      <c r="K166" s="6"/>
      <c r="L166" s="6" t="s">
        <v>361</v>
      </c>
      <c r="M166" s="6" t="s">
        <v>362</v>
      </c>
      <c r="N166" s="6"/>
      <c r="O166" s="6"/>
      <c r="P166" s="6"/>
      <c r="Q166" s="6"/>
    </row>
    <row r="167" spans="2:17" ht="15.5" x14ac:dyDescent="0.35">
      <c r="B167" s="5" t="s">
        <v>365</v>
      </c>
      <c r="C167" s="6" t="s">
        <v>25</v>
      </c>
      <c r="D167" s="7">
        <v>41748</v>
      </c>
      <c r="E167" s="6" t="s">
        <v>34</v>
      </c>
      <c r="F167" s="6" t="s">
        <v>17</v>
      </c>
      <c r="G167" s="8" t="s">
        <v>341</v>
      </c>
      <c r="H167" s="6" t="s">
        <v>341</v>
      </c>
      <c r="I167" s="6"/>
      <c r="J167" s="6"/>
      <c r="K167" s="6"/>
      <c r="L167" s="6" t="s">
        <v>367</v>
      </c>
      <c r="M167" s="6" t="s">
        <v>355</v>
      </c>
      <c r="N167" s="6"/>
      <c r="O167" s="6"/>
      <c r="P167" s="6"/>
      <c r="Q167" s="6"/>
    </row>
    <row r="168" spans="2:17" ht="15.5" x14ac:dyDescent="0.35">
      <c r="B168" s="5" t="s">
        <v>368</v>
      </c>
      <c r="C168" s="6" t="s">
        <v>25</v>
      </c>
      <c r="D168" s="7">
        <v>43510</v>
      </c>
      <c r="E168" s="6" t="s">
        <v>41</v>
      </c>
      <c r="F168" s="6" t="s">
        <v>17</v>
      </c>
      <c r="G168" s="8" t="s">
        <v>369</v>
      </c>
      <c r="H168" s="6" t="s">
        <v>370</v>
      </c>
      <c r="I168" s="6"/>
      <c r="J168" s="6" t="s">
        <v>20</v>
      </c>
      <c r="K168" s="6" t="s">
        <v>371</v>
      </c>
      <c r="L168" s="6" t="s">
        <v>372</v>
      </c>
      <c r="M168" s="6" t="s">
        <v>373</v>
      </c>
      <c r="N168" s="6"/>
      <c r="O168" s="6"/>
      <c r="P168" s="6"/>
      <c r="Q168" s="6"/>
    </row>
    <row r="169" spans="2:17" ht="15.5" x14ac:dyDescent="0.35">
      <c r="B169" s="5" t="s">
        <v>374</v>
      </c>
      <c r="C169" s="6" t="s">
        <v>15</v>
      </c>
      <c r="D169" s="7">
        <v>41120</v>
      </c>
      <c r="E169" s="6" t="s">
        <v>280</v>
      </c>
      <c r="F169" s="6" t="s">
        <v>157</v>
      </c>
      <c r="G169" s="8" t="s">
        <v>375</v>
      </c>
      <c r="H169" s="6" t="s">
        <v>370</v>
      </c>
      <c r="I169" s="6"/>
      <c r="J169" s="6" t="s">
        <v>20</v>
      </c>
      <c r="K169" s="6" t="s">
        <v>376</v>
      </c>
      <c r="L169" s="6" t="s">
        <v>377</v>
      </c>
      <c r="M169" s="6" t="s">
        <v>101</v>
      </c>
      <c r="N169" s="6"/>
      <c r="O169" s="6"/>
      <c r="P169" s="6"/>
      <c r="Q169" s="6"/>
    </row>
    <row r="170" spans="2:17" ht="15.5" x14ac:dyDescent="0.35">
      <c r="B170" s="5" t="s">
        <v>378</v>
      </c>
      <c r="C170" s="6" t="s">
        <v>15</v>
      </c>
      <c r="D170" s="7">
        <v>41163</v>
      </c>
      <c r="E170" s="6" t="s">
        <v>280</v>
      </c>
      <c r="F170" s="6" t="s">
        <v>157</v>
      </c>
      <c r="G170" s="8" t="s">
        <v>375</v>
      </c>
      <c r="H170" s="6" t="s">
        <v>375</v>
      </c>
      <c r="I170" s="6"/>
      <c r="J170" s="6" t="s">
        <v>20</v>
      </c>
      <c r="K170" s="6"/>
      <c r="L170" s="6" t="s">
        <v>379</v>
      </c>
      <c r="M170" s="6" t="s">
        <v>380</v>
      </c>
      <c r="N170" s="6"/>
      <c r="O170" s="6"/>
      <c r="P170" s="6"/>
      <c r="Q170" s="6"/>
    </row>
    <row r="171" spans="2:17" ht="15.5" x14ac:dyDescent="0.35">
      <c r="B171" s="5" t="s">
        <v>381</v>
      </c>
      <c r="C171" s="6" t="s">
        <v>25</v>
      </c>
      <c r="D171" s="7">
        <v>40690</v>
      </c>
      <c r="E171" s="6" t="s">
        <v>280</v>
      </c>
      <c r="F171" s="6" t="s">
        <v>157</v>
      </c>
      <c r="G171" s="8" t="s">
        <v>375</v>
      </c>
      <c r="H171" s="6" t="s">
        <v>375</v>
      </c>
      <c r="I171" s="6"/>
      <c r="J171" s="6" t="s">
        <v>20</v>
      </c>
      <c r="K171" s="6" t="s">
        <v>382</v>
      </c>
      <c r="L171" s="6" t="s">
        <v>383</v>
      </c>
      <c r="M171" s="6" t="s">
        <v>380</v>
      </c>
      <c r="N171" s="6"/>
      <c r="O171" s="6"/>
      <c r="P171" s="6"/>
      <c r="Q171" s="6"/>
    </row>
    <row r="172" spans="2:17" ht="15.5" x14ac:dyDescent="0.35">
      <c r="B172" s="5" t="s">
        <v>384</v>
      </c>
      <c r="C172" s="6" t="s">
        <v>15</v>
      </c>
      <c r="D172" s="7">
        <v>40600</v>
      </c>
      <c r="E172" s="6" t="s">
        <v>280</v>
      </c>
      <c r="F172" s="6" t="s">
        <v>157</v>
      </c>
      <c r="G172" s="8" t="s">
        <v>375</v>
      </c>
      <c r="H172" s="6" t="s">
        <v>375</v>
      </c>
      <c r="I172" s="6"/>
      <c r="J172" s="6" t="s">
        <v>20</v>
      </c>
      <c r="K172" s="6"/>
      <c r="L172" s="6" t="s">
        <v>385</v>
      </c>
      <c r="M172" s="6" t="s">
        <v>386</v>
      </c>
      <c r="N172" s="6"/>
      <c r="O172" s="6"/>
      <c r="P172" s="6"/>
      <c r="Q172" s="6"/>
    </row>
    <row r="173" spans="2:17" ht="15.5" x14ac:dyDescent="0.35">
      <c r="B173" s="5" t="s">
        <v>387</v>
      </c>
      <c r="C173" s="6" t="s">
        <v>25</v>
      </c>
      <c r="D173" s="7">
        <v>41071</v>
      </c>
      <c r="E173" s="6" t="s">
        <v>280</v>
      </c>
      <c r="F173" s="6" t="s">
        <v>157</v>
      </c>
      <c r="G173" s="8" t="s">
        <v>375</v>
      </c>
      <c r="H173" s="6" t="s">
        <v>375</v>
      </c>
      <c r="I173" s="6"/>
      <c r="J173" s="6" t="s">
        <v>20</v>
      </c>
      <c r="K173" s="6" t="s">
        <v>388</v>
      </c>
      <c r="L173" s="6" t="s">
        <v>389</v>
      </c>
      <c r="M173" s="6" t="s">
        <v>390</v>
      </c>
      <c r="N173" s="6"/>
      <c r="O173" s="6"/>
      <c r="P173" s="6"/>
      <c r="Q173" s="6"/>
    </row>
    <row r="174" spans="2:17" ht="15.5" x14ac:dyDescent="0.35">
      <c r="B174" s="5" t="s">
        <v>391</v>
      </c>
      <c r="C174" s="6" t="s">
        <v>25</v>
      </c>
      <c r="D174" s="7">
        <v>41184</v>
      </c>
      <c r="E174" s="6" t="s">
        <v>280</v>
      </c>
      <c r="F174" s="6" t="s">
        <v>157</v>
      </c>
      <c r="G174" s="8" t="s">
        <v>375</v>
      </c>
      <c r="H174" s="6" t="s">
        <v>375</v>
      </c>
      <c r="I174" s="6"/>
      <c r="J174" s="6" t="s">
        <v>20</v>
      </c>
      <c r="K174" s="6" t="s">
        <v>392</v>
      </c>
      <c r="L174" s="6" t="s">
        <v>393</v>
      </c>
      <c r="M174" s="6" t="s">
        <v>380</v>
      </c>
      <c r="N174" s="6"/>
      <c r="O174" s="6"/>
      <c r="P174" s="6"/>
      <c r="Q174" s="6"/>
    </row>
    <row r="175" spans="2:17" ht="15.5" x14ac:dyDescent="0.35">
      <c r="B175" s="5" t="s">
        <v>394</v>
      </c>
      <c r="C175" s="6" t="s">
        <v>25</v>
      </c>
      <c r="D175" s="7">
        <v>41202</v>
      </c>
      <c r="E175" s="6" t="s">
        <v>280</v>
      </c>
      <c r="F175" s="6" t="s">
        <v>157</v>
      </c>
      <c r="G175" s="8" t="s">
        <v>375</v>
      </c>
      <c r="H175" s="6" t="s">
        <v>375</v>
      </c>
      <c r="I175" s="6"/>
      <c r="J175" s="6" t="s">
        <v>20</v>
      </c>
      <c r="K175" s="6" t="s">
        <v>395</v>
      </c>
      <c r="L175" s="6" t="s">
        <v>396</v>
      </c>
      <c r="M175" s="6" t="s">
        <v>380</v>
      </c>
      <c r="N175" s="6"/>
      <c r="O175" s="6"/>
      <c r="P175" s="6"/>
      <c r="Q175" s="6"/>
    </row>
    <row r="176" spans="2:17" ht="15.5" x14ac:dyDescent="0.35">
      <c r="B176" s="5" t="s">
        <v>397</v>
      </c>
      <c r="C176" s="6" t="s">
        <v>15</v>
      </c>
      <c r="D176" s="7">
        <v>41243</v>
      </c>
      <c r="E176" s="6" t="s">
        <v>280</v>
      </c>
      <c r="F176" s="6" t="s">
        <v>157</v>
      </c>
      <c r="G176" s="8" t="s">
        <v>375</v>
      </c>
      <c r="H176" s="6" t="s">
        <v>375</v>
      </c>
      <c r="I176" s="6"/>
      <c r="J176" s="6" t="s">
        <v>20</v>
      </c>
      <c r="K176" s="6" t="s">
        <v>398</v>
      </c>
      <c r="L176" s="6" t="s">
        <v>399</v>
      </c>
      <c r="M176" s="6" t="s">
        <v>380</v>
      </c>
      <c r="N176" s="6"/>
      <c r="O176" s="6"/>
      <c r="P176" s="6"/>
      <c r="Q176" s="6"/>
    </row>
    <row r="177" spans="2:17" ht="15.5" x14ac:dyDescent="0.35">
      <c r="B177" s="5" t="s">
        <v>400</v>
      </c>
      <c r="C177" s="6" t="s">
        <v>25</v>
      </c>
      <c r="D177" s="7">
        <v>40239</v>
      </c>
      <c r="E177" s="6" t="s">
        <v>156</v>
      </c>
      <c r="F177" s="6" t="s">
        <v>157</v>
      </c>
      <c r="G177" s="8" t="s">
        <v>375</v>
      </c>
      <c r="H177" s="6" t="s">
        <v>375</v>
      </c>
      <c r="I177" s="6"/>
      <c r="J177" s="6"/>
      <c r="K177" s="6" t="s">
        <v>401</v>
      </c>
      <c r="L177" s="6" t="s">
        <v>402</v>
      </c>
      <c r="M177" s="6" t="s">
        <v>189</v>
      </c>
      <c r="N177" s="6"/>
      <c r="O177" s="6"/>
      <c r="P177" s="6"/>
      <c r="Q177" s="6"/>
    </row>
    <row r="178" spans="2:17" ht="15.5" x14ac:dyDescent="0.35">
      <c r="B178" s="5" t="s">
        <v>403</v>
      </c>
      <c r="C178" s="6" t="s">
        <v>25</v>
      </c>
      <c r="D178" s="7">
        <v>41379</v>
      </c>
      <c r="E178" s="6" t="s">
        <v>34</v>
      </c>
      <c r="F178" s="6" t="s">
        <v>17</v>
      </c>
      <c r="G178" s="8" t="s">
        <v>369</v>
      </c>
      <c r="H178" s="6" t="s">
        <v>370</v>
      </c>
      <c r="I178" s="6"/>
      <c r="J178" s="6" t="s">
        <v>20</v>
      </c>
      <c r="K178" s="6" t="s">
        <v>187</v>
      </c>
      <c r="L178" s="6" t="s">
        <v>404</v>
      </c>
      <c r="M178" s="6" t="s">
        <v>189</v>
      </c>
      <c r="N178" s="6"/>
      <c r="O178" s="6"/>
      <c r="P178" s="6"/>
      <c r="Q178" s="6"/>
    </row>
    <row r="179" spans="2:17" ht="15.5" x14ac:dyDescent="0.35">
      <c r="B179" s="5" t="s">
        <v>400</v>
      </c>
      <c r="C179" s="6" t="s">
        <v>25</v>
      </c>
      <c r="D179" s="7">
        <v>40239</v>
      </c>
      <c r="E179" s="6" t="s">
        <v>156</v>
      </c>
      <c r="F179" s="6" t="s">
        <v>157</v>
      </c>
      <c r="G179" s="8" t="s">
        <v>375</v>
      </c>
      <c r="H179" s="6" t="s">
        <v>375</v>
      </c>
      <c r="I179" s="6"/>
      <c r="J179" s="6"/>
      <c r="K179" s="6"/>
      <c r="L179" s="6" t="s">
        <v>402</v>
      </c>
      <c r="M179" s="6" t="s">
        <v>189</v>
      </c>
      <c r="N179" s="6"/>
      <c r="O179" s="6"/>
      <c r="P179" s="6"/>
      <c r="Q179" s="6"/>
    </row>
    <row r="180" spans="2:17" ht="15.5" x14ac:dyDescent="0.35">
      <c r="B180" s="5" t="s">
        <v>403</v>
      </c>
      <c r="C180" s="6" t="s">
        <v>25</v>
      </c>
      <c r="D180" s="7">
        <v>41379</v>
      </c>
      <c r="E180" s="6" t="s">
        <v>34</v>
      </c>
      <c r="F180" s="6" t="s">
        <v>17</v>
      </c>
      <c r="G180" s="8" t="s">
        <v>375</v>
      </c>
      <c r="H180" s="6" t="s">
        <v>375</v>
      </c>
      <c r="I180" s="6"/>
      <c r="J180" s="6"/>
      <c r="K180" s="6"/>
      <c r="L180" s="6" t="s">
        <v>404</v>
      </c>
      <c r="M180" s="6" t="s">
        <v>189</v>
      </c>
      <c r="N180" s="6"/>
      <c r="O180" s="6"/>
      <c r="P180" s="6"/>
      <c r="Q180" s="6"/>
    </row>
    <row r="181" spans="2:17" ht="15.5" x14ac:dyDescent="0.35">
      <c r="B181" s="5" t="s">
        <v>405</v>
      </c>
      <c r="C181" s="6" t="s">
        <v>15</v>
      </c>
      <c r="D181" s="7">
        <v>43998</v>
      </c>
      <c r="E181" s="6" t="s">
        <v>41</v>
      </c>
      <c r="F181" s="6" t="s">
        <v>17</v>
      </c>
      <c r="G181" s="8" t="s">
        <v>406</v>
      </c>
      <c r="H181" s="6" t="s">
        <v>407</v>
      </c>
      <c r="I181" s="6"/>
      <c r="J181" s="6" t="s">
        <v>20</v>
      </c>
      <c r="K181" s="6" t="s">
        <v>408</v>
      </c>
      <c r="L181" s="6" t="s">
        <v>409</v>
      </c>
      <c r="M181" s="6" t="s">
        <v>410</v>
      </c>
      <c r="N181" s="6"/>
      <c r="O181" s="6"/>
      <c r="P181" s="6"/>
      <c r="Q181" s="6"/>
    </row>
    <row r="182" spans="2:17" ht="15.5" x14ac:dyDescent="0.35">
      <c r="B182" s="5" t="s">
        <v>411</v>
      </c>
      <c r="C182" s="6" t="s">
        <v>25</v>
      </c>
      <c r="D182" s="7">
        <v>41216</v>
      </c>
      <c r="E182" s="6" t="s">
        <v>280</v>
      </c>
      <c r="F182" s="6" t="s">
        <v>157</v>
      </c>
      <c r="G182" s="8" t="s">
        <v>412</v>
      </c>
      <c r="H182" s="6" t="s">
        <v>412</v>
      </c>
      <c r="I182" s="6"/>
      <c r="J182" s="6" t="s">
        <v>20</v>
      </c>
      <c r="K182" s="6" t="s">
        <v>413</v>
      </c>
      <c r="L182" s="6" t="s">
        <v>414</v>
      </c>
      <c r="M182" s="6" t="s">
        <v>111</v>
      </c>
      <c r="N182" s="6"/>
      <c r="O182" s="6"/>
      <c r="P182" s="6"/>
      <c r="Q182" s="6"/>
    </row>
    <row r="183" spans="2:17" ht="15.5" x14ac:dyDescent="0.35">
      <c r="B183" s="5" t="s">
        <v>415</v>
      </c>
      <c r="C183" s="6" t="s">
        <v>15</v>
      </c>
      <c r="D183" s="7">
        <v>40749</v>
      </c>
      <c r="E183" s="6" t="s">
        <v>280</v>
      </c>
      <c r="F183" s="6" t="s">
        <v>157</v>
      </c>
      <c r="G183" s="8" t="s">
        <v>412</v>
      </c>
      <c r="H183" s="6" t="s">
        <v>412</v>
      </c>
      <c r="I183" s="6"/>
      <c r="J183" s="6" t="s">
        <v>20</v>
      </c>
      <c r="K183" s="6" t="s">
        <v>237</v>
      </c>
      <c r="L183" s="6" t="s">
        <v>416</v>
      </c>
      <c r="M183" s="6" t="s">
        <v>197</v>
      </c>
      <c r="N183" s="6"/>
      <c r="O183" s="6"/>
      <c r="P183" s="6"/>
      <c r="Q183" s="6"/>
    </row>
    <row r="184" spans="2:17" ht="15.5" x14ac:dyDescent="0.35">
      <c r="B184" s="5" t="s">
        <v>417</v>
      </c>
      <c r="C184" s="6" t="s">
        <v>15</v>
      </c>
      <c r="D184" s="7">
        <v>40227</v>
      </c>
      <c r="E184" s="6" t="s">
        <v>156</v>
      </c>
      <c r="F184" s="6" t="s">
        <v>157</v>
      </c>
      <c r="G184" s="8" t="s">
        <v>412</v>
      </c>
      <c r="H184" s="6" t="s">
        <v>412</v>
      </c>
      <c r="I184" s="6"/>
      <c r="J184" s="6" t="s">
        <v>20</v>
      </c>
      <c r="K184" s="6" t="s">
        <v>418</v>
      </c>
      <c r="L184" s="6" t="s">
        <v>419</v>
      </c>
      <c r="M184" s="6" t="s">
        <v>420</v>
      </c>
      <c r="N184" s="6"/>
      <c r="O184" s="6"/>
      <c r="P184" s="6"/>
      <c r="Q184" s="6"/>
    </row>
    <row r="185" spans="2:17" ht="15.5" x14ac:dyDescent="0.35">
      <c r="B185" s="5" t="s">
        <v>417</v>
      </c>
      <c r="C185" s="6" t="s">
        <v>15</v>
      </c>
      <c r="D185" s="7">
        <v>40227</v>
      </c>
      <c r="E185" s="6" t="s">
        <v>156</v>
      </c>
      <c r="F185" s="6" t="s">
        <v>157</v>
      </c>
      <c r="G185" s="8" t="s">
        <v>412</v>
      </c>
      <c r="H185" s="6" t="s">
        <v>412</v>
      </c>
      <c r="I185" s="6"/>
      <c r="J185" s="6"/>
      <c r="K185" s="6"/>
      <c r="L185" s="6" t="s">
        <v>419</v>
      </c>
      <c r="M185" s="6" t="s">
        <v>420</v>
      </c>
      <c r="N185" s="6"/>
      <c r="O185" s="6"/>
      <c r="P185" s="6"/>
      <c r="Q185" s="6"/>
    </row>
    <row r="186" spans="2:17" ht="15.5" x14ac:dyDescent="0.35">
      <c r="B186" s="5" t="s">
        <v>421</v>
      </c>
      <c r="C186" s="6" t="s">
        <v>25</v>
      </c>
      <c r="D186" s="7">
        <v>42615</v>
      </c>
      <c r="E186" s="6" t="s">
        <v>16</v>
      </c>
      <c r="F186" s="6" t="s">
        <v>17</v>
      </c>
      <c r="G186" s="8" t="s">
        <v>369</v>
      </c>
      <c r="H186" s="6" t="s">
        <v>370</v>
      </c>
      <c r="I186" s="6"/>
      <c r="J186" s="6" t="s">
        <v>20</v>
      </c>
      <c r="K186" s="6" t="s">
        <v>422</v>
      </c>
      <c r="L186" s="6" t="s">
        <v>423</v>
      </c>
      <c r="M186" s="6" t="s">
        <v>248</v>
      </c>
      <c r="N186" s="6"/>
      <c r="O186" s="6"/>
      <c r="P186" s="6"/>
      <c r="Q186" s="6"/>
    </row>
    <row r="187" spans="2:17" ht="15.5" x14ac:dyDescent="0.35">
      <c r="B187" s="5" t="s">
        <v>424</v>
      </c>
      <c r="C187" s="6" t="s">
        <v>25</v>
      </c>
      <c r="D187" s="7">
        <v>42033</v>
      </c>
      <c r="E187" s="6" t="s">
        <v>16</v>
      </c>
      <c r="F187" s="6" t="s">
        <v>17</v>
      </c>
      <c r="G187" s="8" t="s">
        <v>369</v>
      </c>
      <c r="H187" s="6" t="s">
        <v>370</v>
      </c>
      <c r="I187" s="6"/>
      <c r="J187" s="6" t="s">
        <v>20</v>
      </c>
      <c r="K187" s="6" t="s">
        <v>425</v>
      </c>
      <c r="L187" s="6" t="s">
        <v>426</v>
      </c>
      <c r="M187" s="6" t="s">
        <v>46</v>
      </c>
      <c r="N187" s="6"/>
      <c r="O187" s="6"/>
      <c r="P187" s="6"/>
      <c r="Q187" s="6"/>
    </row>
    <row r="188" spans="2:17" ht="15.5" x14ac:dyDescent="0.35">
      <c r="B188" s="5" t="s">
        <v>427</v>
      </c>
      <c r="C188" s="6" t="s">
        <v>25</v>
      </c>
      <c r="D188" s="7">
        <v>42307</v>
      </c>
      <c r="E188" s="6" t="s">
        <v>16</v>
      </c>
      <c r="F188" s="6" t="s">
        <v>17</v>
      </c>
      <c r="G188" s="8" t="s">
        <v>369</v>
      </c>
      <c r="H188" s="6" t="s">
        <v>370</v>
      </c>
      <c r="I188" s="6"/>
      <c r="J188" s="6" t="s">
        <v>20</v>
      </c>
      <c r="K188" s="6" t="s">
        <v>257</v>
      </c>
      <c r="L188" s="6" t="s">
        <v>258</v>
      </c>
      <c r="M188" s="6" t="s">
        <v>125</v>
      </c>
      <c r="N188" s="6"/>
      <c r="O188" s="6"/>
      <c r="P188" s="6"/>
      <c r="Q188" s="6"/>
    </row>
    <row r="189" spans="2:17" ht="15.5" x14ac:dyDescent="0.35">
      <c r="B189" s="5" t="s">
        <v>428</v>
      </c>
      <c r="C189" s="6" t="s">
        <v>15</v>
      </c>
      <c r="D189" s="7">
        <v>42221</v>
      </c>
      <c r="E189" s="6" t="s">
        <v>16</v>
      </c>
      <c r="F189" s="6" t="s">
        <v>17</v>
      </c>
      <c r="G189" s="8" t="s">
        <v>369</v>
      </c>
      <c r="H189" s="6" t="s">
        <v>370</v>
      </c>
      <c r="I189" s="6"/>
      <c r="J189" s="6" t="s">
        <v>20</v>
      </c>
      <c r="K189" s="6" t="s">
        <v>429</v>
      </c>
      <c r="L189" s="6" t="s">
        <v>430</v>
      </c>
      <c r="M189" s="6" t="s">
        <v>431</v>
      </c>
      <c r="N189" s="6"/>
      <c r="O189" s="6"/>
      <c r="P189" s="6"/>
      <c r="Q189" s="6"/>
    </row>
    <row r="190" spans="2:17" ht="15.5" x14ac:dyDescent="0.35">
      <c r="B190" s="5" t="s">
        <v>432</v>
      </c>
      <c r="C190" s="6" t="s">
        <v>25</v>
      </c>
      <c r="D190" s="6" t="s">
        <v>433</v>
      </c>
      <c r="E190" s="6" t="s">
        <v>16</v>
      </c>
      <c r="F190" s="6" t="s">
        <v>17</v>
      </c>
      <c r="G190" s="8" t="s">
        <v>369</v>
      </c>
      <c r="H190" s="6" t="s">
        <v>370</v>
      </c>
      <c r="I190" s="6"/>
      <c r="J190" s="6" t="s">
        <v>20</v>
      </c>
      <c r="K190" s="6" t="s">
        <v>434</v>
      </c>
      <c r="L190" s="6" t="s">
        <v>435</v>
      </c>
      <c r="M190" s="6" t="s">
        <v>101</v>
      </c>
      <c r="N190" s="6"/>
      <c r="O190" s="6"/>
      <c r="P190" s="6"/>
      <c r="Q190" s="6"/>
    </row>
    <row r="191" spans="2:17" ht="15.5" x14ac:dyDescent="0.35">
      <c r="B191" s="5" t="s">
        <v>436</v>
      </c>
      <c r="C191" s="6" t="s">
        <v>15</v>
      </c>
      <c r="D191" s="7">
        <v>41941</v>
      </c>
      <c r="E191" s="6" t="s">
        <v>34</v>
      </c>
      <c r="F191" s="6" t="s">
        <v>17</v>
      </c>
      <c r="G191" s="8" t="s">
        <v>369</v>
      </c>
      <c r="H191" s="6" t="s">
        <v>370</v>
      </c>
      <c r="I191" s="6"/>
      <c r="J191" s="6" t="s">
        <v>20</v>
      </c>
      <c r="K191" s="6" t="s">
        <v>437</v>
      </c>
      <c r="L191" s="6" t="s">
        <v>438</v>
      </c>
      <c r="M191" s="6" t="s">
        <v>101</v>
      </c>
      <c r="N191" s="6"/>
      <c r="O191" s="6"/>
      <c r="P191" s="6"/>
      <c r="Q191" s="6"/>
    </row>
    <row r="192" spans="2:17" ht="15.5" x14ac:dyDescent="0.35">
      <c r="B192" s="5" t="s">
        <v>439</v>
      </c>
      <c r="C192" s="6" t="s">
        <v>25</v>
      </c>
      <c r="D192" s="7">
        <v>41546</v>
      </c>
      <c r="E192" s="6" t="s">
        <v>34</v>
      </c>
      <c r="F192" s="6" t="s">
        <v>17</v>
      </c>
      <c r="G192" s="8" t="s">
        <v>369</v>
      </c>
      <c r="H192" s="6" t="s">
        <v>370</v>
      </c>
      <c r="I192" s="6"/>
      <c r="J192" s="6" t="s">
        <v>20</v>
      </c>
      <c r="K192" s="6" t="s">
        <v>440</v>
      </c>
      <c r="L192" s="6" t="s">
        <v>441</v>
      </c>
      <c r="M192" s="6" t="s">
        <v>221</v>
      </c>
      <c r="N192" s="6"/>
      <c r="O192" s="6"/>
      <c r="P192" s="6"/>
      <c r="Q192" s="6"/>
    </row>
    <row r="193" spans="2:17" ht="15.5" x14ac:dyDescent="0.35">
      <c r="B193" s="5" t="s">
        <v>442</v>
      </c>
      <c r="C193" s="6" t="s">
        <v>25</v>
      </c>
      <c r="D193" s="7">
        <v>41707</v>
      </c>
      <c r="E193" s="6" t="s">
        <v>34</v>
      </c>
      <c r="F193" s="6" t="s">
        <v>17</v>
      </c>
      <c r="G193" s="8" t="s">
        <v>369</v>
      </c>
      <c r="H193" s="6" t="s">
        <v>370</v>
      </c>
      <c r="I193" s="6"/>
      <c r="J193" s="6" t="s">
        <v>20</v>
      </c>
      <c r="K193" s="6" t="s">
        <v>443</v>
      </c>
      <c r="L193" s="6" t="s">
        <v>444</v>
      </c>
      <c r="M193" s="6" t="s">
        <v>101</v>
      </c>
      <c r="N193" s="6"/>
      <c r="O193" s="6"/>
      <c r="P193" s="6"/>
      <c r="Q193" s="6"/>
    </row>
    <row r="194" spans="2:17" ht="15.5" x14ac:dyDescent="0.35">
      <c r="B194" s="5" t="s">
        <v>445</v>
      </c>
      <c r="C194" s="6" t="s">
        <v>25</v>
      </c>
      <c r="D194" s="7">
        <v>41454</v>
      </c>
      <c r="E194" s="6" t="s">
        <v>34</v>
      </c>
      <c r="F194" s="6" t="s">
        <v>17</v>
      </c>
      <c r="G194" s="8" t="s">
        <v>369</v>
      </c>
      <c r="H194" s="6" t="s">
        <v>370</v>
      </c>
      <c r="I194" s="6"/>
      <c r="J194" s="6" t="s">
        <v>20</v>
      </c>
      <c r="K194" s="6" t="s">
        <v>446</v>
      </c>
      <c r="L194" s="6" t="s">
        <v>447</v>
      </c>
      <c r="M194" s="6" t="s">
        <v>101</v>
      </c>
      <c r="N194" s="6"/>
      <c r="O194" s="6"/>
      <c r="P194" s="6"/>
      <c r="Q194" s="6"/>
    </row>
    <row r="195" spans="2:17" ht="15.5" x14ac:dyDescent="0.35">
      <c r="B195" s="5" t="s">
        <v>448</v>
      </c>
      <c r="C195" s="6" t="s">
        <v>15</v>
      </c>
      <c r="D195" s="7">
        <v>41971</v>
      </c>
      <c r="E195" s="6" t="s">
        <v>34</v>
      </c>
      <c r="F195" s="6" t="s">
        <v>17</v>
      </c>
      <c r="G195" s="8" t="s">
        <v>369</v>
      </c>
      <c r="H195" s="6" t="s">
        <v>370</v>
      </c>
      <c r="I195" s="6"/>
      <c r="J195" s="6" t="s">
        <v>20</v>
      </c>
      <c r="K195" s="6" t="s">
        <v>449</v>
      </c>
      <c r="L195" s="6" t="s">
        <v>450</v>
      </c>
      <c r="M195" s="6" t="s">
        <v>111</v>
      </c>
      <c r="N195" s="6"/>
      <c r="O195" s="6"/>
      <c r="P195" s="6"/>
      <c r="Q195" s="6"/>
    </row>
    <row r="196" spans="2:17" ht="15.5" x14ac:dyDescent="0.35">
      <c r="B196" s="5" t="s">
        <v>451</v>
      </c>
      <c r="C196" s="6" t="s">
        <v>15</v>
      </c>
      <c r="D196" s="7">
        <v>41285</v>
      </c>
      <c r="E196" s="6" t="s">
        <v>34</v>
      </c>
      <c r="F196" s="6" t="s">
        <v>17</v>
      </c>
      <c r="G196" s="8" t="s">
        <v>369</v>
      </c>
      <c r="H196" s="6" t="s">
        <v>370</v>
      </c>
      <c r="I196" s="6"/>
      <c r="J196" s="6" t="s">
        <v>20</v>
      </c>
      <c r="K196" s="6" t="s">
        <v>452</v>
      </c>
      <c r="L196" s="6" t="s">
        <v>453</v>
      </c>
      <c r="M196" s="6" t="s">
        <v>101</v>
      </c>
      <c r="N196" s="6"/>
      <c r="O196" s="6"/>
      <c r="P196" s="6"/>
      <c r="Q196" s="6"/>
    </row>
    <row r="197" spans="2:17" ht="15.5" x14ac:dyDescent="0.35">
      <c r="B197" s="5" t="s">
        <v>424</v>
      </c>
      <c r="C197" s="6" t="s">
        <v>25</v>
      </c>
      <c r="D197" s="7">
        <v>42033</v>
      </c>
      <c r="E197" s="6" t="s">
        <v>16</v>
      </c>
      <c r="F197" s="6" t="s">
        <v>17</v>
      </c>
      <c r="G197" s="8" t="s">
        <v>369</v>
      </c>
      <c r="H197" s="6" t="s">
        <v>370</v>
      </c>
      <c r="I197" s="6"/>
      <c r="J197" s="6"/>
      <c r="K197" s="6"/>
      <c r="L197" s="6" t="s">
        <v>426</v>
      </c>
      <c r="M197" s="6" t="s">
        <v>46</v>
      </c>
      <c r="N197" s="6"/>
      <c r="O197" s="6"/>
      <c r="P197" s="6"/>
      <c r="Q197" s="6"/>
    </row>
    <row r="198" spans="2:17" ht="15.5" x14ac:dyDescent="0.35">
      <c r="B198" s="5" t="s">
        <v>427</v>
      </c>
      <c r="C198" s="6" t="s">
        <v>25</v>
      </c>
      <c r="D198" s="7">
        <v>42307</v>
      </c>
      <c r="E198" s="6" t="s">
        <v>16</v>
      </c>
      <c r="F198" s="6" t="s">
        <v>17</v>
      </c>
      <c r="G198" s="8" t="s">
        <v>369</v>
      </c>
      <c r="H198" s="6" t="s">
        <v>370</v>
      </c>
      <c r="I198" s="6"/>
      <c r="J198" s="6"/>
      <c r="K198" s="6"/>
      <c r="L198" s="6" t="s">
        <v>258</v>
      </c>
      <c r="M198" s="6" t="s">
        <v>125</v>
      </c>
      <c r="N198" s="6"/>
      <c r="O198" s="6"/>
      <c r="P198" s="6"/>
      <c r="Q198" s="6"/>
    </row>
    <row r="199" spans="2:17" ht="15.5" x14ac:dyDescent="0.35">
      <c r="B199" s="5" t="s">
        <v>428</v>
      </c>
      <c r="C199" s="6" t="s">
        <v>15</v>
      </c>
      <c r="D199" s="7">
        <v>42221</v>
      </c>
      <c r="E199" s="6" t="s">
        <v>16</v>
      </c>
      <c r="F199" s="6" t="s">
        <v>17</v>
      </c>
      <c r="G199" s="8" t="s">
        <v>369</v>
      </c>
      <c r="H199" s="6" t="s">
        <v>370</v>
      </c>
      <c r="I199" s="6"/>
      <c r="J199" s="6"/>
      <c r="K199" s="6"/>
      <c r="L199" s="6" t="s">
        <v>430</v>
      </c>
      <c r="M199" s="6" t="s">
        <v>431</v>
      </c>
      <c r="N199" s="6"/>
      <c r="O199" s="6"/>
      <c r="P199" s="6"/>
      <c r="Q199" s="6"/>
    </row>
    <row r="200" spans="2:17" ht="15.5" x14ac:dyDescent="0.35">
      <c r="B200" s="5" t="s">
        <v>432</v>
      </c>
      <c r="C200" s="6" t="s">
        <v>25</v>
      </c>
      <c r="D200" s="6" t="s">
        <v>433</v>
      </c>
      <c r="E200" s="6" t="s">
        <v>16</v>
      </c>
      <c r="F200" s="6" t="s">
        <v>17</v>
      </c>
      <c r="G200" s="8" t="s">
        <v>369</v>
      </c>
      <c r="H200" s="6" t="s">
        <v>370</v>
      </c>
      <c r="I200" s="6"/>
      <c r="J200" s="6"/>
      <c r="K200" s="6"/>
      <c r="L200" s="6" t="s">
        <v>435</v>
      </c>
      <c r="M200" s="6" t="s">
        <v>101</v>
      </c>
      <c r="N200" s="6"/>
      <c r="O200" s="6"/>
      <c r="P200" s="6"/>
      <c r="Q200" s="6"/>
    </row>
    <row r="201" spans="2:17" ht="15.5" x14ac:dyDescent="0.35">
      <c r="B201" s="5" t="s">
        <v>436</v>
      </c>
      <c r="C201" s="6" t="s">
        <v>15</v>
      </c>
      <c r="D201" s="7">
        <v>41941</v>
      </c>
      <c r="E201" s="6" t="s">
        <v>34</v>
      </c>
      <c r="F201" s="6" t="s">
        <v>17</v>
      </c>
      <c r="G201" s="8" t="s">
        <v>369</v>
      </c>
      <c r="H201" s="6" t="s">
        <v>370</v>
      </c>
      <c r="I201" s="6"/>
      <c r="J201" s="6"/>
      <c r="K201" s="6"/>
      <c r="L201" s="6" t="s">
        <v>438</v>
      </c>
      <c r="M201" s="6" t="s">
        <v>101</v>
      </c>
      <c r="N201" s="6"/>
      <c r="O201" s="6"/>
      <c r="P201" s="6"/>
      <c r="Q201" s="6"/>
    </row>
    <row r="202" spans="2:17" ht="15.5" x14ac:dyDescent="0.35">
      <c r="B202" s="5" t="s">
        <v>439</v>
      </c>
      <c r="C202" s="6" t="s">
        <v>25</v>
      </c>
      <c r="D202" s="7">
        <v>41546</v>
      </c>
      <c r="E202" s="6" t="s">
        <v>34</v>
      </c>
      <c r="F202" s="6" t="s">
        <v>17</v>
      </c>
      <c r="G202" s="8" t="s">
        <v>369</v>
      </c>
      <c r="H202" s="6" t="s">
        <v>370</v>
      </c>
      <c r="I202" s="6"/>
      <c r="J202" s="6"/>
      <c r="K202" s="6"/>
      <c r="L202" s="6" t="s">
        <v>441</v>
      </c>
      <c r="M202" s="6" t="s">
        <v>221</v>
      </c>
      <c r="N202" s="6"/>
      <c r="O202" s="6"/>
      <c r="P202" s="6"/>
      <c r="Q202" s="6"/>
    </row>
    <row r="203" spans="2:17" ht="15.5" x14ac:dyDescent="0.35">
      <c r="B203" s="5" t="s">
        <v>442</v>
      </c>
      <c r="C203" s="6" t="s">
        <v>25</v>
      </c>
      <c r="D203" s="7">
        <v>41707</v>
      </c>
      <c r="E203" s="6" t="s">
        <v>34</v>
      </c>
      <c r="F203" s="6" t="s">
        <v>17</v>
      </c>
      <c r="G203" s="8" t="s">
        <v>369</v>
      </c>
      <c r="H203" s="6" t="s">
        <v>370</v>
      </c>
      <c r="I203" s="6"/>
      <c r="J203" s="6"/>
      <c r="K203" s="6"/>
      <c r="L203" s="6" t="s">
        <v>444</v>
      </c>
      <c r="M203" s="6" t="s">
        <v>101</v>
      </c>
      <c r="N203" s="6"/>
      <c r="O203" s="6"/>
      <c r="P203" s="6"/>
      <c r="Q203" s="6"/>
    </row>
    <row r="204" spans="2:17" ht="15.5" x14ac:dyDescent="0.35">
      <c r="B204" s="5" t="s">
        <v>445</v>
      </c>
      <c r="C204" s="6" t="s">
        <v>25</v>
      </c>
      <c r="D204" s="7">
        <v>41454</v>
      </c>
      <c r="E204" s="6" t="s">
        <v>34</v>
      </c>
      <c r="F204" s="6" t="s">
        <v>17</v>
      </c>
      <c r="G204" s="8" t="s">
        <v>369</v>
      </c>
      <c r="H204" s="6" t="s">
        <v>370</v>
      </c>
      <c r="I204" s="6"/>
      <c r="J204" s="6"/>
      <c r="K204" s="6"/>
      <c r="L204" s="6" t="s">
        <v>447</v>
      </c>
      <c r="M204" s="6" t="s">
        <v>101</v>
      </c>
      <c r="N204" s="6"/>
      <c r="O204" s="6"/>
      <c r="P204" s="6"/>
      <c r="Q204" s="6"/>
    </row>
    <row r="205" spans="2:17" ht="15.5" x14ac:dyDescent="0.35">
      <c r="B205" s="5" t="s">
        <v>448</v>
      </c>
      <c r="C205" s="6" t="s">
        <v>15</v>
      </c>
      <c r="D205" s="7">
        <v>41971</v>
      </c>
      <c r="E205" s="6" t="s">
        <v>34</v>
      </c>
      <c r="F205" s="6" t="s">
        <v>17</v>
      </c>
      <c r="G205" s="8" t="s">
        <v>369</v>
      </c>
      <c r="H205" s="6" t="s">
        <v>370</v>
      </c>
      <c r="I205" s="6"/>
      <c r="J205" s="6"/>
      <c r="K205" s="6"/>
      <c r="L205" s="6" t="s">
        <v>450</v>
      </c>
      <c r="M205" s="6" t="s">
        <v>111</v>
      </c>
      <c r="N205" s="6"/>
      <c r="O205" s="6"/>
      <c r="P205" s="6"/>
      <c r="Q205" s="6"/>
    </row>
    <row r="206" spans="2:17" ht="15.5" x14ac:dyDescent="0.35">
      <c r="B206" s="5" t="s">
        <v>451</v>
      </c>
      <c r="C206" s="6" t="s">
        <v>15</v>
      </c>
      <c r="D206" s="7">
        <v>41285</v>
      </c>
      <c r="E206" s="6" t="s">
        <v>34</v>
      </c>
      <c r="F206" s="6" t="s">
        <v>17</v>
      </c>
      <c r="G206" s="8" t="s">
        <v>369</v>
      </c>
      <c r="H206" s="6" t="s">
        <v>370</v>
      </c>
      <c r="I206" s="6"/>
      <c r="J206" s="6"/>
      <c r="K206" s="6"/>
      <c r="L206" s="6" t="s">
        <v>453</v>
      </c>
      <c r="M206" s="6" t="s">
        <v>101</v>
      </c>
      <c r="N206" s="6"/>
      <c r="O206" s="6"/>
      <c r="P206" s="6"/>
      <c r="Q206" s="6"/>
    </row>
    <row r="207" spans="2:17" ht="15.5" x14ac:dyDescent="0.35">
      <c r="B207" s="5" t="s">
        <v>454</v>
      </c>
      <c r="C207" s="6" t="s">
        <v>25</v>
      </c>
      <c r="D207" s="7">
        <v>43593</v>
      </c>
      <c r="E207" s="6" t="s">
        <v>41</v>
      </c>
      <c r="F207" s="6" t="s">
        <v>17</v>
      </c>
      <c r="G207" s="8" t="s">
        <v>455</v>
      </c>
      <c r="H207" s="6" t="s">
        <v>370</v>
      </c>
      <c r="I207" s="6"/>
      <c r="J207" s="6" t="s">
        <v>20</v>
      </c>
      <c r="K207" s="6" t="s">
        <v>456</v>
      </c>
      <c r="L207" s="6" t="s">
        <v>457</v>
      </c>
      <c r="M207" s="6" t="s">
        <v>101</v>
      </c>
      <c r="N207" s="6"/>
      <c r="O207" s="6"/>
      <c r="P207" s="6"/>
      <c r="Q207" s="6"/>
    </row>
    <row r="208" spans="2:17" ht="15.5" x14ac:dyDescent="0.35">
      <c r="B208" s="5" t="s">
        <v>458</v>
      </c>
      <c r="C208" s="6" t="s">
        <v>15</v>
      </c>
      <c r="D208" s="7">
        <v>42005</v>
      </c>
      <c r="E208" s="6" t="s">
        <v>16</v>
      </c>
      <c r="F208" s="6" t="s">
        <v>17</v>
      </c>
      <c r="G208" s="8" t="s">
        <v>455</v>
      </c>
      <c r="H208" s="6" t="s">
        <v>370</v>
      </c>
      <c r="I208" s="6"/>
      <c r="J208" s="6" t="s">
        <v>20</v>
      </c>
      <c r="K208" s="6" t="s">
        <v>459</v>
      </c>
      <c r="L208" s="6" t="s">
        <v>460</v>
      </c>
      <c r="M208" s="6" t="s">
        <v>101</v>
      </c>
      <c r="N208" s="6"/>
      <c r="O208" s="6"/>
      <c r="P208" s="6"/>
      <c r="Q208" s="6"/>
    </row>
    <row r="209" spans="2:17" ht="15.5" x14ac:dyDescent="0.35">
      <c r="B209" s="5" t="s">
        <v>461</v>
      </c>
      <c r="C209" s="6" t="s">
        <v>25</v>
      </c>
      <c r="D209" s="7">
        <v>42562</v>
      </c>
      <c r="E209" s="6" t="s">
        <v>16</v>
      </c>
      <c r="F209" s="6" t="s">
        <v>17</v>
      </c>
      <c r="G209" s="8" t="s">
        <v>455</v>
      </c>
      <c r="H209" s="6" t="s">
        <v>370</v>
      </c>
      <c r="I209" s="6"/>
      <c r="J209" s="6" t="s">
        <v>20</v>
      </c>
      <c r="K209" s="6" t="s">
        <v>459</v>
      </c>
      <c r="L209" s="6" t="s">
        <v>460</v>
      </c>
      <c r="M209" s="6" t="s">
        <v>101</v>
      </c>
      <c r="N209" s="6"/>
      <c r="O209" s="6"/>
      <c r="P209" s="6"/>
      <c r="Q209" s="6"/>
    </row>
    <row r="210" spans="2:17" ht="15.5" x14ac:dyDescent="0.35">
      <c r="B210" s="5" t="s">
        <v>462</v>
      </c>
      <c r="C210" s="6" t="s">
        <v>15</v>
      </c>
      <c r="D210" s="7">
        <v>42253</v>
      </c>
      <c r="E210" s="6" t="s">
        <v>16</v>
      </c>
      <c r="F210" s="6" t="s">
        <v>17</v>
      </c>
      <c r="G210" s="8" t="s">
        <v>455</v>
      </c>
      <c r="H210" s="6" t="s">
        <v>370</v>
      </c>
      <c r="I210" s="6"/>
      <c r="J210" s="6" t="s">
        <v>20</v>
      </c>
      <c r="K210" s="6" t="s">
        <v>463</v>
      </c>
      <c r="L210" s="6" t="s">
        <v>464</v>
      </c>
      <c r="M210" s="6" t="s">
        <v>465</v>
      </c>
      <c r="N210" s="6"/>
      <c r="O210" s="6"/>
      <c r="P210" s="6"/>
      <c r="Q210" s="6"/>
    </row>
    <row r="211" spans="2:17" ht="15.5" x14ac:dyDescent="0.35">
      <c r="B211" s="5" t="s">
        <v>466</v>
      </c>
      <c r="C211" s="6" t="s">
        <v>25</v>
      </c>
      <c r="D211" s="7">
        <v>42263</v>
      </c>
      <c r="E211" s="6" t="s">
        <v>16</v>
      </c>
      <c r="F211" s="6" t="s">
        <v>17</v>
      </c>
      <c r="G211" s="8" t="s">
        <v>455</v>
      </c>
      <c r="H211" s="6" t="s">
        <v>370</v>
      </c>
      <c r="I211" s="6"/>
      <c r="J211" s="6" t="s">
        <v>20</v>
      </c>
      <c r="K211" s="6" t="s">
        <v>467</v>
      </c>
      <c r="L211" s="6" t="s">
        <v>468</v>
      </c>
      <c r="M211" s="6" t="s">
        <v>101</v>
      </c>
      <c r="N211" s="6"/>
      <c r="O211" s="6"/>
      <c r="P211" s="6"/>
      <c r="Q211" s="6"/>
    </row>
    <row r="212" spans="2:17" ht="15.5" x14ac:dyDescent="0.35">
      <c r="B212" s="5" t="s">
        <v>469</v>
      </c>
      <c r="C212" s="6" t="s">
        <v>25</v>
      </c>
      <c r="D212" s="6" t="s">
        <v>470</v>
      </c>
      <c r="E212" s="6" t="s">
        <v>34</v>
      </c>
      <c r="F212" s="6" t="s">
        <v>17</v>
      </c>
      <c r="G212" s="8" t="s">
        <v>455</v>
      </c>
      <c r="H212" s="6" t="s">
        <v>370</v>
      </c>
      <c r="I212" s="6"/>
      <c r="J212" s="6" t="s">
        <v>20</v>
      </c>
      <c r="K212" s="6" t="s">
        <v>471</v>
      </c>
      <c r="L212" s="6" t="s">
        <v>472</v>
      </c>
      <c r="M212" s="6" t="s">
        <v>101</v>
      </c>
      <c r="N212" s="6"/>
      <c r="O212" s="6"/>
      <c r="P212" s="6"/>
      <c r="Q212" s="6"/>
    </row>
    <row r="213" spans="2:17" ht="15.5" x14ac:dyDescent="0.35">
      <c r="B213" s="5" t="s">
        <v>473</v>
      </c>
      <c r="C213" s="6" t="s">
        <v>15</v>
      </c>
      <c r="D213" s="7">
        <v>41647</v>
      </c>
      <c r="E213" s="6" t="s">
        <v>34</v>
      </c>
      <c r="F213" s="6" t="s">
        <v>17</v>
      </c>
      <c r="G213" s="8" t="s">
        <v>455</v>
      </c>
      <c r="H213" s="6" t="s">
        <v>370</v>
      </c>
      <c r="I213" s="6"/>
      <c r="J213" s="6" t="s">
        <v>20</v>
      </c>
      <c r="K213" s="6" t="s">
        <v>474</v>
      </c>
      <c r="L213" s="6" t="s">
        <v>475</v>
      </c>
      <c r="M213" s="6" t="s">
        <v>173</v>
      </c>
      <c r="N213" s="6"/>
      <c r="O213" s="6"/>
      <c r="P213" s="6"/>
      <c r="Q213" s="6"/>
    </row>
    <row r="214" spans="2:17" ht="15.5" x14ac:dyDescent="0.35">
      <c r="B214" s="5" t="s">
        <v>476</v>
      </c>
      <c r="C214" s="6" t="s">
        <v>15</v>
      </c>
      <c r="D214" s="7">
        <v>41795</v>
      </c>
      <c r="E214" s="6" t="s">
        <v>34</v>
      </c>
      <c r="F214" s="6" t="s">
        <v>17</v>
      </c>
      <c r="G214" s="8" t="s">
        <v>455</v>
      </c>
      <c r="H214" s="6" t="s">
        <v>370</v>
      </c>
      <c r="I214" s="6"/>
      <c r="J214" s="6" t="s">
        <v>20</v>
      </c>
      <c r="K214" s="6" t="s">
        <v>477</v>
      </c>
      <c r="L214" s="6" t="s">
        <v>478</v>
      </c>
      <c r="M214" s="6" t="s">
        <v>101</v>
      </c>
      <c r="N214" s="6"/>
      <c r="O214" s="6"/>
      <c r="P214" s="6"/>
      <c r="Q214" s="6"/>
    </row>
    <row r="215" spans="2:17" ht="15.5" x14ac:dyDescent="0.35">
      <c r="B215" s="5" t="s">
        <v>479</v>
      </c>
      <c r="C215" s="6" t="s">
        <v>15</v>
      </c>
      <c r="D215" s="7">
        <v>41795</v>
      </c>
      <c r="E215" s="6" t="s">
        <v>34</v>
      </c>
      <c r="F215" s="6" t="s">
        <v>17</v>
      </c>
      <c r="G215" s="8" t="s">
        <v>455</v>
      </c>
      <c r="H215" s="6" t="s">
        <v>370</v>
      </c>
      <c r="I215" s="6"/>
      <c r="J215" s="6" t="s">
        <v>20</v>
      </c>
      <c r="K215" s="6" t="s">
        <v>477</v>
      </c>
      <c r="L215" s="6" t="s">
        <v>478</v>
      </c>
      <c r="M215" s="6" t="s">
        <v>101</v>
      </c>
      <c r="N215" s="6"/>
      <c r="O215" s="6"/>
      <c r="P215" s="6"/>
      <c r="Q215" s="6"/>
    </row>
    <row r="216" spans="2:17" ht="15.5" x14ac:dyDescent="0.35">
      <c r="B216" s="5" t="s">
        <v>466</v>
      </c>
      <c r="C216" s="6" t="s">
        <v>25</v>
      </c>
      <c r="D216" s="7">
        <v>42263</v>
      </c>
      <c r="E216" s="6" t="s">
        <v>16</v>
      </c>
      <c r="F216" s="6" t="s">
        <v>17</v>
      </c>
      <c r="G216" s="8" t="s">
        <v>455</v>
      </c>
      <c r="H216" s="6" t="s">
        <v>370</v>
      </c>
      <c r="I216" s="6"/>
      <c r="J216" s="6"/>
      <c r="K216" s="6"/>
      <c r="L216" s="6" t="s">
        <v>468</v>
      </c>
      <c r="M216" s="6" t="s">
        <v>101</v>
      </c>
      <c r="N216" s="6"/>
      <c r="O216" s="6"/>
      <c r="P216" s="6"/>
      <c r="Q216" s="6"/>
    </row>
    <row r="217" spans="2:17" ht="15.5" x14ac:dyDescent="0.35">
      <c r="B217" s="5" t="s">
        <v>469</v>
      </c>
      <c r="C217" s="6" t="s">
        <v>25</v>
      </c>
      <c r="D217" s="6" t="s">
        <v>470</v>
      </c>
      <c r="E217" s="6" t="s">
        <v>34</v>
      </c>
      <c r="F217" s="6" t="s">
        <v>17</v>
      </c>
      <c r="G217" s="8" t="s">
        <v>455</v>
      </c>
      <c r="H217" s="6" t="s">
        <v>370</v>
      </c>
      <c r="I217" s="6"/>
      <c r="J217" s="6"/>
      <c r="K217" s="6"/>
      <c r="L217" s="6" t="s">
        <v>472</v>
      </c>
      <c r="M217" s="6" t="s">
        <v>101</v>
      </c>
      <c r="N217" s="6"/>
      <c r="O217" s="6"/>
      <c r="P217" s="6"/>
      <c r="Q217" s="6"/>
    </row>
    <row r="218" spans="2:17" ht="15.5" x14ac:dyDescent="0.35">
      <c r="B218" s="5" t="s">
        <v>473</v>
      </c>
      <c r="C218" s="6" t="s">
        <v>15</v>
      </c>
      <c r="D218" s="7">
        <v>41647</v>
      </c>
      <c r="E218" s="6" t="s">
        <v>34</v>
      </c>
      <c r="F218" s="6" t="s">
        <v>17</v>
      </c>
      <c r="G218" s="8" t="s">
        <v>455</v>
      </c>
      <c r="H218" s="6" t="s">
        <v>370</v>
      </c>
      <c r="I218" s="6"/>
      <c r="J218" s="6"/>
      <c r="K218" s="6"/>
      <c r="L218" s="6" t="s">
        <v>475</v>
      </c>
      <c r="M218" s="6" t="s">
        <v>173</v>
      </c>
      <c r="N218" s="6"/>
      <c r="O218" s="6"/>
      <c r="P218" s="6"/>
      <c r="Q218" s="6"/>
    </row>
    <row r="219" spans="2:17" ht="15.5" x14ac:dyDescent="0.35">
      <c r="B219" s="5" t="s">
        <v>476</v>
      </c>
      <c r="C219" s="6" t="s">
        <v>15</v>
      </c>
      <c r="D219" s="7">
        <v>41795</v>
      </c>
      <c r="E219" s="6" t="s">
        <v>34</v>
      </c>
      <c r="F219" s="6" t="s">
        <v>17</v>
      </c>
      <c r="G219" s="8" t="s">
        <v>455</v>
      </c>
      <c r="H219" s="6" t="s">
        <v>370</v>
      </c>
      <c r="I219" s="6"/>
      <c r="J219" s="6"/>
      <c r="K219" s="6"/>
      <c r="L219" s="6" t="s">
        <v>478</v>
      </c>
      <c r="M219" s="6" t="s">
        <v>101</v>
      </c>
      <c r="N219" s="6"/>
      <c r="O219" s="6"/>
      <c r="P219" s="6"/>
      <c r="Q219" s="6"/>
    </row>
    <row r="220" spans="2:17" ht="15.5" x14ac:dyDescent="0.35">
      <c r="B220" s="5" t="s">
        <v>479</v>
      </c>
      <c r="C220" s="6" t="s">
        <v>15</v>
      </c>
      <c r="D220" s="7">
        <v>41795</v>
      </c>
      <c r="E220" s="6" t="s">
        <v>34</v>
      </c>
      <c r="F220" s="6" t="s">
        <v>17</v>
      </c>
      <c r="G220" s="8" t="s">
        <v>455</v>
      </c>
      <c r="H220" s="6" t="s">
        <v>370</v>
      </c>
      <c r="I220" s="6"/>
      <c r="J220" s="6"/>
      <c r="K220" s="6"/>
      <c r="L220" s="6" t="s">
        <v>478</v>
      </c>
      <c r="M220" s="6" t="s">
        <v>101</v>
      </c>
      <c r="N220" s="6"/>
      <c r="O220" s="6"/>
      <c r="P220" s="6"/>
      <c r="Q220" s="6"/>
    </row>
    <row r="221" spans="2:17" ht="15.5" x14ac:dyDescent="0.35">
      <c r="B221" s="5" t="s">
        <v>480</v>
      </c>
      <c r="C221" s="6" t="s">
        <v>25</v>
      </c>
      <c r="D221" s="7">
        <v>42911</v>
      </c>
      <c r="E221" s="6" t="s">
        <v>41</v>
      </c>
      <c r="F221" s="6" t="s">
        <v>17</v>
      </c>
      <c r="G221" s="8" t="s">
        <v>481</v>
      </c>
      <c r="H221" s="6" t="s">
        <v>370</v>
      </c>
      <c r="I221" s="6"/>
      <c r="J221" s="6" t="s">
        <v>20</v>
      </c>
      <c r="K221" s="6" t="s">
        <v>482</v>
      </c>
      <c r="L221" s="6" t="s">
        <v>483</v>
      </c>
      <c r="M221" s="6" t="s">
        <v>278</v>
      </c>
      <c r="N221" s="6"/>
      <c r="O221" s="6"/>
      <c r="P221" s="6"/>
      <c r="Q221" s="6"/>
    </row>
    <row r="222" spans="2:17" ht="15.5" x14ac:dyDescent="0.35">
      <c r="B222" s="5" t="s">
        <v>484</v>
      </c>
      <c r="C222" s="6" t="s">
        <v>25</v>
      </c>
      <c r="D222" s="7">
        <v>43080</v>
      </c>
      <c r="E222" s="6" t="s">
        <v>16</v>
      </c>
      <c r="F222" s="6" t="s">
        <v>17</v>
      </c>
      <c r="G222" s="8" t="s">
        <v>481</v>
      </c>
      <c r="H222" s="6" t="s">
        <v>370</v>
      </c>
      <c r="I222" s="6"/>
      <c r="J222" s="6" t="s">
        <v>20</v>
      </c>
      <c r="K222" s="6" t="s">
        <v>485</v>
      </c>
      <c r="L222" s="6" t="s">
        <v>486</v>
      </c>
      <c r="M222" s="6" t="s">
        <v>362</v>
      </c>
      <c r="N222" s="6"/>
      <c r="O222" s="6"/>
      <c r="P222" s="6"/>
      <c r="Q222" s="6"/>
    </row>
    <row r="223" spans="2:17" ht="15.5" x14ac:dyDescent="0.35">
      <c r="B223" s="5" t="s">
        <v>487</v>
      </c>
      <c r="C223" s="6" t="s">
        <v>15</v>
      </c>
      <c r="D223" s="7">
        <v>42716</v>
      </c>
      <c r="E223" s="6" t="s">
        <v>16</v>
      </c>
      <c r="F223" s="6" t="s">
        <v>17</v>
      </c>
      <c r="G223" s="8" t="s">
        <v>481</v>
      </c>
      <c r="H223" s="6" t="s">
        <v>370</v>
      </c>
      <c r="I223" s="6"/>
      <c r="J223" s="6" t="s">
        <v>20</v>
      </c>
      <c r="K223" s="6" t="s">
        <v>485</v>
      </c>
      <c r="L223" s="6" t="s">
        <v>486</v>
      </c>
      <c r="M223" s="6" t="s">
        <v>362</v>
      </c>
      <c r="N223" s="6"/>
      <c r="O223" s="6"/>
      <c r="P223" s="6"/>
      <c r="Q223" s="6"/>
    </row>
    <row r="224" spans="2:17" ht="15.5" x14ac:dyDescent="0.35">
      <c r="B224" s="5" t="s">
        <v>488</v>
      </c>
      <c r="C224" s="6" t="s">
        <v>25</v>
      </c>
      <c r="D224" s="7">
        <v>41916</v>
      </c>
      <c r="E224" s="6" t="s">
        <v>34</v>
      </c>
      <c r="F224" s="6" t="s">
        <v>17</v>
      </c>
      <c r="G224" s="8" t="s">
        <v>481</v>
      </c>
      <c r="H224" s="6" t="s">
        <v>370</v>
      </c>
      <c r="I224" s="6"/>
      <c r="J224" s="6" t="s">
        <v>20</v>
      </c>
      <c r="K224" s="6" t="s">
        <v>489</v>
      </c>
      <c r="L224" s="6" t="s">
        <v>490</v>
      </c>
      <c r="M224" s="6" t="s">
        <v>101</v>
      </c>
      <c r="N224" s="6"/>
      <c r="O224" s="6"/>
      <c r="P224" s="6"/>
      <c r="Q224" s="6"/>
    </row>
    <row r="225" spans="2:17" ht="15.5" x14ac:dyDescent="0.35">
      <c r="B225" s="5" t="s">
        <v>484</v>
      </c>
      <c r="C225" s="6" t="s">
        <v>25</v>
      </c>
      <c r="D225" s="7">
        <v>43080</v>
      </c>
      <c r="E225" s="6" t="s">
        <v>16</v>
      </c>
      <c r="F225" s="6" t="s">
        <v>17</v>
      </c>
      <c r="G225" s="8" t="s">
        <v>481</v>
      </c>
      <c r="H225" s="6" t="s">
        <v>370</v>
      </c>
      <c r="I225" s="6"/>
      <c r="J225" s="6"/>
      <c r="K225" s="6"/>
      <c r="L225" s="6" t="s">
        <v>486</v>
      </c>
      <c r="M225" s="6" t="s">
        <v>362</v>
      </c>
      <c r="N225" s="6"/>
      <c r="O225" s="6"/>
      <c r="P225" s="6"/>
      <c r="Q225" s="6"/>
    </row>
    <row r="226" spans="2:17" ht="15.5" x14ac:dyDescent="0.35">
      <c r="B226" s="5" t="s">
        <v>487</v>
      </c>
      <c r="C226" s="6" t="s">
        <v>15</v>
      </c>
      <c r="D226" s="7">
        <v>42716</v>
      </c>
      <c r="E226" s="6" t="s">
        <v>16</v>
      </c>
      <c r="F226" s="6" t="s">
        <v>17</v>
      </c>
      <c r="G226" s="8" t="s">
        <v>481</v>
      </c>
      <c r="H226" s="6" t="s">
        <v>370</v>
      </c>
      <c r="I226" s="6"/>
      <c r="J226" s="6"/>
      <c r="K226" s="6"/>
      <c r="L226" s="6" t="s">
        <v>486</v>
      </c>
      <c r="M226" s="6" t="s">
        <v>362</v>
      </c>
      <c r="N226" s="6"/>
      <c r="O226" s="6"/>
      <c r="P226" s="6"/>
      <c r="Q226" s="6"/>
    </row>
    <row r="227" spans="2:17" ht="15.5" x14ac:dyDescent="0.35">
      <c r="B227" s="5" t="s">
        <v>488</v>
      </c>
      <c r="C227" s="6" t="s">
        <v>25</v>
      </c>
      <c r="D227" s="7">
        <v>41916</v>
      </c>
      <c r="E227" s="6" t="s">
        <v>34</v>
      </c>
      <c r="F227" s="6" t="s">
        <v>17</v>
      </c>
      <c r="G227" s="8" t="s">
        <v>481</v>
      </c>
      <c r="H227" s="6" t="s">
        <v>370</v>
      </c>
      <c r="I227" s="6"/>
      <c r="J227" s="6"/>
      <c r="K227" s="6"/>
      <c r="L227" s="6" t="s">
        <v>490</v>
      </c>
      <c r="M227" s="6" t="s">
        <v>101</v>
      </c>
      <c r="N227" s="6"/>
      <c r="O227" s="6"/>
      <c r="P227" s="6"/>
      <c r="Q227" s="6"/>
    </row>
    <row r="228" spans="2:17" ht="15.5" x14ac:dyDescent="0.35">
      <c r="B228" s="5" t="s">
        <v>491</v>
      </c>
      <c r="C228" s="6" t="s">
        <v>25</v>
      </c>
      <c r="D228" s="7">
        <v>40782</v>
      </c>
      <c r="E228" s="6" t="s">
        <v>280</v>
      </c>
      <c r="F228" s="6" t="s">
        <v>157</v>
      </c>
      <c r="G228" s="8" t="s">
        <v>492</v>
      </c>
      <c r="H228" s="6" t="s">
        <v>370</v>
      </c>
      <c r="I228" s="6"/>
      <c r="J228" s="6" t="s">
        <v>493</v>
      </c>
      <c r="K228" s="6" t="s">
        <v>494</v>
      </c>
      <c r="L228" s="6" t="s">
        <v>495</v>
      </c>
      <c r="M228" s="6" t="s">
        <v>125</v>
      </c>
      <c r="N228" s="6"/>
      <c r="O228" s="6"/>
      <c r="P228" s="6"/>
      <c r="Q228" s="6"/>
    </row>
    <row r="229" spans="2:17" ht="15.5" x14ac:dyDescent="0.35">
      <c r="B229" s="5" t="s">
        <v>496</v>
      </c>
      <c r="C229" s="6" t="s">
        <v>25</v>
      </c>
      <c r="D229" s="7">
        <v>41005</v>
      </c>
      <c r="E229" s="6" t="s">
        <v>280</v>
      </c>
      <c r="F229" s="6" t="s">
        <v>157</v>
      </c>
      <c r="G229" s="8" t="s">
        <v>492</v>
      </c>
      <c r="H229" s="6" t="s">
        <v>370</v>
      </c>
      <c r="I229" s="6"/>
      <c r="J229" s="6" t="s">
        <v>20</v>
      </c>
      <c r="K229" s="6" t="s">
        <v>497</v>
      </c>
      <c r="L229" s="6" t="s">
        <v>498</v>
      </c>
      <c r="M229" s="6" t="s">
        <v>53</v>
      </c>
      <c r="N229" s="6"/>
      <c r="O229" s="6"/>
      <c r="P229" s="6"/>
      <c r="Q229" s="6"/>
    </row>
    <row r="230" spans="2:17" ht="15.5" x14ac:dyDescent="0.35">
      <c r="B230" s="5" t="s">
        <v>499</v>
      </c>
      <c r="C230" s="6" t="s">
        <v>25</v>
      </c>
      <c r="D230" s="7">
        <v>40980</v>
      </c>
      <c r="E230" s="6" t="s">
        <v>280</v>
      </c>
      <c r="F230" s="6" t="s">
        <v>157</v>
      </c>
      <c r="G230" s="8" t="s">
        <v>492</v>
      </c>
      <c r="H230" s="6" t="s">
        <v>370</v>
      </c>
      <c r="I230" s="6"/>
      <c r="J230" s="6" t="s">
        <v>20</v>
      </c>
      <c r="K230" s="6" t="s">
        <v>500</v>
      </c>
      <c r="L230" s="6" t="s">
        <v>501</v>
      </c>
      <c r="M230" s="6" t="s">
        <v>125</v>
      </c>
      <c r="N230" s="6"/>
      <c r="O230" s="6"/>
      <c r="P230" s="6"/>
      <c r="Q230" s="6"/>
    </row>
    <row r="231" spans="2:17" ht="15.5" x14ac:dyDescent="0.35">
      <c r="B231" s="5" t="s">
        <v>502</v>
      </c>
      <c r="C231" s="6" t="s">
        <v>15</v>
      </c>
      <c r="D231" s="7">
        <v>40612</v>
      </c>
      <c r="E231" s="6" t="s">
        <v>280</v>
      </c>
      <c r="F231" s="6" t="s">
        <v>157</v>
      </c>
      <c r="G231" s="8" t="s">
        <v>492</v>
      </c>
      <c r="H231" s="6" t="s">
        <v>370</v>
      </c>
      <c r="I231" s="6"/>
      <c r="J231" s="6" t="s">
        <v>20</v>
      </c>
      <c r="K231" s="6" t="s">
        <v>503</v>
      </c>
      <c r="L231" s="6" t="s">
        <v>504</v>
      </c>
      <c r="M231" s="6" t="s">
        <v>505</v>
      </c>
      <c r="N231" s="6"/>
      <c r="O231" s="6"/>
      <c r="P231" s="6"/>
      <c r="Q231" s="6"/>
    </row>
    <row r="232" spans="2:17" ht="15.5" x14ac:dyDescent="0.35">
      <c r="B232" s="5" t="s">
        <v>506</v>
      </c>
      <c r="C232" s="6" t="s">
        <v>15</v>
      </c>
      <c r="D232" s="7">
        <v>40996</v>
      </c>
      <c r="E232" s="6" t="s">
        <v>280</v>
      </c>
      <c r="F232" s="6" t="s">
        <v>157</v>
      </c>
      <c r="G232" s="8" t="s">
        <v>492</v>
      </c>
      <c r="H232" s="6" t="s">
        <v>370</v>
      </c>
      <c r="I232" s="6"/>
      <c r="J232" s="6" t="s">
        <v>20</v>
      </c>
      <c r="K232" s="6" t="s">
        <v>507</v>
      </c>
      <c r="L232" s="6" t="s">
        <v>508</v>
      </c>
      <c r="M232" s="6" t="s">
        <v>509</v>
      </c>
      <c r="N232" s="6"/>
      <c r="O232" s="6"/>
      <c r="P232" s="6"/>
      <c r="Q232" s="6"/>
    </row>
    <row r="233" spans="2:17" ht="15.5" x14ac:dyDescent="0.35">
      <c r="B233" s="5" t="s">
        <v>510</v>
      </c>
      <c r="C233" s="6" t="s">
        <v>15</v>
      </c>
      <c r="D233" s="7">
        <v>41113</v>
      </c>
      <c r="E233" s="6" t="s">
        <v>280</v>
      </c>
      <c r="F233" s="6" t="s">
        <v>157</v>
      </c>
      <c r="G233" s="8" t="s">
        <v>492</v>
      </c>
      <c r="H233" s="6" t="s">
        <v>370</v>
      </c>
      <c r="I233" s="6"/>
      <c r="J233" s="6" t="s">
        <v>20</v>
      </c>
      <c r="K233" s="6" t="s">
        <v>511</v>
      </c>
      <c r="L233" s="6" t="s">
        <v>512</v>
      </c>
      <c r="M233" s="6" t="s">
        <v>125</v>
      </c>
      <c r="N233" s="6"/>
      <c r="O233" s="6"/>
      <c r="P233" s="6"/>
      <c r="Q233" s="6"/>
    </row>
    <row r="234" spans="2:17" ht="15.5" x14ac:dyDescent="0.35">
      <c r="B234" s="5" t="s">
        <v>513</v>
      </c>
      <c r="C234" s="6" t="s">
        <v>25</v>
      </c>
      <c r="D234" s="7">
        <v>40714</v>
      </c>
      <c r="E234" s="6" t="s">
        <v>280</v>
      </c>
      <c r="F234" s="6" t="s">
        <v>157</v>
      </c>
      <c r="G234" s="8" t="s">
        <v>492</v>
      </c>
      <c r="H234" s="6" t="s">
        <v>370</v>
      </c>
      <c r="I234" s="6"/>
      <c r="J234" s="6" t="s">
        <v>20</v>
      </c>
      <c r="K234" s="6" t="s">
        <v>514</v>
      </c>
      <c r="L234" s="6" t="s">
        <v>515</v>
      </c>
      <c r="M234" s="6" t="s">
        <v>111</v>
      </c>
      <c r="N234" s="6"/>
      <c r="O234" s="6"/>
      <c r="P234" s="6"/>
      <c r="Q234" s="6"/>
    </row>
    <row r="235" spans="2:17" ht="15.5" x14ac:dyDescent="0.35">
      <c r="B235" s="5" t="s">
        <v>516</v>
      </c>
      <c r="C235" s="6" t="s">
        <v>15</v>
      </c>
      <c r="D235" s="7">
        <v>40718</v>
      </c>
      <c r="E235" s="6" t="s">
        <v>280</v>
      </c>
      <c r="F235" s="6" t="s">
        <v>157</v>
      </c>
      <c r="G235" s="8" t="s">
        <v>492</v>
      </c>
      <c r="H235" s="6" t="s">
        <v>370</v>
      </c>
      <c r="I235" s="6"/>
      <c r="J235" s="6" t="s">
        <v>20</v>
      </c>
      <c r="K235" s="6" t="s">
        <v>517</v>
      </c>
      <c r="L235" s="6" t="s">
        <v>518</v>
      </c>
      <c r="M235" s="6" t="s">
        <v>85</v>
      </c>
      <c r="N235" s="6"/>
      <c r="O235" s="6"/>
      <c r="P235" s="6"/>
      <c r="Q235" s="6"/>
    </row>
    <row r="236" spans="2:17" ht="15.5" x14ac:dyDescent="0.35">
      <c r="B236" s="5" t="s">
        <v>519</v>
      </c>
      <c r="C236" s="6" t="s">
        <v>15</v>
      </c>
      <c r="D236" s="7">
        <v>41217</v>
      </c>
      <c r="E236" s="6" t="s">
        <v>280</v>
      </c>
      <c r="F236" s="6" t="s">
        <v>157</v>
      </c>
      <c r="G236" s="8" t="s">
        <v>492</v>
      </c>
      <c r="H236" s="6" t="s">
        <v>370</v>
      </c>
      <c r="I236" s="6"/>
      <c r="J236" s="6" t="s">
        <v>20</v>
      </c>
      <c r="K236" s="6" t="s">
        <v>520</v>
      </c>
      <c r="L236" s="6" t="s">
        <v>521</v>
      </c>
      <c r="M236" s="6" t="s">
        <v>46</v>
      </c>
      <c r="N236" s="6"/>
      <c r="O236" s="6"/>
      <c r="P236" s="6"/>
      <c r="Q236" s="6"/>
    </row>
    <row r="237" spans="2:17" ht="15.5" x14ac:dyDescent="0.35">
      <c r="B237" s="5" t="s">
        <v>522</v>
      </c>
      <c r="C237" s="6" t="s">
        <v>25</v>
      </c>
      <c r="D237" s="7">
        <v>40949</v>
      </c>
      <c r="E237" s="6" t="s">
        <v>280</v>
      </c>
      <c r="F237" s="6" t="s">
        <v>157</v>
      </c>
      <c r="G237" s="8" t="s">
        <v>492</v>
      </c>
      <c r="H237" s="6" t="s">
        <v>370</v>
      </c>
      <c r="I237" s="6"/>
      <c r="J237" s="6" t="s">
        <v>20</v>
      </c>
      <c r="K237" s="6" t="s">
        <v>48</v>
      </c>
      <c r="L237" s="6" t="s">
        <v>49</v>
      </c>
      <c r="M237" s="6" t="s">
        <v>46</v>
      </c>
      <c r="N237" s="6"/>
      <c r="O237" s="6"/>
      <c r="P237" s="6"/>
      <c r="Q237" s="6"/>
    </row>
    <row r="238" spans="2:17" ht="15.5" x14ac:dyDescent="0.35">
      <c r="B238" s="5" t="s">
        <v>523</v>
      </c>
      <c r="C238" s="6" t="s">
        <v>15</v>
      </c>
      <c r="D238" s="7">
        <v>41001</v>
      </c>
      <c r="E238" s="6" t="s">
        <v>280</v>
      </c>
      <c r="F238" s="6" t="s">
        <v>157</v>
      </c>
      <c r="G238" s="8" t="s">
        <v>492</v>
      </c>
      <c r="H238" s="6" t="s">
        <v>370</v>
      </c>
      <c r="I238" s="6"/>
      <c r="J238" s="6" t="s">
        <v>20</v>
      </c>
      <c r="K238" s="6" t="s">
        <v>524</v>
      </c>
      <c r="L238" s="6" t="s">
        <v>525</v>
      </c>
      <c r="M238" s="6" t="s">
        <v>319</v>
      </c>
      <c r="N238" s="6"/>
      <c r="O238" s="6"/>
      <c r="P238" s="6"/>
      <c r="Q238" s="6"/>
    </row>
    <row r="239" spans="2:17" ht="15.5" x14ac:dyDescent="0.35">
      <c r="B239" s="5" t="s">
        <v>526</v>
      </c>
      <c r="C239" s="6" t="s">
        <v>25</v>
      </c>
      <c r="D239" s="7">
        <v>40657</v>
      </c>
      <c r="E239" s="6" t="s">
        <v>280</v>
      </c>
      <c r="F239" s="6" t="s">
        <v>157</v>
      </c>
      <c r="G239" s="8" t="s">
        <v>492</v>
      </c>
      <c r="H239" s="6" t="s">
        <v>370</v>
      </c>
      <c r="I239" s="6"/>
      <c r="J239" s="6" t="s">
        <v>20</v>
      </c>
      <c r="K239" s="6" t="s">
        <v>139</v>
      </c>
      <c r="L239" s="6" t="s">
        <v>140</v>
      </c>
      <c r="M239" s="6" t="s">
        <v>101</v>
      </c>
      <c r="N239" s="6"/>
      <c r="O239" s="6"/>
      <c r="P239" s="6"/>
      <c r="Q239" s="6"/>
    </row>
    <row r="240" spans="2:17" ht="15.5" x14ac:dyDescent="0.35">
      <c r="B240" s="5" t="s">
        <v>527</v>
      </c>
      <c r="C240" s="6" t="s">
        <v>25</v>
      </c>
      <c r="D240" s="7">
        <v>41001</v>
      </c>
      <c r="E240" s="6" t="s">
        <v>280</v>
      </c>
      <c r="F240" s="6" t="s">
        <v>157</v>
      </c>
      <c r="G240" s="8" t="s">
        <v>492</v>
      </c>
      <c r="H240" s="6" t="s">
        <v>370</v>
      </c>
      <c r="I240" s="6"/>
      <c r="J240" s="6" t="s">
        <v>20</v>
      </c>
      <c r="K240" s="6" t="s">
        <v>269</v>
      </c>
      <c r="L240" s="6" t="s">
        <v>270</v>
      </c>
      <c r="M240" s="6" t="s">
        <v>111</v>
      </c>
      <c r="N240" s="6"/>
      <c r="O240" s="6"/>
      <c r="P240" s="6"/>
      <c r="Q240" s="6"/>
    </row>
    <row r="241" spans="2:17" ht="15.5" x14ac:dyDescent="0.35">
      <c r="B241" s="5" t="s">
        <v>528</v>
      </c>
      <c r="C241" s="6" t="s">
        <v>15</v>
      </c>
      <c r="D241" s="7">
        <v>41205</v>
      </c>
      <c r="E241" s="6" t="s">
        <v>280</v>
      </c>
      <c r="F241" s="6" t="s">
        <v>157</v>
      </c>
      <c r="G241" s="8" t="s">
        <v>492</v>
      </c>
      <c r="H241" s="6" t="s">
        <v>370</v>
      </c>
      <c r="I241" s="6"/>
      <c r="J241" s="6" t="s">
        <v>20</v>
      </c>
      <c r="K241" s="6" t="s">
        <v>529</v>
      </c>
      <c r="L241" s="6" t="s">
        <v>530</v>
      </c>
      <c r="M241" s="6" t="s">
        <v>111</v>
      </c>
      <c r="N241" s="6"/>
      <c r="O241" s="6"/>
      <c r="P241" s="6"/>
      <c r="Q241" s="6"/>
    </row>
    <row r="242" spans="2:17" ht="15.5" x14ac:dyDescent="0.35">
      <c r="B242" s="5" t="s">
        <v>531</v>
      </c>
      <c r="C242" s="6" t="s">
        <v>15</v>
      </c>
      <c r="D242" s="7">
        <v>40931</v>
      </c>
      <c r="E242" s="6" t="s">
        <v>280</v>
      </c>
      <c r="F242" s="6" t="s">
        <v>157</v>
      </c>
      <c r="G242" s="8" t="s">
        <v>492</v>
      </c>
      <c r="H242" s="6" t="s">
        <v>370</v>
      </c>
      <c r="I242" s="6"/>
      <c r="J242" s="6" t="s">
        <v>20</v>
      </c>
      <c r="K242" s="6" t="s">
        <v>532</v>
      </c>
      <c r="L242" s="6"/>
      <c r="M242" s="6" t="s">
        <v>46</v>
      </c>
      <c r="N242" s="6"/>
      <c r="O242" s="6"/>
      <c r="P242" s="6"/>
      <c r="Q242" s="6"/>
    </row>
    <row r="243" spans="2:17" ht="15.5" x14ac:dyDescent="0.35">
      <c r="B243" s="5" t="s">
        <v>533</v>
      </c>
      <c r="C243" s="6" t="s">
        <v>15</v>
      </c>
      <c r="D243" s="7">
        <v>41101</v>
      </c>
      <c r="E243" s="6" t="s">
        <v>280</v>
      </c>
      <c r="F243" s="6" t="s">
        <v>157</v>
      </c>
      <c r="G243" s="8" t="s">
        <v>492</v>
      </c>
      <c r="H243" s="6" t="s">
        <v>370</v>
      </c>
      <c r="I243" s="6"/>
      <c r="J243" s="6" t="s">
        <v>20</v>
      </c>
      <c r="K243" s="6" t="s">
        <v>69</v>
      </c>
      <c r="L243" s="6" t="s">
        <v>70</v>
      </c>
      <c r="M243" s="6" t="s">
        <v>46</v>
      </c>
      <c r="N243" s="6"/>
      <c r="O243" s="6"/>
      <c r="P243" s="6"/>
      <c r="Q243" s="6"/>
    </row>
    <row r="244" spans="2:17" ht="15.5" x14ac:dyDescent="0.35">
      <c r="B244" s="5" t="s">
        <v>534</v>
      </c>
      <c r="C244" s="6" t="s">
        <v>25</v>
      </c>
      <c r="D244" s="7">
        <v>40605</v>
      </c>
      <c r="E244" s="6" t="s">
        <v>280</v>
      </c>
      <c r="F244" s="6" t="s">
        <v>157</v>
      </c>
      <c r="G244" s="8" t="s">
        <v>492</v>
      </c>
      <c r="H244" s="6" t="s">
        <v>370</v>
      </c>
      <c r="I244" s="6"/>
      <c r="J244" s="6" t="s">
        <v>20</v>
      </c>
      <c r="K244" s="6" t="s">
        <v>535</v>
      </c>
      <c r="L244" s="6" t="s">
        <v>536</v>
      </c>
      <c r="M244" s="6" t="s">
        <v>201</v>
      </c>
      <c r="N244" s="6"/>
      <c r="O244" s="6"/>
      <c r="P244" s="6"/>
      <c r="Q244" s="6"/>
    </row>
    <row r="245" spans="2:17" ht="15.5" x14ac:dyDescent="0.35">
      <c r="B245" s="5" t="s">
        <v>537</v>
      </c>
      <c r="C245" s="6" t="s">
        <v>15</v>
      </c>
      <c r="D245" s="7">
        <v>40877</v>
      </c>
      <c r="E245" s="6" t="s">
        <v>280</v>
      </c>
      <c r="F245" s="6" t="s">
        <v>157</v>
      </c>
      <c r="G245" s="8" t="s">
        <v>492</v>
      </c>
      <c r="H245" s="6" t="s">
        <v>370</v>
      </c>
      <c r="I245" s="6"/>
      <c r="J245" s="6" t="s">
        <v>20</v>
      </c>
      <c r="K245" s="6" t="s">
        <v>538</v>
      </c>
      <c r="L245" s="6" t="s">
        <v>539</v>
      </c>
      <c r="M245" s="6" t="s">
        <v>46</v>
      </c>
      <c r="N245" s="6"/>
      <c r="O245" s="6"/>
      <c r="P245" s="6"/>
      <c r="Q245" s="6"/>
    </row>
    <row r="246" spans="2:17" ht="15.5" x14ac:dyDescent="0.35">
      <c r="B246" s="5" t="s">
        <v>540</v>
      </c>
      <c r="C246" s="6" t="s">
        <v>25</v>
      </c>
      <c r="D246" s="7">
        <v>40937</v>
      </c>
      <c r="E246" s="6" t="s">
        <v>280</v>
      </c>
      <c r="F246" s="6" t="s">
        <v>157</v>
      </c>
      <c r="G246" s="8" t="s">
        <v>492</v>
      </c>
      <c r="H246" s="6" t="s">
        <v>370</v>
      </c>
      <c r="I246" s="6"/>
      <c r="J246" s="6" t="s">
        <v>20</v>
      </c>
      <c r="K246" s="6" t="s">
        <v>541</v>
      </c>
      <c r="L246" s="6" t="s">
        <v>542</v>
      </c>
      <c r="M246" s="6" t="s">
        <v>505</v>
      </c>
      <c r="N246" s="6"/>
      <c r="O246" s="6"/>
      <c r="P246" s="6"/>
      <c r="Q246" s="6"/>
    </row>
    <row r="247" spans="2:17" ht="15.5" x14ac:dyDescent="0.35">
      <c r="B247" s="5" t="s">
        <v>543</v>
      </c>
      <c r="C247" s="6" t="s">
        <v>25</v>
      </c>
      <c r="D247" s="7">
        <v>41197</v>
      </c>
      <c r="E247" s="6" t="s">
        <v>280</v>
      </c>
      <c r="F247" s="6" t="s">
        <v>157</v>
      </c>
      <c r="G247" s="8" t="s">
        <v>492</v>
      </c>
      <c r="H247" s="6" t="s">
        <v>370</v>
      </c>
      <c r="I247" s="6"/>
      <c r="J247" s="6" t="s">
        <v>20</v>
      </c>
      <c r="K247" s="6" t="s">
        <v>544</v>
      </c>
      <c r="L247" s="6" t="s">
        <v>545</v>
      </c>
      <c r="M247" s="6" t="s">
        <v>355</v>
      </c>
      <c r="N247" s="6"/>
      <c r="O247" s="6"/>
      <c r="P247" s="6"/>
      <c r="Q247" s="6"/>
    </row>
    <row r="248" spans="2:17" ht="15.5" x14ac:dyDescent="0.35">
      <c r="B248" s="5" t="s">
        <v>546</v>
      </c>
      <c r="C248" s="6" t="s">
        <v>25</v>
      </c>
      <c r="D248" s="7">
        <v>41246</v>
      </c>
      <c r="E248" s="6" t="s">
        <v>280</v>
      </c>
      <c r="F248" s="6" t="s">
        <v>157</v>
      </c>
      <c r="G248" s="8" t="s">
        <v>492</v>
      </c>
      <c r="H248" s="6" t="s">
        <v>370</v>
      </c>
      <c r="I248" s="6"/>
      <c r="J248" s="6" t="s">
        <v>20</v>
      </c>
      <c r="K248" s="6" t="s">
        <v>547</v>
      </c>
      <c r="L248" s="6" t="s">
        <v>548</v>
      </c>
      <c r="M248" s="6" t="s">
        <v>549</v>
      </c>
      <c r="N248" s="6"/>
      <c r="O248" s="6"/>
      <c r="P248" s="6"/>
      <c r="Q248" s="6"/>
    </row>
    <row r="249" spans="2:17" ht="15.5" x14ac:dyDescent="0.35">
      <c r="B249" s="5" t="s">
        <v>550</v>
      </c>
      <c r="C249" s="6" t="s">
        <v>25</v>
      </c>
      <c r="D249" s="7">
        <v>41204</v>
      </c>
      <c r="E249" s="6" t="s">
        <v>280</v>
      </c>
      <c r="F249" s="6" t="s">
        <v>157</v>
      </c>
      <c r="G249" s="8" t="s">
        <v>492</v>
      </c>
      <c r="H249" s="6" t="s">
        <v>370</v>
      </c>
      <c r="I249" s="6"/>
      <c r="J249" s="6" t="s">
        <v>20</v>
      </c>
      <c r="K249" s="6" t="s">
        <v>551</v>
      </c>
      <c r="L249" s="6" t="s">
        <v>552</v>
      </c>
      <c r="M249" s="6" t="s">
        <v>255</v>
      </c>
      <c r="N249" s="6"/>
      <c r="O249" s="6"/>
      <c r="P249" s="6"/>
      <c r="Q249" s="6"/>
    </row>
    <row r="250" spans="2:17" ht="15.5" x14ac:dyDescent="0.35">
      <c r="B250" s="5" t="s">
        <v>553</v>
      </c>
      <c r="C250" s="6" t="s">
        <v>25</v>
      </c>
      <c r="D250" s="7">
        <v>41254</v>
      </c>
      <c r="E250" s="6" t="s">
        <v>280</v>
      </c>
      <c r="F250" s="6" t="s">
        <v>157</v>
      </c>
      <c r="G250" s="8" t="s">
        <v>492</v>
      </c>
      <c r="H250" s="6" t="s">
        <v>370</v>
      </c>
      <c r="I250" s="6"/>
      <c r="J250" s="6" t="s">
        <v>20</v>
      </c>
      <c r="K250" s="6" t="s">
        <v>554</v>
      </c>
      <c r="L250" s="6" t="s">
        <v>555</v>
      </c>
      <c r="M250" s="6" t="s">
        <v>111</v>
      </c>
      <c r="N250" s="6"/>
      <c r="O250" s="6"/>
      <c r="P250" s="6"/>
      <c r="Q250" s="6"/>
    </row>
    <row r="251" spans="2:17" ht="15.5" x14ac:dyDescent="0.35">
      <c r="B251" s="5" t="s">
        <v>556</v>
      </c>
      <c r="C251" s="6" t="s">
        <v>15</v>
      </c>
      <c r="D251" s="7">
        <v>40756</v>
      </c>
      <c r="E251" s="6" t="s">
        <v>280</v>
      </c>
      <c r="F251" s="6" t="s">
        <v>157</v>
      </c>
      <c r="G251" s="8" t="s">
        <v>492</v>
      </c>
      <c r="H251" s="6" t="s">
        <v>370</v>
      </c>
      <c r="I251" s="6"/>
      <c r="J251" s="6" t="s">
        <v>20</v>
      </c>
      <c r="K251" s="6" t="s">
        <v>557</v>
      </c>
      <c r="L251" s="6" t="s">
        <v>558</v>
      </c>
      <c r="M251" s="6" t="s">
        <v>53</v>
      </c>
      <c r="N251" s="6"/>
      <c r="O251" s="6"/>
      <c r="P251" s="6"/>
      <c r="Q251" s="6"/>
    </row>
    <row r="252" spans="2:17" ht="15.5" x14ac:dyDescent="0.35">
      <c r="B252" s="5" t="s">
        <v>559</v>
      </c>
      <c r="C252" s="6" t="s">
        <v>25</v>
      </c>
      <c r="D252" s="7">
        <v>40717</v>
      </c>
      <c r="E252" s="6" t="s">
        <v>280</v>
      </c>
      <c r="F252" s="6" t="s">
        <v>157</v>
      </c>
      <c r="G252" s="8" t="s">
        <v>492</v>
      </c>
      <c r="H252" s="6" t="s">
        <v>370</v>
      </c>
      <c r="I252" s="6"/>
      <c r="J252" s="6" t="s">
        <v>20</v>
      </c>
      <c r="K252" s="6" t="s">
        <v>560</v>
      </c>
      <c r="L252" s="6" t="s">
        <v>561</v>
      </c>
      <c r="M252" s="6" t="s">
        <v>46</v>
      </c>
      <c r="N252" s="6"/>
      <c r="O252" s="6"/>
      <c r="P252" s="6"/>
      <c r="Q252" s="6"/>
    </row>
    <row r="253" spans="2:17" ht="15.5" x14ac:dyDescent="0.35">
      <c r="B253" s="5" t="s">
        <v>562</v>
      </c>
      <c r="C253" s="6" t="s">
        <v>15</v>
      </c>
      <c r="D253" s="7">
        <v>41094</v>
      </c>
      <c r="E253" s="6" t="s">
        <v>280</v>
      </c>
      <c r="F253" s="6" t="s">
        <v>157</v>
      </c>
      <c r="G253" s="8" t="s">
        <v>492</v>
      </c>
      <c r="H253" s="6" t="s">
        <v>370</v>
      </c>
      <c r="I253" s="6"/>
      <c r="J253" s="6" t="s">
        <v>20</v>
      </c>
      <c r="K253" s="6" t="s">
        <v>563</v>
      </c>
      <c r="L253" s="6" t="s">
        <v>564</v>
      </c>
      <c r="M253" s="6" t="s">
        <v>319</v>
      </c>
      <c r="N253" s="6"/>
      <c r="O253" s="6"/>
      <c r="P253" s="6"/>
      <c r="Q253" s="6"/>
    </row>
    <row r="254" spans="2:17" ht="15.5" x14ac:dyDescent="0.35">
      <c r="B254" s="5" t="s">
        <v>565</v>
      </c>
      <c r="C254" s="6" t="s">
        <v>25</v>
      </c>
      <c r="D254" s="7">
        <v>40581</v>
      </c>
      <c r="E254" s="6" t="s">
        <v>280</v>
      </c>
      <c r="F254" s="6" t="s">
        <v>157</v>
      </c>
      <c r="G254" s="8" t="s">
        <v>492</v>
      </c>
      <c r="H254" s="6" t="s">
        <v>370</v>
      </c>
      <c r="I254" s="6"/>
      <c r="J254" s="6" t="s">
        <v>20</v>
      </c>
      <c r="K254" s="6" t="s">
        <v>566</v>
      </c>
      <c r="L254" s="6" t="s">
        <v>567</v>
      </c>
      <c r="M254" s="6" t="s">
        <v>373</v>
      </c>
      <c r="N254" s="6"/>
      <c r="O254" s="6"/>
      <c r="P254" s="6"/>
      <c r="Q254" s="6"/>
    </row>
    <row r="255" spans="2:17" ht="15.5" x14ac:dyDescent="0.35">
      <c r="B255" s="5" t="s">
        <v>568</v>
      </c>
      <c r="C255" s="6" t="s">
        <v>25</v>
      </c>
      <c r="D255" s="7">
        <v>41038</v>
      </c>
      <c r="E255" s="6" t="s">
        <v>280</v>
      </c>
      <c r="F255" s="6" t="s">
        <v>157</v>
      </c>
      <c r="G255" s="8" t="s">
        <v>492</v>
      </c>
      <c r="H255" s="6" t="s">
        <v>370</v>
      </c>
      <c r="I255" s="6"/>
      <c r="J255" s="6" t="s">
        <v>20</v>
      </c>
      <c r="K255" s="6" t="s">
        <v>569</v>
      </c>
      <c r="L255" s="6" t="s">
        <v>570</v>
      </c>
      <c r="M255" s="6" t="s">
        <v>101</v>
      </c>
      <c r="N255" s="6"/>
      <c r="O255" s="6"/>
      <c r="P255" s="6"/>
      <c r="Q255" s="6"/>
    </row>
    <row r="256" spans="2:17" ht="15.5" x14ac:dyDescent="0.35">
      <c r="B256" s="5" t="s">
        <v>571</v>
      </c>
      <c r="C256" s="6" t="s">
        <v>15</v>
      </c>
      <c r="D256" s="6" t="s">
        <v>572</v>
      </c>
      <c r="E256" s="6" t="s">
        <v>280</v>
      </c>
      <c r="F256" s="6" t="s">
        <v>157</v>
      </c>
      <c r="G256" s="8" t="s">
        <v>492</v>
      </c>
      <c r="H256" s="6" t="s">
        <v>370</v>
      </c>
      <c r="I256" s="6"/>
      <c r="J256" s="6" t="s">
        <v>20</v>
      </c>
      <c r="K256" s="6" t="s">
        <v>573</v>
      </c>
      <c r="L256" s="6" t="s">
        <v>574</v>
      </c>
      <c r="M256" s="6" t="s">
        <v>319</v>
      </c>
      <c r="N256" s="6"/>
      <c r="O256" s="6"/>
      <c r="P256" s="6"/>
      <c r="Q256" s="6"/>
    </row>
    <row r="257" spans="2:17" ht="15.5" x14ac:dyDescent="0.35">
      <c r="B257" s="5" t="s">
        <v>575</v>
      </c>
      <c r="C257" s="6" t="s">
        <v>25</v>
      </c>
      <c r="D257" s="7">
        <v>40304</v>
      </c>
      <c r="E257" s="6" t="s">
        <v>156</v>
      </c>
      <c r="F257" s="6" t="s">
        <v>157</v>
      </c>
      <c r="G257" s="8" t="s">
        <v>492</v>
      </c>
      <c r="H257" s="6" t="s">
        <v>370</v>
      </c>
      <c r="I257" s="6"/>
      <c r="J257" s="6" t="s">
        <v>20</v>
      </c>
      <c r="K257" s="6" t="s">
        <v>576</v>
      </c>
      <c r="L257" s="6"/>
      <c r="M257" s="6" t="s">
        <v>46</v>
      </c>
      <c r="N257" s="6"/>
      <c r="O257" s="6"/>
      <c r="P257" s="6"/>
      <c r="Q257" s="6"/>
    </row>
    <row r="258" spans="2:17" ht="15.5" x14ac:dyDescent="0.35">
      <c r="B258" s="5" t="s">
        <v>577</v>
      </c>
      <c r="C258" s="6" t="s">
        <v>15</v>
      </c>
      <c r="D258" s="7">
        <v>40088</v>
      </c>
      <c r="E258" s="6" t="s">
        <v>156</v>
      </c>
      <c r="F258" s="6" t="s">
        <v>157</v>
      </c>
      <c r="G258" s="8" t="s">
        <v>492</v>
      </c>
      <c r="H258" s="6" t="s">
        <v>370</v>
      </c>
      <c r="I258" s="6"/>
      <c r="J258" s="6" t="s">
        <v>20</v>
      </c>
      <c r="K258" s="6" t="s">
        <v>551</v>
      </c>
      <c r="L258" s="6" t="s">
        <v>552</v>
      </c>
      <c r="M258" s="6" t="s">
        <v>255</v>
      </c>
      <c r="N258" s="6"/>
      <c r="O258" s="6"/>
      <c r="P258" s="6"/>
      <c r="Q258" s="6"/>
    </row>
    <row r="259" spans="2:17" ht="15.5" x14ac:dyDescent="0.35">
      <c r="B259" s="5" t="s">
        <v>578</v>
      </c>
      <c r="C259" s="6" t="s">
        <v>15</v>
      </c>
      <c r="D259" s="6" t="s">
        <v>579</v>
      </c>
      <c r="E259" s="6" t="s">
        <v>156</v>
      </c>
      <c r="F259" s="6" t="s">
        <v>157</v>
      </c>
      <c r="G259" s="8" t="s">
        <v>492</v>
      </c>
      <c r="H259" s="6" t="s">
        <v>370</v>
      </c>
      <c r="I259" s="6"/>
      <c r="J259" s="6" t="s">
        <v>20</v>
      </c>
      <c r="K259" s="6" t="s">
        <v>580</v>
      </c>
      <c r="L259" s="6" t="s">
        <v>581</v>
      </c>
      <c r="M259" s="6" t="s">
        <v>111</v>
      </c>
      <c r="N259" s="6"/>
      <c r="O259" s="6"/>
      <c r="P259" s="6"/>
      <c r="Q259" s="6"/>
    </row>
    <row r="260" spans="2:17" ht="15.5" x14ac:dyDescent="0.35">
      <c r="B260" s="5" t="s">
        <v>582</v>
      </c>
      <c r="C260" s="6" t="s">
        <v>15</v>
      </c>
      <c r="D260" s="7">
        <v>40484</v>
      </c>
      <c r="E260" s="6" t="s">
        <v>156</v>
      </c>
      <c r="F260" s="6" t="s">
        <v>157</v>
      </c>
      <c r="G260" s="8" t="s">
        <v>492</v>
      </c>
      <c r="H260" s="6" t="s">
        <v>370</v>
      </c>
      <c r="I260" s="6"/>
      <c r="J260" s="6" t="s">
        <v>20</v>
      </c>
      <c r="K260" s="6" t="s">
        <v>317</v>
      </c>
      <c r="L260" s="6" t="s">
        <v>318</v>
      </c>
      <c r="M260" s="6" t="s">
        <v>319</v>
      </c>
      <c r="N260" s="6"/>
      <c r="O260" s="6"/>
      <c r="P260" s="6"/>
      <c r="Q260" s="6"/>
    </row>
    <row r="261" spans="2:17" ht="15.5" x14ac:dyDescent="0.35">
      <c r="B261" s="5" t="s">
        <v>583</v>
      </c>
      <c r="C261" s="6" t="s">
        <v>15</v>
      </c>
      <c r="D261" s="7">
        <v>40512</v>
      </c>
      <c r="E261" s="6" t="s">
        <v>156</v>
      </c>
      <c r="F261" s="6" t="s">
        <v>157</v>
      </c>
      <c r="G261" s="8" t="s">
        <v>492</v>
      </c>
      <c r="H261" s="6" t="s">
        <v>370</v>
      </c>
      <c r="I261" s="6"/>
      <c r="J261" s="6" t="s">
        <v>20</v>
      </c>
      <c r="K261" s="6" t="s">
        <v>584</v>
      </c>
      <c r="L261" s="6" t="s">
        <v>585</v>
      </c>
      <c r="M261" s="6" t="s">
        <v>111</v>
      </c>
      <c r="N261" s="6"/>
      <c r="O261" s="6"/>
      <c r="P261" s="6"/>
      <c r="Q261" s="6"/>
    </row>
    <row r="262" spans="2:17" ht="15.5" x14ac:dyDescent="0.35">
      <c r="B262" s="5" t="s">
        <v>575</v>
      </c>
      <c r="C262" s="6" t="s">
        <v>25</v>
      </c>
      <c r="D262" s="7">
        <v>40304</v>
      </c>
      <c r="E262" s="6" t="s">
        <v>156</v>
      </c>
      <c r="F262" s="6" t="s">
        <v>157</v>
      </c>
      <c r="G262" s="8" t="s">
        <v>492</v>
      </c>
      <c r="H262" s="6" t="s">
        <v>370</v>
      </c>
      <c r="I262" s="6"/>
      <c r="J262" s="6"/>
      <c r="K262" s="6"/>
      <c r="L262" s="6"/>
      <c r="M262" s="6" t="s">
        <v>46</v>
      </c>
      <c r="N262" s="6"/>
      <c r="O262" s="6"/>
      <c r="P262" s="6"/>
      <c r="Q262" s="6"/>
    </row>
    <row r="263" spans="2:17" ht="15.5" x14ac:dyDescent="0.35">
      <c r="B263" s="5" t="s">
        <v>577</v>
      </c>
      <c r="C263" s="6" t="s">
        <v>15</v>
      </c>
      <c r="D263" s="7">
        <v>40088</v>
      </c>
      <c r="E263" s="6" t="s">
        <v>156</v>
      </c>
      <c r="F263" s="6" t="s">
        <v>157</v>
      </c>
      <c r="G263" s="8" t="s">
        <v>492</v>
      </c>
      <c r="H263" s="6" t="s">
        <v>370</v>
      </c>
      <c r="I263" s="6"/>
      <c r="J263" s="6"/>
      <c r="K263" s="6"/>
      <c r="L263" s="6" t="s">
        <v>552</v>
      </c>
      <c r="M263" s="6" t="s">
        <v>255</v>
      </c>
      <c r="N263" s="6"/>
      <c r="O263" s="6"/>
      <c r="P263" s="6"/>
      <c r="Q263" s="6"/>
    </row>
    <row r="264" spans="2:17" ht="15.5" x14ac:dyDescent="0.35">
      <c r="B264" s="5" t="s">
        <v>578</v>
      </c>
      <c r="C264" s="6" t="s">
        <v>15</v>
      </c>
      <c r="D264" s="6" t="s">
        <v>579</v>
      </c>
      <c r="E264" s="6" t="s">
        <v>156</v>
      </c>
      <c r="F264" s="6" t="s">
        <v>157</v>
      </c>
      <c r="G264" s="8" t="s">
        <v>492</v>
      </c>
      <c r="H264" s="6" t="s">
        <v>370</v>
      </c>
      <c r="I264" s="6"/>
      <c r="J264" s="6"/>
      <c r="K264" s="6"/>
      <c r="L264" s="6" t="s">
        <v>581</v>
      </c>
      <c r="M264" s="6" t="s">
        <v>111</v>
      </c>
      <c r="N264" s="6"/>
      <c r="O264" s="6"/>
      <c r="P264" s="6"/>
      <c r="Q264" s="6"/>
    </row>
    <row r="265" spans="2:17" ht="15.5" x14ac:dyDescent="0.35">
      <c r="B265" s="5" t="s">
        <v>582</v>
      </c>
      <c r="C265" s="6" t="s">
        <v>15</v>
      </c>
      <c r="D265" s="7">
        <v>40484</v>
      </c>
      <c r="E265" s="6" t="s">
        <v>156</v>
      </c>
      <c r="F265" s="6" t="s">
        <v>157</v>
      </c>
      <c r="G265" s="8" t="s">
        <v>492</v>
      </c>
      <c r="H265" s="6" t="s">
        <v>370</v>
      </c>
      <c r="I265" s="6"/>
      <c r="J265" s="6"/>
      <c r="K265" s="6"/>
      <c r="L265" s="6" t="s">
        <v>318</v>
      </c>
      <c r="M265" s="6" t="s">
        <v>319</v>
      </c>
      <c r="N265" s="6"/>
      <c r="O265" s="6"/>
      <c r="P265" s="6"/>
      <c r="Q265" s="6"/>
    </row>
    <row r="266" spans="2:17" ht="15.5" x14ac:dyDescent="0.35">
      <c r="B266" s="5" t="s">
        <v>583</v>
      </c>
      <c r="C266" s="6" t="s">
        <v>15</v>
      </c>
      <c r="D266" s="7">
        <v>40512</v>
      </c>
      <c r="E266" s="6" t="s">
        <v>156</v>
      </c>
      <c r="F266" s="6" t="s">
        <v>157</v>
      </c>
      <c r="G266" s="8" t="s">
        <v>492</v>
      </c>
      <c r="H266" s="6" t="s">
        <v>370</v>
      </c>
      <c r="I266" s="6"/>
      <c r="J266" s="6"/>
      <c r="K266" s="6"/>
      <c r="L266" s="6" t="s">
        <v>585</v>
      </c>
      <c r="M266" s="6" t="s">
        <v>111</v>
      </c>
      <c r="N266" s="6"/>
      <c r="O266" s="6"/>
      <c r="P266" s="6"/>
      <c r="Q266" s="6"/>
    </row>
    <row r="267" spans="2:17" ht="15.5" x14ac:dyDescent="0.35">
      <c r="B267" s="5" t="s">
        <v>586</v>
      </c>
      <c r="C267" s="6" t="s">
        <v>25</v>
      </c>
      <c r="D267" s="7">
        <v>41142</v>
      </c>
      <c r="E267" s="6" t="s">
        <v>280</v>
      </c>
      <c r="F267" s="6" t="s">
        <v>157</v>
      </c>
      <c r="G267" s="8" t="s">
        <v>587</v>
      </c>
      <c r="H267" s="6" t="s">
        <v>370</v>
      </c>
      <c r="I267" s="6"/>
      <c r="J267" s="6" t="s">
        <v>20</v>
      </c>
      <c r="K267" s="6" t="s">
        <v>588</v>
      </c>
      <c r="L267" s="6" t="s">
        <v>589</v>
      </c>
      <c r="M267" s="6" t="s">
        <v>101</v>
      </c>
      <c r="N267" s="6"/>
      <c r="O267" s="6"/>
      <c r="P267" s="6"/>
      <c r="Q267" s="6"/>
    </row>
    <row r="268" spans="2:17" ht="15.5" x14ac:dyDescent="0.35">
      <c r="B268" s="5" t="s">
        <v>590</v>
      </c>
      <c r="C268" s="6" t="s">
        <v>25</v>
      </c>
      <c r="D268" s="7">
        <v>41149</v>
      </c>
      <c r="E268" s="6" t="s">
        <v>280</v>
      </c>
      <c r="F268" s="6" t="s">
        <v>157</v>
      </c>
      <c r="G268" s="8" t="s">
        <v>587</v>
      </c>
      <c r="H268" s="6" t="s">
        <v>370</v>
      </c>
      <c r="I268" s="6"/>
      <c r="J268" s="6" t="s">
        <v>20</v>
      </c>
      <c r="K268" s="6" t="s">
        <v>591</v>
      </c>
      <c r="L268" s="6" t="s">
        <v>592</v>
      </c>
      <c r="M268" s="6" t="s">
        <v>593</v>
      </c>
      <c r="N268" s="6"/>
      <c r="O268" s="6"/>
      <c r="P268" s="6"/>
      <c r="Q268" s="6"/>
    </row>
    <row r="269" spans="2:17" ht="15.5" x14ac:dyDescent="0.35">
      <c r="B269" s="5" t="s">
        <v>594</v>
      </c>
      <c r="C269" s="6" t="s">
        <v>15</v>
      </c>
      <c r="D269" s="7">
        <v>41052</v>
      </c>
      <c r="E269" s="6" t="s">
        <v>280</v>
      </c>
      <c r="F269" s="6" t="s">
        <v>157</v>
      </c>
      <c r="G269" s="8" t="s">
        <v>587</v>
      </c>
      <c r="H269" s="6" t="s">
        <v>370</v>
      </c>
      <c r="I269" s="6"/>
      <c r="J269" s="6" t="s">
        <v>20</v>
      </c>
      <c r="K269" s="6" t="s">
        <v>595</v>
      </c>
      <c r="L269" s="6" t="s">
        <v>596</v>
      </c>
      <c r="M269" s="6" t="s">
        <v>193</v>
      </c>
      <c r="N269" s="6"/>
      <c r="O269" s="6"/>
      <c r="P269" s="6"/>
      <c r="Q269" s="6"/>
    </row>
    <row r="270" spans="2:17" ht="15.5" x14ac:dyDescent="0.35">
      <c r="B270" s="5" t="s">
        <v>597</v>
      </c>
      <c r="C270" s="6" t="s">
        <v>15</v>
      </c>
      <c r="D270" s="7">
        <v>40695</v>
      </c>
      <c r="E270" s="6" t="s">
        <v>280</v>
      </c>
      <c r="F270" s="6" t="s">
        <v>157</v>
      </c>
      <c r="G270" s="8" t="s">
        <v>587</v>
      </c>
      <c r="H270" s="6" t="s">
        <v>370</v>
      </c>
      <c r="I270" s="6"/>
      <c r="J270" s="6" t="s">
        <v>20</v>
      </c>
      <c r="K270" s="6" t="s">
        <v>598</v>
      </c>
      <c r="L270" s="6" t="s">
        <v>599</v>
      </c>
      <c r="M270" s="6" t="s">
        <v>248</v>
      </c>
      <c r="N270" s="6"/>
      <c r="O270" s="6"/>
      <c r="P270" s="6"/>
      <c r="Q270" s="6"/>
    </row>
    <row r="271" spans="2:17" ht="15.5" x14ac:dyDescent="0.35">
      <c r="B271" s="5" t="s">
        <v>600</v>
      </c>
      <c r="C271" s="6" t="s">
        <v>25</v>
      </c>
      <c r="D271" s="7">
        <v>40593</v>
      </c>
      <c r="E271" s="6" t="s">
        <v>280</v>
      </c>
      <c r="F271" s="6" t="s">
        <v>157</v>
      </c>
      <c r="G271" s="8" t="s">
        <v>587</v>
      </c>
      <c r="H271" s="6" t="s">
        <v>370</v>
      </c>
      <c r="I271" s="6"/>
      <c r="J271" s="6"/>
      <c r="K271" s="6"/>
      <c r="L271" s="6" t="s">
        <v>601</v>
      </c>
      <c r="M271" s="6" t="s">
        <v>53</v>
      </c>
      <c r="N271" s="6"/>
      <c r="O271" s="6"/>
      <c r="P271" s="6"/>
      <c r="Q271" s="6"/>
    </row>
    <row r="272" spans="2:17" ht="15.5" x14ac:dyDescent="0.35">
      <c r="B272" s="5" t="s">
        <v>602</v>
      </c>
      <c r="C272" s="6" t="s">
        <v>25</v>
      </c>
      <c r="D272" s="7">
        <v>40801</v>
      </c>
      <c r="E272" s="6" t="s">
        <v>280</v>
      </c>
      <c r="F272" s="6" t="s">
        <v>157</v>
      </c>
      <c r="G272" s="8" t="s">
        <v>587</v>
      </c>
      <c r="H272" s="6" t="s">
        <v>370</v>
      </c>
      <c r="I272" s="6"/>
      <c r="J272" s="6" t="s">
        <v>20</v>
      </c>
      <c r="K272" s="6" t="s">
        <v>603</v>
      </c>
      <c r="L272" s="6" t="s">
        <v>604</v>
      </c>
      <c r="M272" s="6" t="s">
        <v>101</v>
      </c>
      <c r="N272" s="6"/>
      <c r="O272" s="6"/>
      <c r="P272" s="6"/>
      <c r="Q272" s="6"/>
    </row>
    <row r="273" spans="2:17" ht="15.5" x14ac:dyDescent="0.35">
      <c r="B273" s="5" t="s">
        <v>605</v>
      </c>
      <c r="C273" s="6" t="s">
        <v>15</v>
      </c>
      <c r="D273" s="7">
        <v>40802</v>
      </c>
      <c r="E273" s="6" t="s">
        <v>280</v>
      </c>
      <c r="F273" s="6" t="s">
        <v>157</v>
      </c>
      <c r="G273" s="8" t="s">
        <v>587</v>
      </c>
      <c r="H273" s="6" t="s">
        <v>370</v>
      </c>
      <c r="I273" s="6"/>
      <c r="J273" s="6" t="s">
        <v>20</v>
      </c>
      <c r="K273" s="6" t="s">
        <v>606</v>
      </c>
      <c r="L273" s="6" t="s">
        <v>607</v>
      </c>
      <c r="M273" s="6" t="s">
        <v>101</v>
      </c>
      <c r="N273" s="6"/>
      <c r="O273" s="6"/>
      <c r="P273" s="6"/>
      <c r="Q273" s="6"/>
    </row>
    <row r="274" spans="2:17" ht="15.5" x14ac:dyDescent="0.35">
      <c r="B274" s="5" t="s">
        <v>608</v>
      </c>
      <c r="C274" s="6" t="s">
        <v>15</v>
      </c>
      <c r="D274" s="7">
        <v>41265</v>
      </c>
      <c r="E274" s="6" t="s">
        <v>280</v>
      </c>
      <c r="F274" s="6" t="s">
        <v>157</v>
      </c>
      <c r="G274" s="8" t="s">
        <v>587</v>
      </c>
      <c r="H274" s="6" t="s">
        <v>370</v>
      </c>
      <c r="I274" s="6"/>
      <c r="J274" s="6" t="s">
        <v>20</v>
      </c>
      <c r="K274" s="6" t="s">
        <v>456</v>
      </c>
      <c r="L274" s="6" t="s">
        <v>457</v>
      </c>
      <c r="M274" s="6" t="s">
        <v>101</v>
      </c>
      <c r="N274" s="6"/>
      <c r="O274" s="6"/>
      <c r="P274" s="6"/>
      <c r="Q274" s="6"/>
    </row>
    <row r="275" spans="2:17" ht="15.5" x14ac:dyDescent="0.35">
      <c r="B275" s="5" t="s">
        <v>609</v>
      </c>
      <c r="C275" s="6" t="s">
        <v>25</v>
      </c>
      <c r="D275" s="7">
        <v>41094</v>
      </c>
      <c r="E275" s="6" t="s">
        <v>280</v>
      </c>
      <c r="F275" s="6" t="s">
        <v>157</v>
      </c>
      <c r="G275" s="8" t="s">
        <v>587</v>
      </c>
      <c r="H275" s="6" t="s">
        <v>370</v>
      </c>
      <c r="I275" s="6"/>
      <c r="J275" s="6" t="s">
        <v>20</v>
      </c>
      <c r="K275" s="6" t="s">
        <v>610</v>
      </c>
      <c r="L275" s="6" t="s">
        <v>611</v>
      </c>
      <c r="M275" s="6" t="s">
        <v>23</v>
      </c>
      <c r="N275" s="6"/>
      <c r="O275" s="6"/>
      <c r="P275" s="6"/>
      <c r="Q275" s="6"/>
    </row>
    <row r="276" spans="2:17" ht="15.5" x14ac:dyDescent="0.35">
      <c r="B276" s="5" t="s">
        <v>612</v>
      </c>
      <c r="C276" s="6" t="s">
        <v>25</v>
      </c>
      <c r="D276" s="7">
        <v>40802</v>
      </c>
      <c r="E276" s="6" t="s">
        <v>280</v>
      </c>
      <c r="F276" s="6" t="s">
        <v>157</v>
      </c>
      <c r="G276" s="8" t="s">
        <v>587</v>
      </c>
      <c r="H276" s="6" t="s">
        <v>370</v>
      </c>
      <c r="I276" s="6"/>
      <c r="J276" s="6" t="s">
        <v>20</v>
      </c>
      <c r="K276" s="6" t="s">
        <v>613</v>
      </c>
      <c r="L276" s="6" t="s">
        <v>614</v>
      </c>
      <c r="M276" s="6" t="s">
        <v>431</v>
      </c>
      <c r="N276" s="6"/>
      <c r="O276" s="6"/>
      <c r="P276" s="6"/>
      <c r="Q276" s="6"/>
    </row>
    <row r="277" spans="2:17" ht="15.5" x14ac:dyDescent="0.35">
      <c r="B277" s="5" t="s">
        <v>615</v>
      </c>
      <c r="C277" s="6" t="s">
        <v>15</v>
      </c>
      <c r="D277" s="7">
        <v>40842</v>
      </c>
      <c r="E277" s="6" t="s">
        <v>280</v>
      </c>
      <c r="F277" s="6" t="s">
        <v>157</v>
      </c>
      <c r="G277" s="8" t="s">
        <v>587</v>
      </c>
      <c r="H277" s="6" t="s">
        <v>370</v>
      </c>
      <c r="I277" s="6"/>
      <c r="J277" s="6" t="s">
        <v>20</v>
      </c>
      <c r="K277" s="6" t="s">
        <v>616</v>
      </c>
      <c r="L277" s="6" t="s">
        <v>617</v>
      </c>
      <c r="M277" s="6" t="s">
        <v>217</v>
      </c>
      <c r="N277" s="6"/>
      <c r="O277" s="6"/>
      <c r="P277" s="6"/>
      <c r="Q277" s="6"/>
    </row>
    <row r="278" spans="2:17" ht="15.5" x14ac:dyDescent="0.35">
      <c r="B278" s="5" t="s">
        <v>618</v>
      </c>
      <c r="C278" s="6" t="s">
        <v>25</v>
      </c>
      <c r="D278" s="7">
        <v>40364</v>
      </c>
      <c r="E278" s="6" t="s">
        <v>156</v>
      </c>
      <c r="F278" s="6" t="s">
        <v>157</v>
      </c>
      <c r="G278" s="8" t="s">
        <v>587</v>
      </c>
      <c r="H278" s="6" t="s">
        <v>370</v>
      </c>
      <c r="I278" s="6"/>
      <c r="J278" s="6" t="s">
        <v>20</v>
      </c>
      <c r="K278" s="6" t="s">
        <v>619</v>
      </c>
      <c r="L278" s="6" t="s">
        <v>620</v>
      </c>
      <c r="M278" s="6" t="s">
        <v>621</v>
      </c>
      <c r="N278" s="6"/>
      <c r="O278" s="6"/>
      <c r="P278" s="6"/>
      <c r="Q278" s="6"/>
    </row>
    <row r="279" spans="2:17" ht="15.5" x14ac:dyDescent="0.35">
      <c r="B279" s="5" t="s">
        <v>618</v>
      </c>
      <c r="C279" s="6" t="s">
        <v>25</v>
      </c>
      <c r="D279" s="7">
        <v>40364</v>
      </c>
      <c r="E279" s="6" t="s">
        <v>156</v>
      </c>
      <c r="F279" s="6" t="s">
        <v>157</v>
      </c>
      <c r="G279" s="8" t="s">
        <v>587</v>
      </c>
      <c r="H279" s="6" t="s">
        <v>370</v>
      </c>
      <c r="I279" s="6"/>
      <c r="J279" s="6"/>
      <c r="K279" s="6"/>
      <c r="L279" s="6" t="s">
        <v>620</v>
      </c>
      <c r="M279" s="6" t="s">
        <v>621</v>
      </c>
      <c r="N279" s="6"/>
      <c r="O279" s="6"/>
      <c r="P279" s="6"/>
      <c r="Q279" s="6"/>
    </row>
    <row r="280" spans="2:17" ht="15.5" x14ac:dyDescent="0.35">
      <c r="B280" s="5" t="s">
        <v>622</v>
      </c>
      <c r="C280" s="6" t="s">
        <v>15</v>
      </c>
      <c r="D280" s="7">
        <v>41261</v>
      </c>
      <c r="E280" s="6" t="s">
        <v>280</v>
      </c>
      <c r="F280" s="6" t="s">
        <v>157</v>
      </c>
      <c r="G280" s="8" t="s">
        <v>623</v>
      </c>
      <c r="H280" s="6" t="s">
        <v>623</v>
      </c>
      <c r="I280" s="6"/>
      <c r="J280" s="6" t="s">
        <v>20</v>
      </c>
      <c r="K280" s="6" t="s">
        <v>624</v>
      </c>
      <c r="L280" s="6" t="s">
        <v>625</v>
      </c>
      <c r="M280" s="6" t="s">
        <v>242</v>
      </c>
      <c r="N280" s="6"/>
      <c r="O280" s="6"/>
      <c r="P280" s="6"/>
      <c r="Q280" s="6"/>
    </row>
    <row r="281" spans="2:17" ht="15.5" x14ac:dyDescent="0.35">
      <c r="B281" s="5" t="s">
        <v>626</v>
      </c>
      <c r="C281" s="6" t="s">
        <v>15</v>
      </c>
      <c r="D281" s="7">
        <v>40639</v>
      </c>
      <c r="E281" s="6" t="s">
        <v>280</v>
      </c>
      <c r="F281" s="6" t="s">
        <v>157</v>
      </c>
      <c r="G281" s="8" t="s">
        <v>623</v>
      </c>
      <c r="H281" s="6" t="s">
        <v>623</v>
      </c>
      <c r="I281" s="6"/>
      <c r="J281" s="6" t="s">
        <v>20</v>
      </c>
      <c r="K281" s="6" t="s">
        <v>627</v>
      </c>
      <c r="L281" s="6" t="s">
        <v>628</v>
      </c>
      <c r="M281" s="6" t="s">
        <v>221</v>
      </c>
      <c r="N281" s="6"/>
      <c r="O281" s="6"/>
      <c r="P281" s="6"/>
      <c r="Q281" s="6"/>
    </row>
    <row r="282" spans="2:17" ht="15.5" x14ac:dyDescent="0.35">
      <c r="B282" s="5" t="s">
        <v>629</v>
      </c>
      <c r="C282" s="6" t="s">
        <v>15</v>
      </c>
      <c r="D282" s="7">
        <v>40770</v>
      </c>
      <c r="E282" s="6" t="s">
        <v>280</v>
      </c>
      <c r="F282" s="6" t="s">
        <v>157</v>
      </c>
      <c r="G282" s="8" t="s">
        <v>623</v>
      </c>
      <c r="H282" s="6" t="s">
        <v>623</v>
      </c>
      <c r="I282" s="6"/>
      <c r="J282" s="6" t="s">
        <v>20</v>
      </c>
      <c r="K282" s="6" t="s">
        <v>630</v>
      </c>
      <c r="L282" s="6" t="s">
        <v>631</v>
      </c>
      <c r="M282" s="6" t="s">
        <v>632</v>
      </c>
      <c r="N282" s="6"/>
      <c r="O282" s="6"/>
      <c r="P282" s="6"/>
      <c r="Q282" s="6"/>
    </row>
    <row r="283" spans="2:17" ht="15.5" x14ac:dyDescent="0.35">
      <c r="B283" s="5" t="s">
        <v>633</v>
      </c>
      <c r="C283" s="6" t="s">
        <v>15</v>
      </c>
      <c r="D283" s="7">
        <v>40913</v>
      </c>
      <c r="E283" s="6" t="s">
        <v>280</v>
      </c>
      <c r="F283" s="6" t="s">
        <v>157</v>
      </c>
      <c r="G283" s="8" t="s">
        <v>623</v>
      </c>
      <c r="H283" s="6" t="s">
        <v>623</v>
      </c>
      <c r="I283" s="6"/>
      <c r="J283" s="6" t="s">
        <v>20</v>
      </c>
      <c r="K283" s="6" t="s">
        <v>634</v>
      </c>
      <c r="L283" s="6" t="s">
        <v>635</v>
      </c>
      <c r="M283" s="6" t="s">
        <v>636</v>
      </c>
      <c r="N283" s="6"/>
      <c r="O283" s="6"/>
      <c r="P283" s="6"/>
      <c r="Q283" s="6"/>
    </row>
    <row r="284" spans="2:17" ht="15.5" x14ac:dyDescent="0.35">
      <c r="B284" s="5" t="s">
        <v>637</v>
      </c>
      <c r="C284" s="6" t="s">
        <v>15</v>
      </c>
      <c r="D284" s="7">
        <v>40727</v>
      </c>
      <c r="E284" s="6" t="s">
        <v>280</v>
      </c>
      <c r="F284" s="6" t="s">
        <v>157</v>
      </c>
      <c r="G284" s="8" t="s">
        <v>623</v>
      </c>
      <c r="H284" s="6" t="s">
        <v>623</v>
      </c>
      <c r="I284" s="6"/>
      <c r="J284" s="6" t="s">
        <v>20</v>
      </c>
      <c r="K284" s="6" t="s">
        <v>638</v>
      </c>
      <c r="L284" s="6" t="s">
        <v>639</v>
      </c>
      <c r="M284" s="6" t="s">
        <v>632</v>
      </c>
      <c r="N284" s="6"/>
      <c r="O284" s="6"/>
      <c r="P284" s="6"/>
      <c r="Q284" s="6"/>
    </row>
    <row r="285" spans="2:17" ht="15.5" x14ac:dyDescent="0.35">
      <c r="B285" s="5" t="s">
        <v>640</v>
      </c>
      <c r="C285" s="6" t="s">
        <v>15</v>
      </c>
      <c r="D285" s="7">
        <v>39904</v>
      </c>
      <c r="E285" s="6" t="s">
        <v>156</v>
      </c>
      <c r="F285" s="6" t="s">
        <v>157</v>
      </c>
      <c r="G285" s="8" t="s">
        <v>623</v>
      </c>
      <c r="H285" s="6" t="s">
        <v>623</v>
      </c>
      <c r="I285" s="6"/>
      <c r="J285" s="6" t="s">
        <v>20</v>
      </c>
      <c r="K285" s="6" t="s">
        <v>474</v>
      </c>
      <c r="L285" s="6" t="s">
        <v>475</v>
      </c>
      <c r="M285" s="6" t="s">
        <v>173</v>
      </c>
      <c r="N285" s="6"/>
      <c r="O285" s="6"/>
      <c r="P285" s="6"/>
      <c r="Q285" s="6"/>
    </row>
    <row r="286" spans="2:17" ht="15.5" x14ac:dyDescent="0.35">
      <c r="B286" s="5" t="s">
        <v>641</v>
      </c>
      <c r="C286" s="6" t="s">
        <v>25</v>
      </c>
      <c r="D286" s="7">
        <v>40019</v>
      </c>
      <c r="E286" s="6" t="s">
        <v>156</v>
      </c>
      <c r="F286" s="6" t="s">
        <v>157</v>
      </c>
      <c r="G286" s="8" t="s">
        <v>623</v>
      </c>
      <c r="H286" s="6" t="s">
        <v>623</v>
      </c>
      <c r="I286" s="6"/>
      <c r="J286" s="6" t="s">
        <v>20</v>
      </c>
      <c r="K286" s="6" t="s">
        <v>642</v>
      </c>
      <c r="L286" s="6" t="s">
        <v>643</v>
      </c>
      <c r="M286" s="6" t="s">
        <v>644</v>
      </c>
      <c r="N286" s="6"/>
      <c r="O286" s="6"/>
      <c r="P286" s="6"/>
      <c r="Q286" s="6"/>
    </row>
    <row r="287" spans="2:17" ht="15.5" x14ac:dyDescent="0.35">
      <c r="B287" s="5" t="s">
        <v>640</v>
      </c>
      <c r="C287" s="6" t="s">
        <v>15</v>
      </c>
      <c r="D287" s="7">
        <v>39904</v>
      </c>
      <c r="E287" s="6" t="s">
        <v>156</v>
      </c>
      <c r="F287" s="6" t="s">
        <v>157</v>
      </c>
      <c r="G287" s="8" t="s">
        <v>623</v>
      </c>
      <c r="H287" s="6" t="s">
        <v>623</v>
      </c>
      <c r="I287" s="6"/>
      <c r="J287" s="6"/>
      <c r="K287" s="6"/>
      <c r="L287" s="6" t="s">
        <v>475</v>
      </c>
      <c r="M287" s="6" t="s">
        <v>173</v>
      </c>
      <c r="N287" s="6"/>
      <c r="O287" s="6"/>
      <c r="P287" s="6"/>
      <c r="Q287" s="6"/>
    </row>
    <row r="288" spans="2:17" ht="15.5" x14ac:dyDescent="0.35">
      <c r="B288" s="5" t="s">
        <v>641</v>
      </c>
      <c r="C288" s="6" t="s">
        <v>25</v>
      </c>
      <c r="D288" s="7">
        <v>40019</v>
      </c>
      <c r="E288" s="6" t="s">
        <v>156</v>
      </c>
      <c r="F288" s="6" t="s">
        <v>157</v>
      </c>
      <c r="G288" s="8" t="s">
        <v>623</v>
      </c>
      <c r="H288" s="6" t="s">
        <v>623</v>
      </c>
      <c r="I288" s="6"/>
      <c r="J288" s="6"/>
      <c r="K288" s="6"/>
      <c r="L288" s="6" t="s">
        <v>643</v>
      </c>
      <c r="M288" s="6" t="s">
        <v>644</v>
      </c>
      <c r="N288" s="6"/>
      <c r="O288" s="6"/>
      <c r="P288" s="6"/>
      <c r="Q288" s="6"/>
    </row>
    <row r="289" spans="2:17" ht="15.5" x14ac:dyDescent="0.35">
      <c r="B289" s="5" t="s">
        <v>645</v>
      </c>
      <c r="C289" s="6" t="s">
        <v>15</v>
      </c>
      <c r="D289" s="7">
        <v>42382</v>
      </c>
      <c r="E289" s="6" t="s">
        <v>16</v>
      </c>
      <c r="F289" s="6" t="s">
        <v>17</v>
      </c>
      <c r="G289" s="8" t="s">
        <v>646</v>
      </c>
      <c r="H289" s="6" t="s">
        <v>623</v>
      </c>
      <c r="I289" s="6"/>
      <c r="J289" s="6" t="s">
        <v>20</v>
      </c>
      <c r="K289" s="6" t="s">
        <v>647</v>
      </c>
      <c r="L289" s="6" t="s">
        <v>648</v>
      </c>
      <c r="M289" s="6" t="s">
        <v>649</v>
      </c>
      <c r="N289" s="6"/>
      <c r="O289" s="6"/>
      <c r="P289" s="6"/>
      <c r="Q289" s="6"/>
    </row>
    <row r="290" spans="2:17" ht="15.5" x14ac:dyDescent="0.35">
      <c r="B290" s="5" t="s">
        <v>650</v>
      </c>
      <c r="C290" s="6" t="s">
        <v>15</v>
      </c>
      <c r="D290" s="7">
        <v>41583</v>
      </c>
      <c r="E290" s="6" t="s">
        <v>34</v>
      </c>
      <c r="F290" s="6" t="s">
        <v>17</v>
      </c>
      <c r="G290" s="8" t="s">
        <v>646</v>
      </c>
      <c r="H290" s="6" t="s">
        <v>623</v>
      </c>
      <c r="I290" s="6"/>
      <c r="J290" s="6" t="s">
        <v>20</v>
      </c>
      <c r="K290" s="6" t="s">
        <v>647</v>
      </c>
      <c r="L290" s="6" t="s">
        <v>648</v>
      </c>
      <c r="M290" s="6" t="s">
        <v>649</v>
      </c>
      <c r="N290" s="6"/>
      <c r="O290" s="6"/>
      <c r="P290" s="6"/>
      <c r="Q290" s="6"/>
    </row>
    <row r="291" spans="2:17" ht="15.5" x14ac:dyDescent="0.35">
      <c r="B291" s="5" t="s">
        <v>650</v>
      </c>
      <c r="C291" s="6" t="s">
        <v>15</v>
      </c>
      <c r="D291" s="7">
        <v>41583</v>
      </c>
      <c r="E291" s="6" t="s">
        <v>34</v>
      </c>
      <c r="F291" s="6" t="s">
        <v>17</v>
      </c>
      <c r="G291" s="8" t="s">
        <v>646</v>
      </c>
      <c r="H291" s="6" t="s">
        <v>623</v>
      </c>
      <c r="I291" s="6"/>
      <c r="J291" s="6"/>
      <c r="K291" s="6"/>
      <c r="L291" s="6" t="s">
        <v>648</v>
      </c>
      <c r="M291" s="6" t="s">
        <v>649</v>
      </c>
      <c r="N291" s="6"/>
      <c r="O291" s="6"/>
      <c r="P291" s="6"/>
      <c r="Q291" s="6"/>
    </row>
    <row r="292" spans="2:17" ht="15.5" x14ac:dyDescent="0.35">
      <c r="B292" s="5" t="s">
        <v>651</v>
      </c>
      <c r="C292" s="6" t="s">
        <v>15</v>
      </c>
      <c r="D292" s="7">
        <v>41863</v>
      </c>
      <c r="E292" s="6" t="s">
        <v>34</v>
      </c>
      <c r="F292" s="6" t="s">
        <v>17</v>
      </c>
      <c r="G292" s="8" t="s">
        <v>652</v>
      </c>
      <c r="H292" s="6" t="s">
        <v>652</v>
      </c>
      <c r="I292" s="6"/>
      <c r="J292" s="6" t="s">
        <v>20</v>
      </c>
      <c r="K292" s="6" t="s">
        <v>653</v>
      </c>
      <c r="L292" s="6" t="s">
        <v>654</v>
      </c>
      <c r="M292" s="6" t="s">
        <v>655</v>
      </c>
      <c r="N292" s="6"/>
      <c r="O292" s="6"/>
      <c r="P292" s="6"/>
      <c r="Q292" s="6"/>
    </row>
    <row r="293" spans="2:17" ht="15.5" x14ac:dyDescent="0.35">
      <c r="B293" s="5" t="s">
        <v>651</v>
      </c>
      <c r="C293" s="6" t="s">
        <v>15</v>
      </c>
      <c r="D293" s="7">
        <v>41863</v>
      </c>
      <c r="E293" s="6" t="s">
        <v>34</v>
      </c>
      <c r="F293" s="6" t="s">
        <v>17</v>
      </c>
      <c r="G293" s="8" t="s">
        <v>652</v>
      </c>
      <c r="H293" s="6" t="s">
        <v>652</v>
      </c>
      <c r="I293" s="6"/>
      <c r="J293" s="6"/>
      <c r="K293" s="6"/>
      <c r="L293" s="6" t="s">
        <v>654</v>
      </c>
      <c r="M293" s="6" t="s">
        <v>655</v>
      </c>
      <c r="N293" s="6"/>
      <c r="O293" s="6"/>
      <c r="P293" s="6"/>
      <c r="Q293" s="6"/>
    </row>
    <row r="294" spans="2:17" ht="15.5" x14ac:dyDescent="0.35">
      <c r="B294" s="5" t="s">
        <v>656</v>
      </c>
      <c r="C294" s="6" t="s">
        <v>25</v>
      </c>
      <c r="D294" s="7">
        <v>40025</v>
      </c>
      <c r="E294" s="6" t="s">
        <v>156</v>
      </c>
      <c r="F294" s="6" t="s">
        <v>157</v>
      </c>
      <c r="G294" s="8" t="s">
        <v>657</v>
      </c>
      <c r="H294" s="6" t="s">
        <v>657</v>
      </c>
      <c r="I294" s="6"/>
      <c r="J294" s="6" t="s">
        <v>20</v>
      </c>
      <c r="K294" s="6" t="s">
        <v>658</v>
      </c>
      <c r="L294" s="6"/>
      <c r="M294" s="6" t="s">
        <v>659</v>
      </c>
      <c r="N294" s="6"/>
      <c r="O294" s="6"/>
      <c r="P294" s="6"/>
      <c r="Q294" s="6"/>
    </row>
    <row r="295" spans="2:17" ht="15.5" x14ac:dyDescent="0.35">
      <c r="B295" s="5" t="s">
        <v>656</v>
      </c>
      <c r="C295" s="6" t="s">
        <v>25</v>
      </c>
      <c r="D295" s="7">
        <v>40025</v>
      </c>
      <c r="E295" s="6" t="s">
        <v>156</v>
      </c>
      <c r="F295" s="6" t="s">
        <v>157</v>
      </c>
      <c r="G295" s="8" t="s">
        <v>657</v>
      </c>
      <c r="H295" s="6" t="s">
        <v>657</v>
      </c>
      <c r="I295" s="6"/>
      <c r="J295" s="6"/>
      <c r="K295" s="6"/>
      <c r="L295" s="6"/>
      <c r="M295" s="6" t="s">
        <v>659</v>
      </c>
      <c r="N295" s="6"/>
      <c r="O295" s="6"/>
      <c r="P295" s="6"/>
      <c r="Q295" s="6"/>
    </row>
    <row r="296" spans="2:17" ht="15.5" x14ac:dyDescent="0.35">
      <c r="B296" s="5" t="s">
        <v>660</v>
      </c>
      <c r="C296" s="6" t="s">
        <v>25</v>
      </c>
      <c r="D296" s="7">
        <v>42055</v>
      </c>
      <c r="E296" s="6" t="s">
        <v>16</v>
      </c>
      <c r="F296" s="6" t="s">
        <v>17</v>
      </c>
      <c r="G296" s="8" t="s">
        <v>661</v>
      </c>
      <c r="H296" s="6" t="s">
        <v>661</v>
      </c>
      <c r="I296" s="6"/>
      <c r="J296" s="6" t="s">
        <v>20</v>
      </c>
      <c r="K296" s="6" t="s">
        <v>662</v>
      </c>
      <c r="L296" s="6" t="s">
        <v>663</v>
      </c>
      <c r="M296" s="6" t="s">
        <v>664</v>
      </c>
      <c r="N296" s="6"/>
      <c r="O296" s="6"/>
      <c r="P296" s="6"/>
      <c r="Q296" s="6"/>
    </row>
    <row r="297" spans="2:17" ht="15.5" x14ac:dyDescent="0.35">
      <c r="B297" s="5" t="s">
        <v>665</v>
      </c>
      <c r="C297" s="6" t="s">
        <v>15</v>
      </c>
      <c r="D297" s="7">
        <v>42510</v>
      </c>
      <c r="E297" s="6" t="s">
        <v>16</v>
      </c>
      <c r="F297" s="6" t="s">
        <v>17</v>
      </c>
      <c r="G297" s="8" t="s">
        <v>661</v>
      </c>
      <c r="H297" s="6" t="s">
        <v>661</v>
      </c>
      <c r="I297" s="6"/>
      <c r="J297" s="6" t="s">
        <v>20</v>
      </c>
      <c r="K297" s="6" t="s">
        <v>666</v>
      </c>
      <c r="L297" s="6" t="s">
        <v>667</v>
      </c>
      <c r="M297" s="6" t="s">
        <v>668</v>
      </c>
      <c r="N297" s="6"/>
      <c r="O297" s="6"/>
      <c r="P297" s="6"/>
      <c r="Q297" s="6"/>
    </row>
    <row r="298" spans="2:17" ht="15.5" x14ac:dyDescent="0.35">
      <c r="B298" s="5" t="s">
        <v>669</v>
      </c>
      <c r="C298" s="6" t="s">
        <v>25</v>
      </c>
      <c r="D298" s="7">
        <v>42222</v>
      </c>
      <c r="E298" s="6" t="s">
        <v>16</v>
      </c>
      <c r="F298" s="6" t="s">
        <v>17</v>
      </c>
      <c r="G298" s="8" t="s">
        <v>661</v>
      </c>
      <c r="H298" s="6" t="s">
        <v>661</v>
      </c>
      <c r="I298" s="6"/>
      <c r="J298" s="6" t="s">
        <v>20</v>
      </c>
      <c r="K298" s="6" t="s">
        <v>670</v>
      </c>
      <c r="L298" s="6" t="s">
        <v>671</v>
      </c>
      <c r="M298" s="6" t="s">
        <v>668</v>
      </c>
      <c r="N298" s="6"/>
      <c r="O298" s="6"/>
      <c r="P298" s="6"/>
      <c r="Q298" s="6"/>
    </row>
    <row r="299" spans="2:17" ht="15.5" x14ac:dyDescent="0.35">
      <c r="B299" s="5" t="s">
        <v>672</v>
      </c>
      <c r="C299" s="6" t="s">
        <v>25</v>
      </c>
      <c r="D299" s="7">
        <v>41529</v>
      </c>
      <c r="E299" s="6" t="s">
        <v>34</v>
      </c>
      <c r="F299" s="6" t="s">
        <v>17</v>
      </c>
      <c r="G299" s="8" t="s">
        <v>661</v>
      </c>
      <c r="H299" s="6" t="s">
        <v>661</v>
      </c>
      <c r="I299" s="6"/>
      <c r="J299" s="6" t="s">
        <v>20</v>
      </c>
      <c r="K299" s="6" t="s">
        <v>673</v>
      </c>
      <c r="L299" s="6" t="s">
        <v>663</v>
      </c>
      <c r="M299" s="6" t="s">
        <v>664</v>
      </c>
      <c r="N299" s="6"/>
      <c r="O299" s="6"/>
      <c r="P299" s="6"/>
      <c r="Q299" s="6"/>
    </row>
    <row r="300" spans="2:17" ht="15.5" x14ac:dyDescent="0.35">
      <c r="B300" s="5" t="s">
        <v>674</v>
      </c>
      <c r="C300" s="6" t="s">
        <v>25</v>
      </c>
      <c r="D300" s="7">
        <v>41538</v>
      </c>
      <c r="E300" s="6" t="s">
        <v>34</v>
      </c>
      <c r="F300" s="6" t="s">
        <v>17</v>
      </c>
      <c r="G300" s="8" t="s">
        <v>661</v>
      </c>
      <c r="H300" s="6" t="s">
        <v>661</v>
      </c>
      <c r="I300" s="6"/>
      <c r="J300" s="6" t="s">
        <v>20</v>
      </c>
      <c r="K300" s="6" t="s">
        <v>675</v>
      </c>
      <c r="L300" s="6" t="s">
        <v>676</v>
      </c>
      <c r="M300" s="6" t="s">
        <v>677</v>
      </c>
      <c r="N300" s="6"/>
      <c r="O300" s="6"/>
      <c r="P300" s="6"/>
      <c r="Q300" s="6"/>
    </row>
    <row r="301" spans="2:17" ht="15.5" x14ac:dyDescent="0.35">
      <c r="B301" s="5" t="s">
        <v>669</v>
      </c>
      <c r="C301" s="6" t="s">
        <v>25</v>
      </c>
      <c r="D301" s="7">
        <v>42222</v>
      </c>
      <c r="E301" s="6" t="s">
        <v>16</v>
      </c>
      <c r="F301" s="6" t="s">
        <v>17</v>
      </c>
      <c r="G301" s="8" t="s">
        <v>661</v>
      </c>
      <c r="H301" s="6" t="s">
        <v>661</v>
      </c>
      <c r="I301" s="6"/>
      <c r="J301" s="6"/>
      <c r="K301" s="6"/>
      <c r="L301" s="6" t="s">
        <v>671</v>
      </c>
      <c r="M301" s="6" t="s">
        <v>668</v>
      </c>
      <c r="N301" s="6"/>
      <c r="O301" s="6"/>
      <c r="P301" s="6"/>
      <c r="Q301" s="6"/>
    </row>
    <row r="302" spans="2:17" ht="15.5" x14ac:dyDescent="0.35">
      <c r="B302" s="5" t="s">
        <v>672</v>
      </c>
      <c r="C302" s="6" t="s">
        <v>25</v>
      </c>
      <c r="D302" s="7">
        <v>41529</v>
      </c>
      <c r="E302" s="6" t="s">
        <v>34</v>
      </c>
      <c r="F302" s="6" t="s">
        <v>17</v>
      </c>
      <c r="G302" s="8" t="s">
        <v>661</v>
      </c>
      <c r="H302" s="6" t="s">
        <v>661</v>
      </c>
      <c r="I302" s="6"/>
      <c r="J302" s="6"/>
      <c r="K302" s="6"/>
      <c r="L302" s="6" t="s">
        <v>663</v>
      </c>
      <c r="M302" s="6" t="s">
        <v>664</v>
      </c>
      <c r="N302" s="6"/>
      <c r="O302" s="6"/>
      <c r="P302" s="6"/>
      <c r="Q302" s="6"/>
    </row>
    <row r="303" spans="2:17" ht="15.5" x14ac:dyDescent="0.35">
      <c r="B303" s="5" t="s">
        <v>674</v>
      </c>
      <c r="C303" s="6" t="s">
        <v>25</v>
      </c>
      <c r="D303" s="7">
        <v>41538</v>
      </c>
      <c r="E303" s="6" t="s">
        <v>34</v>
      </c>
      <c r="F303" s="6" t="s">
        <v>17</v>
      </c>
      <c r="G303" s="8" t="s">
        <v>661</v>
      </c>
      <c r="H303" s="6" t="s">
        <v>661</v>
      </c>
      <c r="I303" s="6"/>
      <c r="J303" s="6"/>
      <c r="K303" s="6"/>
      <c r="L303" s="6" t="s">
        <v>676</v>
      </c>
      <c r="M303" s="6" t="s">
        <v>677</v>
      </c>
      <c r="N303" s="6"/>
      <c r="O303" s="6"/>
      <c r="P303" s="6"/>
      <c r="Q303" s="6"/>
    </row>
    <row r="304" spans="2:17" ht="15.5" x14ac:dyDescent="0.35">
      <c r="B304" s="5" t="s">
        <v>678</v>
      </c>
      <c r="C304" s="6" t="s">
        <v>25</v>
      </c>
      <c r="D304" s="7">
        <v>41747</v>
      </c>
      <c r="E304" s="6" t="s">
        <v>34</v>
      </c>
      <c r="F304" s="6" t="s">
        <v>17</v>
      </c>
      <c r="G304" s="8" t="s">
        <v>679</v>
      </c>
      <c r="H304" s="6"/>
      <c r="I304" s="6"/>
      <c r="J304" s="6" t="s">
        <v>20</v>
      </c>
      <c r="K304" s="6"/>
      <c r="L304" s="6" t="s">
        <v>680</v>
      </c>
      <c r="M304" s="6" t="s">
        <v>681</v>
      </c>
      <c r="N304" s="6"/>
      <c r="O304" s="6"/>
      <c r="P304" s="6"/>
      <c r="Q304" s="6"/>
    </row>
    <row r="305" spans="2:17" ht="15.5" x14ac:dyDescent="0.35">
      <c r="B305" s="5" t="s">
        <v>678</v>
      </c>
      <c r="C305" s="6" t="s">
        <v>25</v>
      </c>
      <c r="D305" s="7">
        <v>41747</v>
      </c>
      <c r="E305" s="6" t="s">
        <v>34</v>
      </c>
      <c r="F305" s="6" t="s">
        <v>17</v>
      </c>
      <c r="G305" s="8" t="s">
        <v>679</v>
      </c>
      <c r="H305" s="6"/>
      <c r="I305" s="6"/>
      <c r="J305" s="6"/>
      <c r="K305" s="6"/>
      <c r="L305" s="6" t="s">
        <v>680</v>
      </c>
      <c r="M305" s="6" t="s">
        <v>681</v>
      </c>
      <c r="N305" s="6"/>
      <c r="O305" s="6"/>
      <c r="P305" s="6"/>
      <c r="Q305" s="6"/>
    </row>
    <row r="306" spans="2:17" ht="15.5" x14ac:dyDescent="0.35">
      <c r="B306" s="5" t="s">
        <v>682</v>
      </c>
      <c r="C306" s="6" t="s">
        <v>15</v>
      </c>
      <c r="D306" s="7">
        <v>40973</v>
      </c>
      <c r="E306" s="6" t="s">
        <v>280</v>
      </c>
      <c r="F306" s="6" t="s">
        <v>157</v>
      </c>
      <c r="G306" s="8" t="s">
        <v>683</v>
      </c>
      <c r="H306" s="6" t="s">
        <v>683</v>
      </c>
      <c r="I306" s="6"/>
      <c r="J306" s="6" t="s">
        <v>20</v>
      </c>
      <c r="K306" s="6" t="s">
        <v>684</v>
      </c>
      <c r="L306" s="6" t="s">
        <v>685</v>
      </c>
      <c r="M306" s="6" t="s">
        <v>686</v>
      </c>
      <c r="N306" s="6"/>
      <c r="O306" s="6"/>
      <c r="P306" s="6"/>
      <c r="Q306" s="6"/>
    </row>
    <row r="307" spans="2:17" ht="15.5" x14ac:dyDescent="0.35">
      <c r="B307" s="5" t="s">
        <v>687</v>
      </c>
      <c r="C307" s="6" t="s">
        <v>15</v>
      </c>
      <c r="D307" s="7">
        <v>40596</v>
      </c>
      <c r="E307" s="6" t="s">
        <v>280</v>
      </c>
      <c r="F307" s="6" t="s">
        <v>157</v>
      </c>
      <c r="G307" s="8" t="s">
        <v>683</v>
      </c>
      <c r="H307" s="6" t="s">
        <v>683</v>
      </c>
      <c r="I307" s="6"/>
      <c r="J307" s="6" t="s">
        <v>20</v>
      </c>
      <c r="K307" s="6" t="s">
        <v>688</v>
      </c>
      <c r="L307" s="6" t="s">
        <v>689</v>
      </c>
      <c r="M307" s="6" t="s">
        <v>655</v>
      </c>
      <c r="N307" s="6"/>
      <c r="O307" s="6"/>
      <c r="P307" s="6"/>
      <c r="Q307" s="6"/>
    </row>
    <row r="308" spans="2:17" ht="15.5" x14ac:dyDescent="0.35">
      <c r="B308" s="5" t="s">
        <v>690</v>
      </c>
      <c r="C308" s="6" t="s">
        <v>15</v>
      </c>
      <c r="D308" s="7">
        <v>41152</v>
      </c>
      <c r="E308" s="6" t="s">
        <v>280</v>
      </c>
      <c r="F308" s="6" t="s">
        <v>157</v>
      </c>
      <c r="G308" s="8" t="s">
        <v>683</v>
      </c>
      <c r="H308" s="6" t="s">
        <v>683</v>
      </c>
      <c r="I308" s="6"/>
      <c r="J308" s="6" t="s">
        <v>493</v>
      </c>
      <c r="K308" s="6" t="s">
        <v>691</v>
      </c>
      <c r="L308" s="6" t="s">
        <v>692</v>
      </c>
      <c r="M308" s="6" t="s">
        <v>693</v>
      </c>
      <c r="N308" s="6"/>
      <c r="O308" s="6"/>
      <c r="P308" s="6"/>
      <c r="Q308" s="6"/>
    </row>
    <row r="309" spans="2:17" ht="15.5" x14ac:dyDescent="0.35">
      <c r="B309" s="5" t="s">
        <v>694</v>
      </c>
      <c r="C309" s="6" t="s">
        <v>15</v>
      </c>
      <c r="D309" s="7">
        <v>42647</v>
      </c>
      <c r="E309" s="6" t="s">
        <v>16</v>
      </c>
      <c r="F309" s="6" t="s">
        <v>17</v>
      </c>
      <c r="G309" s="8" t="s">
        <v>683</v>
      </c>
      <c r="H309" s="6" t="s">
        <v>683</v>
      </c>
      <c r="I309" s="6"/>
      <c r="J309" s="6" t="s">
        <v>20</v>
      </c>
      <c r="K309" s="6" t="s">
        <v>688</v>
      </c>
      <c r="L309" s="6" t="s">
        <v>689</v>
      </c>
      <c r="M309" s="6" t="s">
        <v>655</v>
      </c>
      <c r="N309" s="6"/>
      <c r="O309" s="6"/>
      <c r="P309" s="6"/>
      <c r="Q309" s="6"/>
    </row>
    <row r="310" spans="2:17" ht="15.5" x14ac:dyDescent="0.35">
      <c r="B310" s="5" t="s">
        <v>695</v>
      </c>
      <c r="C310" s="6" t="s">
        <v>15</v>
      </c>
      <c r="D310" s="7">
        <v>41415</v>
      </c>
      <c r="E310" s="6" t="s">
        <v>34</v>
      </c>
      <c r="F310" s="6" t="s">
        <v>17</v>
      </c>
      <c r="G310" s="8" t="s">
        <v>683</v>
      </c>
      <c r="H310" s="6" t="s">
        <v>683</v>
      </c>
      <c r="I310" s="6"/>
      <c r="J310" s="6" t="s">
        <v>20</v>
      </c>
      <c r="K310" s="6" t="s">
        <v>688</v>
      </c>
      <c r="L310" s="6" t="s">
        <v>689</v>
      </c>
      <c r="M310" s="6" t="s">
        <v>655</v>
      </c>
      <c r="N310" s="6"/>
      <c r="O310" s="6"/>
      <c r="P310" s="6"/>
      <c r="Q310" s="6"/>
    </row>
    <row r="311" spans="2:17" ht="15.5" x14ac:dyDescent="0.35">
      <c r="B311" s="5" t="s">
        <v>694</v>
      </c>
      <c r="C311" s="6" t="s">
        <v>15</v>
      </c>
      <c r="D311" s="7">
        <v>42647</v>
      </c>
      <c r="E311" s="6" t="s">
        <v>16</v>
      </c>
      <c r="F311" s="6" t="s">
        <v>17</v>
      </c>
      <c r="G311" s="8" t="s">
        <v>683</v>
      </c>
      <c r="H311" s="6" t="s">
        <v>683</v>
      </c>
      <c r="I311" s="6"/>
      <c r="J311" s="6"/>
      <c r="K311" s="6"/>
      <c r="L311" s="6" t="s">
        <v>689</v>
      </c>
      <c r="M311" s="6" t="s">
        <v>655</v>
      </c>
      <c r="N311" s="6"/>
      <c r="O311" s="6"/>
      <c r="P311" s="6"/>
      <c r="Q311" s="6"/>
    </row>
    <row r="312" spans="2:17" ht="15.5" x14ac:dyDescent="0.35">
      <c r="B312" s="5" t="s">
        <v>695</v>
      </c>
      <c r="C312" s="6" t="s">
        <v>15</v>
      </c>
      <c r="D312" s="7">
        <v>41415</v>
      </c>
      <c r="E312" s="6" t="s">
        <v>34</v>
      </c>
      <c r="F312" s="6" t="s">
        <v>17</v>
      </c>
      <c r="G312" s="8" t="s">
        <v>683</v>
      </c>
      <c r="H312" s="6" t="s">
        <v>683</v>
      </c>
      <c r="I312" s="6"/>
      <c r="J312" s="6"/>
      <c r="K312" s="6"/>
      <c r="L312" s="6" t="s">
        <v>689</v>
      </c>
      <c r="M312" s="6" t="s">
        <v>655</v>
      </c>
      <c r="N312" s="6"/>
      <c r="O312" s="6"/>
      <c r="P312" s="6"/>
      <c r="Q312" s="6"/>
    </row>
    <row r="313" spans="2:17" ht="15.5" x14ac:dyDescent="0.35">
      <c r="B313" s="5" t="s">
        <v>696</v>
      </c>
      <c r="C313" s="6" t="s">
        <v>25</v>
      </c>
      <c r="D313" s="7">
        <v>40589</v>
      </c>
      <c r="E313" s="6" t="s">
        <v>280</v>
      </c>
      <c r="F313" s="6" t="s">
        <v>157</v>
      </c>
      <c r="G313" s="8" t="s">
        <v>455</v>
      </c>
      <c r="H313" s="6" t="s">
        <v>370</v>
      </c>
      <c r="I313" s="6"/>
      <c r="J313" s="6" t="s">
        <v>20</v>
      </c>
      <c r="K313" s="6" t="s">
        <v>697</v>
      </c>
      <c r="L313" s="6" t="s">
        <v>698</v>
      </c>
      <c r="M313" s="6" t="s">
        <v>101</v>
      </c>
      <c r="N313" s="6"/>
      <c r="O313" s="6"/>
      <c r="P313" s="6"/>
      <c r="Q313" s="6"/>
    </row>
    <row r="314" spans="2:17" ht="15.5" x14ac:dyDescent="0.35">
      <c r="B314" s="5" t="s">
        <v>699</v>
      </c>
      <c r="C314" s="6" t="s">
        <v>25</v>
      </c>
      <c r="D314" s="7">
        <v>41360</v>
      </c>
      <c r="E314" s="6" t="s">
        <v>34</v>
      </c>
      <c r="F314" s="6" t="s">
        <v>17</v>
      </c>
      <c r="G314" s="8" t="s">
        <v>700</v>
      </c>
      <c r="H314" s="6" t="s">
        <v>700</v>
      </c>
      <c r="I314" s="6"/>
      <c r="J314" s="6" t="s">
        <v>20</v>
      </c>
      <c r="K314" s="6" t="s">
        <v>701</v>
      </c>
      <c r="L314" s="6" t="s">
        <v>702</v>
      </c>
      <c r="M314" s="6" t="s">
        <v>703</v>
      </c>
      <c r="N314" s="6"/>
      <c r="O314" s="6"/>
      <c r="P314" s="6"/>
      <c r="Q314" s="6"/>
    </row>
    <row r="315" spans="2:17" ht="15.5" x14ac:dyDescent="0.35">
      <c r="B315" s="5" t="s">
        <v>699</v>
      </c>
      <c r="C315" s="6" t="s">
        <v>25</v>
      </c>
      <c r="D315" s="7">
        <v>41360</v>
      </c>
      <c r="E315" s="6" t="s">
        <v>34</v>
      </c>
      <c r="F315" s="6" t="s">
        <v>17</v>
      </c>
      <c r="G315" s="8" t="s">
        <v>700</v>
      </c>
      <c r="H315" s="6" t="s">
        <v>700</v>
      </c>
      <c r="I315" s="6"/>
      <c r="J315" s="6"/>
      <c r="K315" s="6"/>
      <c r="L315" s="6" t="s">
        <v>702</v>
      </c>
      <c r="M315" s="6" t="s">
        <v>703</v>
      </c>
      <c r="N315" s="6"/>
      <c r="O315" s="6"/>
      <c r="P315" s="6"/>
      <c r="Q315" s="6"/>
    </row>
    <row r="316" spans="2:17" ht="15.5" x14ac:dyDescent="0.35">
      <c r="B316" s="5" t="s">
        <v>704</v>
      </c>
      <c r="C316" s="6" t="s">
        <v>25</v>
      </c>
      <c r="D316" s="7">
        <v>43106</v>
      </c>
      <c r="E316" s="6" t="s">
        <v>41</v>
      </c>
      <c r="F316" s="6" t="s">
        <v>17</v>
      </c>
      <c r="G316" s="8" t="s">
        <v>705</v>
      </c>
      <c r="H316" s="6" t="s">
        <v>705</v>
      </c>
      <c r="I316" s="6"/>
      <c r="J316" s="6" t="s">
        <v>20</v>
      </c>
      <c r="K316" s="6" t="s">
        <v>706</v>
      </c>
      <c r="L316" s="6" t="s">
        <v>288</v>
      </c>
      <c r="M316" s="6" t="s">
        <v>289</v>
      </c>
      <c r="N316" s="6"/>
      <c r="O316" s="6"/>
      <c r="P316" s="6"/>
      <c r="Q316" s="6"/>
    </row>
    <row r="317" spans="2:17" ht="15.5" x14ac:dyDescent="0.35">
      <c r="B317" s="5" t="s">
        <v>707</v>
      </c>
      <c r="C317" s="6" t="s">
        <v>25</v>
      </c>
      <c r="D317" s="7">
        <v>41444</v>
      </c>
      <c r="E317" s="6" t="s">
        <v>34</v>
      </c>
      <c r="F317" s="6" t="s">
        <v>17</v>
      </c>
      <c r="G317" s="8" t="s">
        <v>708</v>
      </c>
      <c r="H317" s="6" t="s">
        <v>709</v>
      </c>
      <c r="I317" s="6"/>
      <c r="J317" s="6" t="s">
        <v>20</v>
      </c>
      <c r="K317" s="6" t="s">
        <v>710</v>
      </c>
      <c r="L317" s="6" t="s">
        <v>711</v>
      </c>
      <c r="M317" s="6" t="s">
        <v>712</v>
      </c>
      <c r="N317" s="6"/>
      <c r="O317" s="6"/>
      <c r="P317" s="6"/>
      <c r="Q317" s="6"/>
    </row>
    <row r="318" spans="2:17" ht="15.5" x14ac:dyDescent="0.35">
      <c r="B318" s="5" t="s">
        <v>707</v>
      </c>
      <c r="C318" s="6" t="s">
        <v>25</v>
      </c>
      <c r="D318" s="7">
        <v>41444</v>
      </c>
      <c r="E318" s="6" t="s">
        <v>34</v>
      </c>
      <c r="F318" s="6" t="s">
        <v>17</v>
      </c>
      <c r="G318" s="8" t="s">
        <v>708</v>
      </c>
      <c r="H318" s="6" t="s">
        <v>709</v>
      </c>
      <c r="I318" s="6"/>
      <c r="J318" s="6"/>
      <c r="K318" s="6"/>
      <c r="L318" s="6" t="s">
        <v>711</v>
      </c>
      <c r="M318" s="6" t="s">
        <v>712</v>
      </c>
      <c r="N318" s="6"/>
      <c r="O318" s="6"/>
      <c r="P318" s="6"/>
      <c r="Q318" s="6"/>
    </row>
    <row r="319" spans="2:17" ht="15.5" x14ac:dyDescent="0.35">
      <c r="B319" s="5" t="s">
        <v>713</v>
      </c>
      <c r="C319" s="6" t="s">
        <v>25</v>
      </c>
      <c r="D319" s="7">
        <v>39938</v>
      </c>
      <c r="E319" s="6" t="s">
        <v>156</v>
      </c>
      <c r="F319" s="6" t="s">
        <v>157</v>
      </c>
      <c r="G319" s="8" t="s">
        <v>714</v>
      </c>
      <c r="H319" s="6" t="s">
        <v>714</v>
      </c>
      <c r="I319" s="6"/>
      <c r="J319" s="6" t="s">
        <v>20</v>
      </c>
      <c r="K319" s="6" t="s">
        <v>715</v>
      </c>
      <c r="L319" s="6" t="s">
        <v>716</v>
      </c>
      <c r="M319" s="6" t="s">
        <v>717</v>
      </c>
      <c r="N319" s="6"/>
      <c r="O319" s="6"/>
      <c r="P319" s="6"/>
      <c r="Q319" s="6"/>
    </row>
    <row r="320" spans="2:17" ht="15.5" x14ac:dyDescent="0.35">
      <c r="B320" s="5" t="s">
        <v>713</v>
      </c>
      <c r="C320" s="6" t="s">
        <v>25</v>
      </c>
      <c r="D320" s="7">
        <v>39938</v>
      </c>
      <c r="E320" s="6" t="s">
        <v>156</v>
      </c>
      <c r="F320" s="6" t="s">
        <v>157</v>
      </c>
      <c r="G320" s="8" t="s">
        <v>714</v>
      </c>
      <c r="H320" s="6" t="s">
        <v>714</v>
      </c>
      <c r="I320" s="6"/>
      <c r="J320" s="6"/>
      <c r="K320" s="6"/>
      <c r="L320" s="6" t="s">
        <v>716</v>
      </c>
      <c r="M320" s="6" t="s">
        <v>717</v>
      </c>
      <c r="N320" s="6"/>
      <c r="O320" s="6"/>
      <c r="P320" s="6"/>
      <c r="Q320" s="6"/>
    </row>
    <row r="321" spans="2:17" ht="15.5" x14ac:dyDescent="0.35">
      <c r="B321" s="5" t="s">
        <v>718</v>
      </c>
      <c r="C321" s="6" t="s">
        <v>15</v>
      </c>
      <c r="D321" s="7">
        <v>40763</v>
      </c>
      <c r="E321" s="6" t="s">
        <v>280</v>
      </c>
      <c r="F321" s="6" t="s">
        <v>157</v>
      </c>
      <c r="G321" s="8" t="s">
        <v>719</v>
      </c>
      <c r="H321" s="6" t="s">
        <v>719</v>
      </c>
      <c r="I321" s="6"/>
      <c r="J321" s="6" t="s">
        <v>20</v>
      </c>
      <c r="K321" s="6" t="s">
        <v>720</v>
      </c>
      <c r="L321" s="6" t="s">
        <v>721</v>
      </c>
      <c r="M321" s="6" t="s">
        <v>655</v>
      </c>
      <c r="N321" s="6"/>
      <c r="O321" s="6"/>
      <c r="P321" s="6"/>
      <c r="Q321" s="6"/>
    </row>
    <row r="322" spans="2:17" ht="15.5" x14ac:dyDescent="0.35">
      <c r="B322" s="5" t="s">
        <v>722</v>
      </c>
      <c r="C322" s="6" t="s">
        <v>25</v>
      </c>
      <c r="D322" s="7">
        <v>40596</v>
      </c>
      <c r="E322" s="6" t="s">
        <v>280</v>
      </c>
      <c r="F322" s="6" t="s">
        <v>157</v>
      </c>
      <c r="G322" s="8" t="s">
        <v>719</v>
      </c>
      <c r="H322" s="6" t="s">
        <v>719</v>
      </c>
      <c r="I322" s="6"/>
      <c r="J322" s="6" t="s">
        <v>20</v>
      </c>
      <c r="K322" s="6" t="s">
        <v>653</v>
      </c>
      <c r="L322" s="6" t="s">
        <v>723</v>
      </c>
      <c r="M322" s="6" t="s">
        <v>655</v>
      </c>
      <c r="N322" s="6"/>
      <c r="O322" s="6"/>
      <c r="P322" s="6"/>
      <c r="Q322" s="6"/>
    </row>
    <row r="323" spans="2:17" ht="15.5" x14ac:dyDescent="0.35">
      <c r="B323" s="5" t="s">
        <v>724</v>
      </c>
      <c r="C323" s="6" t="s">
        <v>15</v>
      </c>
      <c r="D323" s="7">
        <v>40148</v>
      </c>
      <c r="E323" s="6" t="s">
        <v>156</v>
      </c>
      <c r="F323" s="6" t="s">
        <v>157</v>
      </c>
      <c r="G323" s="8" t="s">
        <v>719</v>
      </c>
      <c r="H323" s="6" t="s">
        <v>719</v>
      </c>
      <c r="I323" s="6"/>
      <c r="J323" s="6" t="s">
        <v>20</v>
      </c>
      <c r="K323" s="6" t="s">
        <v>725</v>
      </c>
      <c r="L323" s="6" t="s">
        <v>726</v>
      </c>
      <c r="M323" s="6" t="s">
        <v>727</v>
      </c>
      <c r="N323" s="6"/>
      <c r="O323" s="6"/>
      <c r="P323" s="6"/>
      <c r="Q323" s="6"/>
    </row>
    <row r="324" spans="2:17" ht="15.5" x14ac:dyDescent="0.35">
      <c r="B324" s="5" t="s">
        <v>724</v>
      </c>
      <c r="C324" s="6" t="s">
        <v>15</v>
      </c>
      <c r="D324" s="7">
        <v>40148</v>
      </c>
      <c r="E324" s="6" t="s">
        <v>156</v>
      </c>
      <c r="F324" s="6" t="s">
        <v>157</v>
      </c>
      <c r="G324" s="8" t="s">
        <v>719</v>
      </c>
      <c r="H324" s="6" t="s">
        <v>719</v>
      </c>
      <c r="I324" s="6"/>
      <c r="J324" s="6"/>
      <c r="K324" s="6"/>
      <c r="L324" s="6" t="s">
        <v>726</v>
      </c>
      <c r="M324" s="6" t="s">
        <v>727</v>
      </c>
      <c r="N324" s="6"/>
      <c r="O324" s="6"/>
      <c r="P324" s="6"/>
      <c r="Q324" s="6"/>
    </row>
    <row r="325" spans="2:17" ht="15.5" x14ac:dyDescent="0.35">
      <c r="B325" s="5" t="s">
        <v>728</v>
      </c>
      <c r="C325" s="6" t="s">
        <v>25</v>
      </c>
      <c r="D325" s="7">
        <v>43167</v>
      </c>
      <c r="E325" s="6" t="s">
        <v>41</v>
      </c>
      <c r="F325" s="6" t="s">
        <v>17</v>
      </c>
      <c r="G325" s="8" t="s">
        <v>729</v>
      </c>
      <c r="H325" s="6" t="s">
        <v>729</v>
      </c>
      <c r="I325" s="6"/>
      <c r="J325" s="6" t="s">
        <v>20</v>
      </c>
      <c r="K325" s="6" t="s">
        <v>730</v>
      </c>
      <c r="L325" s="6" t="s">
        <v>731</v>
      </c>
      <c r="M325" s="6" t="s">
        <v>732</v>
      </c>
      <c r="N325" s="6"/>
      <c r="O325" s="6"/>
      <c r="P325" s="6"/>
      <c r="Q325" s="6"/>
    </row>
    <row r="326" spans="2:17" ht="15.5" x14ac:dyDescent="0.35">
      <c r="B326" s="5" t="s">
        <v>733</v>
      </c>
      <c r="C326" s="6" t="s">
        <v>25</v>
      </c>
      <c r="D326" s="7">
        <v>42744</v>
      </c>
      <c r="E326" s="6" t="s">
        <v>16</v>
      </c>
      <c r="F326" s="6" t="s">
        <v>17</v>
      </c>
      <c r="G326" s="8" t="s">
        <v>734</v>
      </c>
      <c r="H326" s="6" t="s">
        <v>735</v>
      </c>
      <c r="I326" s="6"/>
      <c r="J326" s="6" t="s">
        <v>20</v>
      </c>
      <c r="K326" s="6" t="s">
        <v>736</v>
      </c>
      <c r="L326" s="6" t="s">
        <v>737</v>
      </c>
      <c r="M326" s="6" t="s">
        <v>201</v>
      </c>
      <c r="N326" s="6"/>
      <c r="O326" s="6"/>
      <c r="P326" s="6"/>
      <c r="Q326" s="6"/>
    </row>
    <row r="327" spans="2:17" ht="15.5" x14ac:dyDescent="0.35">
      <c r="B327" s="5" t="s">
        <v>733</v>
      </c>
      <c r="C327" s="6" t="s">
        <v>25</v>
      </c>
      <c r="D327" s="7">
        <v>42744</v>
      </c>
      <c r="E327" s="6" t="s">
        <v>16</v>
      </c>
      <c r="F327" s="6" t="s">
        <v>17</v>
      </c>
      <c r="G327" s="8" t="s">
        <v>734</v>
      </c>
      <c r="H327" s="6" t="s">
        <v>735</v>
      </c>
      <c r="I327" s="6"/>
      <c r="J327" s="6"/>
      <c r="K327" s="6"/>
      <c r="L327" s="6" t="s">
        <v>737</v>
      </c>
      <c r="M327" s="6" t="s">
        <v>201</v>
      </c>
      <c r="N327" s="6"/>
      <c r="O327" s="6"/>
      <c r="P327" s="6"/>
      <c r="Q327" s="6"/>
    </row>
    <row r="328" spans="2:17" ht="15.5" x14ac:dyDescent="0.35">
      <c r="B328" s="5" t="s">
        <v>738</v>
      </c>
      <c r="C328" s="6" t="s">
        <v>15</v>
      </c>
      <c r="D328" s="7">
        <v>42480</v>
      </c>
      <c r="E328" s="6" t="s">
        <v>16</v>
      </c>
      <c r="F328" s="6" t="s">
        <v>17</v>
      </c>
      <c r="G328" s="8" t="s">
        <v>739</v>
      </c>
      <c r="H328" s="6" t="s">
        <v>740</v>
      </c>
      <c r="I328" s="6"/>
      <c r="J328" s="6" t="s">
        <v>20</v>
      </c>
      <c r="K328" s="6" t="s">
        <v>741</v>
      </c>
      <c r="L328" s="6" t="s">
        <v>742</v>
      </c>
      <c r="M328" s="6" t="s">
        <v>53</v>
      </c>
      <c r="N328" s="6"/>
      <c r="O328" s="6"/>
      <c r="P328" s="6"/>
      <c r="Q328" s="6"/>
    </row>
    <row r="329" spans="2:17" ht="15.5" x14ac:dyDescent="0.35">
      <c r="B329" s="5" t="s">
        <v>743</v>
      </c>
      <c r="C329" s="6" t="s">
        <v>15</v>
      </c>
      <c r="D329" s="7">
        <v>43063</v>
      </c>
      <c r="E329" s="6" t="s">
        <v>16</v>
      </c>
      <c r="F329" s="6" t="s">
        <v>17</v>
      </c>
      <c r="G329" s="8" t="s">
        <v>739</v>
      </c>
      <c r="H329" s="6" t="s">
        <v>740</v>
      </c>
      <c r="I329" s="6"/>
      <c r="J329" s="6" t="s">
        <v>20</v>
      </c>
      <c r="K329" s="6" t="s">
        <v>744</v>
      </c>
      <c r="L329" s="6" t="s">
        <v>745</v>
      </c>
      <c r="M329" s="6" t="s">
        <v>74</v>
      </c>
      <c r="N329" s="6"/>
      <c r="O329" s="6"/>
      <c r="P329" s="6"/>
      <c r="Q329" s="6"/>
    </row>
    <row r="330" spans="2:17" ht="15.5" x14ac:dyDescent="0.35">
      <c r="B330" s="5" t="s">
        <v>746</v>
      </c>
      <c r="C330" s="6" t="s">
        <v>25</v>
      </c>
      <c r="D330" s="7">
        <v>42333</v>
      </c>
      <c r="E330" s="6" t="s">
        <v>16</v>
      </c>
      <c r="F330" s="6" t="s">
        <v>17</v>
      </c>
      <c r="G330" s="8" t="s">
        <v>739</v>
      </c>
      <c r="H330" s="6" t="s">
        <v>740</v>
      </c>
      <c r="I330" s="6"/>
      <c r="J330" s="6" t="s">
        <v>20</v>
      </c>
      <c r="K330" s="6" t="s">
        <v>744</v>
      </c>
      <c r="L330" s="6" t="s">
        <v>745</v>
      </c>
      <c r="M330" s="6" t="s">
        <v>74</v>
      </c>
      <c r="N330" s="6"/>
      <c r="O330" s="6"/>
      <c r="P330" s="6"/>
      <c r="Q330" s="6"/>
    </row>
    <row r="331" spans="2:17" ht="15.5" x14ac:dyDescent="0.35">
      <c r="B331" s="5" t="s">
        <v>747</v>
      </c>
      <c r="C331" s="6" t="s">
        <v>25</v>
      </c>
      <c r="D331" s="7">
        <v>41468</v>
      </c>
      <c r="E331" s="6" t="s">
        <v>34</v>
      </c>
      <c r="F331" s="6" t="s">
        <v>17</v>
      </c>
      <c r="G331" s="8" t="s">
        <v>739</v>
      </c>
      <c r="H331" s="6" t="s">
        <v>740</v>
      </c>
      <c r="I331" s="6"/>
      <c r="J331" s="6" t="s">
        <v>20</v>
      </c>
      <c r="K331" s="6" t="s">
        <v>741</v>
      </c>
      <c r="L331" s="6" t="s">
        <v>742</v>
      </c>
      <c r="M331" s="6" t="s">
        <v>53</v>
      </c>
      <c r="N331" s="6"/>
      <c r="O331" s="6"/>
      <c r="P331" s="6"/>
      <c r="Q331" s="6"/>
    </row>
    <row r="332" spans="2:17" ht="15.5" x14ac:dyDescent="0.35">
      <c r="B332" s="5" t="s">
        <v>743</v>
      </c>
      <c r="C332" s="6" t="s">
        <v>15</v>
      </c>
      <c r="D332" s="7">
        <v>43063</v>
      </c>
      <c r="E332" s="6" t="s">
        <v>16</v>
      </c>
      <c r="F332" s="6" t="s">
        <v>17</v>
      </c>
      <c r="G332" s="8" t="s">
        <v>739</v>
      </c>
      <c r="H332" s="6" t="s">
        <v>740</v>
      </c>
      <c r="I332" s="6"/>
      <c r="J332" s="6"/>
      <c r="K332" s="6"/>
      <c r="L332" s="6" t="s">
        <v>745</v>
      </c>
      <c r="M332" s="6" t="s">
        <v>74</v>
      </c>
      <c r="N332" s="6"/>
      <c r="O332" s="6"/>
      <c r="P332" s="6"/>
      <c r="Q332" s="6"/>
    </row>
    <row r="333" spans="2:17" ht="15.5" x14ac:dyDescent="0.35">
      <c r="B333" s="5" t="s">
        <v>746</v>
      </c>
      <c r="C333" s="6" t="s">
        <v>25</v>
      </c>
      <c r="D333" s="7">
        <v>42333</v>
      </c>
      <c r="E333" s="6" t="s">
        <v>16</v>
      </c>
      <c r="F333" s="6" t="s">
        <v>17</v>
      </c>
      <c r="G333" s="8" t="s">
        <v>739</v>
      </c>
      <c r="H333" s="6" t="s">
        <v>740</v>
      </c>
      <c r="I333" s="6"/>
      <c r="J333" s="6"/>
      <c r="K333" s="6"/>
      <c r="L333" s="6" t="s">
        <v>745</v>
      </c>
      <c r="M333" s="6" t="s">
        <v>74</v>
      </c>
      <c r="N333" s="6"/>
      <c r="O333" s="6"/>
      <c r="P333" s="6"/>
      <c r="Q333" s="6"/>
    </row>
    <row r="334" spans="2:17" ht="15.5" x14ac:dyDescent="0.35">
      <c r="B334" s="5" t="s">
        <v>747</v>
      </c>
      <c r="C334" s="6" t="s">
        <v>25</v>
      </c>
      <c r="D334" s="7">
        <v>41468</v>
      </c>
      <c r="E334" s="6" t="s">
        <v>34</v>
      </c>
      <c r="F334" s="6" t="s">
        <v>17</v>
      </c>
      <c r="G334" s="8" t="s">
        <v>739</v>
      </c>
      <c r="H334" s="6" t="s">
        <v>740</v>
      </c>
      <c r="I334" s="6"/>
      <c r="J334" s="6"/>
      <c r="K334" s="6"/>
      <c r="L334" s="6" t="s">
        <v>742</v>
      </c>
      <c r="M334" s="6" t="s">
        <v>53</v>
      </c>
      <c r="N334" s="6"/>
      <c r="O334" s="6"/>
      <c r="P334" s="6"/>
      <c r="Q334" s="6"/>
    </row>
    <row r="335" spans="2:17" ht="15.5" x14ac:dyDescent="0.35">
      <c r="B335" s="5" t="s">
        <v>748</v>
      </c>
      <c r="C335" s="6" t="s">
        <v>15</v>
      </c>
      <c r="D335" s="7">
        <v>43290</v>
      </c>
      <c r="E335" s="6" t="s">
        <v>41</v>
      </c>
      <c r="F335" s="6" t="s">
        <v>17</v>
      </c>
      <c r="G335" s="8" t="s">
        <v>749</v>
      </c>
      <c r="H335" s="6" t="s">
        <v>750</v>
      </c>
      <c r="I335" s="6"/>
      <c r="J335" s="6" t="s">
        <v>20</v>
      </c>
      <c r="K335" s="6" t="s">
        <v>751</v>
      </c>
      <c r="L335" s="6" t="s">
        <v>752</v>
      </c>
      <c r="M335" s="6" t="s">
        <v>207</v>
      </c>
      <c r="N335" s="6"/>
      <c r="O335" s="6"/>
      <c r="P335" s="6"/>
      <c r="Q335" s="6"/>
    </row>
    <row r="336" spans="2:17" ht="15.5" x14ac:dyDescent="0.35">
      <c r="B336" s="5" t="s">
        <v>753</v>
      </c>
      <c r="C336" s="6" t="s">
        <v>25</v>
      </c>
      <c r="D336" s="7">
        <v>42943</v>
      </c>
      <c r="E336" s="6" t="s">
        <v>16</v>
      </c>
      <c r="F336" s="6" t="s">
        <v>17</v>
      </c>
      <c r="G336" s="8" t="s">
        <v>749</v>
      </c>
      <c r="H336" s="6" t="s">
        <v>750</v>
      </c>
      <c r="I336" s="6"/>
      <c r="J336" s="6" t="s">
        <v>20</v>
      </c>
      <c r="K336" s="6" t="s">
        <v>754</v>
      </c>
      <c r="L336" s="6" t="s">
        <v>755</v>
      </c>
      <c r="M336" s="6" t="s">
        <v>125</v>
      </c>
      <c r="N336" s="6"/>
      <c r="O336" s="6"/>
      <c r="P336" s="6"/>
      <c r="Q336" s="6"/>
    </row>
    <row r="337" spans="2:17" ht="15.5" x14ac:dyDescent="0.35">
      <c r="B337" s="5" t="s">
        <v>756</v>
      </c>
      <c r="C337" s="6" t="s">
        <v>15</v>
      </c>
      <c r="D337" s="7">
        <v>42138</v>
      </c>
      <c r="E337" s="6" t="s">
        <v>16</v>
      </c>
      <c r="F337" s="6" t="s">
        <v>17</v>
      </c>
      <c r="G337" s="8" t="s">
        <v>749</v>
      </c>
      <c r="H337" s="6" t="s">
        <v>750</v>
      </c>
      <c r="I337" s="6"/>
      <c r="J337" s="6" t="s">
        <v>20</v>
      </c>
      <c r="K337" s="6" t="s">
        <v>754</v>
      </c>
      <c r="L337" s="6" t="s">
        <v>755</v>
      </c>
      <c r="M337" s="6" t="s">
        <v>125</v>
      </c>
      <c r="N337" s="6"/>
      <c r="O337" s="6"/>
      <c r="P337" s="6"/>
      <c r="Q337" s="6"/>
    </row>
    <row r="338" spans="2:17" ht="15.5" x14ac:dyDescent="0.35">
      <c r="B338" s="5" t="s">
        <v>757</v>
      </c>
      <c r="C338" s="6" t="s">
        <v>15</v>
      </c>
      <c r="D338" s="7">
        <v>41385</v>
      </c>
      <c r="E338" s="6" t="s">
        <v>34</v>
      </c>
      <c r="F338" s="6" t="s">
        <v>17</v>
      </c>
      <c r="G338" s="8" t="s">
        <v>749</v>
      </c>
      <c r="H338" s="6" t="s">
        <v>750</v>
      </c>
      <c r="I338" s="6"/>
      <c r="J338" s="6" t="s">
        <v>20</v>
      </c>
      <c r="K338" s="6" t="s">
        <v>758</v>
      </c>
      <c r="L338" s="6" t="s">
        <v>759</v>
      </c>
      <c r="M338" s="6" t="s">
        <v>125</v>
      </c>
      <c r="N338" s="6"/>
      <c r="O338" s="6"/>
      <c r="P338" s="6"/>
      <c r="Q338" s="6"/>
    </row>
    <row r="339" spans="2:17" ht="15.5" x14ac:dyDescent="0.35">
      <c r="B339" s="5" t="s">
        <v>757</v>
      </c>
      <c r="C339" s="6" t="s">
        <v>15</v>
      </c>
      <c r="D339" s="7">
        <v>41385</v>
      </c>
      <c r="E339" s="6" t="s">
        <v>34</v>
      </c>
      <c r="F339" s="6" t="s">
        <v>17</v>
      </c>
      <c r="G339" s="8" t="s">
        <v>749</v>
      </c>
      <c r="H339" s="6" t="s">
        <v>750</v>
      </c>
      <c r="I339" s="6"/>
      <c r="J339" s="6"/>
      <c r="K339" s="6"/>
      <c r="L339" s="6" t="s">
        <v>759</v>
      </c>
      <c r="M339" s="6" t="s">
        <v>125</v>
      </c>
      <c r="N339" s="6"/>
      <c r="O339" s="6"/>
      <c r="P339" s="6"/>
      <c r="Q339" s="6"/>
    </row>
    <row r="340" spans="2:17" ht="15.5" x14ac:dyDescent="0.35">
      <c r="B340" s="5" t="s">
        <v>760</v>
      </c>
      <c r="C340" s="6" t="s">
        <v>25</v>
      </c>
      <c r="D340" s="7">
        <v>41775</v>
      </c>
      <c r="E340" s="6" t="s">
        <v>34</v>
      </c>
      <c r="F340" s="6" t="s">
        <v>17</v>
      </c>
      <c r="G340" s="8" t="s">
        <v>761</v>
      </c>
      <c r="H340" s="6" t="s">
        <v>761</v>
      </c>
      <c r="I340" s="6"/>
      <c r="J340" s="6" t="s">
        <v>20</v>
      </c>
      <c r="K340" s="6" t="s">
        <v>762</v>
      </c>
      <c r="L340" s="6" t="s">
        <v>763</v>
      </c>
      <c r="M340" s="6" t="s">
        <v>764</v>
      </c>
      <c r="N340" s="6"/>
      <c r="O340" s="6"/>
      <c r="P340" s="6"/>
      <c r="Q340" s="6"/>
    </row>
    <row r="341" spans="2:17" ht="15.5" x14ac:dyDescent="0.35">
      <c r="B341" s="5" t="s">
        <v>760</v>
      </c>
      <c r="C341" s="6" t="s">
        <v>25</v>
      </c>
      <c r="D341" s="7">
        <v>41775</v>
      </c>
      <c r="E341" s="6" t="s">
        <v>34</v>
      </c>
      <c r="F341" s="6" t="s">
        <v>17</v>
      </c>
      <c r="G341" s="8" t="s">
        <v>761</v>
      </c>
      <c r="H341" s="6" t="s">
        <v>761</v>
      </c>
      <c r="I341" s="6"/>
      <c r="J341" s="6"/>
      <c r="K341" s="6"/>
      <c r="L341" s="6" t="s">
        <v>763</v>
      </c>
      <c r="M341" s="6" t="s">
        <v>764</v>
      </c>
      <c r="N341" s="6"/>
      <c r="O341" s="6"/>
      <c r="P341" s="6"/>
      <c r="Q341" s="6"/>
    </row>
    <row r="342" spans="2:17" ht="15.5" x14ac:dyDescent="0.35">
      <c r="B342" s="5" t="s">
        <v>765</v>
      </c>
      <c r="C342" s="6" t="s">
        <v>25</v>
      </c>
      <c r="D342" s="7">
        <v>40300</v>
      </c>
      <c r="E342" s="6" t="s">
        <v>156</v>
      </c>
      <c r="F342" s="6" t="s">
        <v>157</v>
      </c>
      <c r="G342" s="8" t="s">
        <v>766</v>
      </c>
      <c r="H342" s="6" t="s">
        <v>766</v>
      </c>
      <c r="I342" s="6"/>
      <c r="J342" s="6" t="s">
        <v>20</v>
      </c>
      <c r="K342" s="6" t="s">
        <v>767</v>
      </c>
      <c r="L342" s="6" t="s">
        <v>768</v>
      </c>
      <c r="M342" s="6" t="s">
        <v>74</v>
      </c>
      <c r="N342" s="6"/>
      <c r="O342" s="6"/>
      <c r="P342" s="6"/>
      <c r="Q342" s="6"/>
    </row>
    <row r="343" spans="2:17" ht="15.5" x14ac:dyDescent="0.35">
      <c r="B343" s="5" t="s">
        <v>765</v>
      </c>
      <c r="C343" s="6" t="s">
        <v>25</v>
      </c>
      <c r="D343" s="7">
        <v>40300</v>
      </c>
      <c r="E343" s="6" t="s">
        <v>156</v>
      </c>
      <c r="F343" s="6" t="s">
        <v>157</v>
      </c>
      <c r="G343" s="8" t="s">
        <v>766</v>
      </c>
      <c r="H343" s="6" t="s">
        <v>766</v>
      </c>
      <c r="I343" s="6"/>
      <c r="J343" s="6"/>
      <c r="K343" s="6"/>
      <c r="L343" s="6" t="s">
        <v>768</v>
      </c>
      <c r="M343" s="6" t="s">
        <v>74</v>
      </c>
      <c r="N343" s="6"/>
      <c r="O343" s="6"/>
      <c r="P343" s="6"/>
      <c r="Q343" s="6"/>
    </row>
    <row r="344" spans="2:17" ht="15.5" x14ac:dyDescent="0.35">
      <c r="B344" s="5" t="s">
        <v>769</v>
      </c>
      <c r="C344" s="6" t="s">
        <v>15</v>
      </c>
      <c r="D344" s="7">
        <v>42751</v>
      </c>
      <c r="E344" s="6" t="s">
        <v>16</v>
      </c>
      <c r="F344" s="6" t="s">
        <v>17</v>
      </c>
      <c r="G344" s="8" t="s">
        <v>770</v>
      </c>
      <c r="H344" s="6" t="s">
        <v>770</v>
      </c>
      <c r="I344" s="6"/>
      <c r="J344" s="6" t="s">
        <v>20</v>
      </c>
      <c r="K344" s="6" t="s">
        <v>771</v>
      </c>
      <c r="L344" s="6" t="s">
        <v>772</v>
      </c>
      <c r="M344" s="6" t="s">
        <v>773</v>
      </c>
      <c r="N344" s="6"/>
      <c r="O344" s="6"/>
      <c r="P344" s="6"/>
      <c r="Q344" s="6"/>
    </row>
    <row r="345" spans="2:17" ht="15.5" x14ac:dyDescent="0.35">
      <c r="B345" s="5" t="s">
        <v>774</v>
      </c>
      <c r="C345" s="6" t="s">
        <v>25</v>
      </c>
      <c r="D345" s="7">
        <v>41351</v>
      </c>
      <c r="E345" s="6" t="s">
        <v>34</v>
      </c>
      <c r="F345" s="6" t="s">
        <v>17</v>
      </c>
      <c r="G345" s="8" t="s">
        <v>770</v>
      </c>
      <c r="H345" s="6" t="s">
        <v>770</v>
      </c>
      <c r="I345" s="6"/>
      <c r="J345" s="6" t="s">
        <v>20</v>
      </c>
      <c r="K345" s="6" t="s">
        <v>775</v>
      </c>
      <c r="L345" s="6" t="s">
        <v>776</v>
      </c>
      <c r="M345" s="6" t="s">
        <v>773</v>
      </c>
      <c r="N345" s="6"/>
      <c r="O345" s="6"/>
      <c r="P345" s="6"/>
      <c r="Q345" s="6"/>
    </row>
    <row r="346" spans="2:17" ht="15.5" x14ac:dyDescent="0.35">
      <c r="B346" s="5" t="s">
        <v>777</v>
      </c>
      <c r="C346" s="6" t="s">
        <v>25</v>
      </c>
      <c r="D346" s="7">
        <v>41984</v>
      </c>
      <c r="E346" s="6" t="s">
        <v>34</v>
      </c>
      <c r="F346" s="6" t="s">
        <v>17</v>
      </c>
      <c r="G346" s="8" t="s">
        <v>770</v>
      </c>
      <c r="H346" s="6" t="s">
        <v>770</v>
      </c>
      <c r="I346" s="6"/>
      <c r="J346" s="6" t="s">
        <v>20</v>
      </c>
      <c r="K346" s="6" t="s">
        <v>778</v>
      </c>
      <c r="L346" s="6" t="s">
        <v>779</v>
      </c>
      <c r="M346" s="6" t="s">
        <v>780</v>
      </c>
      <c r="N346" s="6"/>
      <c r="O346" s="6"/>
      <c r="P346" s="6"/>
      <c r="Q346" s="6"/>
    </row>
    <row r="347" spans="2:17" ht="15.5" x14ac:dyDescent="0.35">
      <c r="B347" s="5" t="s">
        <v>769</v>
      </c>
      <c r="C347" s="6" t="s">
        <v>15</v>
      </c>
      <c r="D347" s="7">
        <v>42751</v>
      </c>
      <c r="E347" s="6" t="s">
        <v>16</v>
      </c>
      <c r="F347" s="6" t="s">
        <v>17</v>
      </c>
      <c r="G347" s="8" t="s">
        <v>770</v>
      </c>
      <c r="H347" s="6" t="s">
        <v>770</v>
      </c>
      <c r="I347" s="6"/>
      <c r="J347" s="6"/>
      <c r="K347" s="6"/>
      <c r="L347" s="6" t="s">
        <v>772</v>
      </c>
      <c r="M347" s="6" t="s">
        <v>773</v>
      </c>
      <c r="N347" s="6"/>
      <c r="O347" s="6"/>
      <c r="P347" s="6"/>
      <c r="Q347" s="6"/>
    </row>
    <row r="348" spans="2:17" ht="15.5" x14ac:dyDescent="0.35">
      <c r="B348" s="5" t="s">
        <v>774</v>
      </c>
      <c r="C348" s="6" t="s">
        <v>25</v>
      </c>
      <c r="D348" s="7">
        <v>41351</v>
      </c>
      <c r="E348" s="6" t="s">
        <v>34</v>
      </c>
      <c r="F348" s="6" t="s">
        <v>17</v>
      </c>
      <c r="G348" s="8" t="s">
        <v>770</v>
      </c>
      <c r="H348" s="6" t="s">
        <v>770</v>
      </c>
      <c r="I348" s="6"/>
      <c r="J348" s="6"/>
      <c r="K348" s="6"/>
      <c r="L348" s="6" t="s">
        <v>776</v>
      </c>
      <c r="M348" s="6" t="s">
        <v>773</v>
      </c>
      <c r="N348" s="6"/>
      <c r="O348" s="6"/>
      <c r="P348" s="6"/>
      <c r="Q348" s="6"/>
    </row>
    <row r="349" spans="2:17" ht="15.5" x14ac:dyDescent="0.35">
      <c r="B349" s="5" t="s">
        <v>777</v>
      </c>
      <c r="C349" s="6" t="s">
        <v>25</v>
      </c>
      <c r="D349" s="7">
        <v>41984</v>
      </c>
      <c r="E349" s="6" t="s">
        <v>34</v>
      </c>
      <c r="F349" s="6" t="s">
        <v>17</v>
      </c>
      <c r="G349" s="8" t="s">
        <v>770</v>
      </c>
      <c r="H349" s="6" t="s">
        <v>770</v>
      </c>
      <c r="I349" s="6"/>
      <c r="J349" s="6"/>
      <c r="K349" s="6"/>
      <c r="L349" s="6" t="s">
        <v>779</v>
      </c>
      <c r="M349" s="6" t="s">
        <v>780</v>
      </c>
      <c r="N349" s="6"/>
      <c r="O349" s="6"/>
      <c r="P349" s="6"/>
      <c r="Q349" s="6"/>
    </row>
    <row r="350" spans="2:17" ht="15.5" x14ac:dyDescent="0.35">
      <c r="B350" s="5" t="s">
        <v>781</v>
      </c>
      <c r="C350" s="6" t="s">
        <v>15</v>
      </c>
      <c r="D350" s="7">
        <v>40680</v>
      </c>
      <c r="E350" s="6" t="s">
        <v>280</v>
      </c>
      <c r="F350" s="6" t="s">
        <v>157</v>
      </c>
      <c r="G350" s="8" t="s">
        <v>782</v>
      </c>
      <c r="H350" s="6" t="s">
        <v>370</v>
      </c>
      <c r="I350" s="6"/>
      <c r="J350" s="6" t="s">
        <v>20</v>
      </c>
      <c r="K350" s="6" t="s">
        <v>783</v>
      </c>
      <c r="L350" s="6" t="s">
        <v>784</v>
      </c>
      <c r="M350" s="6" t="s">
        <v>89</v>
      </c>
      <c r="N350" s="6"/>
      <c r="O350" s="6"/>
      <c r="P350" s="6"/>
      <c r="Q350" s="6"/>
    </row>
    <row r="351" spans="2:17" ht="15.5" x14ac:dyDescent="0.35">
      <c r="B351" s="5" t="s">
        <v>785</v>
      </c>
      <c r="C351" s="6" t="s">
        <v>15</v>
      </c>
      <c r="D351" s="7">
        <v>40680</v>
      </c>
      <c r="E351" s="6" t="s">
        <v>280</v>
      </c>
      <c r="F351" s="6" t="s">
        <v>157</v>
      </c>
      <c r="G351" s="8" t="s">
        <v>782</v>
      </c>
      <c r="H351" s="6" t="s">
        <v>370</v>
      </c>
      <c r="I351" s="6"/>
      <c r="J351" s="6" t="s">
        <v>20</v>
      </c>
      <c r="K351" s="6" t="s">
        <v>783</v>
      </c>
      <c r="L351" s="6" t="s">
        <v>784</v>
      </c>
      <c r="M351" s="6" t="s">
        <v>89</v>
      </c>
      <c r="N351" s="6"/>
      <c r="O351" s="6"/>
      <c r="P351" s="6"/>
      <c r="Q351" s="6"/>
    </row>
    <row r="352" spans="2:17" ht="15.5" x14ac:dyDescent="0.35">
      <c r="B352" s="5" t="s">
        <v>786</v>
      </c>
      <c r="C352" s="6" t="s">
        <v>15</v>
      </c>
      <c r="D352" s="7">
        <v>40548</v>
      </c>
      <c r="E352" s="6" t="s">
        <v>280</v>
      </c>
      <c r="F352" s="6" t="s">
        <v>157</v>
      </c>
      <c r="G352" s="8" t="s">
        <v>782</v>
      </c>
      <c r="H352" s="6" t="s">
        <v>370</v>
      </c>
      <c r="I352" s="6"/>
      <c r="J352" s="6" t="s">
        <v>20</v>
      </c>
      <c r="K352" s="6" t="s">
        <v>413</v>
      </c>
      <c r="L352" s="6" t="s">
        <v>414</v>
      </c>
      <c r="M352" s="6" t="s">
        <v>111</v>
      </c>
      <c r="N352" s="6"/>
      <c r="O352" s="6"/>
      <c r="P352" s="6"/>
      <c r="Q352" s="6"/>
    </row>
    <row r="353" spans="2:17" ht="15.5" x14ac:dyDescent="0.35">
      <c r="B353" s="5" t="s">
        <v>787</v>
      </c>
      <c r="C353" s="6" t="s">
        <v>25</v>
      </c>
      <c r="D353" s="7">
        <v>41015</v>
      </c>
      <c r="E353" s="6" t="s">
        <v>280</v>
      </c>
      <c r="F353" s="6" t="s">
        <v>157</v>
      </c>
      <c r="G353" s="8" t="s">
        <v>782</v>
      </c>
      <c r="H353" s="6" t="s">
        <v>370</v>
      </c>
      <c r="I353" s="6"/>
      <c r="J353" s="6" t="s">
        <v>20</v>
      </c>
      <c r="K353" s="6"/>
      <c r="L353" s="6" t="s">
        <v>788</v>
      </c>
      <c r="M353" s="6" t="s">
        <v>789</v>
      </c>
      <c r="N353" s="6"/>
      <c r="O353" s="6"/>
      <c r="P353" s="6"/>
      <c r="Q353" s="6"/>
    </row>
    <row r="354" spans="2:17" ht="15.5" x14ac:dyDescent="0.35">
      <c r="B354" s="5" t="s">
        <v>790</v>
      </c>
      <c r="C354" s="6" t="s">
        <v>15</v>
      </c>
      <c r="D354" s="7">
        <v>40636</v>
      </c>
      <c r="E354" s="6" t="s">
        <v>280</v>
      </c>
      <c r="F354" s="6" t="s">
        <v>157</v>
      </c>
      <c r="G354" s="8" t="s">
        <v>782</v>
      </c>
      <c r="H354" s="6" t="s">
        <v>370</v>
      </c>
      <c r="I354" s="6"/>
      <c r="J354" s="6" t="s">
        <v>20</v>
      </c>
      <c r="K354" s="6" t="s">
        <v>791</v>
      </c>
      <c r="L354" s="6" t="s">
        <v>792</v>
      </c>
      <c r="M354" s="6" t="s">
        <v>201</v>
      </c>
      <c r="N354" s="6"/>
      <c r="O354" s="6"/>
      <c r="P354" s="6"/>
      <c r="Q354" s="6"/>
    </row>
    <row r="355" spans="2:17" ht="15.5" x14ac:dyDescent="0.35">
      <c r="B355" s="5" t="s">
        <v>793</v>
      </c>
      <c r="C355" s="6" t="s">
        <v>15</v>
      </c>
      <c r="D355" s="7">
        <v>40609</v>
      </c>
      <c r="E355" s="6" t="s">
        <v>280</v>
      </c>
      <c r="F355" s="6" t="s">
        <v>157</v>
      </c>
      <c r="G355" s="8" t="s">
        <v>782</v>
      </c>
      <c r="H355" s="6" t="s">
        <v>370</v>
      </c>
      <c r="I355" s="6"/>
      <c r="J355" s="6" t="s">
        <v>20</v>
      </c>
      <c r="K355" s="6" t="s">
        <v>794</v>
      </c>
      <c r="L355" s="6" t="s">
        <v>795</v>
      </c>
      <c r="M355" s="6" t="s">
        <v>796</v>
      </c>
      <c r="N355" s="6"/>
      <c r="O355" s="6"/>
      <c r="P355" s="6"/>
      <c r="Q355" s="6"/>
    </row>
    <row r="356" spans="2:17" ht="15.5" x14ac:dyDescent="0.35">
      <c r="B356" s="5" t="s">
        <v>797</v>
      </c>
      <c r="C356" s="6" t="s">
        <v>25</v>
      </c>
      <c r="D356" s="7">
        <v>40856</v>
      </c>
      <c r="E356" s="6" t="s">
        <v>280</v>
      </c>
      <c r="F356" s="6" t="s">
        <v>157</v>
      </c>
      <c r="G356" s="8" t="s">
        <v>782</v>
      </c>
      <c r="H356" s="6" t="s">
        <v>370</v>
      </c>
      <c r="I356" s="6"/>
      <c r="J356" s="6" t="s">
        <v>20</v>
      </c>
      <c r="K356" s="6" t="s">
        <v>798</v>
      </c>
      <c r="L356" s="6" t="s">
        <v>799</v>
      </c>
      <c r="M356" s="6" t="s">
        <v>800</v>
      </c>
      <c r="N356" s="6"/>
      <c r="O356" s="6"/>
      <c r="P356" s="6"/>
      <c r="Q356" s="6"/>
    </row>
    <row r="357" spans="2:17" ht="15.5" x14ac:dyDescent="0.35">
      <c r="B357" s="5" t="s">
        <v>801</v>
      </c>
      <c r="C357" s="6" t="s">
        <v>25</v>
      </c>
      <c r="D357" s="7">
        <v>41110</v>
      </c>
      <c r="E357" s="6" t="s">
        <v>280</v>
      </c>
      <c r="F357" s="6" t="s">
        <v>157</v>
      </c>
      <c r="G357" s="8" t="s">
        <v>782</v>
      </c>
      <c r="H357" s="6" t="s">
        <v>370</v>
      </c>
      <c r="I357" s="6"/>
      <c r="J357" s="6" t="s">
        <v>20</v>
      </c>
      <c r="K357" s="6" t="s">
        <v>802</v>
      </c>
      <c r="L357" s="6" t="s">
        <v>803</v>
      </c>
      <c r="M357" s="6" t="s">
        <v>207</v>
      </c>
      <c r="N357" s="6"/>
      <c r="O357" s="6"/>
      <c r="P357" s="6"/>
      <c r="Q357" s="6"/>
    </row>
    <row r="358" spans="2:17" ht="15.5" x14ac:dyDescent="0.35">
      <c r="B358" s="5" t="s">
        <v>804</v>
      </c>
      <c r="C358" s="6" t="s">
        <v>25</v>
      </c>
      <c r="D358" s="7">
        <v>40668</v>
      </c>
      <c r="E358" s="6" t="s">
        <v>280</v>
      </c>
      <c r="F358" s="6" t="s">
        <v>157</v>
      </c>
      <c r="G358" s="8" t="s">
        <v>782</v>
      </c>
      <c r="H358" s="6" t="s">
        <v>370</v>
      </c>
      <c r="I358" s="6"/>
      <c r="J358" s="6" t="s">
        <v>493</v>
      </c>
      <c r="K358" s="6" t="s">
        <v>805</v>
      </c>
      <c r="L358" s="6" t="s">
        <v>806</v>
      </c>
      <c r="M358" s="6" t="s">
        <v>807</v>
      </c>
      <c r="N358" s="6"/>
      <c r="O358" s="6"/>
      <c r="P358" s="6"/>
      <c r="Q358" s="6"/>
    </row>
    <row r="359" spans="2:17" ht="15.5" x14ac:dyDescent="0.35">
      <c r="B359" s="5" t="s">
        <v>808</v>
      </c>
      <c r="C359" s="6" t="s">
        <v>15</v>
      </c>
      <c r="D359" s="7">
        <v>41168</v>
      </c>
      <c r="E359" s="6" t="s">
        <v>280</v>
      </c>
      <c r="F359" s="6" t="s">
        <v>157</v>
      </c>
      <c r="G359" s="8" t="s">
        <v>782</v>
      </c>
      <c r="H359" s="6" t="s">
        <v>370</v>
      </c>
      <c r="I359" s="6"/>
      <c r="J359" s="6" t="s">
        <v>493</v>
      </c>
      <c r="K359" s="6" t="s">
        <v>805</v>
      </c>
      <c r="L359" s="6" t="s">
        <v>806</v>
      </c>
      <c r="M359" s="6" t="s">
        <v>807</v>
      </c>
      <c r="N359" s="6"/>
      <c r="O359" s="6"/>
      <c r="P359" s="6"/>
      <c r="Q359" s="6"/>
    </row>
    <row r="360" spans="2:17" ht="15.5" x14ac:dyDescent="0.35">
      <c r="B360" s="5" t="s">
        <v>809</v>
      </c>
      <c r="C360" s="6" t="s">
        <v>25</v>
      </c>
      <c r="D360" s="7">
        <v>41091</v>
      </c>
      <c r="E360" s="6" t="s">
        <v>280</v>
      </c>
      <c r="F360" s="6" t="s">
        <v>157</v>
      </c>
      <c r="G360" s="8" t="s">
        <v>782</v>
      </c>
      <c r="H360" s="6" t="s">
        <v>370</v>
      </c>
      <c r="I360" s="6"/>
      <c r="J360" s="6" t="s">
        <v>20</v>
      </c>
      <c r="K360" s="6" t="s">
        <v>229</v>
      </c>
      <c r="L360" s="6" t="s">
        <v>230</v>
      </c>
      <c r="M360" s="6" t="s">
        <v>231</v>
      </c>
      <c r="N360" s="6"/>
      <c r="O360" s="6"/>
      <c r="P360" s="6"/>
      <c r="Q360" s="6"/>
    </row>
    <row r="361" spans="2:17" ht="15.5" x14ac:dyDescent="0.35">
      <c r="B361" s="5" t="s">
        <v>810</v>
      </c>
      <c r="C361" s="6" t="s">
        <v>15</v>
      </c>
      <c r="D361" s="7">
        <v>40972</v>
      </c>
      <c r="E361" s="6" t="s">
        <v>280</v>
      </c>
      <c r="F361" s="6" t="s">
        <v>157</v>
      </c>
      <c r="G361" s="8" t="s">
        <v>782</v>
      </c>
      <c r="H361" s="6" t="s">
        <v>370</v>
      </c>
      <c r="I361" s="6"/>
      <c r="J361" s="6" t="s">
        <v>20</v>
      </c>
      <c r="K361" s="6" t="s">
        <v>811</v>
      </c>
      <c r="L361" s="6" t="s">
        <v>812</v>
      </c>
      <c r="M361" s="6" t="s">
        <v>813</v>
      </c>
      <c r="N361" s="6"/>
      <c r="O361" s="6"/>
      <c r="P361" s="6"/>
      <c r="Q361" s="6"/>
    </row>
    <row r="362" spans="2:17" ht="15.5" x14ac:dyDescent="0.35">
      <c r="B362" s="5" t="s">
        <v>814</v>
      </c>
      <c r="C362" s="6" t="s">
        <v>15</v>
      </c>
      <c r="D362" s="7">
        <v>40828</v>
      </c>
      <c r="E362" s="6" t="s">
        <v>280</v>
      </c>
      <c r="F362" s="6" t="s">
        <v>157</v>
      </c>
      <c r="G362" s="8" t="s">
        <v>782</v>
      </c>
      <c r="H362" s="6" t="s">
        <v>370</v>
      </c>
      <c r="I362" s="6"/>
      <c r="J362" s="6" t="s">
        <v>20</v>
      </c>
      <c r="K362" s="6" t="s">
        <v>815</v>
      </c>
      <c r="L362" s="6" t="s">
        <v>816</v>
      </c>
      <c r="M362" s="6" t="s">
        <v>101</v>
      </c>
      <c r="N362" s="6"/>
      <c r="O362" s="6"/>
      <c r="P362" s="6"/>
      <c r="Q362" s="6"/>
    </row>
    <row r="363" spans="2:17" ht="15.5" x14ac:dyDescent="0.35">
      <c r="B363" s="5" t="s">
        <v>817</v>
      </c>
      <c r="C363" s="6" t="s">
        <v>25</v>
      </c>
      <c r="D363" s="7">
        <v>40738</v>
      </c>
      <c r="E363" s="6" t="s">
        <v>280</v>
      </c>
      <c r="F363" s="6" t="s">
        <v>157</v>
      </c>
      <c r="G363" s="8" t="s">
        <v>782</v>
      </c>
      <c r="H363" s="6" t="s">
        <v>370</v>
      </c>
      <c r="I363" s="6"/>
      <c r="J363" s="6" t="s">
        <v>20</v>
      </c>
      <c r="K363" s="6" t="s">
        <v>818</v>
      </c>
      <c r="L363" s="6" t="s">
        <v>819</v>
      </c>
      <c r="M363" s="6" t="s">
        <v>207</v>
      </c>
      <c r="N363" s="6"/>
      <c r="O363" s="6"/>
      <c r="P363" s="6"/>
      <c r="Q363" s="6"/>
    </row>
    <row r="364" spans="2:17" ht="15.5" x14ac:dyDescent="0.35">
      <c r="B364" s="5" t="s">
        <v>820</v>
      </c>
      <c r="C364" s="6" t="s">
        <v>15</v>
      </c>
      <c r="D364" s="7">
        <v>40795</v>
      </c>
      <c r="E364" s="6" t="s">
        <v>280</v>
      </c>
      <c r="F364" s="6" t="s">
        <v>157</v>
      </c>
      <c r="G364" s="8" t="s">
        <v>782</v>
      </c>
      <c r="H364" s="6" t="s">
        <v>370</v>
      </c>
      <c r="I364" s="6"/>
      <c r="J364" s="6" t="s">
        <v>20</v>
      </c>
      <c r="K364" s="6" t="s">
        <v>821</v>
      </c>
      <c r="L364" s="6" t="s">
        <v>254</v>
      </c>
      <c r="M364" s="6" t="s">
        <v>255</v>
      </c>
      <c r="N364" s="6"/>
      <c r="O364" s="6"/>
      <c r="P364" s="6"/>
      <c r="Q364" s="6"/>
    </row>
    <row r="365" spans="2:17" ht="15.5" x14ac:dyDescent="0.35">
      <c r="B365" s="5" t="s">
        <v>822</v>
      </c>
      <c r="C365" s="6" t="s">
        <v>15</v>
      </c>
      <c r="D365" s="7">
        <v>40704</v>
      </c>
      <c r="E365" s="6" t="s">
        <v>280</v>
      </c>
      <c r="F365" s="6" t="s">
        <v>157</v>
      </c>
      <c r="G365" s="8" t="s">
        <v>782</v>
      </c>
      <c r="H365" s="6" t="s">
        <v>370</v>
      </c>
      <c r="I365" s="6"/>
      <c r="J365" s="6" t="s">
        <v>20</v>
      </c>
      <c r="K365" s="6" t="s">
        <v>276</v>
      </c>
      <c r="L365" s="6" t="s">
        <v>277</v>
      </c>
      <c r="M365" s="6" t="s">
        <v>278</v>
      </c>
      <c r="N365" s="6"/>
      <c r="O365" s="6"/>
      <c r="P365" s="6"/>
      <c r="Q365" s="6"/>
    </row>
    <row r="366" spans="2:17" ht="15.5" x14ac:dyDescent="0.35">
      <c r="B366" s="5" t="s">
        <v>823</v>
      </c>
      <c r="C366" s="6" t="s">
        <v>15</v>
      </c>
      <c r="D366" s="7">
        <v>40863</v>
      </c>
      <c r="E366" s="6" t="s">
        <v>280</v>
      </c>
      <c r="F366" s="6" t="s">
        <v>157</v>
      </c>
      <c r="G366" s="8" t="s">
        <v>782</v>
      </c>
      <c r="H366" s="6" t="s">
        <v>370</v>
      </c>
      <c r="I366" s="6"/>
      <c r="J366" s="6" t="s">
        <v>20</v>
      </c>
      <c r="K366" s="6" t="s">
        <v>824</v>
      </c>
      <c r="L366" s="6" t="s">
        <v>825</v>
      </c>
      <c r="M366" s="6" t="s">
        <v>373</v>
      </c>
      <c r="N366" s="6"/>
      <c r="O366" s="6"/>
      <c r="P366" s="6"/>
      <c r="Q366" s="6"/>
    </row>
    <row r="367" spans="2:17" ht="15.5" x14ac:dyDescent="0.35">
      <c r="B367" s="5" t="s">
        <v>826</v>
      </c>
      <c r="C367" s="6" t="s">
        <v>25</v>
      </c>
      <c r="D367" s="7">
        <v>41182</v>
      </c>
      <c r="E367" s="6" t="s">
        <v>280</v>
      </c>
      <c r="F367" s="6" t="s">
        <v>157</v>
      </c>
      <c r="G367" s="8" t="s">
        <v>782</v>
      </c>
      <c r="H367" s="6" t="s">
        <v>370</v>
      </c>
      <c r="I367" s="6"/>
      <c r="J367" s="6" t="s">
        <v>20</v>
      </c>
      <c r="K367" s="6" t="s">
        <v>827</v>
      </c>
      <c r="L367" s="6" t="s">
        <v>828</v>
      </c>
      <c r="M367" s="6" t="s">
        <v>201</v>
      </c>
      <c r="N367" s="6"/>
      <c r="O367" s="6"/>
      <c r="P367" s="6"/>
      <c r="Q367" s="6"/>
    </row>
    <row r="368" spans="2:17" ht="15.5" x14ac:dyDescent="0.35">
      <c r="B368" s="5" t="s">
        <v>829</v>
      </c>
      <c r="C368" s="6" t="s">
        <v>15</v>
      </c>
      <c r="D368" s="7">
        <v>40611</v>
      </c>
      <c r="E368" s="6" t="s">
        <v>280</v>
      </c>
      <c r="F368" s="6" t="s">
        <v>157</v>
      </c>
      <c r="G368" s="8" t="s">
        <v>782</v>
      </c>
      <c r="H368" s="6" t="s">
        <v>370</v>
      </c>
      <c r="I368" s="6"/>
      <c r="J368" s="6" t="s">
        <v>20</v>
      </c>
      <c r="K368" s="6" t="s">
        <v>830</v>
      </c>
      <c r="L368" s="6" t="s">
        <v>831</v>
      </c>
      <c r="M368" s="6" t="s">
        <v>111</v>
      </c>
      <c r="N368" s="6"/>
      <c r="O368" s="6"/>
      <c r="P368" s="6"/>
      <c r="Q368" s="6"/>
    </row>
    <row r="369" spans="2:17" ht="15.5" x14ac:dyDescent="0.35">
      <c r="B369" s="5" t="s">
        <v>832</v>
      </c>
      <c r="C369" s="6" t="s">
        <v>25</v>
      </c>
      <c r="D369" s="7">
        <v>40673</v>
      </c>
      <c r="E369" s="6" t="s">
        <v>280</v>
      </c>
      <c r="F369" s="6" t="s">
        <v>157</v>
      </c>
      <c r="G369" s="8" t="s">
        <v>782</v>
      </c>
      <c r="H369" s="6" t="s">
        <v>370</v>
      </c>
      <c r="I369" s="6"/>
      <c r="J369" s="6" t="s">
        <v>20</v>
      </c>
      <c r="K369" s="6" t="s">
        <v>833</v>
      </c>
      <c r="L369" s="6" t="s">
        <v>834</v>
      </c>
      <c r="M369" s="6" t="s">
        <v>248</v>
      </c>
      <c r="N369" s="6"/>
      <c r="O369" s="6"/>
      <c r="P369" s="6"/>
      <c r="Q369" s="6"/>
    </row>
    <row r="370" spans="2:17" ht="15.5" x14ac:dyDescent="0.35">
      <c r="B370" s="5" t="s">
        <v>835</v>
      </c>
      <c r="C370" s="6" t="s">
        <v>25</v>
      </c>
      <c r="D370" s="7">
        <v>41003</v>
      </c>
      <c r="E370" s="6" t="s">
        <v>280</v>
      </c>
      <c r="F370" s="6" t="s">
        <v>157</v>
      </c>
      <c r="G370" s="8" t="s">
        <v>782</v>
      </c>
      <c r="H370" s="6" t="s">
        <v>370</v>
      </c>
      <c r="I370" s="6"/>
      <c r="J370" s="6" t="s">
        <v>20</v>
      </c>
      <c r="K370" s="6" t="s">
        <v>836</v>
      </c>
      <c r="L370" s="6" t="s">
        <v>837</v>
      </c>
      <c r="M370" s="6" t="s">
        <v>93</v>
      </c>
      <c r="N370" s="6"/>
      <c r="O370" s="6"/>
      <c r="P370" s="6"/>
      <c r="Q370" s="6"/>
    </row>
    <row r="371" spans="2:17" ht="15.5" x14ac:dyDescent="0.35">
      <c r="B371" s="5" t="s">
        <v>838</v>
      </c>
      <c r="C371" s="6" t="s">
        <v>15</v>
      </c>
      <c r="D371" s="7">
        <v>40915</v>
      </c>
      <c r="E371" s="6" t="s">
        <v>280</v>
      </c>
      <c r="F371" s="6" t="s">
        <v>157</v>
      </c>
      <c r="G371" s="8" t="s">
        <v>782</v>
      </c>
      <c r="H371" s="6" t="s">
        <v>370</v>
      </c>
      <c r="I371" s="6"/>
      <c r="J371" s="6" t="s">
        <v>20</v>
      </c>
      <c r="K371" s="6" t="s">
        <v>839</v>
      </c>
      <c r="L371" s="6" t="s">
        <v>840</v>
      </c>
      <c r="M371" s="6" t="s">
        <v>841</v>
      </c>
      <c r="N371" s="6"/>
      <c r="O371" s="6"/>
      <c r="P371" s="6"/>
      <c r="Q371" s="6"/>
    </row>
    <row r="372" spans="2:17" ht="15.5" x14ac:dyDescent="0.35">
      <c r="B372" s="5" t="s">
        <v>842</v>
      </c>
      <c r="C372" s="6" t="s">
        <v>15</v>
      </c>
      <c r="D372" s="7">
        <v>40928</v>
      </c>
      <c r="E372" s="6" t="s">
        <v>280</v>
      </c>
      <c r="F372" s="6" t="s">
        <v>157</v>
      </c>
      <c r="G372" s="8" t="s">
        <v>782</v>
      </c>
      <c r="H372" s="6" t="s">
        <v>370</v>
      </c>
      <c r="I372" s="6"/>
      <c r="J372" s="6" t="s">
        <v>20</v>
      </c>
      <c r="K372" s="6" t="s">
        <v>843</v>
      </c>
      <c r="L372" s="6" t="s">
        <v>844</v>
      </c>
      <c r="M372" s="6" t="s">
        <v>101</v>
      </c>
      <c r="N372" s="6"/>
      <c r="O372" s="6"/>
      <c r="P372" s="6"/>
      <c r="Q372" s="6"/>
    </row>
    <row r="373" spans="2:17" ht="15.5" x14ac:dyDescent="0.35">
      <c r="B373" s="5" t="s">
        <v>845</v>
      </c>
      <c r="C373" s="6" t="s">
        <v>25</v>
      </c>
      <c r="D373" s="7">
        <v>40873</v>
      </c>
      <c r="E373" s="6" t="s">
        <v>280</v>
      </c>
      <c r="F373" s="6" t="s">
        <v>157</v>
      </c>
      <c r="G373" s="8" t="s">
        <v>782</v>
      </c>
      <c r="H373" s="6" t="s">
        <v>370</v>
      </c>
      <c r="I373" s="6"/>
      <c r="J373" s="6" t="s">
        <v>20</v>
      </c>
      <c r="K373" s="6" t="s">
        <v>846</v>
      </c>
      <c r="L373" s="6" t="s">
        <v>847</v>
      </c>
      <c r="M373" s="6" t="s">
        <v>201</v>
      </c>
      <c r="N373" s="6"/>
      <c r="O373" s="6"/>
      <c r="P373" s="6"/>
      <c r="Q373" s="6"/>
    </row>
    <row r="374" spans="2:17" ht="15.5" x14ac:dyDescent="0.35">
      <c r="B374" s="5" t="s">
        <v>848</v>
      </c>
      <c r="C374" s="6" t="s">
        <v>15</v>
      </c>
      <c r="D374" s="7">
        <v>40745</v>
      </c>
      <c r="E374" s="6" t="s">
        <v>280</v>
      </c>
      <c r="F374" s="6" t="s">
        <v>157</v>
      </c>
      <c r="G374" s="8" t="s">
        <v>782</v>
      </c>
      <c r="H374" s="6" t="s">
        <v>370</v>
      </c>
      <c r="I374" s="6"/>
      <c r="J374" s="6" t="s">
        <v>20</v>
      </c>
      <c r="K374" s="6" t="s">
        <v>849</v>
      </c>
      <c r="L374" s="6" t="s">
        <v>850</v>
      </c>
      <c r="M374" s="6" t="s">
        <v>851</v>
      </c>
      <c r="N374" s="6"/>
      <c r="O374" s="6"/>
      <c r="P374" s="6"/>
      <c r="Q374" s="6"/>
    </row>
    <row r="375" spans="2:17" ht="15.5" x14ac:dyDescent="0.35">
      <c r="B375" s="5" t="s">
        <v>852</v>
      </c>
      <c r="C375" s="6" t="s">
        <v>25</v>
      </c>
      <c r="D375" s="7">
        <v>40564</v>
      </c>
      <c r="E375" s="6" t="s">
        <v>280</v>
      </c>
      <c r="F375" s="6" t="s">
        <v>157</v>
      </c>
      <c r="G375" s="8" t="s">
        <v>782</v>
      </c>
      <c r="H375" s="6" t="s">
        <v>370</v>
      </c>
      <c r="I375" s="6"/>
      <c r="J375" s="6" t="s">
        <v>20</v>
      </c>
      <c r="K375" s="6" t="s">
        <v>853</v>
      </c>
      <c r="L375" s="6" t="s">
        <v>854</v>
      </c>
      <c r="M375" s="6" t="s">
        <v>197</v>
      </c>
      <c r="N375" s="6"/>
      <c r="O375" s="6"/>
      <c r="P375" s="6"/>
      <c r="Q375" s="6"/>
    </row>
    <row r="376" spans="2:17" ht="15.5" x14ac:dyDescent="0.35">
      <c r="B376" s="5" t="s">
        <v>855</v>
      </c>
      <c r="C376" s="6" t="s">
        <v>15</v>
      </c>
      <c r="D376" s="7">
        <v>41162</v>
      </c>
      <c r="E376" s="6" t="s">
        <v>280</v>
      </c>
      <c r="F376" s="6" t="s">
        <v>157</v>
      </c>
      <c r="G376" s="8" t="s">
        <v>782</v>
      </c>
      <c r="H376" s="6" t="s">
        <v>370</v>
      </c>
      <c r="I376" s="6"/>
      <c r="J376" s="6" t="s">
        <v>20</v>
      </c>
      <c r="K376" s="6" t="s">
        <v>856</v>
      </c>
      <c r="L376" s="6" t="s">
        <v>857</v>
      </c>
      <c r="M376" s="6" t="s">
        <v>858</v>
      </c>
      <c r="N376" s="6"/>
      <c r="O376" s="6"/>
      <c r="P376" s="6"/>
      <c r="Q376" s="6"/>
    </row>
    <row r="377" spans="2:17" ht="15.5" x14ac:dyDescent="0.35">
      <c r="B377" s="5" t="s">
        <v>859</v>
      </c>
      <c r="C377" s="6" t="s">
        <v>15</v>
      </c>
      <c r="D377" s="7">
        <v>39852</v>
      </c>
      <c r="E377" s="6" t="s">
        <v>156</v>
      </c>
      <c r="F377" s="6" t="s">
        <v>157</v>
      </c>
      <c r="G377" s="8" t="s">
        <v>782</v>
      </c>
      <c r="H377" s="6" t="s">
        <v>370</v>
      </c>
      <c r="I377" s="6"/>
      <c r="J377" s="6" t="s">
        <v>20</v>
      </c>
      <c r="K377" s="6" t="s">
        <v>860</v>
      </c>
      <c r="L377" s="6" t="s">
        <v>861</v>
      </c>
      <c r="M377" s="6" t="s">
        <v>862</v>
      </c>
      <c r="N377" s="6"/>
      <c r="O377" s="6"/>
      <c r="P377" s="6"/>
      <c r="Q377" s="6"/>
    </row>
    <row r="378" spans="2:17" ht="15.5" x14ac:dyDescent="0.35">
      <c r="B378" s="5" t="s">
        <v>863</v>
      </c>
      <c r="C378" s="6" t="s">
        <v>15</v>
      </c>
      <c r="D378" s="7">
        <v>40519</v>
      </c>
      <c r="E378" s="6" t="s">
        <v>156</v>
      </c>
      <c r="F378" s="6" t="s">
        <v>157</v>
      </c>
      <c r="G378" s="8" t="s">
        <v>782</v>
      </c>
      <c r="H378" s="6" t="s">
        <v>370</v>
      </c>
      <c r="I378" s="6"/>
      <c r="J378" s="6" t="s">
        <v>20</v>
      </c>
      <c r="K378" s="6" t="s">
        <v>864</v>
      </c>
      <c r="L378" s="6" t="s">
        <v>865</v>
      </c>
      <c r="M378" s="6" t="s">
        <v>74</v>
      </c>
      <c r="N378" s="6"/>
      <c r="O378" s="6"/>
      <c r="P378" s="6"/>
      <c r="Q378" s="6"/>
    </row>
    <row r="379" spans="2:17" ht="15.5" x14ac:dyDescent="0.35">
      <c r="B379" s="5" t="s">
        <v>866</v>
      </c>
      <c r="C379" s="6" t="s">
        <v>25</v>
      </c>
      <c r="D379" s="7">
        <v>40108</v>
      </c>
      <c r="E379" s="6" t="s">
        <v>156</v>
      </c>
      <c r="F379" s="6" t="s">
        <v>157</v>
      </c>
      <c r="G379" s="8" t="s">
        <v>782</v>
      </c>
      <c r="H379" s="6" t="s">
        <v>370</v>
      </c>
      <c r="I379" s="6"/>
      <c r="J379" s="6" t="s">
        <v>20</v>
      </c>
      <c r="K379" s="6" t="s">
        <v>867</v>
      </c>
      <c r="L379" s="6" t="s">
        <v>868</v>
      </c>
      <c r="M379" s="6" t="s">
        <v>727</v>
      </c>
      <c r="N379" s="6"/>
      <c r="O379" s="6"/>
      <c r="P379" s="6"/>
      <c r="Q379" s="6"/>
    </row>
    <row r="380" spans="2:17" ht="15.5" x14ac:dyDescent="0.35">
      <c r="B380" s="5" t="s">
        <v>869</v>
      </c>
      <c r="C380" s="6" t="s">
        <v>15</v>
      </c>
      <c r="D380" s="7">
        <v>40184</v>
      </c>
      <c r="E380" s="6" t="s">
        <v>156</v>
      </c>
      <c r="F380" s="6" t="s">
        <v>157</v>
      </c>
      <c r="G380" s="8" t="s">
        <v>782</v>
      </c>
      <c r="H380" s="6" t="s">
        <v>370</v>
      </c>
      <c r="I380" s="6"/>
      <c r="J380" s="6" t="s">
        <v>20</v>
      </c>
      <c r="K380" s="6" t="s">
        <v>839</v>
      </c>
      <c r="L380" s="6" t="s">
        <v>840</v>
      </c>
      <c r="M380" s="6" t="s">
        <v>841</v>
      </c>
      <c r="N380" s="6"/>
      <c r="O380" s="6"/>
      <c r="P380" s="6"/>
      <c r="Q380" s="6"/>
    </row>
    <row r="381" spans="2:17" ht="15.5" x14ac:dyDescent="0.35">
      <c r="B381" s="5" t="s">
        <v>870</v>
      </c>
      <c r="C381" s="6" t="s">
        <v>25</v>
      </c>
      <c r="D381" s="7">
        <v>40225</v>
      </c>
      <c r="E381" s="6" t="s">
        <v>156</v>
      </c>
      <c r="F381" s="6" t="s">
        <v>157</v>
      </c>
      <c r="G381" s="8" t="s">
        <v>782</v>
      </c>
      <c r="H381" s="6" t="s">
        <v>370</v>
      </c>
      <c r="I381" s="6"/>
      <c r="J381" s="6" t="s">
        <v>20</v>
      </c>
      <c r="K381" s="6" t="s">
        <v>871</v>
      </c>
      <c r="L381" s="6" t="s">
        <v>872</v>
      </c>
      <c r="M381" s="6" t="s">
        <v>873</v>
      </c>
      <c r="N381" s="6"/>
      <c r="O381" s="6"/>
      <c r="P381" s="6"/>
      <c r="Q381" s="6"/>
    </row>
    <row r="382" spans="2:17" ht="15.5" x14ac:dyDescent="0.35">
      <c r="B382" s="5" t="s">
        <v>874</v>
      </c>
      <c r="C382" s="6" t="s">
        <v>15</v>
      </c>
      <c r="D382" s="7">
        <v>40150</v>
      </c>
      <c r="E382" s="6" t="s">
        <v>156</v>
      </c>
      <c r="F382" s="6" t="s">
        <v>157</v>
      </c>
      <c r="G382" s="8" t="s">
        <v>782</v>
      </c>
      <c r="H382" s="6" t="s">
        <v>370</v>
      </c>
      <c r="I382" s="6"/>
      <c r="J382" s="6" t="s">
        <v>20</v>
      </c>
      <c r="K382" s="6" t="s">
        <v>875</v>
      </c>
      <c r="L382" s="6" t="s">
        <v>876</v>
      </c>
      <c r="M382" s="6" t="s">
        <v>877</v>
      </c>
      <c r="N382" s="6"/>
      <c r="O382" s="6"/>
      <c r="P382" s="6"/>
      <c r="Q382" s="6"/>
    </row>
    <row r="383" spans="2:17" ht="15.5" x14ac:dyDescent="0.35">
      <c r="B383" s="5" t="s">
        <v>878</v>
      </c>
      <c r="C383" s="6" t="s">
        <v>15</v>
      </c>
      <c r="D383" s="7">
        <v>40450</v>
      </c>
      <c r="E383" s="6" t="s">
        <v>156</v>
      </c>
      <c r="F383" s="6" t="s">
        <v>157</v>
      </c>
      <c r="G383" s="8" t="s">
        <v>782</v>
      </c>
      <c r="H383" s="6" t="s">
        <v>370</v>
      </c>
      <c r="I383" s="6"/>
      <c r="J383" s="6" t="s">
        <v>20</v>
      </c>
      <c r="K383" s="6"/>
      <c r="L383" s="6" t="s">
        <v>879</v>
      </c>
      <c r="M383" s="6" t="s">
        <v>111</v>
      </c>
      <c r="N383" s="6"/>
      <c r="O383" s="6"/>
      <c r="P383" s="6"/>
      <c r="Q383" s="6"/>
    </row>
    <row r="384" spans="2:17" ht="15.5" x14ac:dyDescent="0.35">
      <c r="B384" s="5" t="s">
        <v>880</v>
      </c>
      <c r="C384" s="6" t="s">
        <v>25</v>
      </c>
      <c r="D384" s="7">
        <v>39821</v>
      </c>
      <c r="E384" s="6" t="s">
        <v>156</v>
      </c>
      <c r="F384" s="6" t="s">
        <v>157</v>
      </c>
      <c r="G384" s="8" t="s">
        <v>782</v>
      </c>
      <c r="H384" s="6" t="s">
        <v>370</v>
      </c>
      <c r="I384" s="6"/>
      <c r="J384" s="6" t="s">
        <v>20</v>
      </c>
      <c r="K384" s="6" t="s">
        <v>881</v>
      </c>
      <c r="L384" s="6" t="s">
        <v>882</v>
      </c>
      <c r="M384" s="6" t="s">
        <v>505</v>
      </c>
      <c r="N384" s="6"/>
      <c r="O384" s="6"/>
      <c r="P384" s="6"/>
      <c r="Q384" s="6"/>
    </row>
    <row r="385" spans="2:17" ht="15.5" x14ac:dyDescent="0.35">
      <c r="B385" s="5" t="s">
        <v>883</v>
      </c>
      <c r="C385" s="6" t="s">
        <v>25</v>
      </c>
      <c r="D385" s="7">
        <v>39922</v>
      </c>
      <c r="E385" s="6" t="s">
        <v>156</v>
      </c>
      <c r="F385" s="6" t="s">
        <v>157</v>
      </c>
      <c r="G385" s="8" t="s">
        <v>782</v>
      </c>
      <c r="H385" s="6" t="s">
        <v>370</v>
      </c>
      <c r="I385" s="6"/>
      <c r="J385" s="6" t="s">
        <v>20</v>
      </c>
      <c r="K385" s="6" t="s">
        <v>884</v>
      </c>
      <c r="L385" s="6" t="s">
        <v>885</v>
      </c>
      <c r="M385" s="6" t="s">
        <v>118</v>
      </c>
      <c r="N385" s="6"/>
      <c r="O385" s="6"/>
      <c r="P385" s="6"/>
      <c r="Q385" s="6"/>
    </row>
    <row r="386" spans="2:17" ht="15.5" x14ac:dyDescent="0.35">
      <c r="B386" s="5" t="s">
        <v>859</v>
      </c>
      <c r="C386" s="6" t="s">
        <v>15</v>
      </c>
      <c r="D386" s="7">
        <v>39852</v>
      </c>
      <c r="E386" s="6" t="s">
        <v>156</v>
      </c>
      <c r="F386" s="6" t="s">
        <v>157</v>
      </c>
      <c r="G386" s="8" t="s">
        <v>782</v>
      </c>
      <c r="H386" s="6" t="s">
        <v>370</v>
      </c>
      <c r="I386" s="6"/>
      <c r="J386" s="6"/>
      <c r="K386" s="6"/>
      <c r="L386" s="6" t="s">
        <v>861</v>
      </c>
      <c r="M386" s="6" t="s">
        <v>862</v>
      </c>
      <c r="N386" s="6"/>
      <c r="O386" s="6"/>
      <c r="P386" s="6"/>
      <c r="Q386" s="6"/>
    </row>
    <row r="387" spans="2:17" ht="15.5" x14ac:dyDescent="0.35">
      <c r="B387" s="5" t="s">
        <v>863</v>
      </c>
      <c r="C387" s="6" t="s">
        <v>15</v>
      </c>
      <c r="D387" s="7">
        <v>40519</v>
      </c>
      <c r="E387" s="6" t="s">
        <v>156</v>
      </c>
      <c r="F387" s="6" t="s">
        <v>157</v>
      </c>
      <c r="G387" s="8" t="s">
        <v>782</v>
      </c>
      <c r="H387" s="6" t="s">
        <v>370</v>
      </c>
      <c r="I387" s="6"/>
      <c r="J387" s="6"/>
      <c r="K387" s="6"/>
      <c r="L387" s="6" t="s">
        <v>865</v>
      </c>
      <c r="M387" s="6" t="s">
        <v>74</v>
      </c>
      <c r="N387" s="6"/>
      <c r="O387" s="6"/>
      <c r="P387" s="6"/>
      <c r="Q387" s="6"/>
    </row>
    <row r="388" spans="2:17" ht="15.5" x14ac:dyDescent="0.35">
      <c r="B388" s="5" t="s">
        <v>866</v>
      </c>
      <c r="C388" s="6" t="s">
        <v>25</v>
      </c>
      <c r="D388" s="7">
        <v>40108</v>
      </c>
      <c r="E388" s="6" t="s">
        <v>156</v>
      </c>
      <c r="F388" s="6" t="s">
        <v>157</v>
      </c>
      <c r="G388" s="8" t="s">
        <v>782</v>
      </c>
      <c r="H388" s="6" t="s">
        <v>370</v>
      </c>
      <c r="I388" s="6"/>
      <c r="J388" s="6"/>
      <c r="K388" s="6"/>
      <c r="L388" s="6" t="s">
        <v>868</v>
      </c>
      <c r="M388" s="6" t="s">
        <v>727</v>
      </c>
      <c r="N388" s="6"/>
      <c r="O388" s="6"/>
      <c r="P388" s="6"/>
      <c r="Q388" s="6"/>
    </row>
    <row r="389" spans="2:17" ht="15.5" x14ac:dyDescent="0.35">
      <c r="B389" s="5" t="s">
        <v>869</v>
      </c>
      <c r="C389" s="6" t="s">
        <v>15</v>
      </c>
      <c r="D389" s="7">
        <v>40184</v>
      </c>
      <c r="E389" s="6" t="s">
        <v>156</v>
      </c>
      <c r="F389" s="6" t="s">
        <v>157</v>
      </c>
      <c r="G389" s="8" t="s">
        <v>782</v>
      </c>
      <c r="H389" s="6" t="s">
        <v>370</v>
      </c>
      <c r="I389" s="6"/>
      <c r="J389" s="6"/>
      <c r="K389" s="6"/>
      <c r="L389" s="6" t="s">
        <v>840</v>
      </c>
      <c r="M389" s="6" t="s">
        <v>841</v>
      </c>
      <c r="N389" s="6"/>
      <c r="O389" s="6"/>
      <c r="P389" s="6"/>
      <c r="Q389" s="6"/>
    </row>
    <row r="390" spans="2:17" ht="15.5" x14ac:dyDescent="0.35">
      <c r="B390" s="5" t="s">
        <v>870</v>
      </c>
      <c r="C390" s="6" t="s">
        <v>25</v>
      </c>
      <c r="D390" s="7">
        <v>40225</v>
      </c>
      <c r="E390" s="6" t="s">
        <v>156</v>
      </c>
      <c r="F390" s="6" t="s">
        <v>157</v>
      </c>
      <c r="G390" s="8" t="s">
        <v>782</v>
      </c>
      <c r="H390" s="6" t="s">
        <v>370</v>
      </c>
      <c r="I390" s="6"/>
      <c r="J390" s="6"/>
      <c r="K390" s="6"/>
      <c r="L390" s="6" t="s">
        <v>872</v>
      </c>
      <c r="M390" s="6" t="s">
        <v>873</v>
      </c>
      <c r="N390" s="6"/>
      <c r="O390" s="6"/>
      <c r="P390" s="6"/>
      <c r="Q390" s="6"/>
    </row>
    <row r="391" spans="2:17" ht="15.5" x14ac:dyDescent="0.35">
      <c r="B391" s="5" t="s">
        <v>874</v>
      </c>
      <c r="C391" s="6" t="s">
        <v>15</v>
      </c>
      <c r="D391" s="7">
        <v>40150</v>
      </c>
      <c r="E391" s="6" t="s">
        <v>156</v>
      </c>
      <c r="F391" s="6" t="s">
        <v>157</v>
      </c>
      <c r="G391" s="8" t="s">
        <v>782</v>
      </c>
      <c r="H391" s="6" t="s">
        <v>370</v>
      </c>
      <c r="I391" s="6"/>
      <c r="J391" s="6"/>
      <c r="K391" s="6"/>
      <c r="L391" s="6" t="s">
        <v>876</v>
      </c>
      <c r="M391" s="6" t="s">
        <v>877</v>
      </c>
      <c r="N391" s="6"/>
      <c r="O391" s="6"/>
      <c r="P391" s="6"/>
      <c r="Q391" s="6"/>
    </row>
    <row r="392" spans="2:17" ht="15.5" x14ac:dyDescent="0.35">
      <c r="B392" s="5" t="s">
        <v>878</v>
      </c>
      <c r="C392" s="6" t="s">
        <v>15</v>
      </c>
      <c r="D392" s="7">
        <v>40450</v>
      </c>
      <c r="E392" s="6" t="s">
        <v>156</v>
      </c>
      <c r="F392" s="6" t="s">
        <v>157</v>
      </c>
      <c r="G392" s="8" t="s">
        <v>782</v>
      </c>
      <c r="H392" s="6" t="s">
        <v>370</v>
      </c>
      <c r="I392" s="6"/>
      <c r="J392" s="6"/>
      <c r="K392" s="6"/>
      <c r="L392" s="6" t="s">
        <v>879</v>
      </c>
      <c r="M392" s="6" t="s">
        <v>111</v>
      </c>
      <c r="N392" s="6"/>
      <c r="O392" s="6"/>
      <c r="P392" s="6"/>
      <c r="Q392" s="6"/>
    </row>
    <row r="393" spans="2:17" ht="15.5" x14ac:dyDescent="0.35">
      <c r="B393" s="5" t="s">
        <v>880</v>
      </c>
      <c r="C393" s="6" t="s">
        <v>25</v>
      </c>
      <c r="D393" s="7">
        <v>39821</v>
      </c>
      <c r="E393" s="6" t="s">
        <v>156</v>
      </c>
      <c r="F393" s="6" t="s">
        <v>157</v>
      </c>
      <c r="G393" s="8" t="s">
        <v>782</v>
      </c>
      <c r="H393" s="6" t="s">
        <v>370</v>
      </c>
      <c r="I393" s="6"/>
      <c r="J393" s="6"/>
      <c r="K393" s="6"/>
      <c r="L393" s="6" t="s">
        <v>882</v>
      </c>
      <c r="M393" s="6" t="s">
        <v>505</v>
      </c>
      <c r="N393" s="6"/>
      <c r="O393" s="6"/>
      <c r="P393" s="6"/>
      <c r="Q393" s="6"/>
    </row>
    <row r="394" spans="2:17" ht="15.5" x14ac:dyDescent="0.35">
      <c r="B394" s="5" t="s">
        <v>883</v>
      </c>
      <c r="C394" s="6" t="s">
        <v>25</v>
      </c>
      <c r="D394" s="7">
        <v>39922</v>
      </c>
      <c r="E394" s="6" t="s">
        <v>156</v>
      </c>
      <c r="F394" s="6" t="s">
        <v>157</v>
      </c>
      <c r="G394" s="8" t="s">
        <v>782</v>
      </c>
      <c r="H394" s="6" t="s">
        <v>370</v>
      </c>
      <c r="I394" s="6"/>
      <c r="J394" s="6"/>
      <c r="K394" s="6"/>
      <c r="L394" s="6" t="s">
        <v>885</v>
      </c>
      <c r="M394" s="6" t="s">
        <v>118</v>
      </c>
      <c r="N394" s="6"/>
      <c r="O394" s="6"/>
      <c r="P394" s="6"/>
      <c r="Q394" s="6"/>
    </row>
    <row r="395" spans="2:17" ht="15.5" x14ac:dyDescent="0.35">
      <c r="B395" s="5" t="s">
        <v>886</v>
      </c>
      <c r="C395" s="6" t="s">
        <v>15</v>
      </c>
      <c r="D395" s="7">
        <v>41655</v>
      </c>
      <c r="E395" s="6" t="s">
        <v>34</v>
      </c>
      <c r="F395" s="6" t="s">
        <v>17</v>
      </c>
      <c r="G395" s="8" t="s">
        <v>887</v>
      </c>
      <c r="H395" s="6" t="s">
        <v>887</v>
      </c>
      <c r="I395" s="6"/>
      <c r="J395" s="6" t="s">
        <v>20</v>
      </c>
      <c r="K395" s="6" t="s">
        <v>888</v>
      </c>
      <c r="L395" s="6" t="s">
        <v>889</v>
      </c>
      <c r="M395" s="6" t="s">
        <v>242</v>
      </c>
      <c r="N395" s="6"/>
      <c r="O395" s="6"/>
      <c r="P395" s="6"/>
      <c r="Q395" s="6"/>
    </row>
    <row r="396" spans="2:17" ht="15.5" x14ac:dyDescent="0.35">
      <c r="B396" s="5" t="s">
        <v>890</v>
      </c>
      <c r="C396" s="6" t="s">
        <v>15</v>
      </c>
      <c r="D396" s="7">
        <v>41695</v>
      </c>
      <c r="E396" s="6" t="s">
        <v>34</v>
      </c>
      <c r="F396" s="6" t="s">
        <v>17</v>
      </c>
      <c r="G396" s="8" t="s">
        <v>887</v>
      </c>
      <c r="H396" s="6" t="s">
        <v>887</v>
      </c>
      <c r="I396" s="6"/>
      <c r="J396" s="6" t="s">
        <v>20</v>
      </c>
      <c r="K396" s="6" t="s">
        <v>891</v>
      </c>
      <c r="L396" s="6" t="s">
        <v>892</v>
      </c>
      <c r="M396" s="6" t="s">
        <v>893</v>
      </c>
      <c r="N396" s="6"/>
      <c r="O396" s="6"/>
      <c r="P396" s="6"/>
      <c r="Q396" s="6"/>
    </row>
    <row r="397" spans="2:17" ht="15.5" x14ac:dyDescent="0.35">
      <c r="B397" s="5" t="s">
        <v>886</v>
      </c>
      <c r="C397" s="6" t="s">
        <v>15</v>
      </c>
      <c r="D397" s="7">
        <v>41655</v>
      </c>
      <c r="E397" s="6" t="s">
        <v>34</v>
      </c>
      <c r="F397" s="6" t="s">
        <v>157</v>
      </c>
      <c r="G397" s="8" t="s">
        <v>887</v>
      </c>
      <c r="H397" s="6" t="s">
        <v>887</v>
      </c>
      <c r="I397" s="6"/>
      <c r="J397" s="6"/>
      <c r="K397" s="6"/>
      <c r="L397" s="6" t="s">
        <v>889</v>
      </c>
      <c r="M397" s="6" t="s">
        <v>242</v>
      </c>
      <c r="N397" s="6"/>
      <c r="O397" s="6"/>
      <c r="P397" s="6"/>
      <c r="Q397" s="6"/>
    </row>
    <row r="398" spans="2:17" ht="15.5" x14ac:dyDescent="0.35">
      <c r="B398" s="5" t="s">
        <v>890</v>
      </c>
      <c r="C398" s="6" t="s">
        <v>15</v>
      </c>
      <c r="D398" s="7">
        <v>41695</v>
      </c>
      <c r="E398" s="6" t="s">
        <v>34</v>
      </c>
      <c r="F398" s="6" t="s">
        <v>17</v>
      </c>
      <c r="G398" s="8" t="s">
        <v>887</v>
      </c>
      <c r="H398" s="6" t="s">
        <v>887</v>
      </c>
      <c r="I398" s="6"/>
      <c r="J398" s="6"/>
      <c r="K398" s="6"/>
      <c r="L398" s="6" t="s">
        <v>892</v>
      </c>
      <c r="M398" s="6" t="s">
        <v>893</v>
      </c>
      <c r="N398" s="6"/>
      <c r="O398" s="6"/>
      <c r="P398" s="6"/>
      <c r="Q398" s="6"/>
    </row>
    <row r="399" spans="2:17" ht="15.5" x14ac:dyDescent="0.35">
      <c r="B399" s="5" t="s">
        <v>894</v>
      </c>
      <c r="C399" s="6" t="s">
        <v>15</v>
      </c>
      <c r="D399" s="7">
        <v>42644</v>
      </c>
      <c r="E399" s="6" t="s">
        <v>16</v>
      </c>
      <c r="F399" s="6" t="s">
        <v>17</v>
      </c>
      <c r="G399" s="8" t="s">
        <v>895</v>
      </c>
      <c r="H399" s="6" t="s">
        <v>896</v>
      </c>
      <c r="I399" s="6"/>
      <c r="J399" s="6" t="s">
        <v>20</v>
      </c>
      <c r="K399" s="6" t="s">
        <v>897</v>
      </c>
      <c r="L399" s="6" t="s">
        <v>898</v>
      </c>
      <c r="M399" s="6" t="s">
        <v>899</v>
      </c>
      <c r="N399" s="6"/>
      <c r="O399" s="6"/>
      <c r="P399" s="6"/>
      <c r="Q399" s="6"/>
    </row>
    <row r="400" spans="2:17" ht="15.5" x14ac:dyDescent="0.35">
      <c r="B400" s="5" t="s">
        <v>894</v>
      </c>
      <c r="C400" s="6" t="s">
        <v>15</v>
      </c>
      <c r="D400" s="7">
        <v>42644</v>
      </c>
      <c r="E400" s="6" t="s">
        <v>16</v>
      </c>
      <c r="F400" s="6" t="s">
        <v>17</v>
      </c>
      <c r="G400" s="8" t="s">
        <v>895</v>
      </c>
      <c r="H400" s="6" t="s">
        <v>896</v>
      </c>
      <c r="I400" s="6"/>
      <c r="J400" s="6"/>
      <c r="K400" s="6"/>
      <c r="L400" s="6" t="s">
        <v>898</v>
      </c>
      <c r="M400" s="6" t="s">
        <v>899</v>
      </c>
      <c r="N400" s="6"/>
      <c r="O400" s="6"/>
      <c r="P400" s="6"/>
      <c r="Q400" s="6"/>
    </row>
    <row r="401" spans="2:17" ht="15.5" x14ac:dyDescent="0.35">
      <c r="B401" s="5"/>
      <c r="C401" s="6"/>
      <c r="D401" s="7"/>
      <c r="E401" s="6"/>
      <c r="F401" s="6"/>
      <c r="G401" s="8"/>
      <c r="H401" s="6"/>
      <c r="I401" s="6"/>
      <c r="J401" s="6"/>
      <c r="K401" s="6"/>
      <c r="L401" s="6"/>
      <c r="M401" s="6"/>
      <c r="N401" s="6"/>
      <c r="O401" s="6"/>
      <c r="P401" s="6"/>
      <c r="Q401" s="6"/>
    </row>
    <row r="402" spans="2:17" ht="15.5" x14ac:dyDescent="0.35">
      <c r="B402" s="5"/>
      <c r="C402" s="6"/>
      <c r="D402" s="7"/>
      <c r="E402" s="6"/>
      <c r="F402" s="6"/>
      <c r="G402" s="8"/>
      <c r="H402" s="6"/>
      <c r="I402" s="6"/>
      <c r="J402" s="6"/>
      <c r="K402" s="6"/>
      <c r="L402" s="6"/>
      <c r="M402" s="6"/>
      <c r="N402" s="6"/>
      <c r="O402" s="6"/>
      <c r="P402" s="6"/>
      <c r="Q402" s="6"/>
    </row>
    <row r="403" spans="2:17" ht="15.5" x14ac:dyDescent="0.35">
      <c r="B403" s="5"/>
      <c r="C403" s="6"/>
      <c r="D403" s="7"/>
      <c r="E403" s="6"/>
      <c r="F403" s="6"/>
      <c r="G403" s="8"/>
      <c r="H403" s="6"/>
      <c r="I403" s="6"/>
      <c r="J403" s="6"/>
      <c r="K403" s="6"/>
      <c r="L403" s="6"/>
      <c r="M403" s="6"/>
      <c r="N403" s="6"/>
      <c r="O403" s="6"/>
      <c r="P403" s="6"/>
      <c r="Q403" s="6"/>
    </row>
    <row r="404" spans="2:17" ht="15.5" x14ac:dyDescent="0.35">
      <c r="B404" s="5"/>
      <c r="C404" s="6"/>
      <c r="D404" s="7"/>
      <c r="E404" s="6"/>
      <c r="F404" s="6"/>
      <c r="G404" s="8"/>
      <c r="H404" s="6"/>
      <c r="I404" s="6"/>
      <c r="J404" s="6"/>
      <c r="K404" s="6"/>
      <c r="L404" s="6"/>
      <c r="M404" s="6"/>
      <c r="N404" s="6"/>
      <c r="O404" s="6"/>
      <c r="P404" s="6"/>
      <c r="Q404" s="6"/>
    </row>
    <row r="405" spans="2:17" ht="15.5" x14ac:dyDescent="0.35">
      <c r="B405" s="5"/>
      <c r="C405" s="6"/>
      <c r="D405" s="7"/>
      <c r="E405" s="6"/>
      <c r="F405" s="6"/>
      <c r="G405" s="8"/>
      <c r="H405" s="6"/>
      <c r="I405" s="6"/>
      <c r="J405" s="6"/>
      <c r="K405" s="6"/>
      <c r="L405" s="6"/>
      <c r="M405" s="6"/>
      <c r="N405" s="6"/>
      <c r="O405" s="6"/>
      <c r="P405" s="6"/>
      <c r="Q405" s="6"/>
    </row>
    <row r="406" spans="2:17" ht="15.5" x14ac:dyDescent="0.35">
      <c r="B406" s="5"/>
      <c r="C406" s="6"/>
      <c r="D406" s="7"/>
      <c r="E406" s="6"/>
      <c r="F406" s="6"/>
      <c r="G406" s="8"/>
      <c r="H406" s="6"/>
      <c r="I406" s="6"/>
      <c r="J406" s="6"/>
      <c r="K406" s="6"/>
      <c r="L406" s="6"/>
      <c r="M406" s="6"/>
      <c r="N406" s="6"/>
      <c r="O406" s="6"/>
      <c r="P406" s="6"/>
      <c r="Q406" s="6"/>
    </row>
    <row r="407" spans="2:17" ht="15.5" x14ac:dyDescent="0.35">
      <c r="B407" s="5"/>
      <c r="C407" s="6"/>
      <c r="D407" s="7"/>
      <c r="E407" s="6"/>
      <c r="F407" s="6"/>
      <c r="G407" s="8"/>
      <c r="H407" s="6"/>
      <c r="I407" s="6"/>
      <c r="J407" s="6"/>
      <c r="K407" s="6"/>
      <c r="L407" s="6"/>
      <c r="M407" s="6"/>
      <c r="N407" s="6"/>
      <c r="O407" s="6"/>
      <c r="P407" s="6"/>
      <c r="Q407" s="6"/>
    </row>
    <row r="408" spans="2:17" ht="15.5" x14ac:dyDescent="0.35">
      <c r="B408" s="5"/>
      <c r="C408" s="6"/>
      <c r="D408" s="7"/>
      <c r="E408" s="6"/>
      <c r="F408" s="6"/>
      <c r="G408" s="8"/>
      <c r="H408" s="6"/>
      <c r="I408" s="6"/>
      <c r="J408" s="6"/>
      <c r="K408" s="6"/>
      <c r="L408" s="6"/>
      <c r="M408" s="6"/>
      <c r="N408" s="6"/>
      <c r="O408" s="6"/>
      <c r="P408" s="6"/>
      <c r="Q408" s="6"/>
    </row>
    <row r="409" spans="2:17" ht="15.5" x14ac:dyDescent="0.35">
      <c r="B409" s="5"/>
      <c r="C409" s="6"/>
      <c r="D409" s="7"/>
      <c r="E409" s="6"/>
      <c r="F409" s="6"/>
      <c r="G409" s="8"/>
      <c r="H409" s="6"/>
      <c r="I409" s="6"/>
      <c r="J409" s="6"/>
      <c r="K409" s="6"/>
      <c r="L409" s="6"/>
      <c r="M409" s="6"/>
      <c r="N409" s="6"/>
      <c r="O409" s="6"/>
      <c r="P409" s="6"/>
      <c r="Q409" s="6"/>
    </row>
    <row r="410" spans="2:17" ht="15.5" x14ac:dyDescent="0.35">
      <c r="B410" s="5"/>
      <c r="C410" s="6"/>
      <c r="D410" s="7"/>
      <c r="E410" s="6"/>
      <c r="F410" s="6"/>
      <c r="G410" s="8"/>
      <c r="H410" s="6"/>
      <c r="I410" s="6"/>
      <c r="J410" s="6"/>
      <c r="K410" s="6"/>
      <c r="L410" s="6"/>
      <c r="M410" s="6"/>
      <c r="N410" s="6"/>
      <c r="O410" s="6"/>
      <c r="P410" s="6"/>
      <c r="Q410" s="6"/>
    </row>
    <row r="411" spans="2:17" ht="15.5" x14ac:dyDescent="0.35">
      <c r="B411" s="5"/>
      <c r="C411" s="6"/>
      <c r="D411" s="7"/>
      <c r="E411" s="6"/>
      <c r="F411" s="6"/>
      <c r="G411" s="8"/>
      <c r="H411" s="6"/>
      <c r="I411" s="6"/>
      <c r="J411" s="6"/>
      <c r="K411" s="6"/>
      <c r="L411" s="6"/>
      <c r="M411" s="6"/>
      <c r="N411" s="6"/>
      <c r="O411" s="6"/>
      <c r="P411" s="6"/>
      <c r="Q411" s="6"/>
    </row>
    <row r="412" spans="2:17" ht="15.5" x14ac:dyDescent="0.35">
      <c r="B412" s="5"/>
      <c r="C412" s="6"/>
      <c r="D412" s="7"/>
      <c r="E412" s="6"/>
      <c r="F412" s="6"/>
      <c r="G412" s="8"/>
      <c r="H412" s="6"/>
      <c r="I412" s="6"/>
      <c r="J412" s="6"/>
      <c r="K412" s="6"/>
      <c r="L412" s="6"/>
      <c r="M412" s="6"/>
      <c r="N412" s="6"/>
      <c r="O412" s="6"/>
      <c r="P412" s="6"/>
      <c r="Q412" s="6"/>
    </row>
    <row r="413" spans="2:17" ht="15.5" x14ac:dyDescent="0.35">
      <c r="B413" s="5"/>
      <c r="C413" s="6"/>
      <c r="D413" s="7"/>
      <c r="E413" s="6"/>
      <c r="F413" s="6"/>
      <c r="G413" s="8"/>
      <c r="H413" s="6"/>
      <c r="I413" s="6"/>
      <c r="J413" s="6"/>
      <c r="K413" s="6"/>
      <c r="L413" s="6"/>
      <c r="M413" s="6"/>
      <c r="N413" s="6"/>
      <c r="O413" s="6"/>
      <c r="P413" s="6"/>
      <c r="Q413" s="6"/>
    </row>
    <row r="414" spans="2:17" ht="15.5" x14ac:dyDescent="0.35">
      <c r="B414" s="5"/>
      <c r="C414" s="6"/>
      <c r="D414" s="7"/>
      <c r="E414" s="6"/>
      <c r="F414" s="6"/>
      <c r="G414" s="8"/>
      <c r="H414" s="6"/>
      <c r="I414" s="6"/>
      <c r="J414" s="6"/>
      <c r="K414" s="6"/>
      <c r="L414" s="6"/>
      <c r="M414" s="6"/>
      <c r="N414" s="6"/>
      <c r="O414" s="6"/>
      <c r="P414" s="6"/>
      <c r="Q414" s="6"/>
    </row>
    <row r="415" spans="2:17" ht="15.5" x14ac:dyDescent="0.35">
      <c r="B415" s="5"/>
      <c r="C415" s="6"/>
      <c r="D415" s="7"/>
      <c r="E415" s="6"/>
      <c r="F415" s="6"/>
      <c r="G415" s="8"/>
      <c r="H415" s="6"/>
      <c r="I415" s="6"/>
      <c r="J415" s="6"/>
      <c r="K415" s="6"/>
      <c r="L415" s="6"/>
      <c r="M415" s="6"/>
      <c r="N415" s="6"/>
      <c r="O415" s="6"/>
      <c r="P415" s="6"/>
      <c r="Q415" s="6"/>
    </row>
    <row r="416" spans="2:17" ht="15.5" x14ac:dyDescent="0.35">
      <c r="B416" s="5"/>
      <c r="C416" s="6"/>
      <c r="D416" s="7"/>
      <c r="E416" s="6"/>
      <c r="F416" s="6"/>
      <c r="G416" s="8"/>
      <c r="H416" s="6"/>
      <c r="I416" s="6"/>
      <c r="J416" s="6"/>
      <c r="K416" s="6"/>
      <c r="L416" s="6"/>
      <c r="M416" s="6"/>
      <c r="N416" s="6"/>
      <c r="O416" s="6"/>
      <c r="P416" s="6"/>
      <c r="Q416" s="6"/>
    </row>
    <row r="417" spans="2:17" ht="15.5" x14ac:dyDescent="0.35">
      <c r="B417" s="5"/>
      <c r="C417" s="6"/>
      <c r="D417" s="7"/>
      <c r="E417" s="6"/>
      <c r="F417" s="6"/>
      <c r="G417" s="8"/>
      <c r="H417" s="6"/>
      <c r="I417" s="6"/>
      <c r="J417" s="6"/>
      <c r="K417" s="6"/>
      <c r="L417" s="6"/>
      <c r="M417" s="6"/>
      <c r="N417" s="6"/>
      <c r="O417" s="6"/>
      <c r="P417" s="6"/>
      <c r="Q417" s="6"/>
    </row>
    <row r="418" spans="2:17" ht="15.5" x14ac:dyDescent="0.35">
      <c r="B418" s="5"/>
      <c r="C418" s="6"/>
      <c r="D418" s="7"/>
      <c r="E418" s="6"/>
      <c r="F418" s="6"/>
      <c r="G418" s="8"/>
      <c r="H418" s="6"/>
      <c r="I418" s="6"/>
      <c r="J418" s="6"/>
      <c r="K418" s="6"/>
      <c r="L418" s="6"/>
      <c r="M418" s="6"/>
      <c r="N418" s="6"/>
      <c r="O418" s="6"/>
      <c r="P418" s="6"/>
      <c r="Q418" s="6"/>
    </row>
    <row r="419" spans="2:17" ht="15.5" x14ac:dyDescent="0.35">
      <c r="B419" s="5"/>
      <c r="C419" s="6"/>
      <c r="D419" s="7"/>
      <c r="E419" s="6"/>
      <c r="F419" s="6"/>
      <c r="G419" s="8"/>
      <c r="H419" s="6"/>
      <c r="I419" s="6"/>
      <c r="J419" s="6"/>
      <c r="K419" s="6"/>
      <c r="L419" s="6"/>
      <c r="M419" s="6"/>
      <c r="N419" s="6"/>
      <c r="O419" s="6"/>
      <c r="P419" s="6"/>
      <c r="Q419" s="6"/>
    </row>
    <row r="420" spans="2:17" ht="15.5" x14ac:dyDescent="0.35">
      <c r="B420" s="5"/>
      <c r="C420" s="6"/>
      <c r="D420" s="7"/>
      <c r="E420" s="6"/>
      <c r="F420" s="6"/>
      <c r="G420" s="8"/>
      <c r="H420" s="6"/>
      <c r="I420" s="6"/>
      <c r="J420" s="6"/>
      <c r="K420" s="6"/>
      <c r="L420" s="6"/>
      <c r="M420" s="6"/>
      <c r="N420" s="6"/>
      <c r="O420" s="6"/>
      <c r="P420" s="6"/>
      <c r="Q420" s="6"/>
    </row>
    <row r="421" spans="2:17" ht="15.5" x14ac:dyDescent="0.35">
      <c r="B421" s="5"/>
      <c r="C421" s="6"/>
      <c r="D421" s="7"/>
      <c r="E421" s="6"/>
      <c r="F421" s="6"/>
      <c r="G421" s="8"/>
      <c r="H421" s="6"/>
      <c r="I421" s="6"/>
      <c r="J421" s="6"/>
      <c r="K421" s="6"/>
      <c r="L421" s="6"/>
      <c r="M421" s="6"/>
      <c r="N421" s="6"/>
      <c r="O421" s="6"/>
      <c r="P421" s="6"/>
      <c r="Q421" s="6"/>
    </row>
    <row r="422" spans="2:17" ht="15.5" x14ac:dyDescent="0.35">
      <c r="B422" s="5"/>
      <c r="C422" s="6"/>
      <c r="D422" s="7"/>
      <c r="E422" s="6"/>
      <c r="F422" s="6"/>
      <c r="G422" s="8"/>
      <c r="H422" s="6"/>
      <c r="I422" s="6"/>
      <c r="J422" s="6"/>
      <c r="K422" s="6"/>
      <c r="L422" s="6"/>
      <c r="M422" s="6"/>
      <c r="N422" s="6"/>
      <c r="O422" s="6"/>
      <c r="P422" s="6"/>
      <c r="Q422" s="6"/>
    </row>
    <row r="423" spans="2:17" ht="15.5" x14ac:dyDescent="0.35">
      <c r="B423" s="5"/>
      <c r="C423" s="6"/>
      <c r="D423" s="7"/>
      <c r="E423" s="6"/>
      <c r="F423" s="6"/>
      <c r="G423" s="8"/>
      <c r="H423" s="6"/>
      <c r="I423" s="6"/>
      <c r="J423" s="6"/>
      <c r="K423" s="6"/>
      <c r="L423" s="6"/>
      <c r="M423" s="6"/>
      <c r="N423" s="6"/>
      <c r="O423" s="6"/>
      <c r="P423" s="6"/>
      <c r="Q423" s="6"/>
    </row>
    <row r="424" spans="2:17" ht="15.5" x14ac:dyDescent="0.35">
      <c r="B424" s="5"/>
      <c r="C424" s="6"/>
      <c r="D424" s="7"/>
      <c r="E424" s="6"/>
      <c r="F424" s="6"/>
      <c r="G424" s="8"/>
      <c r="H424" s="6"/>
      <c r="I424" s="6"/>
      <c r="J424" s="6"/>
      <c r="K424" s="6"/>
      <c r="L424" s="6"/>
      <c r="M424" s="6"/>
      <c r="N424" s="6"/>
      <c r="O424" s="6"/>
      <c r="P424" s="6"/>
      <c r="Q424" s="6"/>
    </row>
    <row r="425" spans="2:17" ht="15.5" x14ac:dyDescent="0.35">
      <c r="B425" s="5"/>
      <c r="C425" s="6"/>
      <c r="D425" s="7"/>
      <c r="E425" s="6"/>
      <c r="F425" s="6"/>
      <c r="G425" s="8"/>
      <c r="H425" s="6"/>
      <c r="I425" s="6"/>
      <c r="J425" s="6"/>
      <c r="K425" s="6"/>
      <c r="L425" s="6"/>
      <c r="M425" s="6"/>
      <c r="N425" s="6"/>
      <c r="O425" s="6"/>
      <c r="P425" s="6"/>
      <c r="Q425" s="6"/>
    </row>
    <row r="426" spans="2:17" ht="15.5" x14ac:dyDescent="0.35">
      <c r="B426" s="5"/>
      <c r="C426" s="6"/>
      <c r="D426" s="7"/>
      <c r="E426" s="6"/>
      <c r="F426" s="6"/>
      <c r="G426" s="8"/>
      <c r="H426" s="6"/>
      <c r="I426" s="6"/>
      <c r="J426" s="6"/>
      <c r="K426" s="6"/>
      <c r="L426" s="6"/>
      <c r="M426" s="6"/>
      <c r="N426" s="6"/>
      <c r="O426" s="6"/>
      <c r="P426" s="6"/>
      <c r="Q426" s="6"/>
    </row>
    <row r="427" spans="2:17" ht="15.5" x14ac:dyDescent="0.35">
      <c r="B427" s="5"/>
      <c r="C427" s="6"/>
      <c r="D427" s="7"/>
      <c r="E427" s="6"/>
      <c r="F427" s="6"/>
      <c r="G427" s="8"/>
      <c r="H427" s="6"/>
      <c r="I427" s="6"/>
      <c r="J427" s="6"/>
      <c r="K427" s="6"/>
      <c r="L427" s="6"/>
      <c r="M427" s="6"/>
      <c r="N427" s="6"/>
      <c r="O427" s="6"/>
      <c r="P427" s="6"/>
      <c r="Q427" s="6"/>
    </row>
    <row r="428" spans="2:17" ht="15.5" x14ac:dyDescent="0.35">
      <c r="B428" s="5"/>
      <c r="C428" s="6"/>
      <c r="D428" s="7"/>
      <c r="E428" s="6"/>
      <c r="F428" s="6"/>
      <c r="G428" s="8"/>
      <c r="H428" s="6"/>
      <c r="I428" s="6"/>
      <c r="J428" s="6"/>
      <c r="K428" s="6"/>
      <c r="L428" s="6"/>
      <c r="M428" s="6"/>
      <c r="N428" s="6"/>
      <c r="O428" s="6"/>
      <c r="P428" s="6"/>
      <c r="Q428" s="6"/>
    </row>
    <row r="429" spans="2:17" ht="15.5" x14ac:dyDescent="0.35">
      <c r="B429" s="5"/>
      <c r="C429" s="6"/>
      <c r="D429" s="7"/>
      <c r="E429" s="6"/>
      <c r="F429" s="6"/>
      <c r="G429" s="8"/>
      <c r="H429" s="6"/>
      <c r="I429" s="6"/>
      <c r="J429" s="6"/>
      <c r="K429" s="6"/>
      <c r="L429" s="6"/>
      <c r="M429" s="6"/>
      <c r="N429" s="6"/>
      <c r="O429" s="6"/>
      <c r="P429" s="6"/>
      <c r="Q429" s="6"/>
    </row>
    <row r="430" spans="2:17" ht="15.5" x14ac:dyDescent="0.35">
      <c r="B430" s="5"/>
      <c r="C430" s="6"/>
      <c r="D430" s="7"/>
      <c r="E430" s="6"/>
      <c r="F430" s="6"/>
      <c r="G430" s="8"/>
      <c r="H430" s="6"/>
      <c r="I430" s="6"/>
      <c r="J430" s="6"/>
      <c r="K430" s="6"/>
      <c r="L430" s="6"/>
      <c r="M430" s="6"/>
      <c r="N430" s="6"/>
      <c r="O430" s="6"/>
      <c r="P430" s="6"/>
      <c r="Q430" s="6"/>
    </row>
    <row r="431" spans="2:17" ht="15.5" x14ac:dyDescent="0.35">
      <c r="B431" s="5"/>
      <c r="C431" s="6"/>
      <c r="D431" s="7"/>
      <c r="E431" s="6"/>
      <c r="F431" s="6"/>
      <c r="G431" s="8"/>
      <c r="H431" s="6"/>
      <c r="I431" s="6"/>
      <c r="J431" s="6"/>
      <c r="K431" s="6"/>
      <c r="L431" s="6"/>
      <c r="M431" s="6"/>
      <c r="N431" s="6"/>
      <c r="O431" s="6"/>
      <c r="P431" s="6"/>
      <c r="Q431" s="6"/>
    </row>
    <row r="432" spans="2:17" ht="15.5" x14ac:dyDescent="0.35">
      <c r="B432" s="5"/>
      <c r="C432" s="6"/>
      <c r="D432" s="7"/>
      <c r="E432" s="6"/>
      <c r="F432" s="6"/>
      <c r="G432" s="8"/>
      <c r="H432" s="6"/>
      <c r="I432" s="6"/>
      <c r="J432" s="6"/>
      <c r="K432" s="6"/>
      <c r="L432" s="6"/>
      <c r="M432" s="6"/>
      <c r="N432" s="6"/>
      <c r="O432" s="6"/>
      <c r="P432" s="6"/>
      <c r="Q432" s="6"/>
    </row>
    <row r="433" spans="2:17" ht="15.5" x14ac:dyDescent="0.35">
      <c r="B433" s="5"/>
      <c r="C433" s="6"/>
      <c r="D433" s="7"/>
      <c r="E433" s="6"/>
      <c r="F433" s="6"/>
      <c r="G433" s="8"/>
      <c r="H433" s="6"/>
      <c r="I433" s="6"/>
      <c r="J433" s="6"/>
      <c r="K433" s="6"/>
      <c r="L433" s="6"/>
      <c r="M433" s="6"/>
      <c r="N433" s="6"/>
      <c r="O433" s="6"/>
      <c r="P433" s="6"/>
      <c r="Q433" s="6"/>
    </row>
    <row r="434" spans="2:17" ht="15.5" x14ac:dyDescent="0.35">
      <c r="B434" s="5"/>
      <c r="C434" s="6"/>
      <c r="D434" s="7"/>
      <c r="E434" s="6"/>
      <c r="F434" s="6"/>
      <c r="G434" s="8"/>
      <c r="H434" s="6"/>
      <c r="I434" s="6"/>
      <c r="J434" s="6"/>
      <c r="K434" s="6"/>
      <c r="L434" s="6"/>
      <c r="M434" s="6"/>
      <c r="N434" s="6"/>
      <c r="O434" s="6"/>
      <c r="P434" s="6"/>
      <c r="Q434" s="6"/>
    </row>
    <row r="435" spans="2:17" ht="15.5" x14ac:dyDescent="0.35">
      <c r="B435" s="5"/>
      <c r="C435" s="6"/>
      <c r="D435" s="7"/>
      <c r="E435" s="6"/>
      <c r="F435" s="6"/>
      <c r="G435" s="8"/>
      <c r="H435" s="6"/>
      <c r="I435" s="6"/>
      <c r="J435" s="6"/>
      <c r="K435" s="6"/>
      <c r="L435" s="6"/>
      <c r="M435" s="6"/>
      <c r="N435" s="6"/>
      <c r="O435" s="6"/>
      <c r="P435" s="6"/>
      <c r="Q435" s="6"/>
    </row>
    <row r="436" spans="2:17" ht="15.5" x14ac:dyDescent="0.35">
      <c r="B436" s="5"/>
      <c r="C436" s="6"/>
      <c r="D436" s="7"/>
      <c r="E436" s="6"/>
      <c r="F436" s="6"/>
      <c r="G436" s="8"/>
      <c r="H436" s="6"/>
      <c r="I436" s="6"/>
      <c r="J436" s="6"/>
      <c r="K436" s="6"/>
      <c r="L436" s="6"/>
      <c r="M436" s="6"/>
      <c r="N436" s="6"/>
      <c r="O436" s="6"/>
      <c r="P436" s="6"/>
      <c r="Q436" s="6"/>
    </row>
    <row r="437" spans="2:17" ht="15.5" x14ac:dyDescent="0.35">
      <c r="B437" s="5"/>
      <c r="C437" s="6"/>
      <c r="D437" s="7"/>
      <c r="E437" s="6"/>
      <c r="F437" s="6"/>
      <c r="G437" s="8"/>
      <c r="H437" s="6"/>
      <c r="I437" s="6"/>
      <c r="J437" s="6"/>
      <c r="K437" s="6"/>
      <c r="L437" s="6"/>
      <c r="M437" s="6"/>
      <c r="N437" s="6"/>
      <c r="O437" s="6"/>
      <c r="P437" s="6"/>
      <c r="Q437" s="6"/>
    </row>
    <row r="438" spans="2:17" ht="15.5" x14ac:dyDescent="0.35">
      <c r="B438" s="5"/>
      <c r="C438" s="6"/>
      <c r="D438" s="7"/>
      <c r="E438" s="6"/>
      <c r="F438" s="6"/>
      <c r="G438" s="8"/>
      <c r="H438" s="6"/>
      <c r="I438" s="6"/>
      <c r="J438" s="6"/>
      <c r="K438" s="6"/>
      <c r="L438" s="6"/>
      <c r="M438" s="6"/>
      <c r="N438" s="6"/>
      <c r="O438" s="6"/>
      <c r="P438" s="6"/>
      <c r="Q438" s="6"/>
    </row>
    <row r="439" spans="2:17" ht="15.5" x14ac:dyDescent="0.35">
      <c r="B439" s="5"/>
      <c r="C439" s="6"/>
      <c r="D439" s="7"/>
      <c r="E439" s="6"/>
      <c r="F439" s="6"/>
      <c r="G439" s="8"/>
      <c r="H439" s="6"/>
      <c r="I439" s="6"/>
      <c r="J439" s="6"/>
      <c r="K439" s="6"/>
      <c r="L439" s="6"/>
      <c r="M439" s="6"/>
      <c r="N439" s="6"/>
      <c r="O439" s="6"/>
      <c r="P439" s="6"/>
      <c r="Q439" s="6"/>
    </row>
    <row r="440" spans="2:17" ht="15.5" x14ac:dyDescent="0.35">
      <c r="B440" s="5"/>
      <c r="C440" s="6"/>
      <c r="D440" s="7"/>
      <c r="E440" s="6"/>
      <c r="F440" s="6"/>
      <c r="G440" s="8"/>
      <c r="H440" s="6"/>
      <c r="I440" s="6"/>
      <c r="J440" s="6"/>
      <c r="K440" s="6"/>
      <c r="L440" s="6"/>
      <c r="M440" s="6"/>
      <c r="N440" s="6"/>
      <c r="O440" s="6"/>
      <c r="P440" s="6"/>
      <c r="Q440" s="6"/>
    </row>
    <row r="441" spans="2:17" ht="15.5" x14ac:dyDescent="0.35">
      <c r="B441" s="5"/>
      <c r="C441" s="6"/>
      <c r="D441" s="7"/>
      <c r="E441" s="6"/>
      <c r="F441" s="6"/>
      <c r="G441" s="8"/>
      <c r="H441" s="6"/>
      <c r="I441" s="6"/>
      <c r="J441" s="6"/>
      <c r="K441" s="6"/>
      <c r="L441" s="6"/>
      <c r="M441" s="6"/>
      <c r="N441" s="6"/>
      <c r="O441" s="6"/>
      <c r="P441" s="6"/>
      <c r="Q441" s="6"/>
    </row>
    <row r="442" spans="2:17" ht="15.5" x14ac:dyDescent="0.35">
      <c r="B442" s="5"/>
      <c r="C442" s="6"/>
      <c r="D442" s="7"/>
      <c r="E442" s="6"/>
      <c r="F442" s="6"/>
      <c r="G442" s="8"/>
      <c r="H442" s="6"/>
      <c r="I442" s="6"/>
      <c r="J442" s="6"/>
      <c r="K442" s="6"/>
      <c r="L442" s="6"/>
      <c r="M442" s="6"/>
      <c r="N442" s="6"/>
      <c r="O442" s="6"/>
      <c r="P442" s="6"/>
      <c r="Q442" s="6"/>
    </row>
    <row r="443" spans="2:17" ht="15.5" x14ac:dyDescent="0.35">
      <c r="B443" s="5"/>
      <c r="C443" s="6"/>
      <c r="D443" s="7"/>
      <c r="E443" s="6"/>
      <c r="F443" s="6"/>
      <c r="G443" s="8"/>
      <c r="H443" s="6"/>
      <c r="I443" s="6"/>
      <c r="J443" s="6"/>
      <c r="K443" s="6"/>
      <c r="L443" s="6"/>
      <c r="M443" s="6"/>
      <c r="N443" s="6"/>
      <c r="O443" s="6"/>
      <c r="P443" s="6"/>
      <c r="Q443" s="6"/>
    </row>
    <row r="444" spans="2:17" ht="15.5" x14ac:dyDescent="0.35">
      <c r="B444" s="5"/>
      <c r="C444" s="6"/>
      <c r="D444" s="7"/>
      <c r="E444" s="6"/>
      <c r="F444" s="6"/>
      <c r="G444" s="8"/>
      <c r="H444" s="6"/>
      <c r="I444" s="6"/>
      <c r="J444" s="6"/>
      <c r="K444" s="6"/>
      <c r="L444" s="6"/>
      <c r="M444" s="6"/>
      <c r="N444" s="6"/>
      <c r="O444" s="6"/>
      <c r="P444" s="6"/>
      <c r="Q444" s="6"/>
    </row>
    <row r="445" spans="2:17" ht="15.5" x14ac:dyDescent="0.35">
      <c r="B445" s="5"/>
      <c r="C445" s="6"/>
      <c r="D445" s="7"/>
      <c r="E445" s="6"/>
      <c r="F445" s="6"/>
      <c r="G445" s="8"/>
      <c r="H445" s="6"/>
      <c r="I445" s="6"/>
      <c r="J445" s="6"/>
      <c r="K445" s="6"/>
      <c r="L445" s="6"/>
      <c r="M445" s="6"/>
      <c r="N445" s="6"/>
      <c r="O445" s="6"/>
      <c r="P445" s="6"/>
      <c r="Q445" s="6"/>
    </row>
    <row r="446" spans="2:17" ht="15.5" x14ac:dyDescent="0.35">
      <c r="B446" s="5"/>
      <c r="C446" s="6"/>
      <c r="D446" s="7"/>
      <c r="E446" s="6"/>
      <c r="F446" s="6"/>
      <c r="G446" s="8"/>
      <c r="H446" s="6"/>
      <c r="I446" s="6"/>
      <c r="J446" s="6"/>
      <c r="K446" s="6"/>
      <c r="L446" s="6"/>
      <c r="M446" s="6"/>
      <c r="N446" s="6"/>
      <c r="O446" s="6"/>
      <c r="P446" s="6"/>
      <c r="Q446" s="6"/>
    </row>
    <row r="447" spans="2:17" ht="15.5" x14ac:dyDescent="0.35">
      <c r="B447" s="5"/>
      <c r="C447" s="6"/>
      <c r="D447" s="7"/>
      <c r="E447" s="6"/>
      <c r="F447" s="6"/>
      <c r="G447" s="8"/>
      <c r="H447" s="6"/>
      <c r="I447" s="6"/>
      <c r="J447" s="6"/>
      <c r="K447" s="6"/>
      <c r="L447" s="6"/>
      <c r="M447" s="6"/>
      <c r="N447" s="6"/>
      <c r="O447" s="6"/>
      <c r="P447" s="6"/>
      <c r="Q447" s="6"/>
    </row>
    <row r="448" spans="2:17" ht="15.5" x14ac:dyDescent="0.35">
      <c r="B448" s="5"/>
      <c r="C448" s="6"/>
      <c r="D448" s="7"/>
      <c r="E448" s="6"/>
      <c r="F448" s="6"/>
      <c r="G448" s="8"/>
      <c r="H448" s="6"/>
      <c r="I448" s="6"/>
      <c r="J448" s="6"/>
      <c r="K448" s="6"/>
      <c r="L448" s="6"/>
      <c r="M448" s="6"/>
      <c r="N448" s="6"/>
      <c r="O448" s="6"/>
      <c r="P448" s="6"/>
      <c r="Q448" s="6"/>
    </row>
    <row r="449" spans="2:17" ht="15.5" x14ac:dyDescent="0.35">
      <c r="B449" s="5"/>
      <c r="C449" s="6"/>
      <c r="D449" s="7"/>
      <c r="E449" s="6"/>
      <c r="F449" s="6"/>
      <c r="G449" s="8"/>
      <c r="H449" s="6"/>
      <c r="I449" s="6"/>
      <c r="J449" s="6"/>
      <c r="K449" s="6"/>
      <c r="L449" s="6"/>
      <c r="M449" s="6"/>
      <c r="N449" s="6"/>
      <c r="O449" s="6"/>
      <c r="P449" s="6"/>
      <c r="Q449" s="6"/>
    </row>
    <row r="450" spans="2:17" ht="15.5" x14ac:dyDescent="0.35">
      <c r="B450" s="5"/>
      <c r="C450" s="6"/>
      <c r="D450" s="7"/>
      <c r="E450" s="6"/>
      <c r="F450" s="6"/>
      <c r="G450" s="8"/>
      <c r="H450" s="6"/>
      <c r="I450" s="6"/>
      <c r="J450" s="6"/>
      <c r="K450" s="6"/>
      <c r="L450" s="6"/>
      <c r="M450" s="6"/>
      <c r="N450" s="6"/>
      <c r="O450" s="6"/>
      <c r="P450" s="6"/>
      <c r="Q450" s="6"/>
    </row>
    <row r="451" spans="2:17" ht="15.5" x14ac:dyDescent="0.35">
      <c r="B451" s="5"/>
      <c r="C451" s="6"/>
      <c r="D451" s="7"/>
      <c r="E451" s="6"/>
      <c r="F451" s="6"/>
      <c r="G451" s="8"/>
      <c r="H451" s="6"/>
      <c r="I451" s="6"/>
      <c r="J451" s="6"/>
      <c r="K451" s="6"/>
      <c r="L451" s="6"/>
      <c r="M451" s="6"/>
      <c r="N451" s="6"/>
      <c r="O451" s="6"/>
      <c r="P451" s="6"/>
      <c r="Q451" s="6"/>
    </row>
    <row r="452" spans="2:17" ht="15.5" x14ac:dyDescent="0.35">
      <c r="B452" s="5"/>
      <c r="C452" s="6"/>
      <c r="D452" s="7"/>
      <c r="E452" s="6"/>
      <c r="F452" s="6"/>
      <c r="G452" s="8"/>
      <c r="H452" s="6"/>
      <c r="I452" s="6"/>
      <c r="J452" s="6"/>
      <c r="K452" s="6"/>
      <c r="L452" s="6"/>
      <c r="M452" s="6"/>
      <c r="N452" s="6"/>
      <c r="O452" s="6"/>
      <c r="P452" s="6"/>
      <c r="Q452" s="6"/>
    </row>
    <row r="453" spans="2:17" ht="15.5" x14ac:dyDescent="0.35">
      <c r="B453" s="5"/>
      <c r="C453" s="6"/>
      <c r="D453" s="7"/>
      <c r="E453" s="6"/>
      <c r="F453" s="6"/>
      <c r="G453" s="8"/>
      <c r="H453" s="6"/>
      <c r="I453" s="6"/>
      <c r="J453" s="6"/>
      <c r="K453" s="6"/>
      <c r="L453" s="6"/>
      <c r="M453" s="6"/>
      <c r="N453" s="6"/>
      <c r="O453" s="6"/>
      <c r="P453" s="6"/>
      <c r="Q453" s="6"/>
    </row>
    <row r="454" spans="2:17" ht="15.5" x14ac:dyDescent="0.35">
      <c r="B454" s="5"/>
      <c r="C454" s="6"/>
      <c r="D454" s="7"/>
      <c r="E454" s="6"/>
      <c r="F454" s="6"/>
      <c r="G454" s="8"/>
      <c r="H454" s="6"/>
      <c r="I454" s="6"/>
      <c r="J454" s="6"/>
      <c r="K454" s="6"/>
      <c r="L454" s="6"/>
      <c r="M454" s="6"/>
      <c r="N454" s="6"/>
      <c r="O454" s="6"/>
      <c r="P454" s="6"/>
      <c r="Q454" s="6"/>
    </row>
    <row r="455" spans="2:17" ht="15.5" x14ac:dyDescent="0.35">
      <c r="B455" s="5"/>
      <c r="C455" s="6"/>
      <c r="D455" s="7"/>
      <c r="E455" s="6"/>
      <c r="F455" s="6"/>
      <c r="G455" s="8"/>
      <c r="H455" s="6"/>
      <c r="I455" s="6"/>
      <c r="J455" s="6"/>
      <c r="K455" s="6"/>
      <c r="L455" s="6"/>
      <c r="M455" s="6"/>
      <c r="N455" s="6"/>
      <c r="O455" s="6"/>
      <c r="P455" s="6"/>
      <c r="Q455" s="6"/>
    </row>
    <row r="456" spans="2:17" ht="15.5" x14ac:dyDescent="0.35">
      <c r="B456" s="5"/>
      <c r="C456" s="6"/>
      <c r="D456" s="7"/>
      <c r="E456" s="6"/>
      <c r="F456" s="6"/>
      <c r="G456" s="8"/>
      <c r="H456" s="6"/>
      <c r="I456" s="6"/>
      <c r="J456" s="6"/>
      <c r="K456" s="6"/>
      <c r="L456" s="6"/>
      <c r="M456" s="6"/>
      <c r="N456" s="6"/>
      <c r="O456" s="6"/>
      <c r="P456" s="6"/>
      <c r="Q456" s="6"/>
    </row>
    <row r="457" spans="2:17" ht="15.5" x14ac:dyDescent="0.35">
      <c r="B457" s="5"/>
      <c r="C457" s="6"/>
      <c r="D457" s="7"/>
      <c r="E457" s="6"/>
      <c r="F457" s="6"/>
      <c r="G457" s="8"/>
      <c r="H457" s="6"/>
      <c r="I457" s="6"/>
      <c r="J457" s="6"/>
      <c r="K457" s="6"/>
      <c r="L457" s="6"/>
      <c r="M457" s="6"/>
      <c r="N457" s="6"/>
      <c r="O457" s="6"/>
      <c r="P457" s="6"/>
      <c r="Q457" s="6"/>
    </row>
    <row r="458" spans="2:17" ht="15.5" x14ac:dyDescent="0.35">
      <c r="B458" s="5"/>
      <c r="C458" s="6"/>
      <c r="D458" s="7"/>
      <c r="E458" s="6"/>
      <c r="F458" s="6"/>
      <c r="G458" s="8"/>
      <c r="H458" s="6"/>
      <c r="I458" s="6"/>
      <c r="J458" s="6"/>
      <c r="K458" s="6"/>
      <c r="L458" s="6"/>
      <c r="M458" s="6"/>
      <c r="N458" s="6"/>
      <c r="O458" s="6"/>
      <c r="P458" s="6"/>
      <c r="Q458" s="6"/>
    </row>
    <row r="459" spans="2:17" ht="15.5" x14ac:dyDescent="0.35">
      <c r="B459" s="5"/>
      <c r="C459" s="6"/>
      <c r="D459" s="7"/>
      <c r="E459" s="6"/>
      <c r="F459" s="6"/>
      <c r="G459" s="8"/>
      <c r="H459" s="6"/>
      <c r="I459" s="6"/>
      <c r="J459" s="6"/>
      <c r="K459" s="6"/>
      <c r="L459" s="6"/>
      <c r="M459" s="6"/>
      <c r="N459" s="6"/>
      <c r="O459" s="6"/>
      <c r="P459" s="6"/>
      <c r="Q459" s="6"/>
    </row>
    <row r="460" spans="2:17" ht="15.5" x14ac:dyDescent="0.35">
      <c r="B460" s="5"/>
      <c r="C460" s="6"/>
      <c r="D460" s="7"/>
      <c r="E460" s="6"/>
      <c r="F460" s="6"/>
      <c r="G460" s="8"/>
      <c r="H460" s="6"/>
      <c r="I460" s="6"/>
      <c r="J460" s="6"/>
      <c r="K460" s="6"/>
      <c r="L460" s="6"/>
      <c r="M460" s="6"/>
      <c r="N460" s="6"/>
      <c r="O460" s="6"/>
      <c r="P460" s="6"/>
      <c r="Q460" s="6"/>
    </row>
    <row r="461" spans="2:17" ht="15.5" x14ac:dyDescent="0.35">
      <c r="B461" s="5"/>
      <c r="C461" s="6"/>
      <c r="D461" s="7"/>
      <c r="E461" s="6"/>
      <c r="F461" s="6"/>
      <c r="G461" s="8"/>
      <c r="H461" s="6"/>
      <c r="I461" s="6"/>
      <c r="J461" s="6"/>
      <c r="K461" s="6"/>
      <c r="L461" s="6"/>
      <c r="M461" s="6"/>
      <c r="N461" s="6"/>
      <c r="O461" s="6"/>
      <c r="P461" s="6"/>
      <c r="Q461" s="6"/>
    </row>
    <row r="462" spans="2:17" ht="15.5" x14ac:dyDescent="0.35">
      <c r="B462" s="5"/>
      <c r="C462" s="6"/>
      <c r="D462" s="7"/>
      <c r="E462" s="6"/>
      <c r="F462" s="6"/>
      <c r="G462" s="8"/>
      <c r="H462" s="6"/>
      <c r="I462" s="6"/>
      <c r="J462" s="6"/>
      <c r="K462" s="6"/>
      <c r="L462" s="6"/>
      <c r="M462" s="6"/>
      <c r="N462" s="6"/>
      <c r="O462" s="6"/>
      <c r="P462" s="6"/>
      <c r="Q462" s="6"/>
    </row>
    <row r="463" spans="2:17" ht="15.5" x14ac:dyDescent="0.35">
      <c r="B463" s="5"/>
      <c r="C463" s="6"/>
      <c r="D463" s="7"/>
      <c r="E463" s="6"/>
      <c r="F463" s="6"/>
      <c r="G463" s="8"/>
      <c r="H463" s="6"/>
      <c r="I463" s="6"/>
      <c r="J463" s="6"/>
      <c r="K463" s="6"/>
      <c r="L463" s="6"/>
      <c r="M463" s="6"/>
      <c r="N463" s="6"/>
      <c r="O463" s="6"/>
      <c r="P463" s="6"/>
      <c r="Q463" s="6"/>
    </row>
    <row r="464" spans="2:17" ht="15.5" x14ac:dyDescent="0.35">
      <c r="B464" s="5"/>
      <c r="C464" s="6"/>
      <c r="D464" s="7"/>
      <c r="E464" s="6"/>
      <c r="F464" s="6"/>
      <c r="G464" s="8"/>
      <c r="H464" s="6"/>
      <c r="I464" s="6"/>
      <c r="J464" s="6"/>
      <c r="K464" s="6"/>
      <c r="L464" s="6"/>
      <c r="M464" s="6"/>
      <c r="N464" s="6"/>
      <c r="O464" s="6"/>
      <c r="P464" s="6"/>
      <c r="Q464" s="6"/>
    </row>
    <row r="465" spans="2:17" ht="15.5" x14ac:dyDescent="0.35">
      <c r="B465" s="5"/>
      <c r="C465" s="6"/>
      <c r="D465" s="7"/>
      <c r="E465" s="6"/>
      <c r="F465" s="6"/>
      <c r="G465" s="8"/>
      <c r="H465" s="6"/>
      <c r="I465" s="6"/>
      <c r="J465" s="6"/>
      <c r="K465" s="6"/>
      <c r="L465" s="6"/>
      <c r="M465" s="6"/>
      <c r="N465" s="6"/>
      <c r="O465" s="6"/>
      <c r="P465" s="6"/>
      <c r="Q465" s="6"/>
    </row>
    <row r="466" spans="2:17" ht="15.5" x14ac:dyDescent="0.35">
      <c r="B466" s="5"/>
      <c r="C466" s="6"/>
      <c r="D466" s="7"/>
      <c r="E466" s="6"/>
      <c r="F466" s="6"/>
      <c r="G466" s="8"/>
      <c r="H466" s="6"/>
      <c r="I466" s="6"/>
      <c r="J466" s="6"/>
      <c r="K466" s="6"/>
      <c r="L466" s="6"/>
      <c r="M466" s="6"/>
      <c r="N466" s="6"/>
      <c r="O466" s="6"/>
      <c r="P466" s="6"/>
      <c r="Q466" s="6"/>
    </row>
    <row r="467" spans="2:17" ht="15.5" x14ac:dyDescent="0.35">
      <c r="B467" s="5"/>
      <c r="C467" s="6"/>
      <c r="D467" s="7"/>
      <c r="E467" s="6"/>
      <c r="F467" s="6"/>
      <c r="G467" s="8"/>
      <c r="H467" s="6"/>
      <c r="I467" s="6"/>
      <c r="J467" s="6"/>
      <c r="K467" s="6"/>
      <c r="L467" s="6"/>
      <c r="M467" s="6"/>
      <c r="N467" s="6"/>
      <c r="O467" s="6"/>
      <c r="P467" s="6"/>
      <c r="Q467" s="6"/>
    </row>
    <row r="468" spans="2:17" ht="15.5" x14ac:dyDescent="0.35">
      <c r="B468" s="5"/>
      <c r="C468" s="6"/>
      <c r="D468" s="7"/>
      <c r="E468" s="6"/>
      <c r="F468" s="6"/>
      <c r="G468" s="8"/>
      <c r="H468" s="6"/>
      <c r="I468" s="6"/>
      <c r="J468" s="6"/>
      <c r="K468" s="6"/>
      <c r="L468" s="6"/>
      <c r="M468" s="6"/>
      <c r="N468" s="6"/>
      <c r="O468" s="6"/>
      <c r="P468" s="6"/>
      <c r="Q468" s="6"/>
    </row>
    <row r="469" spans="2:17" ht="15.5" x14ac:dyDescent="0.35">
      <c r="B469" s="5"/>
      <c r="C469" s="6"/>
      <c r="D469" s="7"/>
      <c r="E469" s="6"/>
      <c r="F469" s="6"/>
      <c r="G469" s="8"/>
      <c r="H469" s="6"/>
      <c r="I469" s="6"/>
      <c r="J469" s="6"/>
      <c r="K469" s="6"/>
      <c r="L469" s="6"/>
      <c r="M469" s="6"/>
      <c r="N469" s="6"/>
      <c r="O469" s="6"/>
      <c r="P469" s="6"/>
      <c r="Q469" s="6"/>
    </row>
    <row r="470" spans="2:17" ht="15.5" x14ac:dyDescent="0.35">
      <c r="B470" s="5"/>
      <c r="C470" s="6"/>
      <c r="D470" s="7"/>
      <c r="E470" s="6"/>
      <c r="F470" s="6"/>
      <c r="G470" s="8"/>
      <c r="H470" s="6"/>
      <c r="I470" s="6"/>
      <c r="J470" s="6"/>
      <c r="K470" s="6"/>
      <c r="L470" s="6"/>
      <c r="M470" s="6"/>
      <c r="N470" s="6"/>
      <c r="O470" s="6"/>
      <c r="P470" s="6"/>
      <c r="Q470" s="6"/>
    </row>
    <row r="471" spans="2:17" ht="15.5" x14ac:dyDescent="0.35">
      <c r="B471" s="5"/>
      <c r="C471" s="6"/>
      <c r="D471" s="7"/>
      <c r="E471" s="6"/>
      <c r="F471" s="6"/>
      <c r="G471" s="8"/>
      <c r="H471" s="6"/>
      <c r="I471" s="6"/>
      <c r="J471" s="6"/>
      <c r="K471" s="6"/>
      <c r="L471" s="6"/>
      <c r="M471" s="6"/>
      <c r="N471" s="6"/>
      <c r="O471" s="6"/>
      <c r="P471" s="6"/>
      <c r="Q471" s="6"/>
    </row>
    <row r="472" spans="2:17" ht="15.5" x14ac:dyDescent="0.35">
      <c r="B472" s="5"/>
      <c r="C472" s="6"/>
      <c r="D472" s="7"/>
      <c r="E472" s="6"/>
      <c r="F472" s="6"/>
      <c r="G472" s="8"/>
      <c r="H472" s="6"/>
      <c r="I472" s="6"/>
      <c r="J472" s="6"/>
      <c r="K472" s="6"/>
      <c r="L472" s="6"/>
      <c r="M472" s="6"/>
      <c r="N472" s="6"/>
      <c r="O472" s="6"/>
      <c r="P472" s="6"/>
      <c r="Q472" s="6"/>
    </row>
    <row r="473" spans="2:17" ht="15.5" x14ac:dyDescent="0.35">
      <c r="B473" s="5"/>
      <c r="C473" s="6"/>
      <c r="D473" s="7"/>
      <c r="E473" s="6"/>
      <c r="F473" s="6"/>
      <c r="G473" s="8"/>
      <c r="H473" s="6"/>
      <c r="I473" s="6"/>
      <c r="J473" s="6"/>
      <c r="K473" s="6"/>
      <c r="L473" s="6"/>
      <c r="M473" s="6"/>
      <c r="N473" s="6"/>
      <c r="O473" s="6"/>
      <c r="P473" s="6"/>
      <c r="Q473" s="6"/>
    </row>
    <row r="474" spans="2:17" ht="15.5" x14ac:dyDescent="0.35">
      <c r="B474" s="5"/>
      <c r="C474" s="6"/>
      <c r="D474" s="7"/>
      <c r="E474" s="6"/>
      <c r="F474" s="6"/>
      <c r="G474" s="8"/>
      <c r="H474" s="6"/>
      <c r="I474" s="6"/>
      <c r="J474" s="6"/>
      <c r="K474" s="6"/>
      <c r="L474" s="6"/>
      <c r="M474" s="6"/>
      <c r="N474" s="6"/>
      <c r="O474" s="6"/>
      <c r="P474" s="6"/>
      <c r="Q474" s="6"/>
    </row>
    <row r="475" spans="2:17" ht="15.5" x14ac:dyDescent="0.35">
      <c r="B475" s="5"/>
      <c r="C475" s="6"/>
      <c r="D475" s="7"/>
      <c r="E475" s="6"/>
      <c r="F475" s="6"/>
      <c r="G475" s="8"/>
      <c r="H475" s="6"/>
      <c r="I475" s="6"/>
      <c r="J475" s="6"/>
      <c r="K475" s="6"/>
      <c r="L475" s="6"/>
      <c r="M475" s="6"/>
      <c r="N475" s="6"/>
      <c r="O475" s="6"/>
      <c r="P475" s="6"/>
      <c r="Q475" s="6"/>
    </row>
    <row r="476" spans="2:17" ht="15.5" x14ac:dyDescent="0.35">
      <c r="B476" s="5"/>
      <c r="C476" s="6"/>
      <c r="D476" s="7"/>
      <c r="E476" s="6"/>
      <c r="F476" s="6"/>
      <c r="G476" s="8"/>
      <c r="H476" s="6"/>
      <c r="I476" s="6"/>
      <c r="J476" s="6"/>
      <c r="K476" s="6"/>
      <c r="L476" s="6"/>
      <c r="M476" s="6"/>
      <c r="N476" s="6"/>
      <c r="O476" s="6"/>
      <c r="P476" s="6"/>
      <c r="Q476" s="6"/>
    </row>
    <row r="477" spans="2:17" ht="15.5" x14ac:dyDescent="0.35">
      <c r="B477" s="5"/>
      <c r="C477" s="6"/>
      <c r="D477" s="7"/>
      <c r="E477" s="6"/>
      <c r="F477" s="6"/>
      <c r="G477" s="8"/>
      <c r="H477" s="6"/>
      <c r="I477" s="6"/>
      <c r="J477" s="6"/>
      <c r="K477" s="6"/>
      <c r="L477" s="6"/>
      <c r="M477" s="6"/>
      <c r="N477" s="6"/>
      <c r="O477" s="6"/>
      <c r="P477" s="6"/>
      <c r="Q477" s="6"/>
    </row>
    <row r="478" spans="2:17" ht="15.5" x14ac:dyDescent="0.35">
      <c r="B478" s="5"/>
      <c r="C478" s="6"/>
      <c r="D478" s="7"/>
      <c r="E478" s="6"/>
      <c r="F478" s="6"/>
      <c r="G478" s="8"/>
      <c r="H478" s="6"/>
      <c r="I478" s="6"/>
      <c r="J478" s="6"/>
      <c r="K478" s="6"/>
      <c r="L478" s="6"/>
      <c r="M478" s="6"/>
      <c r="N478" s="6"/>
      <c r="O478" s="6"/>
      <c r="P478" s="6"/>
      <c r="Q478" s="6"/>
    </row>
    <row r="479" spans="2:17" ht="15.5" x14ac:dyDescent="0.35">
      <c r="B479" s="5"/>
      <c r="C479" s="6"/>
      <c r="D479" s="7"/>
      <c r="E479" s="6"/>
      <c r="F479" s="6"/>
      <c r="G479" s="8"/>
      <c r="H479" s="6"/>
      <c r="I479" s="6"/>
      <c r="J479" s="6"/>
      <c r="K479" s="6"/>
      <c r="L479" s="6"/>
      <c r="M479" s="6"/>
      <c r="N479" s="6"/>
      <c r="O479" s="6"/>
      <c r="P479" s="6"/>
      <c r="Q479" s="6"/>
    </row>
    <row r="480" spans="2:17" ht="15.5" x14ac:dyDescent="0.35">
      <c r="B480" s="5"/>
      <c r="C480" s="6"/>
      <c r="D480" s="7"/>
      <c r="E480" s="6"/>
      <c r="F480" s="6"/>
      <c r="G480" s="8"/>
      <c r="H480" s="6"/>
      <c r="I480" s="6"/>
      <c r="J480" s="6"/>
      <c r="K480" s="6"/>
      <c r="L480" s="6"/>
      <c r="M480" s="6"/>
      <c r="N480" s="6"/>
      <c r="O480" s="6"/>
      <c r="P480" s="6"/>
      <c r="Q480" s="6"/>
    </row>
    <row r="481" spans="2:17" ht="15.5" x14ac:dyDescent="0.35">
      <c r="B481" s="5"/>
      <c r="C481" s="6"/>
      <c r="D481" s="7"/>
      <c r="E481" s="6"/>
      <c r="F481" s="6"/>
      <c r="G481" s="8"/>
      <c r="H481" s="6"/>
      <c r="I481" s="6"/>
      <c r="J481" s="6"/>
      <c r="K481" s="6"/>
      <c r="L481" s="6"/>
      <c r="M481" s="6"/>
      <c r="N481" s="6"/>
      <c r="O481" s="6"/>
      <c r="P481" s="6"/>
      <c r="Q481" s="6"/>
    </row>
    <row r="482" spans="2:17" ht="15.5" x14ac:dyDescent="0.35">
      <c r="B482" s="5"/>
      <c r="C482" s="6"/>
      <c r="D482" s="7"/>
      <c r="E482" s="6"/>
      <c r="F482" s="6"/>
      <c r="G482" s="8"/>
      <c r="H482" s="6"/>
      <c r="I482" s="6"/>
      <c r="J482" s="6"/>
      <c r="K482" s="6"/>
      <c r="L482" s="6"/>
      <c r="M482" s="6"/>
      <c r="N482" s="6"/>
      <c r="O482" s="6"/>
      <c r="P482" s="6"/>
      <c r="Q482" s="6"/>
    </row>
    <row r="483" spans="2:17" ht="15.5" x14ac:dyDescent="0.35">
      <c r="B483" s="5"/>
      <c r="C483" s="6"/>
      <c r="D483" s="7"/>
      <c r="E483" s="6"/>
      <c r="F483" s="6"/>
      <c r="G483" s="8"/>
      <c r="H483" s="6"/>
      <c r="I483" s="6"/>
      <c r="J483" s="6"/>
      <c r="K483" s="6"/>
      <c r="L483" s="6"/>
      <c r="M483" s="6"/>
      <c r="N483" s="6"/>
      <c r="O483" s="6"/>
      <c r="P483" s="6"/>
      <c r="Q483" s="6"/>
    </row>
    <row r="484" spans="2:17" ht="15.5" x14ac:dyDescent="0.35">
      <c r="B484" s="5"/>
      <c r="C484" s="6"/>
      <c r="D484" s="7"/>
      <c r="E484" s="6"/>
      <c r="F484" s="6"/>
      <c r="G484" s="8"/>
      <c r="H484" s="6"/>
      <c r="I484" s="6"/>
      <c r="J484" s="6"/>
      <c r="K484" s="6"/>
      <c r="L484" s="6"/>
      <c r="M484" s="6"/>
      <c r="N484" s="6"/>
      <c r="O484" s="6"/>
      <c r="P484" s="6"/>
      <c r="Q484" s="6"/>
    </row>
    <row r="485" spans="2:17" ht="15.5" x14ac:dyDescent="0.35">
      <c r="B485" s="5"/>
      <c r="C485" s="6"/>
      <c r="D485" s="7"/>
      <c r="E485" s="6"/>
      <c r="F485" s="6"/>
      <c r="G485" s="8"/>
      <c r="H485" s="6"/>
      <c r="I485" s="6"/>
      <c r="J485" s="6"/>
      <c r="K485" s="6"/>
      <c r="L485" s="6"/>
      <c r="M485" s="6"/>
      <c r="N485" s="6"/>
      <c r="O485" s="6"/>
      <c r="P485" s="6"/>
      <c r="Q485" s="6"/>
    </row>
    <row r="486" spans="2:17" ht="15.5" x14ac:dyDescent="0.35">
      <c r="B486" s="5"/>
      <c r="C486" s="6"/>
      <c r="D486" s="7"/>
      <c r="E486" s="6"/>
      <c r="F486" s="6"/>
      <c r="G486" s="8"/>
      <c r="H486" s="6"/>
      <c r="I486" s="6"/>
      <c r="J486" s="6"/>
      <c r="K486" s="6"/>
      <c r="L486" s="6"/>
      <c r="M486" s="6"/>
      <c r="N486" s="6"/>
      <c r="O486" s="6"/>
      <c r="P486" s="6"/>
      <c r="Q486" s="6"/>
    </row>
    <row r="487" spans="2:17" ht="15.5" x14ac:dyDescent="0.35">
      <c r="B487" s="5"/>
      <c r="C487" s="6"/>
      <c r="D487" s="7"/>
      <c r="E487" s="6"/>
      <c r="F487" s="6"/>
      <c r="G487" s="8"/>
      <c r="H487" s="6"/>
      <c r="I487" s="6"/>
      <c r="J487" s="6"/>
      <c r="K487" s="6"/>
      <c r="L487" s="6"/>
      <c r="M487" s="6"/>
      <c r="N487" s="6"/>
      <c r="O487" s="6"/>
      <c r="P487" s="6"/>
      <c r="Q487" s="6"/>
    </row>
    <row r="488" spans="2:17" ht="15.5" x14ac:dyDescent="0.35">
      <c r="B488" s="5"/>
      <c r="C488" s="6"/>
      <c r="D488" s="7"/>
      <c r="E488" s="6"/>
      <c r="F488" s="6"/>
      <c r="G488" s="8"/>
      <c r="H488" s="6"/>
      <c r="I488" s="6"/>
      <c r="J488" s="6"/>
      <c r="K488" s="6"/>
      <c r="L488" s="6"/>
      <c r="M488" s="6"/>
      <c r="N488" s="6"/>
      <c r="O488" s="6"/>
      <c r="P488" s="6"/>
      <c r="Q488" s="6"/>
    </row>
    <row r="489" spans="2:17" ht="15.5" x14ac:dyDescent="0.35">
      <c r="B489" s="5"/>
      <c r="C489" s="6"/>
      <c r="D489" s="7"/>
      <c r="E489" s="6"/>
      <c r="F489" s="6"/>
      <c r="G489" s="8"/>
      <c r="H489" s="6"/>
      <c r="I489" s="6"/>
      <c r="J489" s="6"/>
      <c r="K489" s="6"/>
      <c r="L489" s="6"/>
      <c r="M489" s="6"/>
      <c r="N489" s="6"/>
      <c r="O489" s="6"/>
      <c r="P489" s="6"/>
      <c r="Q489" s="6"/>
    </row>
    <row r="490" spans="2:17" ht="15.5" x14ac:dyDescent="0.35">
      <c r="B490" s="5"/>
      <c r="C490" s="6"/>
      <c r="D490" s="7"/>
      <c r="E490" s="6"/>
      <c r="F490" s="6"/>
      <c r="G490" s="8"/>
      <c r="H490" s="6"/>
      <c r="I490" s="6"/>
      <c r="J490" s="6"/>
      <c r="K490" s="6"/>
      <c r="L490" s="6"/>
      <c r="M490" s="6"/>
      <c r="N490" s="6"/>
      <c r="O490" s="6"/>
      <c r="P490" s="6"/>
      <c r="Q490" s="6"/>
    </row>
    <row r="491" spans="2:17" ht="15.5" x14ac:dyDescent="0.35">
      <c r="B491" s="5"/>
      <c r="C491" s="6"/>
      <c r="D491" s="7"/>
      <c r="E491" s="6"/>
      <c r="F491" s="6"/>
      <c r="G491" s="8"/>
      <c r="H491" s="6"/>
      <c r="I491" s="6"/>
      <c r="J491" s="6"/>
      <c r="K491" s="6"/>
      <c r="L491" s="6"/>
      <c r="M491" s="6"/>
      <c r="N491" s="6"/>
      <c r="O491" s="6"/>
      <c r="P491" s="6"/>
      <c r="Q491" s="6"/>
    </row>
    <row r="492" spans="2:17" ht="15.5" x14ac:dyDescent="0.35">
      <c r="B492" s="5"/>
      <c r="C492" s="6"/>
      <c r="D492" s="7"/>
      <c r="E492" s="6"/>
      <c r="F492" s="6"/>
      <c r="G492" s="8"/>
      <c r="H492" s="6"/>
      <c r="I492" s="6"/>
      <c r="J492" s="6"/>
      <c r="K492" s="6"/>
      <c r="L492" s="6"/>
      <c r="M492" s="6"/>
      <c r="N492" s="6"/>
      <c r="O492" s="6"/>
      <c r="P492" s="6"/>
      <c r="Q492" s="6"/>
    </row>
    <row r="493" spans="2:17" ht="15.5" x14ac:dyDescent="0.35">
      <c r="B493" s="5"/>
      <c r="C493" s="6"/>
      <c r="D493" s="7"/>
      <c r="E493" s="6"/>
      <c r="F493" s="6"/>
      <c r="G493" s="8"/>
      <c r="H493" s="6"/>
      <c r="I493" s="6"/>
      <c r="J493" s="6"/>
      <c r="K493" s="6"/>
      <c r="L493" s="6"/>
      <c r="M493" s="6"/>
      <c r="N493" s="6"/>
      <c r="O493" s="6"/>
      <c r="P493" s="6"/>
      <c r="Q493" s="6"/>
    </row>
    <row r="494" spans="2:17" ht="15.5" x14ac:dyDescent="0.35">
      <c r="B494" s="5"/>
      <c r="C494" s="6"/>
      <c r="D494" s="7"/>
      <c r="E494" s="6"/>
      <c r="F494" s="6"/>
      <c r="G494" s="8"/>
      <c r="H494" s="6"/>
      <c r="I494" s="6"/>
      <c r="J494" s="6"/>
      <c r="K494" s="6"/>
      <c r="L494" s="6"/>
      <c r="M494" s="6"/>
      <c r="N494" s="6"/>
      <c r="O494" s="6"/>
      <c r="P494" s="6"/>
      <c r="Q494" s="6"/>
    </row>
    <row r="495" spans="2:17" ht="15.5" x14ac:dyDescent="0.35">
      <c r="B495" s="5"/>
      <c r="C495" s="6"/>
      <c r="D495" s="7"/>
      <c r="E495" s="6"/>
      <c r="F495" s="6"/>
      <c r="G495" s="8"/>
      <c r="H495" s="6"/>
      <c r="I495" s="6"/>
      <c r="J495" s="6"/>
      <c r="K495" s="6"/>
      <c r="L495" s="6"/>
      <c r="M495" s="6"/>
      <c r="N495" s="6"/>
      <c r="O495" s="6"/>
      <c r="P495" s="6"/>
      <c r="Q495" s="6"/>
    </row>
    <row r="496" spans="2:17" ht="15.5" x14ac:dyDescent="0.35">
      <c r="B496" s="5"/>
      <c r="C496" s="6"/>
      <c r="D496" s="7"/>
      <c r="E496" s="6"/>
      <c r="F496" s="6"/>
      <c r="G496" s="8"/>
      <c r="H496" s="6"/>
      <c r="I496" s="6"/>
      <c r="J496" s="6"/>
      <c r="K496" s="6"/>
      <c r="L496" s="6"/>
      <c r="M496" s="6"/>
      <c r="N496" s="6"/>
      <c r="O496" s="6"/>
      <c r="P496" s="6"/>
      <c r="Q496" s="6"/>
    </row>
    <row r="497" spans="2:17" ht="15.5" x14ac:dyDescent="0.35">
      <c r="B497" s="5"/>
      <c r="C497" s="6"/>
      <c r="D497" s="7"/>
      <c r="E497" s="6"/>
      <c r="F497" s="6"/>
      <c r="G497" s="8"/>
      <c r="H497" s="6"/>
      <c r="I497" s="6"/>
      <c r="J497" s="6"/>
      <c r="K497" s="6"/>
      <c r="L497" s="6"/>
      <c r="M497" s="6"/>
      <c r="N497" s="6"/>
      <c r="O497" s="6"/>
      <c r="P497" s="6"/>
      <c r="Q497" s="6"/>
    </row>
    <row r="498" spans="2:17" ht="15.5" x14ac:dyDescent="0.35">
      <c r="B498" s="5"/>
      <c r="C498" s="6"/>
      <c r="D498" s="7"/>
      <c r="E498" s="6"/>
      <c r="F498" s="6"/>
      <c r="G498" s="8"/>
      <c r="H498" s="6"/>
      <c r="I498" s="6"/>
      <c r="J498" s="6"/>
      <c r="K498" s="6"/>
      <c r="L498" s="6"/>
      <c r="M498" s="6"/>
      <c r="N498" s="6"/>
      <c r="O498" s="6"/>
      <c r="P498" s="6"/>
      <c r="Q498" s="6"/>
    </row>
    <row r="499" spans="2:17" ht="15.5" x14ac:dyDescent="0.35">
      <c r="B499" s="5"/>
      <c r="C499" s="6"/>
      <c r="D499" s="7"/>
      <c r="E499" s="6"/>
      <c r="F499" s="6"/>
      <c r="G499" s="8"/>
      <c r="H499" s="6"/>
      <c r="I499" s="6"/>
      <c r="J499" s="6"/>
      <c r="K499" s="6"/>
      <c r="L499" s="6"/>
      <c r="M499" s="6"/>
      <c r="N499" s="6"/>
      <c r="O499" s="6"/>
      <c r="P499" s="6"/>
      <c r="Q499" s="6"/>
    </row>
    <row r="500" spans="2:17" ht="15.5" x14ac:dyDescent="0.35">
      <c r="B500" s="5"/>
      <c r="C500" s="6"/>
      <c r="D500" s="7"/>
      <c r="E500" s="6"/>
      <c r="F500" s="6"/>
      <c r="G500" s="8"/>
      <c r="H500" s="6"/>
      <c r="I500" s="6"/>
      <c r="J500" s="6"/>
      <c r="K500" s="6"/>
      <c r="L500" s="6"/>
      <c r="M500" s="6"/>
      <c r="N500" s="6"/>
      <c r="O500" s="6"/>
      <c r="P500" s="6"/>
      <c r="Q500" s="6"/>
    </row>
    <row r="501" spans="2:17" ht="15.5" x14ac:dyDescent="0.35">
      <c r="B501" s="5"/>
      <c r="C501" s="6"/>
      <c r="D501" s="7"/>
      <c r="E501" s="6"/>
      <c r="F501" s="6"/>
      <c r="G501" s="8"/>
      <c r="H501" s="6"/>
      <c r="I501" s="6"/>
      <c r="J501" s="6"/>
      <c r="K501" s="6"/>
      <c r="L501" s="6"/>
      <c r="M501" s="6"/>
      <c r="N501" s="6"/>
      <c r="O501" s="6"/>
      <c r="P501" s="6"/>
      <c r="Q501" s="6"/>
    </row>
    <row r="502" spans="2:17" ht="15.5" x14ac:dyDescent="0.35">
      <c r="B502" s="5"/>
      <c r="C502" s="6"/>
      <c r="D502" s="7"/>
      <c r="E502" s="6"/>
      <c r="F502" s="6"/>
      <c r="G502" s="8"/>
      <c r="H502" s="6"/>
      <c r="I502" s="6"/>
      <c r="J502" s="6"/>
      <c r="K502" s="6"/>
      <c r="L502" s="6"/>
      <c r="M502" s="6"/>
      <c r="N502" s="6"/>
      <c r="O502" s="6"/>
      <c r="P502" s="6"/>
      <c r="Q502" s="6"/>
    </row>
    <row r="503" spans="2:17" ht="15.5" x14ac:dyDescent="0.35">
      <c r="B503" s="5"/>
      <c r="C503" s="6"/>
      <c r="D503" s="7"/>
      <c r="E503" s="6"/>
      <c r="F503" s="6"/>
      <c r="G503" s="8"/>
      <c r="H503" s="6"/>
      <c r="I503" s="6"/>
      <c r="J503" s="6"/>
      <c r="K503" s="6"/>
      <c r="L503" s="6"/>
      <c r="M503" s="6"/>
      <c r="N503" s="6"/>
      <c r="O503" s="6"/>
      <c r="P503" s="6"/>
      <c r="Q503" s="6"/>
    </row>
    <row r="504" spans="2:17" ht="15.5" x14ac:dyDescent="0.35">
      <c r="B504" s="5"/>
      <c r="C504" s="6"/>
      <c r="D504" s="7"/>
      <c r="E504" s="6"/>
      <c r="F504" s="6"/>
      <c r="G504" s="8"/>
      <c r="H504" s="6"/>
      <c r="I504" s="6"/>
      <c r="J504" s="6"/>
      <c r="K504" s="6"/>
      <c r="L504" s="6"/>
      <c r="M504" s="6"/>
      <c r="N504" s="6"/>
      <c r="O504" s="6"/>
      <c r="P504" s="6"/>
      <c r="Q504" s="6"/>
    </row>
    <row r="505" spans="2:17" ht="15.5" x14ac:dyDescent="0.35">
      <c r="B505" s="5"/>
      <c r="C505" s="6"/>
      <c r="D505" s="7"/>
      <c r="E505" s="6"/>
      <c r="F505" s="6"/>
      <c r="G505" s="8"/>
      <c r="H505" s="6"/>
      <c r="I505" s="6"/>
      <c r="J505" s="6"/>
      <c r="K505" s="6"/>
      <c r="L505" s="6"/>
      <c r="M505" s="6"/>
      <c r="N505" s="6"/>
      <c r="O505" s="6"/>
      <c r="P505" s="6"/>
      <c r="Q505" s="6"/>
    </row>
    <row r="506" spans="2:17" ht="15.5" x14ac:dyDescent="0.35">
      <c r="B506" s="5"/>
      <c r="C506" s="6"/>
      <c r="D506" s="7"/>
      <c r="E506" s="6"/>
      <c r="F506" s="6"/>
      <c r="G506" s="8"/>
      <c r="H506" s="6"/>
      <c r="I506" s="6"/>
      <c r="J506" s="6"/>
      <c r="K506" s="6"/>
      <c r="L506" s="6"/>
      <c r="M506" s="6"/>
      <c r="N506" s="6"/>
      <c r="O506" s="6"/>
      <c r="P506" s="6"/>
      <c r="Q506" s="6"/>
    </row>
    <row r="507" spans="2:17" ht="15.5" x14ac:dyDescent="0.35">
      <c r="B507" s="5"/>
      <c r="C507" s="6"/>
      <c r="D507" s="7"/>
      <c r="E507" s="6"/>
      <c r="F507" s="6"/>
      <c r="G507" s="8"/>
      <c r="H507" s="6"/>
      <c r="I507" s="6"/>
      <c r="J507" s="6"/>
      <c r="K507" s="6"/>
      <c r="L507" s="6"/>
      <c r="M507" s="6"/>
      <c r="N507" s="6"/>
      <c r="O507" s="6"/>
      <c r="P507" s="6"/>
      <c r="Q507" s="6"/>
    </row>
    <row r="508" spans="2:17" ht="15.5" x14ac:dyDescent="0.35">
      <c r="B508" s="5"/>
      <c r="C508" s="6"/>
      <c r="D508" s="7"/>
      <c r="E508" s="6"/>
      <c r="F508" s="6"/>
      <c r="G508" s="8"/>
      <c r="H508" s="6"/>
      <c r="I508" s="6"/>
      <c r="J508" s="6"/>
      <c r="K508" s="6"/>
      <c r="L508" s="6"/>
      <c r="M508" s="6"/>
      <c r="N508" s="6"/>
      <c r="O508" s="6"/>
      <c r="P508" s="6"/>
      <c r="Q508" s="6"/>
    </row>
    <row r="509" spans="2:17" ht="15.5" x14ac:dyDescent="0.35">
      <c r="B509" s="5"/>
      <c r="C509" s="6"/>
      <c r="D509" s="7"/>
      <c r="E509" s="6"/>
      <c r="F509" s="6"/>
      <c r="G509" s="8"/>
      <c r="H509" s="6"/>
      <c r="I509" s="6"/>
      <c r="J509" s="6"/>
      <c r="K509" s="6"/>
      <c r="L509" s="6"/>
      <c r="M509" s="6"/>
      <c r="N509" s="6"/>
      <c r="O509" s="6"/>
      <c r="P509" s="6"/>
      <c r="Q509" s="6"/>
    </row>
    <row r="510" spans="2:17" ht="15.5" x14ac:dyDescent="0.35">
      <c r="B510" s="5"/>
      <c r="C510" s="6"/>
      <c r="D510" s="7"/>
      <c r="E510" s="6"/>
      <c r="F510" s="6"/>
      <c r="G510" s="8"/>
      <c r="H510" s="6"/>
      <c r="I510" s="6"/>
      <c r="J510" s="6"/>
      <c r="K510" s="6"/>
      <c r="L510" s="6"/>
      <c r="M510" s="6"/>
      <c r="N510" s="6"/>
      <c r="O510" s="6"/>
      <c r="P510" s="6"/>
      <c r="Q510" s="6"/>
    </row>
    <row r="511" spans="2:17" ht="15.5" x14ac:dyDescent="0.35">
      <c r="B511" s="5"/>
      <c r="C511" s="6"/>
      <c r="D511" s="7"/>
      <c r="E511" s="6"/>
      <c r="F511" s="6"/>
      <c r="G511" s="8"/>
      <c r="H511" s="6"/>
      <c r="I511" s="6"/>
      <c r="J511" s="6"/>
      <c r="K511" s="6"/>
      <c r="L511" s="6"/>
      <c r="M511" s="6"/>
      <c r="N511" s="6"/>
      <c r="O511" s="6"/>
      <c r="P511" s="6"/>
      <c r="Q511" s="6"/>
    </row>
    <row r="512" spans="2:17" ht="15.5" x14ac:dyDescent="0.35">
      <c r="B512" s="5"/>
      <c r="C512" s="6"/>
      <c r="D512" s="7"/>
      <c r="E512" s="6"/>
      <c r="F512" s="6"/>
      <c r="G512" s="8"/>
      <c r="H512" s="6"/>
      <c r="I512" s="6"/>
      <c r="J512" s="6"/>
      <c r="K512" s="6"/>
      <c r="L512" s="6"/>
      <c r="M512" s="6"/>
      <c r="N512" s="6"/>
      <c r="O512" s="6"/>
      <c r="P512" s="6"/>
      <c r="Q512" s="6"/>
    </row>
    <row r="513" spans="2:17" ht="15.5" x14ac:dyDescent="0.35">
      <c r="B513" s="5"/>
      <c r="C513" s="6"/>
      <c r="D513" s="7"/>
      <c r="E513" s="6"/>
      <c r="F513" s="6"/>
      <c r="G513" s="8"/>
      <c r="H513" s="6"/>
      <c r="I513" s="6"/>
      <c r="J513" s="6"/>
      <c r="K513" s="6"/>
      <c r="L513" s="6"/>
      <c r="M513" s="6"/>
      <c r="N513" s="6"/>
      <c r="O513" s="6"/>
      <c r="P513" s="6"/>
      <c r="Q513" s="6"/>
    </row>
    <row r="514" spans="2:17" ht="15.5" x14ac:dyDescent="0.35">
      <c r="B514" s="5"/>
      <c r="C514" s="6"/>
      <c r="D514" s="7"/>
      <c r="E514" s="6"/>
      <c r="F514" s="6"/>
      <c r="G514" s="8"/>
      <c r="H514" s="6"/>
      <c r="I514" s="6"/>
      <c r="J514" s="6"/>
      <c r="K514" s="6"/>
      <c r="L514" s="6"/>
      <c r="M514" s="6"/>
      <c r="N514" s="6"/>
      <c r="O514" s="6"/>
      <c r="P514" s="6"/>
      <c r="Q514" s="6"/>
    </row>
    <row r="515" spans="2:17" ht="15.5" x14ac:dyDescent="0.35">
      <c r="B515" s="5"/>
      <c r="C515" s="6"/>
      <c r="D515" s="7"/>
      <c r="E515" s="6"/>
      <c r="F515" s="6"/>
      <c r="G515" s="8"/>
      <c r="H515" s="6"/>
      <c r="I515" s="6"/>
      <c r="J515" s="6"/>
      <c r="K515" s="6"/>
      <c r="L515" s="6"/>
      <c r="M515" s="6"/>
      <c r="N515" s="6"/>
      <c r="O515" s="6"/>
      <c r="P515" s="6"/>
      <c r="Q515" s="6"/>
    </row>
    <row r="516" spans="2:17" ht="15.5" x14ac:dyDescent="0.35">
      <c r="B516" s="5"/>
      <c r="C516" s="6"/>
      <c r="D516" s="7"/>
      <c r="E516" s="6"/>
      <c r="F516" s="6"/>
      <c r="G516" s="8"/>
      <c r="H516" s="6"/>
      <c r="I516" s="6"/>
      <c r="J516" s="6"/>
      <c r="K516" s="6"/>
      <c r="L516" s="6"/>
      <c r="M516" s="6"/>
      <c r="N516" s="6"/>
      <c r="O516" s="6"/>
      <c r="P516" s="6"/>
      <c r="Q516" s="6"/>
    </row>
    <row r="517" spans="2:17" ht="15.5" x14ac:dyDescent="0.35">
      <c r="B517" s="5"/>
      <c r="C517" s="6"/>
      <c r="D517" s="7"/>
      <c r="E517" s="6"/>
      <c r="F517" s="6"/>
      <c r="G517" s="8"/>
      <c r="H517" s="6"/>
      <c r="I517" s="6"/>
      <c r="J517" s="6"/>
      <c r="K517" s="6"/>
      <c r="L517" s="6"/>
      <c r="M517" s="6"/>
      <c r="N517" s="6"/>
      <c r="O517" s="6"/>
      <c r="P517" s="6"/>
      <c r="Q517" s="6"/>
    </row>
    <row r="518" spans="2:17" ht="15.5" x14ac:dyDescent="0.35">
      <c r="B518" s="5"/>
      <c r="C518" s="6"/>
      <c r="D518" s="7"/>
      <c r="E518" s="6"/>
      <c r="F518" s="6"/>
      <c r="G518" s="8"/>
      <c r="H518" s="6"/>
      <c r="I518" s="6"/>
      <c r="J518" s="6"/>
      <c r="K518" s="6"/>
      <c r="L518" s="6"/>
      <c r="M518" s="6"/>
      <c r="N518" s="6"/>
      <c r="O518" s="6"/>
      <c r="P518" s="6"/>
      <c r="Q518" s="6"/>
    </row>
    <row r="519" spans="2:17" ht="15.5" x14ac:dyDescent="0.35">
      <c r="B519" s="5"/>
      <c r="C519" s="6"/>
      <c r="D519" s="7"/>
      <c r="E519" s="6"/>
      <c r="F519" s="6"/>
      <c r="G519" s="8"/>
      <c r="H519" s="6"/>
      <c r="I519" s="6"/>
      <c r="J519" s="6"/>
      <c r="K519" s="6"/>
      <c r="L519" s="6"/>
      <c r="M519" s="6"/>
      <c r="N519" s="6"/>
      <c r="O519" s="6"/>
      <c r="P519" s="6"/>
      <c r="Q519" s="6"/>
    </row>
    <row r="520" spans="2:17" ht="15.5" x14ac:dyDescent="0.35">
      <c r="B520" s="5"/>
      <c r="C520" s="6"/>
      <c r="D520" s="7"/>
      <c r="E520" s="6"/>
      <c r="F520" s="6"/>
      <c r="G520" s="8"/>
      <c r="H520" s="6"/>
      <c r="I520" s="6"/>
      <c r="J520" s="6"/>
      <c r="K520" s="6"/>
      <c r="L520" s="6"/>
      <c r="M520" s="6"/>
      <c r="N520" s="6"/>
      <c r="O520" s="6"/>
      <c r="P520" s="6"/>
      <c r="Q520" s="6"/>
    </row>
    <row r="521" spans="2:17" ht="15.5" x14ac:dyDescent="0.35">
      <c r="B521" s="5"/>
      <c r="C521" s="6"/>
      <c r="D521" s="7"/>
      <c r="E521" s="6"/>
      <c r="F521" s="6"/>
      <c r="G521" s="8"/>
      <c r="H521" s="6"/>
      <c r="I521" s="6"/>
      <c r="J521" s="6"/>
      <c r="K521" s="6"/>
      <c r="L521" s="6"/>
      <c r="M521" s="6"/>
      <c r="N521" s="6"/>
      <c r="O521" s="6"/>
      <c r="P521" s="6"/>
      <c r="Q521" s="6"/>
    </row>
    <row r="522" spans="2:17" ht="15.5" x14ac:dyDescent="0.35">
      <c r="B522" s="5"/>
      <c r="C522" s="6"/>
      <c r="D522" s="7"/>
      <c r="E522" s="6"/>
      <c r="F522" s="6"/>
      <c r="G522" s="8"/>
      <c r="H522" s="6"/>
      <c r="I522" s="6"/>
      <c r="J522" s="6"/>
      <c r="K522" s="6"/>
      <c r="L522" s="6"/>
      <c r="M522" s="6"/>
      <c r="N522" s="6"/>
      <c r="O522" s="6"/>
      <c r="P522" s="6"/>
      <c r="Q522" s="6"/>
    </row>
    <row r="523" spans="2:17" ht="15.5" x14ac:dyDescent="0.35">
      <c r="B523" s="5"/>
      <c r="C523" s="6"/>
      <c r="D523" s="7"/>
      <c r="E523" s="6"/>
      <c r="F523" s="6"/>
      <c r="G523" s="8"/>
      <c r="H523" s="6"/>
      <c r="I523" s="6"/>
      <c r="J523" s="6"/>
      <c r="K523" s="6"/>
      <c r="L523" s="6"/>
      <c r="M523" s="6"/>
      <c r="N523" s="6"/>
      <c r="O523" s="6"/>
      <c r="P523" s="6"/>
      <c r="Q523" s="6"/>
    </row>
    <row r="524" spans="2:17" ht="15.5" x14ac:dyDescent="0.35">
      <c r="B524" s="5"/>
      <c r="C524" s="6"/>
      <c r="D524" s="7"/>
      <c r="E524" s="6"/>
      <c r="F524" s="6"/>
      <c r="G524" s="8"/>
      <c r="H524" s="6"/>
      <c r="I524" s="6"/>
      <c r="J524" s="6"/>
      <c r="K524" s="6"/>
      <c r="L524" s="6"/>
      <c r="M524" s="6"/>
      <c r="N524" s="6"/>
      <c r="O524" s="6"/>
      <c r="P524" s="6"/>
      <c r="Q524" s="6"/>
    </row>
    <row r="525" spans="2:17" ht="15.5" x14ac:dyDescent="0.35">
      <c r="B525" s="5"/>
      <c r="C525" s="6"/>
      <c r="D525" s="7"/>
      <c r="E525" s="6"/>
      <c r="F525" s="6"/>
      <c r="G525" s="8"/>
      <c r="H525" s="6"/>
      <c r="I525" s="6"/>
      <c r="J525" s="6"/>
      <c r="K525" s="6"/>
      <c r="L525" s="6"/>
      <c r="M525" s="6"/>
      <c r="N525" s="6"/>
      <c r="O525" s="6"/>
      <c r="P525" s="6"/>
      <c r="Q525" s="6"/>
    </row>
    <row r="526" spans="2:17" ht="15.5" x14ac:dyDescent="0.35">
      <c r="B526" s="5"/>
      <c r="C526" s="6"/>
      <c r="D526" s="7"/>
      <c r="E526" s="6"/>
      <c r="F526" s="6"/>
      <c r="G526" s="8"/>
      <c r="H526" s="6"/>
      <c r="I526" s="6"/>
      <c r="J526" s="6"/>
      <c r="K526" s="6"/>
      <c r="L526" s="6"/>
      <c r="M526" s="6"/>
      <c r="N526" s="6"/>
      <c r="O526" s="6"/>
      <c r="P526" s="6"/>
      <c r="Q526" s="6"/>
    </row>
    <row r="527" spans="2:17" ht="15.5" x14ac:dyDescent="0.35">
      <c r="B527" s="5"/>
      <c r="C527" s="6"/>
      <c r="D527" s="7"/>
      <c r="E527" s="6"/>
      <c r="F527" s="6"/>
      <c r="G527" s="8"/>
      <c r="H527" s="6"/>
      <c r="I527" s="6"/>
      <c r="J527" s="6"/>
      <c r="K527" s="6"/>
      <c r="L527" s="6"/>
      <c r="M527" s="6"/>
      <c r="N527" s="6"/>
      <c r="O527" s="6"/>
      <c r="P527" s="6"/>
      <c r="Q527" s="6"/>
    </row>
    <row r="528" spans="2:17" ht="15.5" x14ac:dyDescent="0.35">
      <c r="B528" s="5"/>
      <c r="C528" s="6"/>
      <c r="D528" s="7"/>
      <c r="E528" s="6"/>
      <c r="F528" s="6"/>
      <c r="G528" s="8"/>
      <c r="H528" s="6"/>
      <c r="I528" s="6"/>
      <c r="J528" s="6"/>
      <c r="K528" s="6"/>
      <c r="L528" s="6"/>
      <c r="M528" s="6"/>
      <c r="N528" s="6"/>
      <c r="O528" s="6"/>
      <c r="P528" s="6"/>
      <c r="Q528" s="6"/>
    </row>
    <row r="529" spans="2:17" ht="15.5" x14ac:dyDescent="0.35">
      <c r="B529" s="5"/>
      <c r="C529" s="6"/>
      <c r="D529" s="7"/>
      <c r="E529" s="6"/>
      <c r="F529" s="6"/>
      <c r="G529" s="8"/>
      <c r="H529" s="6"/>
      <c r="I529" s="6"/>
      <c r="J529" s="6"/>
      <c r="K529" s="6"/>
      <c r="L529" s="6"/>
      <c r="M529" s="6"/>
      <c r="N529" s="6"/>
      <c r="O529" s="6"/>
      <c r="P529" s="6"/>
      <c r="Q529" s="6"/>
    </row>
    <row r="530" spans="2:17" ht="15.5" x14ac:dyDescent="0.35">
      <c r="B530" s="5"/>
      <c r="C530" s="6"/>
      <c r="D530" s="7"/>
      <c r="E530" s="6"/>
      <c r="F530" s="6"/>
      <c r="G530" s="8"/>
      <c r="H530" s="6"/>
      <c r="I530" s="6"/>
      <c r="J530" s="6"/>
      <c r="K530" s="6"/>
      <c r="L530" s="6"/>
      <c r="M530" s="6"/>
      <c r="N530" s="6"/>
      <c r="O530" s="6"/>
      <c r="P530" s="6"/>
      <c r="Q530" s="6"/>
    </row>
    <row r="531" spans="2:17" ht="15.5" x14ac:dyDescent="0.35">
      <c r="B531" s="5"/>
      <c r="C531" s="6"/>
      <c r="D531" s="7"/>
      <c r="E531" s="6"/>
      <c r="F531" s="6"/>
      <c r="G531" s="8"/>
      <c r="H531" s="6"/>
      <c r="I531" s="6"/>
      <c r="J531" s="6"/>
      <c r="K531" s="6"/>
      <c r="L531" s="6"/>
      <c r="M531" s="6"/>
      <c r="N531" s="6"/>
      <c r="O531" s="6"/>
      <c r="P531" s="6"/>
      <c r="Q531" s="6"/>
    </row>
    <row r="532" spans="2:17" ht="15.5" x14ac:dyDescent="0.35">
      <c r="B532" s="5"/>
      <c r="C532" s="6"/>
      <c r="D532" s="7"/>
      <c r="E532" s="6"/>
      <c r="F532" s="6"/>
      <c r="G532" s="8"/>
      <c r="H532" s="6"/>
      <c r="I532" s="6"/>
      <c r="J532" s="6"/>
      <c r="K532" s="6"/>
      <c r="L532" s="6"/>
      <c r="M532" s="6"/>
      <c r="N532" s="6"/>
      <c r="O532" s="6"/>
      <c r="P532" s="6"/>
      <c r="Q532" s="6"/>
    </row>
    <row r="533" spans="2:17" ht="15.5" x14ac:dyDescent="0.35">
      <c r="B533" s="5"/>
      <c r="C533" s="6"/>
      <c r="D533" s="7"/>
      <c r="E533" s="6"/>
      <c r="F533" s="6"/>
      <c r="G533" s="8"/>
      <c r="H533" s="6"/>
      <c r="I533" s="6"/>
      <c r="J533" s="6"/>
      <c r="K533" s="6"/>
      <c r="L533" s="6"/>
      <c r="M533" s="6"/>
      <c r="N533" s="6"/>
      <c r="O533" s="6"/>
      <c r="P533" s="6"/>
      <c r="Q533" s="6"/>
    </row>
    <row r="534" spans="2:17" ht="15.5" x14ac:dyDescent="0.35">
      <c r="B534" s="5"/>
      <c r="C534" s="6"/>
      <c r="D534" s="7"/>
      <c r="E534" s="6"/>
      <c r="F534" s="6"/>
      <c r="G534" s="8"/>
      <c r="H534" s="6"/>
      <c r="I534" s="6"/>
      <c r="J534" s="6"/>
      <c r="K534" s="6"/>
      <c r="L534" s="6"/>
      <c r="M534" s="6"/>
      <c r="N534" s="6"/>
      <c r="O534" s="6"/>
      <c r="P534" s="6"/>
      <c r="Q534" s="6"/>
    </row>
    <row r="535" spans="2:17" ht="15.5" x14ac:dyDescent="0.35">
      <c r="B535" s="5"/>
      <c r="C535" s="6"/>
      <c r="D535" s="7"/>
      <c r="E535" s="6"/>
      <c r="F535" s="6"/>
      <c r="G535" s="8"/>
      <c r="H535" s="6"/>
      <c r="I535" s="6"/>
      <c r="J535" s="6"/>
      <c r="K535" s="6"/>
      <c r="L535" s="6"/>
      <c r="M535" s="6"/>
      <c r="N535" s="6"/>
      <c r="O535" s="6"/>
      <c r="P535" s="6"/>
      <c r="Q535" s="6"/>
    </row>
    <row r="536" spans="2:17" ht="15.5" x14ac:dyDescent="0.35">
      <c r="B536" s="5"/>
      <c r="C536" s="6"/>
      <c r="D536" s="7"/>
      <c r="E536" s="6"/>
      <c r="F536" s="6"/>
      <c r="G536" s="8"/>
      <c r="H536" s="6"/>
      <c r="I536" s="6"/>
      <c r="J536" s="6"/>
      <c r="K536" s="6"/>
      <c r="L536" s="6"/>
      <c r="M536" s="6"/>
      <c r="N536" s="6"/>
      <c r="O536" s="6"/>
      <c r="P536" s="6"/>
      <c r="Q536" s="6"/>
    </row>
    <row r="537" spans="2:17" ht="15.5" x14ac:dyDescent="0.35">
      <c r="B537" s="5"/>
      <c r="C537" s="6"/>
      <c r="D537" s="7"/>
      <c r="E537" s="6"/>
      <c r="F537" s="6"/>
      <c r="G537" s="8"/>
      <c r="H537" s="6"/>
      <c r="I537" s="6"/>
      <c r="J537" s="6"/>
      <c r="K537" s="6"/>
      <c r="L537" s="6"/>
      <c r="M537" s="6"/>
      <c r="N537" s="6"/>
      <c r="O537" s="6"/>
      <c r="P537" s="6"/>
      <c r="Q537" s="6"/>
    </row>
    <row r="538" spans="2:17" ht="15.5" x14ac:dyDescent="0.35">
      <c r="B538" s="5"/>
      <c r="C538" s="6"/>
      <c r="D538" s="7"/>
      <c r="E538" s="6"/>
      <c r="F538" s="6"/>
      <c r="G538" s="8"/>
      <c r="H538" s="6"/>
      <c r="I538" s="6"/>
      <c r="J538" s="6"/>
      <c r="K538" s="6"/>
      <c r="L538" s="6"/>
      <c r="M538" s="6"/>
      <c r="N538" s="6"/>
      <c r="O538" s="6"/>
      <c r="P538" s="6"/>
      <c r="Q538" s="6"/>
    </row>
    <row r="539" spans="2:17" ht="15.5" x14ac:dyDescent="0.35">
      <c r="B539" s="5"/>
      <c r="C539" s="6"/>
      <c r="D539" s="7"/>
      <c r="E539" s="6"/>
      <c r="F539" s="6"/>
      <c r="G539" s="8"/>
      <c r="H539" s="6"/>
      <c r="I539" s="6"/>
      <c r="J539" s="6"/>
      <c r="K539" s="6"/>
      <c r="L539" s="6"/>
      <c r="M539" s="6"/>
      <c r="N539" s="6"/>
      <c r="O539" s="6"/>
      <c r="P539" s="6"/>
      <c r="Q539" s="6"/>
    </row>
    <row r="540" spans="2:17" ht="15.5" x14ac:dyDescent="0.35">
      <c r="B540" s="5"/>
      <c r="C540" s="6"/>
      <c r="D540" s="7"/>
      <c r="E540" s="6"/>
      <c r="F540" s="6"/>
      <c r="G540" s="8"/>
      <c r="H540" s="6"/>
      <c r="I540" s="6"/>
      <c r="J540" s="6"/>
      <c r="K540" s="6"/>
      <c r="L540" s="6"/>
      <c r="M540" s="6"/>
      <c r="N540" s="6"/>
      <c r="O540" s="6"/>
      <c r="P540" s="6"/>
      <c r="Q540" s="6"/>
    </row>
    <row r="541" spans="2:17" ht="15.5" x14ac:dyDescent="0.35">
      <c r="B541" s="5"/>
      <c r="C541" s="6"/>
      <c r="D541" s="7"/>
      <c r="E541" s="6"/>
      <c r="F541" s="6"/>
      <c r="G541" s="8"/>
      <c r="H541" s="6"/>
      <c r="I541" s="6"/>
      <c r="J541" s="6"/>
      <c r="K541" s="6"/>
      <c r="L541" s="6"/>
      <c r="M541" s="6"/>
      <c r="N541" s="6"/>
      <c r="O541" s="6"/>
      <c r="P541" s="6"/>
      <c r="Q541" s="6"/>
    </row>
    <row r="542" spans="2:17" ht="15.5" x14ac:dyDescent="0.35">
      <c r="B542" s="5"/>
      <c r="C542" s="6"/>
      <c r="D542" s="7"/>
      <c r="E542" s="6"/>
      <c r="F542" s="6"/>
      <c r="G542" s="8"/>
      <c r="H542" s="6"/>
      <c r="I542" s="6"/>
      <c r="J542" s="6"/>
      <c r="K542" s="6"/>
      <c r="L542" s="6"/>
      <c r="M542" s="6"/>
      <c r="N542" s="6"/>
      <c r="O542" s="6"/>
      <c r="P542" s="6"/>
      <c r="Q542" s="6"/>
    </row>
    <row r="543" spans="2:17" ht="15.5" x14ac:dyDescent="0.35">
      <c r="B543" s="5"/>
      <c r="C543" s="6"/>
      <c r="D543" s="7"/>
      <c r="E543" s="6"/>
      <c r="F543" s="6"/>
      <c r="G543" s="8"/>
      <c r="H543" s="6"/>
      <c r="I543" s="6"/>
      <c r="J543" s="6"/>
      <c r="K543" s="6"/>
      <c r="L543" s="6"/>
      <c r="M543" s="6"/>
      <c r="N543" s="6"/>
      <c r="O543" s="6"/>
      <c r="P543" s="6"/>
      <c r="Q543" s="6"/>
    </row>
    <row r="544" spans="2:17" ht="15.5" x14ac:dyDescent="0.35">
      <c r="B544" s="5"/>
      <c r="C544" s="6"/>
      <c r="D544" s="7"/>
      <c r="E544" s="6"/>
      <c r="F544" s="6"/>
      <c r="G544" s="8"/>
      <c r="H544" s="6"/>
      <c r="I544" s="6"/>
      <c r="J544" s="6"/>
      <c r="K544" s="6"/>
      <c r="L544" s="6"/>
      <c r="M544" s="6"/>
      <c r="N544" s="6"/>
      <c r="O544" s="6"/>
      <c r="P544" s="6"/>
      <c r="Q544" s="6"/>
    </row>
    <row r="545" spans="2:17" ht="15.5" x14ac:dyDescent="0.35">
      <c r="B545" s="5"/>
      <c r="C545" s="6"/>
      <c r="D545" s="7"/>
      <c r="E545" s="6"/>
      <c r="F545" s="6"/>
      <c r="G545" s="8"/>
      <c r="H545" s="6"/>
      <c r="I545" s="6"/>
      <c r="J545" s="6"/>
      <c r="K545" s="6"/>
      <c r="L545" s="6"/>
      <c r="M545" s="6"/>
      <c r="N545" s="6"/>
      <c r="O545" s="6"/>
      <c r="P545" s="6"/>
      <c r="Q545" s="6"/>
    </row>
    <row r="546" spans="2:17" ht="15.5" x14ac:dyDescent="0.35">
      <c r="B546" s="5"/>
      <c r="C546" s="6"/>
      <c r="D546" s="7"/>
      <c r="E546" s="6"/>
      <c r="F546" s="6"/>
      <c r="G546" s="8"/>
      <c r="H546" s="6"/>
      <c r="I546" s="6"/>
      <c r="J546" s="6"/>
      <c r="K546" s="6"/>
      <c r="L546" s="6"/>
      <c r="M546" s="6"/>
      <c r="N546" s="6"/>
      <c r="O546" s="6"/>
      <c r="P546" s="6"/>
      <c r="Q546" s="6"/>
    </row>
    <row r="547" spans="2:17" ht="15.5" x14ac:dyDescent="0.35">
      <c r="B547" s="5"/>
      <c r="C547" s="6"/>
      <c r="D547" s="7"/>
      <c r="E547" s="6"/>
      <c r="F547" s="6"/>
      <c r="G547" s="8"/>
      <c r="H547" s="6"/>
      <c r="I547" s="6"/>
      <c r="J547" s="6"/>
      <c r="K547" s="6"/>
      <c r="L547" s="6"/>
      <c r="M547" s="6"/>
      <c r="N547" s="6"/>
      <c r="O547" s="6"/>
      <c r="P547" s="6"/>
      <c r="Q547" s="6"/>
    </row>
    <row r="548" spans="2:17" ht="15.5" x14ac:dyDescent="0.35">
      <c r="B548" s="5"/>
      <c r="C548" s="6"/>
      <c r="D548" s="7"/>
      <c r="E548" s="6"/>
      <c r="F548" s="6"/>
      <c r="G548" s="8"/>
      <c r="H548" s="6"/>
      <c r="I548" s="6"/>
      <c r="J548" s="6"/>
      <c r="K548" s="6"/>
      <c r="L548" s="6"/>
      <c r="M548" s="6"/>
      <c r="N548" s="6"/>
      <c r="O548" s="6"/>
      <c r="P548" s="6"/>
      <c r="Q548" s="6"/>
    </row>
    <row r="549" spans="2:17" ht="15.5" x14ac:dyDescent="0.35">
      <c r="B549" s="5"/>
      <c r="C549" s="6"/>
      <c r="D549" s="7"/>
      <c r="E549" s="6"/>
      <c r="F549" s="6"/>
      <c r="G549" s="8"/>
      <c r="H549" s="6"/>
      <c r="I549" s="6"/>
      <c r="J549" s="6"/>
      <c r="K549" s="6"/>
      <c r="L549" s="6"/>
      <c r="M549" s="6"/>
      <c r="N549" s="6"/>
      <c r="O549" s="6"/>
      <c r="P549" s="6"/>
      <c r="Q549" s="6"/>
    </row>
    <row r="550" spans="2:17" ht="15.5" x14ac:dyDescent="0.35">
      <c r="B550" s="5"/>
      <c r="C550" s="6"/>
      <c r="D550" s="7"/>
      <c r="E550" s="6"/>
      <c r="F550" s="6"/>
      <c r="G550" s="8"/>
      <c r="H550" s="6"/>
      <c r="I550" s="6"/>
      <c r="J550" s="6"/>
      <c r="K550" s="6"/>
      <c r="L550" s="6"/>
      <c r="M550" s="6"/>
      <c r="N550" s="6"/>
      <c r="O550" s="6"/>
      <c r="P550" s="6"/>
      <c r="Q550" s="6"/>
    </row>
    <row r="551" spans="2:17" ht="15.5" x14ac:dyDescent="0.35">
      <c r="B551" s="5"/>
      <c r="C551" s="6"/>
      <c r="D551" s="7"/>
      <c r="E551" s="6"/>
      <c r="F551" s="6"/>
      <c r="G551" s="8"/>
      <c r="H551" s="6"/>
      <c r="I551" s="6"/>
      <c r="J551" s="6"/>
      <c r="K551" s="6"/>
      <c r="L551" s="6"/>
      <c r="M551" s="6"/>
      <c r="N551" s="6"/>
      <c r="O551" s="6"/>
      <c r="P551" s="6"/>
      <c r="Q551" s="6"/>
    </row>
    <row r="552" spans="2:17" ht="15.5" x14ac:dyDescent="0.35">
      <c r="B552" s="5"/>
      <c r="C552" s="6"/>
      <c r="D552" s="7"/>
      <c r="E552" s="6"/>
      <c r="F552" s="6"/>
      <c r="G552" s="8"/>
      <c r="H552" s="6"/>
      <c r="I552" s="6"/>
      <c r="J552" s="6"/>
      <c r="K552" s="6"/>
      <c r="L552" s="6"/>
      <c r="M552" s="6"/>
      <c r="N552" s="6"/>
      <c r="O552" s="6"/>
      <c r="P552" s="6"/>
      <c r="Q552" s="6"/>
    </row>
    <row r="553" spans="2:17" ht="15.5" x14ac:dyDescent="0.35">
      <c r="B553" s="5"/>
      <c r="C553" s="6"/>
      <c r="D553" s="7"/>
      <c r="E553" s="6"/>
      <c r="F553" s="6"/>
      <c r="G553" s="8"/>
      <c r="H553" s="6"/>
      <c r="I553" s="6"/>
      <c r="J553" s="6"/>
      <c r="K553" s="6"/>
      <c r="L553" s="6"/>
      <c r="M553" s="6"/>
      <c r="N553" s="6"/>
      <c r="O553" s="6"/>
      <c r="P553" s="6"/>
      <c r="Q553" s="6"/>
    </row>
    <row r="554" spans="2:17" ht="15.5" x14ac:dyDescent="0.35">
      <c r="B554" s="5"/>
      <c r="C554" s="6"/>
      <c r="D554" s="7"/>
      <c r="E554" s="6"/>
      <c r="F554" s="6"/>
      <c r="G554" s="8"/>
      <c r="H554" s="6"/>
      <c r="I554" s="6"/>
      <c r="J554" s="6"/>
      <c r="K554" s="6"/>
      <c r="L554" s="6"/>
      <c r="M554" s="6"/>
      <c r="N554" s="6"/>
      <c r="O554" s="6"/>
      <c r="P554" s="6"/>
      <c r="Q554" s="6"/>
    </row>
    <row r="555" spans="2:17" ht="15.5" x14ac:dyDescent="0.35">
      <c r="B555" s="5"/>
      <c r="C555" s="6"/>
      <c r="D555" s="7"/>
      <c r="E555" s="6"/>
      <c r="F555" s="6"/>
      <c r="G555" s="8"/>
      <c r="H555" s="6"/>
      <c r="I555" s="6"/>
      <c r="J555" s="6"/>
      <c r="K555" s="6"/>
      <c r="L555" s="6"/>
      <c r="M555" s="6"/>
      <c r="N555" s="6"/>
      <c r="O555" s="6"/>
      <c r="P555" s="6"/>
      <c r="Q555" s="6"/>
    </row>
    <row r="556" spans="2:17" ht="15.5" x14ac:dyDescent="0.35">
      <c r="B556" s="5"/>
      <c r="C556" s="6"/>
      <c r="D556" s="7"/>
      <c r="E556" s="6"/>
      <c r="F556" s="6"/>
      <c r="G556" s="8"/>
      <c r="H556" s="6"/>
      <c r="I556" s="6"/>
      <c r="J556" s="6"/>
      <c r="K556" s="6"/>
      <c r="L556" s="6"/>
      <c r="M556" s="6"/>
      <c r="N556" s="6"/>
      <c r="O556" s="6"/>
      <c r="P556" s="6"/>
      <c r="Q556" s="6"/>
    </row>
    <row r="557" spans="2:17" ht="15.5" x14ac:dyDescent="0.35">
      <c r="B557" s="5"/>
      <c r="C557" s="6"/>
      <c r="D557" s="7"/>
      <c r="E557" s="6"/>
      <c r="F557" s="6"/>
      <c r="G557" s="8"/>
      <c r="H557" s="6"/>
      <c r="I557" s="6"/>
      <c r="J557" s="6"/>
      <c r="K557" s="6"/>
      <c r="L557" s="6"/>
      <c r="M557" s="6"/>
      <c r="N557" s="6"/>
      <c r="O557" s="6"/>
      <c r="P557" s="6"/>
      <c r="Q557" s="6"/>
    </row>
    <row r="558" spans="2:17" ht="15.5" x14ac:dyDescent="0.35">
      <c r="B558" s="5"/>
      <c r="C558" s="6"/>
      <c r="D558" s="7"/>
      <c r="E558" s="6"/>
      <c r="F558" s="6"/>
      <c r="G558" s="8"/>
      <c r="H558" s="6"/>
      <c r="I558" s="6"/>
      <c r="J558" s="6"/>
      <c r="K558" s="6"/>
      <c r="L558" s="6"/>
      <c r="M558" s="6"/>
      <c r="N558" s="6"/>
      <c r="O558" s="6"/>
      <c r="P558" s="6"/>
      <c r="Q558" s="6"/>
    </row>
    <row r="559" spans="2:17" ht="15.5" x14ac:dyDescent="0.35">
      <c r="B559" s="5"/>
      <c r="C559" s="6"/>
      <c r="D559" s="7"/>
      <c r="E559" s="6"/>
      <c r="F559" s="6"/>
      <c r="G559" s="8"/>
      <c r="H559" s="6"/>
      <c r="I559" s="6"/>
      <c r="J559" s="6"/>
      <c r="K559" s="6"/>
      <c r="L559" s="6"/>
      <c r="M559" s="6"/>
      <c r="N559" s="6"/>
      <c r="O559" s="6"/>
      <c r="P559" s="6"/>
      <c r="Q559" s="6"/>
    </row>
    <row r="560" spans="2:17" ht="15.5" x14ac:dyDescent="0.35">
      <c r="B560" s="5"/>
      <c r="C560" s="6"/>
      <c r="D560" s="7"/>
      <c r="E560" s="6"/>
      <c r="F560" s="6"/>
      <c r="G560" s="8"/>
      <c r="H560" s="6"/>
      <c r="I560" s="6"/>
      <c r="J560" s="6"/>
      <c r="K560" s="6"/>
      <c r="L560" s="6"/>
      <c r="M560" s="6"/>
      <c r="N560" s="6"/>
      <c r="O560" s="6"/>
      <c r="P560" s="6"/>
      <c r="Q560" s="6"/>
    </row>
    <row r="561" spans="2:17" ht="15.5" x14ac:dyDescent="0.35">
      <c r="B561" s="5"/>
      <c r="C561" s="6"/>
      <c r="D561" s="7"/>
      <c r="E561" s="6"/>
      <c r="F561" s="6"/>
      <c r="G561" s="8"/>
      <c r="H561" s="6"/>
      <c r="I561" s="6"/>
      <c r="J561" s="6"/>
      <c r="K561" s="6"/>
      <c r="L561" s="6"/>
      <c r="M561" s="6"/>
      <c r="N561" s="6"/>
      <c r="O561" s="6"/>
      <c r="P561" s="6"/>
      <c r="Q561" s="6"/>
    </row>
    <row r="562" spans="2:17" ht="15.5" x14ac:dyDescent="0.35">
      <c r="B562" s="5"/>
      <c r="C562" s="6"/>
      <c r="D562" s="7"/>
      <c r="E562" s="6"/>
      <c r="F562" s="6"/>
      <c r="G562" s="8"/>
      <c r="H562" s="6"/>
      <c r="I562" s="6"/>
      <c r="J562" s="6"/>
      <c r="K562" s="6"/>
      <c r="L562" s="6"/>
      <c r="M562" s="6"/>
      <c r="N562" s="6"/>
      <c r="O562" s="6"/>
      <c r="P562" s="6"/>
      <c r="Q562" s="6"/>
    </row>
    <row r="563" spans="2:17" ht="15.5" x14ac:dyDescent="0.35">
      <c r="B563" s="5"/>
      <c r="C563" s="6"/>
      <c r="D563" s="7"/>
      <c r="E563" s="6"/>
      <c r="F563" s="6"/>
      <c r="G563" s="8"/>
      <c r="H563" s="6"/>
      <c r="I563" s="6"/>
      <c r="J563" s="6"/>
      <c r="K563" s="6"/>
      <c r="L563" s="6"/>
      <c r="M563" s="6"/>
      <c r="N563" s="6"/>
      <c r="O563" s="6"/>
      <c r="P563" s="6"/>
      <c r="Q563" s="6"/>
    </row>
    <row r="564" spans="2:17" ht="15.5" x14ac:dyDescent="0.35">
      <c r="B564" s="5"/>
      <c r="C564" s="6"/>
      <c r="D564" s="7"/>
      <c r="E564" s="6"/>
      <c r="F564" s="6"/>
      <c r="G564" s="8"/>
      <c r="H564" s="6"/>
      <c r="I564" s="6"/>
      <c r="J564" s="6"/>
      <c r="K564" s="6"/>
      <c r="L564" s="6"/>
      <c r="M564" s="6"/>
      <c r="N564" s="6"/>
      <c r="O564" s="6"/>
      <c r="P564" s="6"/>
      <c r="Q564" s="6"/>
    </row>
    <row r="565" spans="2:17" ht="15.5" x14ac:dyDescent="0.35">
      <c r="B565" s="5"/>
      <c r="C565" s="6"/>
      <c r="D565" s="7"/>
      <c r="E565" s="6"/>
      <c r="F565" s="6"/>
      <c r="G565" s="8"/>
      <c r="H565" s="6"/>
      <c r="I565" s="6"/>
      <c r="J565" s="6"/>
      <c r="K565" s="6"/>
      <c r="L565" s="6"/>
      <c r="M565" s="6"/>
      <c r="N565" s="6"/>
      <c r="O565" s="6"/>
      <c r="P565" s="6"/>
      <c r="Q565" s="6"/>
    </row>
    <row r="566" spans="2:17" ht="15.5" x14ac:dyDescent="0.35">
      <c r="B566" s="5"/>
      <c r="C566" s="6"/>
      <c r="D566" s="7"/>
      <c r="E566" s="6"/>
      <c r="F566" s="6"/>
      <c r="G566" s="8"/>
      <c r="H566" s="6"/>
      <c r="I566" s="6"/>
      <c r="J566" s="6"/>
      <c r="K566" s="6"/>
      <c r="L566" s="6"/>
      <c r="M566" s="6"/>
      <c r="N566" s="6"/>
      <c r="O566" s="6"/>
      <c r="P566" s="6"/>
      <c r="Q566" s="6"/>
    </row>
    <row r="567" spans="2:17" ht="15.5" x14ac:dyDescent="0.35">
      <c r="B567" s="5"/>
      <c r="C567" s="6"/>
      <c r="D567" s="7"/>
      <c r="E567" s="6"/>
      <c r="F567" s="6"/>
      <c r="G567" s="8"/>
      <c r="H567" s="6"/>
      <c r="I567" s="6"/>
      <c r="J567" s="6"/>
      <c r="K567" s="6"/>
      <c r="L567" s="6"/>
      <c r="M567" s="6"/>
      <c r="N567" s="6"/>
      <c r="O567" s="6"/>
      <c r="P567" s="6"/>
      <c r="Q567" s="6"/>
    </row>
    <row r="568" spans="2:17" ht="15.5" x14ac:dyDescent="0.35">
      <c r="B568" s="5"/>
      <c r="C568" s="6"/>
      <c r="D568" s="7"/>
      <c r="E568" s="6"/>
      <c r="F568" s="6"/>
      <c r="G568" s="8"/>
      <c r="H568" s="6"/>
      <c r="I568" s="6"/>
      <c r="J568" s="6"/>
      <c r="K568" s="6"/>
      <c r="L568" s="6"/>
      <c r="M568" s="6"/>
      <c r="N568" s="6"/>
      <c r="O568" s="6"/>
      <c r="P568" s="6"/>
      <c r="Q568" s="6"/>
    </row>
    <row r="569" spans="2:17" ht="15.5" x14ac:dyDescent="0.35">
      <c r="B569" s="5"/>
      <c r="C569" s="6"/>
      <c r="D569" s="7"/>
      <c r="E569" s="6"/>
      <c r="F569" s="6"/>
      <c r="G569" s="8"/>
      <c r="H569" s="6"/>
      <c r="I569" s="6"/>
      <c r="J569" s="6"/>
      <c r="K569" s="6"/>
      <c r="L569" s="6"/>
      <c r="M569" s="6"/>
      <c r="N569" s="6"/>
      <c r="O569" s="6"/>
      <c r="P569" s="6"/>
      <c r="Q569" s="6"/>
    </row>
    <row r="570" spans="2:17" ht="15.5" x14ac:dyDescent="0.35">
      <c r="B570" s="5"/>
      <c r="C570" s="6"/>
      <c r="D570" s="7"/>
      <c r="E570" s="6"/>
      <c r="F570" s="6"/>
      <c r="G570" s="8"/>
      <c r="H570" s="6"/>
      <c r="I570" s="6"/>
      <c r="J570" s="6"/>
      <c r="K570" s="6"/>
      <c r="L570" s="6"/>
      <c r="M570" s="6"/>
      <c r="N570" s="6"/>
      <c r="O570" s="6"/>
      <c r="P570" s="6"/>
      <c r="Q570" s="6"/>
    </row>
    <row r="571" spans="2:17" ht="15.5" x14ac:dyDescent="0.35">
      <c r="B571" s="5"/>
      <c r="C571" s="6"/>
      <c r="D571" s="7"/>
      <c r="E571" s="6"/>
      <c r="F571" s="6"/>
      <c r="G571" s="8"/>
      <c r="H571" s="6"/>
      <c r="I571" s="6"/>
      <c r="J571" s="6"/>
      <c r="K571" s="6"/>
      <c r="L571" s="6"/>
      <c r="M571" s="6"/>
      <c r="N571" s="6"/>
      <c r="O571" s="6"/>
      <c r="P571" s="6"/>
      <c r="Q571" s="6"/>
    </row>
    <row r="572" spans="2:17" ht="15.5" x14ac:dyDescent="0.35">
      <c r="B572" s="5"/>
      <c r="C572" s="6"/>
      <c r="D572" s="7"/>
      <c r="E572" s="6"/>
      <c r="F572" s="6"/>
      <c r="G572" s="8"/>
      <c r="H572" s="6"/>
      <c r="I572" s="6"/>
      <c r="J572" s="6"/>
      <c r="K572" s="6"/>
      <c r="L572" s="6"/>
      <c r="M572" s="6"/>
      <c r="N572" s="6"/>
      <c r="O572" s="6"/>
      <c r="P572" s="6"/>
      <c r="Q572" s="6"/>
    </row>
    <row r="573" spans="2:17" ht="15.5" x14ac:dyDescent="0.35">
      <c r="B573" s="5"/>
      <c r="C573" s="6"/>
      <c r="D573" s="7"/>
      <c r="E573" s="6"/>
      <c r="F573" s="6"/>
      <c r="G573" s="8"/>
      <c r="H573" s="6"/>
      <c r="I573" s="6"/>
      <c r="J573" s="6"/>
      <c r="K573" s="6"/>
      <c r="L573" s="6"/>
      <c r="M573" s="6"/>
      <c r="N573" s="6"/>
      <c r="O573" s="6"/>
      <c r="P573" s="6"/>
      <c r="Q573" s="6"/>
    </row>
    <row r="574" spans="2:17" ht="15.5" x14ac:dyDescent="0.35">
      <c r="B574" s="5"/>
      <c r="C574" s="6"/>
      <c r="D574" s="7"/>
      <c r="E574" s="6"/>
      <c r="F574" s="6"/>
      <c r="G574" s="8"/>
      <c r="H574" s="6"/>
      <c r="I574" s="6"/>
      <c r="J574" s="6"/>
      <c r="K574" s="6"/>
      <c r="L574" s="6"/>
      <c r="M574" s="6"/>
      <c r="N574" s="6"/>
      <c r="O574" s="6"/>
      <c r="P574" s="6"/>
      <c r="Q574" s="6"/>
    </row>
    <row r="575" spans="2:17" ht="15.5" x14ac:dyDescent="0.35">
      <c r="B575" s="5"/>
      <c r="C575" s="6"/>
      <c r="D575" s="7"/>
      <c r="E575" s="6"/>
      <c r="F575" s="6"/>
      <c r="G575" s="8"/>
      <c r="H575" s="6"/>
      <c r="I575" s="6"/>
      <c r="J575" s="6"/>
      <c r="K575" s="6"/>
      <c r="L575" s="6"/>
      <c r="M575" s="6"/>
      <c r="N575" s="6"/>
      <c r="O575" s="6"/>
      <c r="P575" s="6"/>
      <c r="Q575" s="6"/>
    </row>
    <row r="576" spans="2:17" ht="15.5" x14ac:dyDescent="0.35">
      <c r="B576" s="5"/>
      <c r="C576" s="6"/>
      <c r="D576" s="7"/>
      <c r="E576" s="6"/>
      <c r="F576" s="6"/>
      <c r="G576" s="8"/>
      <c r="H576" s="6"/>
      <c r="I576" s="6"/>
      <c r="J576" s="6"/>
      <c r="K576" s="6"/>
      <c r="L576" s="6"/>
      <c r="M576" s="6"/>
      <c r="N576" s="6"/>
      <c r="O576" s="6"/>
      <c r="P576" s="6"/>
      <c r="Q576" s="6"/>
    </row>
    <row r="577" spans="2:17" ht="15.5" x14ac:dyDescent="0.35">
      <c r="B577" s="5"/>
      <c r="C577" s="6"/>
      <c r="D577" s="7"/>
      <c r="E577" s="6"/>
      <c r="F577" s="6"/>
      <c r="G577" s="8"/>
      <c r="H577" s="6"/>
      <c r="I577" s="6"/>
      <c r="J577" s="6"/>
      <c r="K577" s="6"/>
      <c r="L577" s="6"/>
      <c r="M577" s="6"/>
      <c r="N577" s="6"/>
      <c r="O577" s="6"/>
      <c r="P577" s="6"/>
      <c r="Q577" s="6"/>
    </row>
    <row r="578" spans="2:17" ht="15.5" x14ac:dyDescent="0.35">
      <c r="B578" s="5"/>
      <c r="C578" s="6"/>
      <c r="D578" s="7"/>
      <c r="E578" s="6"/>
      <c r="F578" s="6"/>
      <c r="G578" s="8"/>
      <c r="H578" s="6"/>
      <c r="I578" s="6"/>
      <c r="J578" s="6"/>
      <c r="K578" s="6"/>
      <c r="L578" s="6"/>
      <c r="M578" s="6"/>
      <c r="N578" s="6"/>
      <c r="O578" s="6"/>
      <c r="P578" s="6"/>
      <c r="Q578" s="6"/>
    </row>
    <row r="579" spans="2:17" ht="15.5" x14ac:dyDescent="0.35">
      <c r="B579" s="5"/>
      <c r="C579" s="6"/>
      <c r="D579" s="7"/>
      <c r="E579" s="6"/>
      <c r="F579" s="6"/>
      <c r="G579" s="8"/>
      <c r="H579" s="6"/>
      <c r="I579" s="6"/>
      <c r="J579" s="6"/>
      <c r="K579" s="6"/>
      <c r="L579" s="6"/>
      <c r="M579" s="6"/>
      <c r="N579" s="6"/>
      <c r="O579" s="6"/>
      <c r="P579" s="6"/>
      <c r="Q579" s="6"/>
    </row>
    <row r="580" spans="2:17" ht="15.5" x14ac:dyDescent="0.35">
      <c r="B580" s="5"/>
      <c r="C580" s="6"/>
      <c r="D580" s="7"/>
      <c r="E580" s="6"/>
      <c r="F580" s="6"/>
      <c r="G580" s="8"/>
      <c r="H580" s="6"/>
      <c r="I580" s="6"/>
      <c r="J580" s="6"/>
      <c r="K580" s="6"/>
      <c r="L580" s="6"/>
      <c r="M580" s="6"/>
      <c r="N580" s="6"/>
      <c r="O580" s="6"/>
      <c r="P580" s="6"/>
      <c r="Q580" s="6"/>
    </row>
    <row r="581" spans="2:17" ht="15.5" x14ac:dyDescent="0.35">
      <c r="B581" s="5"/>
      <c r="C581" s="6"/>
      <c r="D581" s="7"/>
      <c r="E581" s="6"/>
      <c r="F581" s="6"/>
      <c r="G581" s="8"/>
      <c r="H581" s="6"/>
      <c r="I581" s="6"/>
      <c r="J581" s="6"/>
      <c r="K581" s="6"/>
      <c r="L581" s="6"/>
      <c r="M581" s="6"/>
      <c r="N581" s="6"/>
      <c r="O581" s="6"/>
      <c r="P581" s="6"/>
      <c r="Q581" s="6"/>
    </row>
    <row r="582" spans="2:17" ht="15.5" x14ac:dyDescent="0.35">
      <c r="B582" s="5"/>
      <c r="C582" s="6"/>
      <c r="D582" s="7"/>
      <c r="E582" s="6"/>
      <c r="F582" s="6"/>
      <c r="G582" s="8"/>
      <c r="H582" s="6"/>
      <c r="I582" s="6"/>
      <c r="J582" s="6"/>
      <c r="K582" s="6"/>
      <c r="L582" s="6"/>
      <c r="M582" s="6"/>
      <c r="N582" s="6"/>
      <c r="O582" s="6"/>
      <c r="P582" s="6"/>
      <c r="Q582" s="6"/>
    </row>
    <row r="583" spans="2:17" ht="15.5" x14ac:dyDescent="0.35">
      <c r="B583" s="5"/>
      <c r="C583" s="6"/>
      <c r="D583" s="7"/>
      <c r="E583" s="6"/>
      <c r="F583" s="6"/>
      <c r="G583" s="8"/>
      <c r="H583" s="6"/>
      <c r="I583" s="6"/>
      <c r="J583" s="6"/>
      <c r="K583" s="6"/>
      <c r="L583" s="6"/>
      <c r="M583" s="6"/>
      <c r="N583" s="6"/>
      <c r="O583" s="6"/>
      <c r="P583" s="6"/>
      <c r="Q583" s="6"/>
    </row>
    <row r="584" spans="2:17" ht="15.5" x14ac:dyDescent="0.35">
      <c r="B584" s="5"/>
      <c r="C584" s="6"/>
      <c r="D584" s="7"/>
      <c r="E584" s="6"/>
      <c r="F584" s="6"/>
      <c r="G584" s="8"/>
      <c r="H584" s="6"/>
      <c r="I584" s="6"/>
      <c r="J584" s="6"/>
      <c r="K584" s="6"/>
      <c r="L584" s="6"/>
      <c r="M584" s="6"/>
      <c r="N584" s="6"/>
      <c r="O584" s="6"/>
      <c r="P584" s="6"/>
      <c r="Q584" s="6"/>
    </row>
    <row r="585" spans="2:17" ht="15.5" x14ac:dyDescent="0.35">
      <c r="B585" s="5"/>
      <c r="C585" s="6"/>
      <c r="D585" s="7"/>
      <c r="E585" s="6"/>
      <c r="F585" s="6"/>
      <c r="G585" s="8"/>
      <c r="H585" s="6"/>
      <c r="I585" s="6"/>
      <c r="J585" s="6"/>
      <c r="K585" s="6"/>
      <c r="L585" s="6"/>
      <c r="M585" s="6"/>
      <c r="N585" s="6"/>
      <c r="O585" s="6"/>
      <c r="P585" s="6"/>
      <c r="Q585" s="6"/>
    </row>
    <row r="586" spans="2:17" ht="15.5" x14ac:dyDescent="0.35">
      <c r="B586" s="5"/>
      <c r="C586" s="6"/>
      <c r="D586" s="7"/>
      <c r="E586" s="6"/>
      <c r="F586" s="6"/>
      <c r="G586" s="8"/>
      <c r="H586" s="6"/>
      <c r="I586" s="6"/>
      <c r="J586" s="6"/>
      <c r="K586" s="6"/>
      <c r="L586" s="6"/>
      <c r="M586" s="6"/>
      <c r="N586" s="6"/>
      <c r="O586" s="6"/>
      <c r="P586" s="6"/>
      <c r="Q586" s="6"/>
    </row>
    <row r="587" spans="2:17" ht="15.5" x14ac:dyDescent="0.35">
      <c r="B587" s="5"/>
      <c r="C587" s="6"/>
      <c r="D587" s="7"/>
      <c r="E587" s="6"/>
      <c r="F587" s="6"/>
      <c r="G587" s="8"/>
      <c r="H587" s="6"/>
      <c r="I587" s="6"/>
      <c r="J587" s="6"/>
      <c r="K587" s="6"/>
      <c r="L587" s="6"/>
      <c r="M587" s="6"/>
      <c r="N587" s="6"/>
      <c r="O587" s="6"/>
      <c r="P587" s="6"/>
      <c r="Q587" s="6"/>
    </row>
    <row r="588" spans="2:17" ht="15.5" x14ac:dyDescent="0.35">
      <c r="B588" s="5"/>
      <c r="C588" s="6"/>
      <c r="D588" s="7"/>
      <c r="E588" s="6"/>
      <c r="F588" s="6"/>
      <c r="G588" s="8"/>
      <c r="H588" s="6"/>
      <c r="I588" s="6"/>
      <c r="J588" s="6"/>
      <c r="K588" s="6"/>
      <c r="L588" s="6"/>
      <c r="M588" s="6"/>
      <c r="N588" s="6"/>
      <c r="O588" s="6"/>
      <c r="P588" s="6"/>
      <c r="Q588" s="6"/>
    </row>
    <row r="589" spans="2:17" ht="15.5" x14ac:dyDescent="0.35">
      <c r="B589" s="5"/>
      <c r="C589" s="6"/>
      <c r="D589" s="7"/>
      <c r="E589" s="6"/>
      <c r="F589" s="6"/>
      <c r="G589" s="8"/>
      <c r="H589" s="6"/>
      <c r="I589" s="6"/>
      <c r="J589" s="6"/>
      <c r="K589" s="6"/>
      <c r="L589" s="6"/>
      <c r="M589" s="6"/>
      <c r="N589" s="6"/>
      <c r="O589" s="6"/>
      <c r="P589" s="6"/>
      <c r="Q589" s="6"/>
    </row>
    <row r="590" spans="2:17" ht="15.5" x14ac:dyDescent="0.35">
      <c r="B590" s="5"/>
      <c r="C590" s="6"/>
      <c r="D590" s="7"/>
      <c r="E590" s="6"/>
      <c r="F590" s="6"/>
      <c r="G590" s="8"/>
      <c r="H590" s="6"/>
      <c r="I590" s="6"/>
      <c r="J590" s="6"/>
      <c r="K590" s="6"/>
      <c r="L590" s="6"/>
      <c r="M590" s="6"/>
      <c r="N590" s="6"/>
      <c r="O590" s="6"/>
      <c r="P590" s="6"/>
      <c r="Q590" s="6"/>
    </row>
    <row r="591" spans="2:17" ht="15.5" x14ac:dyDescent="0.35">
      <c r="B591" s="5"/>
      <c r="C591" s="6"/>
      <c r="D591" s="7"/>
      <c r="E591" s="6"/>
      <c r="F591" s="6"/>
      <c r="G591" s="8"/>
      <c r="H591" s="6"/>
      <c r="I591" s="6"/>
      <c r="J591" s="6"/>
      <c r="K591" s="6"/>
      <c r="L591" s="6"/>
      <c r="M591" s="6"/>
      <c r="N591" s="6"/>
      <c r="O591" s="6"/>
      <c r="P591" s="6"/>
      <c r="Q591" s="6"/>
    </row>
    <row r="592" spans="2:17" ht="15.5" x14ac:dyDescent="0.35">
      <c r="B592" s="5"/>
      <c r="C592" s="6"/>
      <c r="D592" s="7"/>
      <c r="E592" s="6"/>
      <c r="F592" s="6"/>
      <c r="G592" s="8"/>
      <c r="H592" s="6"/>
      <c r="I592" s="6"/>
      <c r="J592" s="6"/>
      <c r="K592" s="6"/>
      <c r="L592" s="6"/>
      <c r="M592" s="6"/>
      <c r="N592" s="6"/>
      <c r="O592" s="6"/>
      <c r="P592" s="6"/>
      <c r="Q592" s="6"/>
    </row>
    <row r="593" spans="2:17" ht="15.5" x14ac:dyDescent="0.35">
      <c r="B593" s="5"/>
      <c r="C593" s="6"/>
      <c r="D593" s="7"/>
      <c r="E593" s="6"/>
      <c r="F593" s="6"/>
      <c r="G593" s="8"/>
      <c r="H593" s="6"/>
      <c r="I593" s="6"/>
      <c r="J593" s="6"/>
      <c r="K593" s="6"/>
      <c r="L593" s="6"/>
      <c r="M593" s="6"/>
      <c r="N593" s="6"/>
      <c r="O593" s="6"/>
      <c r="P593" s="6"/>
      <c r="Q593" s="6"/>
    </row>
    <row r="594" spans="2:17" ht="15.5" x14ac:dyDescent="0.35">
      <c r="B594" s="5"/>
      <c r="C594" s="6"/>
      <c r="D594" s="7"/>
      <c r="E594" s="6"/>
      <c r="F594" s="6"/>
      <c r="G594" s="8"/>
      <c r="H594" s="6"/>
      <c r="I594" s="6"/>
      <c r="J594" s="6"/>
      <c r="K594" s="6"/>
      <c r="L594" s="6"/>
      <c r="M594" s="6"/>
      <c r="N594" s="6"/>
      <c r="O594" s="6"/>
      <c r="P594" s="6"/>
      <c r="Q594" s="6"/>
    </row>
    <row r="595" spans="2:17" ht="15.5" x14ac:dyDescent="0.35">
      <c r="B595" s="5"/>
      <c r="C595" s="6"/>
      <c r="D595" s="7"/>
      <c r="E595" s="6"/>
      <c r="F595" s="6"/>
      <c r="G595" s="8"/>
      <c r="H595" s="6"/>
      <c r="I595" s="6"/>
      <c r="J595" s="6"/>
      <c r="K595" s="6"/>
      <c r="L595" s="6"/>
      <c r="M595" s="6"/>
      <c r="N595" s="6"/>
      <c r="O595" s="6"/>
      <c r="P595" s="6"/>
      <c r="Q595" s="6"/>
    </row>
    <row r="596" spans="2:17" ht="15.5" x14ac:dyDescent="0.35">
      <c r="B596" s="5"/>
      <c r="C596" s="6"/>
      <c r="D596" s="7"/>
      <c r="E596" s="6"/>
      <c r="F596" s="6"/>
      <c r="G596" s="8"/>
      <c r="H596" s="6"/>
      <c r="I596" s="6"/>
      <c r="J596" s="6"/>
      <c r="K596" s="6"/>
      <c r="L596" s="6"/>
      <c r="M596" s="6"/>
      <c r="N596" s="6"/>
      <c r="O596" s="6"/>
      <c r="P596" s="6"/>
      <c r="Q596" s="6"/>
    </row>
    <row r="597" spans="2:17" ht="15.5" x14ac:dyDescent="0.35">
      <c r="B597" s="5"/>
      <c r="C597" s="6"/>
      <c r="D597" s="7"/>
      <c r="E597" s="6"/>
      <c r="F597" s="6"/>
      <c r="G597" s="8"/>
      <c r="H597" s="6"/>
      <c r="I597" s="6"/>
      <c r="J597" s="6"/>
      <c r="K597" s="6"/>
      <c r="L597" s="6"/>
      <c r="M597" s="6"/>
      <c r="N597" s="6"/>
      <c r="O597" s="6"/>
      <c r="P597" s="6"/>
      <c r="Q597" s="6"/>
    </row>
    <row r="598" spans="2:17" ht="15.5" x14ac:dyDescent="0.35">
      <c r="B598" s="5"/>
      <c r="C598" s="6"/>
      <c r="D598" s="7"/>
      <c r="E598" s="6"/>
      <c r="F598" s="6"/>
      <c r="G598" s="8"/>
      <c r="H598" s="6"/>
      <c r="I598" s="6"/>
      <c r="J598" s="6"/>
      <c r="K598" s="6"/>
      <c r="L598" s="6"/>
      <c r="M598" s="6"/>
      <c r="N598" s="6"/>
      <c r="O598" s="6"/>
      <c r="P598" s="6"/>
      <c r="Q598" s="6"/>
    </row>
    <row r="599" spans="2:17" ht="15.5" x14ac:dyDescent="0.35">
      <c r="B599" s="5"/>
      <c r="C599" s="6"/>
      <c r="D599" s="7"/>
      <c r="E599" s="6"/>
      <c r="F599" s="6"/>
      <c r="G599" s="8"/>
      <c r="H599" s="6"/>
      <c r="I599" s="6"/>
      <c r="J599" s="6"/>
      <c r="K599" s="6"/>
      <c r="L599" s="6"/>
      <c r="M599" s="6"/>
      <c r="N599" s="6"/>
      <c r="O599" s="6"/>
      <c r="P599" s="6"/>
      <c r="Q599" s="6"/>
    </row>
    <row r="600" spans="2:17" ht="15.5" x14ac:dyDescent="0.35">
      <c r="B600" s="5"/>
      <c r="C600" s="6"/>
      <c r="D600" s="7"/>
      <c r="E600" s="6"/>
      <c r="F600" s="6"/>
      <c r="G600" s="8"/>
      <c r="H600" s="6"/>
      <c r="I600" s="6"/>
      <c r="J600" s="6"/>
      <c r="K600" s="6"/>
      <c r="L600" s="6"/>
      <c r="M600" s="6"/>
      <c r="N600" s="6"/>
      <c r="O600" s="6"/>
      <c r="P600" s="6"/>
      <c r="Q600" s="6"/>
    </row>
    <row r="601" spans="2:17" ht="15.5" x14ac:dyDescent="0.35">
      <c r="B601" s="5"/>
      <c r="C601" s="6"/>
      <c r="D601" s="7"/>
      <c r="E601" s="6"/>
      <c r="F601" s="6"/>
      <c r="G601" s="8"/>
      <c r="H601" s="6"/>
      <c r="I601" s="6"/>
      <c r="J601" s="6"/>
      <c r="K601" s="6"/>
      <c r="L601" s="6"/>
      <c r="M601" s="6"/>
      <c r="N601" s="6"/>
      <c r="O601" s="6"/>
      <c r="P601" s="6"/>
      <c r="Q601" s="6"/>
    </row>
    <row r="602" spans="2:17" ht="15.5" x14ac:dyDescent="0.35">
      <c r="B602" s="5"/>
      <c r="C602" s="6"/>
      <c r="D602" s="7"/>
      <c r="E602" s="6"/>
      <c r="F602" s="6"/>
      <c r="G602" s="8"/>
      <c r="H602" s="6"/>
      <c r="I602" s="6"/>
      <c r="J602" s="6"/>
      <c r="K602" s="6"/>
      <c r="L602" s="6"/>
      <c r="M602" s="6"/>
      <c r="N602" s="6"/>
      <c r="O602" s="6"/>
      <c r="P602" s="6"/>
      <c r="Q602" s="6"/>
    </row>
    <row r="603" spans="2:17" ht="15.5" x14ac:dyDescent="0.35">
      <c r="B603" s="5"/>
      <c r="C603" s="6"/>
      <c r="D603" s="7"/>
      <c r="E603" s="6"/>
      <c r="F603" s="6"/>
      <c r="G603" s="8"/>
      <c r="H603" s="6"/>
      <c r="I603" s="6"/>
      <c r="J603" s="6"/>
      <c r="K603" s="6"/>
      <c r="L603" s="6"/>
      <c r="M603" s="6"/>
      <c r="N603" s="6"/>
      <c r="O603" s="6"/>
      <c r="P603" s="6"/>
      <c r="Q603" s="6"/>
    </row>
    <row r="604" spans="2:17" ht="15.5" x14ac:dyDescent="0.35">
      <c r="B604" s="5"/>
      <c r="C604" s="6"/>
      <c r="D604" s="7"/>
      <c r="E604" s="6"/>
      <c r="F604" s="6"/>
      <c r="G604" s="8"/>
      <c r="H604" s="6"/>
      <c r="I604" s="6"/>
      <c r="J604" s="6"/>
      <c r="K604" s="6"/>
      <c r="L604" s="6"/>
      <c r="M604" s="6"/>
      <c r="N604" s="6"/>
      <c r="O604" s="6"/>
      <c r="P604" s="6"/>
      <c r="Q604" s="6"/>
    </row>
    <row r="605" spans="2:17" ht="15.5" x14ac:dyDescent="0.35">
      <c r="B605" s="5"/>
      <c r="C605" s="6"/>
      <c r="D605" s="7"/>
      <c r="E605" s="6"/>
      <c r="F605" s="6"/>
      <c r="G605" s="8"/>
      <c r="H605" s="6"/>
      <c r="I605" s="6"/>
      <c r="J605" s="6"/>
      <c r="K605" s="6"/>
      <c r="L605" s="6"/>
      <c r="M605" s="6"/>
      <c r="N605" s="6"/>
      <c r="O605" s="6"/>
      <c r="P605" s="6"/>
      <c r="Q605" s="6"/>
    </row>
    <row r="606" spans="2:17" ht="15.5" x14ac:dyDescent="0.35">
      <c r="B606" s="5"/>
      <c r="C606" s="6"/>
      <c r="D606" s="7"/>
      <c r="E606" s="6"/>
      <c r="F606" s="6"/>
      <c r="G606" s="8"/>
      <c r="H606" s="6"/>
      <c r="I606" s="6"/>
      <c r="J606" s="6"/>
      <c r="K606" s="6"/>
      <c r="L606" s="6"/>
      <c r="M606" s="6"/>
      <c r="N606" s="6"/>
      <c r="O606" s="6"/>
      <c r="P606" s="6"/>
      <c r="Q606" s="6"/>
    </row>
    <row r="607" spans="2:17" ht="15.5" x14ac:dyDescent="0.35">
      <c r="B607" s="5"/>
      <c r="C607" s="6"/>
      <c r="D607" s="7"/>
      <c r="E607" s="6"/>
      <c r="F607" s="6"/>
      <c r="G607" s="8"/>
      <c r="H607" s="6"/>
      <c r="I607" s="6"/>
      <c r="J607" s="6"/>
      <c r="K607" s="6"/>
      <c r="L607" s="6"/>
      <c r="M607" s="6"/>
      <c r="N607" s="6"/>
      <c r="O607" s="6"/>
      <c r="P607" s="6"/>
      <c r="Q607" s="6"/>
    </row>
    <row r="608" spans="2:17" ht="15.5" x14ac:dyDescent="0.35">
      <c r="B608" s="5"/>
      <c r="C608" s="6"/>
      <c r="D608" s="7"/>
      <c r="E608" s="6"/>
      <c r="F608" s="6"/>
      <c r="G608" s="8"/>
      <c r="H608" s="6"/>
      <c r="I608" s="6"/>
      <c r="J608" s="6"/>
      <c r="K608" s="6"/>
      <c r="L608" s="6"/>
      <c r="M608" s="6"/>
      <c r="N608" s="6"/>
      <c r="O608" s="6"/>
      <c r="P608" s="6"/>
      <c r="Q608" s="6"/>
    </row>
    <row r="609" spans="2:17" ht="15.5" x14ac:dyDescent="0.35">
      <c r="B609" s="5"/>
      <c r="C609" s="6"/>
      <c r="D609" s="7"/>
      <c r="E609" s="6"/>
      <c r="F609" s="6"/>
      <c r="G609" s="8"/>
      <c r="H609" s="6"/>
      <c r="I609" s="6"/>
      <c r="J609" s="6"/>
      <c r="K609" s="6"/>
      <c r="L609" s="6"/>
      <c r="M609" s="6"/>
      <c r="N609" s="6"/>
      <c r="O609" s="6"/>
      <c r="P609" s="6"/>
      <c r="Q609" s="6"/>
    </row>
    <row r="610" spans="2:17" ht="15.5" x14ac:dyDescent="0.35">
      <c r="B610" s="5"/>
      <c r="C610" s="6"/>
      <c r="D610" s="7"/>
      <c r="E610" s="6"/>
      <c r="F610" s="6"/>
      <c r="G610" s="8"/>
      <c r="H610" s="6"/>
      <c r="I610" s="6"/>
      <c r="J610" s="6"/>
      <c r="K610" s="6"/>
      <c r="L610" s="6"/>
      <c r="M610" s="6"/>
      <c r="N610" s="6"/>
      <c r="O610" s="6"/>
      <c r="P610" s="6"/>
      <c r="Q610" s="6"/>
    </row>
    <row r="611" spans="2:17" ht="15.5" x14ac:dyDescent="0.35">
      <c r="B611" s="5"/>
      <c r="C611" s="6"/>
      <c r="D611" s="7"/>
      <c r="E611" s="6"/>
      <c r="F611" s="6"/>
      <c r="G611" s="8"/>
      <c r="H611" s="6"/>
      <c r="I611" s="6"/>
      <c r="J611" s="6"/>
      <c r="K611" s="6"/>
      <c r="L611" s="6"/>
      <c r="M611" s="6"/>
      <c r="N611" s="6"/>
      <c r="O611" s="6"/>
      <c r="P611" s="6"/>
      <c r="Q611" s="6"/>
    </row>
    <row r="612" spans="2:17" ht="15.5" x14ac:dyDescent="0.35">
      <c r="B612" s="5"/>
      <c r="C612" s="6"/>
      <c r="D612" s="7"/>
      <c r="E612" s="6"/>
      <c r="F612" s="6"/>
      <c r="G612" s="8"/>
      <c r="H612" s="6"/>
      <c r="I612" s="6"/>
      <c r="J612" s="6"/>
      <c r="K612" s="6"/>
      <c r="L612" s="6"/>
      <c r="M612" s="6"/>
      <c r="N612" s="6"/>
      <c r="O612" s="6"/>
      <c r="P612" s="6"/>
      <c r="Q612" s="6"/>
    </row>
    <row r="613" spans="2:17" ht="15.5" x14ac:dyDescent="0.35">
      <c r="B613" s="5"/>
      <c r="C613" s="6"/>
      <c r="D613" s="7"/>
      <c r="E613" s="6"/>
      <c r="F613" s="6"/>
      <c r="G613" s="8"/>
      <c r="H613" s="6"/>
      <c r="I613" s="6"/>
      <c r="J613" s="6"/>
      <c r="K613" s="6"/>
      <c r="L613" s="6"/>
      <c r="M613" s="6"/>
      <c r="N613" s="6"/>
      <c r="O613" s="6"/>
      <c r="P613" s="6"/>
      <c r="Q613" s="6"/>
    </row>
    <row r="614" spans="2:17" ht="15.5" x14ac:dyDescent="0.35">
      <c r="B614" s="5"/>
      <c r="C614" s="6"/>
      <c r="D614" s="7"/>
      <c r="E614" s="6"/>
      <c r="F614" s="6"/>
      <c r="G614" s="8"/>
      <c r="H614" s="6"/>
      <c r="I614" s="6"/>
      <c r="J614" s="6"/>
      <c r="K614" s="6"/>
      <c r="L614" s="6"/>
      <c r="M614" s="6"/>
      <c r="N614" s="6"/>
      <c r="O614" s="6"/>
      <c r="P614" s="6"/>
      <c r="Q614" s="6"/>
    </row>
    <row r="615" spans="2:17" ht="15.5" x14ac:dyDescent="0.35">
      <c r="B615" s="5"/>
      <c r="C615" s="6"/>
      <c r="D615" s="7"/>
      <c r="E615" s="6"/>
      <c r="F615" s="6"/>
      <c r="G615" s="8"/>
      <c r="H615" s="6"/>
      <c r="I615" s="6"/>
      <c r="J615" s="6"/>
      <c r="K615" s="6"/>
      <c r="L615" s="6"/>
      <c r="M615" s="6"/>
      <c r="N615" s="6"/>
      <c r="O615" s="6"/>
      <c r="P615" s="6"/>
      <c r="Q615" s="6"/>
    </row>
    <row r="616" spans="2:17" ht="15.5" x14ac:dyDescent="0.35">
      <c r="B616" s="5"/>
      <c r="C616" s="6"/>
      <c r="D616" s="7"/>
      <c r="E616" s="6"/>
      <c r="F616" s="6"/>
      <c r="G616" s="8"/>
      <c r="H616" s="6"/>
      <c r="I616" s="6"/>
      <c r="J616" s="6"/>
      <c r="K616" s="6"/>
      <c r="L616" s="6"/>
      <c r="M616" s="6"/>
      <c r="N616" s="6"/>
      <c r="O616" s="6"/>
      <c r="P616" s="6"/>
      <c r="Q616" s="6"/>
    </row>
    <row r="617" spans="2:17" ht="15.5" x14ac:dyDescent="0.35">
      <c r="B617" s="5"/>
      <c r="C617" s="6"/>
      <c r="D617" s="7"/>
      <c r="E617" s="6"/>
      <c r="F617" s="6"/>
      <c r="G617" s="8"/>
      <c r="H617" s="6"/>
      <c r="I617" s="6"/>
      <c r="J617" s="6"/>
      <c r="K617" s="6"/>
      <c r="L617" s="6"/>
      <c r="M617" s="6"/>
      <c r="N617" s="6"/>
      <c r="O617" s="6"/>
      <c r="P617" s="6"/>
      <c r="Q617" s="6"/>
    </row>
    <row r="618" spans="2:17" ht="15.5" x14ac:dyDescent="0.35">
      <c r="B618" s="5"/>
      <c r="C618" s="6"/>
      <c r="D618" s="7"/>
      <c r="E618" s="6"/>
      <c r="F618" s="6"/>
      <c r="G618" s="8"/>
      <c r="H618" s="6"/>
      <c r="I618" s="6"/>
      <c r="J618" s="6"/>
      <c r="K618" s="6"/>
      <c r="L618" s="6"/>
      <c r="M618" s="6"/>
      <c r="N618" s="6"/>
      <c r="O618" s="6"/>
      <c r="P618" s="6"/>
      <c r="Q618" s="6"/>
    </row>
    <row r="619" spans="2:17" ht="15.5" x14ac:dyDescent="0.35">
      <c r="B619" s="5"/>
      <c r="C619" s="6"/>
      <c r="D619" s="7"/>
      <c r="E619" s="6"/>
      <c r="F619" s="6"/>
      <c r="G619" s="8"/>
      <c r="H619" s="6"/>
      <c r="I619" s="6"/>
      <c r="J619" s="6"/>
      <c r="K619" s="6"/>
      <c r="L619" s="6"/>
      <c r="M619" s="6"/>
      <c r="N619" s="6"/>
      <c r="O619" s="6"/>
      <c r="P619" s="6"/>
      <c r="Q619" s="6"/>
    </row>
    <row r="620" spans="2:17" ht="15.5" x14ac:dyDescent="0.35">
      <c r="B620" s="5"/>
      <c r="C620" s="6"/>
      <c r="D620" s="7"/>
      <c r="E620" s="6"/>
      <c r="F620" s="6"/>
      <c r="G620" s="8"/>
      <c r="H620" s="6"/>
      <c r="I620" s="6"/>
      <c r="J620" s="6"/>
      <c r="K620" s="6"/>
      <c r="L620" s="6"/>
      <c r="M620" s="6"/>
      <c r="N620" s="6"/>
      <c r="O620" s="6"/>
      <c r="P620" s="6"/>
      <c r="Q620" s="6"/>
    </row>
    <row r="621" spans="2:17" ht="15.5" x14ac:dyDescent="0.35">
      <c r="B621" s="5"/>
      <c r="C621" s="6"/>
      <c r="D621" s="7"/>
      <c r="E621" s="6"/>
      <c r="F621" s="6"/>
      <c r="G621" s="8"/>
      <c r="H621" s="6"/>
      <c r="I621" s="6"/>
      <c r="J621" s="6"/>
      <c r="K621" s="6"/>
      <c r="L621" s="6"/>
      <c r="M621" s="6"/>
      <c r="N621" s="6"/>
      <c r="O621" s="6"/>
      <c r="P621" s="6"/>
      <c r="Q621" s="6"/>
    </row>
    <row r="622" spans="2:17" ht="15.5" x14ac:dyDescent="0.35">
      <c r="B622" s="5"/>
      <c r="C622" s="6"/>
      <c r="D622" s="7"/>
      <c r="E622" s="6"/>
      <c r="F622" s="6"/>
      <c r="G622" s="8"/>
      <c r="H622" s="6"/>
      <c r="I622" s="6"/>
      <c r="J622" s="6"/>
      <c r="K622" s="6"/>
      <c r="L622" s="6"/>
      <c r="M622" s="6"/>
      <c r="N622" s="6"/>
      <c r="O622" s="6"/>
      <c r="P622" s="6"/>
      <c r="Q622" s="6"/>
    </row>
    <row r="623" spans="2:17" ht="15.5" x14ac:dyDescent="0.35">
      <c r="B623" s="5"/>
      <c r="C623" s="6"/>
      <c r="D623" s="7"/>
      <c r="E623" s="6"/>
      <c r="F623" s="6"/>
      <c r="G623" s="8"/>
      <c r="H623" s="6"/>
      <c r="I623" s="6"/>
      <c r="J623" s="6"/>
      <c r="K623" s="6"/>
      <c r="L623" s="6"/>
      <c r="M623" s="6"/>
      <c r="N623" s="6"/>
      <c r="O623" s="6"/>
      <c r="P623" s="6"/>
      <c r="Q623" s="6"/>
    </row>
    <row r="624" spans="2:17" ht="15.5" x14ac:dyDescent="0.35">
      <c r="B624" s="5"/>
      <c r="C624" s="6"/>
      <c r="D624" s="7"/>
      <c r="E624" s="6"/>
      <c r="F624" s="6"/>
      <c r="G624" s="8"/>
      <c r="H624" s="6"/>
      <c r="I624" s="6"/>
      <c r="J624" s="6"/>
      <c r="K624" s="6"/>
      <c r="L624" s="6"/>
      <c r="M624" s="6"/>
      <c r="N624" s="6"/>
      <c r="O624" s="6"/>
      <c r="P624" s="6"/>
      <c r="Q624" s="6"/>
    </row>
    <row r="625" spans="2:17" ht="15.5" x14ac:dyDescent="0.35">
      <c r="B625" s="5"/>
      <c r="C625" s="6"/>
      <c r="D625" s="7"/>
      <c r="E625" s="6"/>
      <c r="F625" s="6"/>
      <c r="G625" s="8"/>
      <c r="H625" s="6"/>
      <c r="I625" s="6"/>
      <c r="J625" s="6"/>
      <c r="K625" s="6"/>
      <c r="L625" s="6"/>
      <c r="M625" s="6"/>
      <c r="N625" s="6"/>
      <c r="O625" s="6"/>
      <c r="P625" s="6"/>
      <c r="Q625" s="6"/>
    </row>
    <row r="626" spans="2:17" ht="15.5" x14ac:dyDescent="0.35">
      <c r="B626" s="5"/>
      <c r="C626" s="6"/>
      <c r="D626" s="7"/>
      <c r="E626" s="6"/>
      <c r="F626" s="6"/>
      <c r="G626" s="8"/>
      <c r="H626" s="6"/>
      <c r="I626" s="6"/>
      <c r="J626" s="6"/>
      <c r="K626" s="6"/>
      <c r="L626" s="6"/>
      <c r="M626" s="6"/>
      <c r="N626" s="6"/>
      <c r="O626" s="6"/>
      <c r="P626" s="6"/>
      <c r="Q626" s="6"/>
    </row>
    <row r="627" spans="2:17" ht="15.5" x14ac:dyDescent="0.35">
      <c r="B627" s="5"/>
      <c r="C627" s="6"/>
      <c r="D627" s="7"/>
      <c r="E627" s="6"/>
      <c r="F627" s="6"/>
      <c r="G627" s="8"/>
      <c r="H627" s="6"/>
      <c r="I627" s="6"/>
      <c r="J627" s="6"/>
      <c r="K627" s="6"/>
      <c r="L627" s="6"/>
      <c r="M627" s="6"/>
      <c r="N627" s="6"/>
      <c r="O627" s="6"/>
      <c r="P627" s="6"/>
      <c r="Q627" s="6"/>
    </row>
    <row r="628" spans="2:17" ht="15.5" x14ac:dyDescent="0.35">
      <c r="B628" s="5"/>
      <c r="C628" s="6"/>
      <c r="D628" s="7"/>
      <c r="E628" s="6"/>
      <c r="F628" s="6"/>
      <c r="G628" s="8"/>
      <c r="H628" s="6"/>
      <c r="I628" s="6"/>
      <c r="J628" s="6"/>
      <c r="K628" s="6"/>
      <c r="L628" s="6"/>
      <c r="M628" s="6"/>
      <c r="N628" s="6"/>
      <c r="O628" s="6"/>
      <c r="P628" s="6"/>
      <c r="Q628" s="6"/>
    </row>
    <row r="629" spans="2:17" ht="15.5" x14ac:dyDescent="0.35">
      <c r="B629" s="5"/>
      <c r="C629" s="6"/>
      <c r="D629" s="7"/>
      <c r="E629" s="6"/>
      <c r="F629" s="6"/>
      <c r="G629" s="8"/>
      <c r="H629" s="6"/>
      <c r="I629" s="6"/>
      <c r="J629" s="6"/>
      <c r="K629" s="6"/>
      <c r="L629" s="6"/>
      <c r="M629" s="6"/>
      <c r="N629" s="6"/>
      <c r="O629" s="6"/>
      <c r="P629" s="6"/>
      <c r="Q629" s="6"/>
    </row>
    <row r="630" spans="2:17" ht="15.5" x14ac:dyDescent="0.35">
      <c r="B630" s="5"/>
      <c r="C630" s="6"/>
      <c r="D630" s="7"/>
      <c r="E630" s="6"/>
      <c r="F630" s="6"/>
      <c r="G630" s="8"/>
      <c r="H630" s="6"/>
      <c r="I630" s="6"/>
      <c r="J630" s="6"/>
      <c r="K630" s="6"/>
      <c r="L630" s="6"/>
      <c r="M630" s="6"/>
      <c r="N630" s="6"/>
      <c r="O630" s="6"/>
      <c r="P630" s="6"/>
      <c r="Q630" s="6"/>
    </row>
    <row r="631" spans="2:17" ht="15.5" x14ac:dyDescent="0.35">
      <c r="B631" s="5"/>
      <c r="C631" s="6"/>
      <c r="D631" s="7"/>
      <c r="E631" s="6"/>
      <c r="F631" s="6"/>
      <c r="G631" s="8"/>
      <c r="H631" s="6"/>
      <c r="I631" s="6"/>
      <c r="J631" s="6"/>
      <c r="K631" s="6"/>
      <c r="L631" s="6"/>
      <c r="M631" s="6"/>
      <c r="N631" s="6"/>
      <c r="O631" s="6"/>
      <c r="P631" s="6"/>
      <c r="Q631" s="6"/>
    </row>
    <row r="632" spans="2:17" ht="15.5" x14ac:dyDescent="0.35">
      <c r="B632" s="5"/>
      <c r="C632" s="6"/>
      <c r="D632" s="7"/>
      <c r="E632" s="6"/>
      <c r="F632" s="6"/>
      <c r="G632" s="8"/>
      <c r="H632" s="6"/>
      <c r="I632" s="6"/>
      <c r="J632" s="6"/>
      <c r="K632" s="6"/>
      <c r="L632" s="6"/>
      <c r="M632" s="6"/>
      <c r="N632" s="6"/>
      <c r="O632" s="6"/>
      <c r="P632" s="6"/>
      <c r="Q632" s="6"/>
    </row>
    <row r="633" spans="2:17" ht="15.5" x14ac:dyDescent="0.35">
      <c r="B633" s="5"/>
      <c r="C633" s="6"/>
      <c r="D633" s="7"/>
      <c r="E633" s="6"/>
      <c r="F633" s="6"/>
      <c r="G633" s="8"/>
      <c r="H633" s="6"/>
      <c r="I633" s="6"/>
      <c r="J633" s="6"/>
      <c r="K633" s="6"/>
      <c r="L633" s="6"/>
      <c r="M633" s="6"/>
      <c r="N633" s="6"/>
      <c r="O633" s="6"/>
      <c r="P633" s="6"/>
      <c r="Q633" s="6"/>
    </row>
    <row r="634" spans="2:17" ht="15.5" x14ac:dyDescent="0.35">
      <c r="B634" s="5"/>
      <c r="C634" s="6"/>
      <c r="D634" s="7"/>
      <c r="E634" s="6"/>
      <c r="F634" s="6"/>
      <c r="G634" s="8"/>
      <c r="H634" s="6"/>
      <c r="I634" s="6"/>
      <c r="J634" s="6"/>
      <c r="K634" s="6"/>
      <c r="L634" s="6"/>
      <c r="M634" s="6"/>
      <c r="N634" s="6"/>
      <c r="O634" s="6"/>
      <c r="P634" s="6"/>
      <c r="Q634" s="6"/>
    </row>
    <row r="635" spans="2:17" ht="15.5" x14ac:dyDescent="0.35">
      <c r="B635" s="5"/>
      <c r="C635" s="6"/>
      <c r="D635" s="7"/>
      <c r="E635" s="6"/>
      <c r="F635" s="6"/>
      <c r="G635" s="8"/>
      <c r="H635" s="6"/>
      <c r="I635" s="6"/>
      <c r="J635" s="6"/>
      <c r="K635" s="6"/>
      <c r="L635" s="6"/>
      <c r="M635" s="6"/>
      <c r="N635" s="6"/>
      <c r="O635" s="6"/>
      <c r="P635" s="6"/>
      <c r="Q635" s="6"/>
    </row>
    <row r="636" spans="2:17" ht="15.5" x14ac:dyDescent="0.35">
      <c r="B636" s="5"/>
      <c r="C636" s="6"/>
      <c r="D636" s="7"/>
      <c r="E636" s="6"/>
      <c r="F636" s="6"/>
      <c r="G636" s="8"/>
      <c r="H636" s="6"/>
      <c r="I636" s="6"/>
      <c r="J636" s="6"/>
      <c r="K636" s="6"/>
      <c r="L636" s="6"/>
      <c r="M636" s="6"/>
      <c r="N636" s="6"/>
      <c r="O636" s="6"/>
      <c r="P636" s="6"/>
      <c r="Q636" s="6"/>
    </row>
    <row r="637" spans="2:17" ht="15.5" x14ac:dyDescent="0.35">
      <c r="B637" s="5"/>
      <c r="C637" s="6"/>
      <c r="D637" s="7"/>
      <c r="E637" s="6"/>
      <c r="F637" s="6"/>
      <c r="G637" s="8"/>
      <c r="H637" s="6"/>
      <c r="I637" s="6"/>
      <c r="J637" s="6"/>
      <c r="K637" s="6"/>
      <c r="L637" s="6"/>
      <c r="M637" s="6"/>
      <c r="N637" s="6"/>
      <c r="O637" s="6"/>
      <c r="P637" s="6"/>
      <c r="Q637" s="6"/>
    </row>
    <row r="638" spans="2:17" ht="15.5" x14ac:dyDescent="0.35">
      <c r="B638" s="5"/>
      <c r="C638" s="6"/>
      <c r="D638" s="7"/>
      <c r="E638" s="6"/>
      <c r="F638" s="6"/>
      <c r="G638" s="8"/>
      <c r="H638" s="6"/>
      <c r="I638" s="6"/>
      <c r="J638" s="6"/>
      <c r="K638" s="6"/>
      <c r="L638" s="6"/>
      <c r="M638" s="6"/>
      <c r="N638" s="6"/>
      <c r="O638" s="6"/>
      <c r="P638" s="6"/>
      <c r="Q638" s="6"/>
    </row>
    <row r="639" spans="2:17" ht="15.5" x14ac:dyDescent="0.35">
      <c r="B639" s="5"/>
      <c r="C639" s="6"/>
      <c r="D639" s="7"/>
      <c r="E639" s="6"/>
      <c r="F639" s="6"/>
      <c r="G639" s="8"/>
      <c r="H639" s="6"/>
      <c r="I639" s="6"/>
      <c r="J639" s="6"/>
      <c r="K639" s="6"/>
      <c r="L639" s="6"/>
      <c r="M639" s="6"/>
      <c r="N639" s="6"/>
      <c r="O639" s="6"/>
      <c r="P639" s="6"/>
      <c r="Q639" s="6"/>
    </row>
    <row r="640" spans="2:17" ht="15.5" x14ac:dyDescent="0.35">
      <c r="B640" s="5"/>
      <c r="C640" s="6"/>
      <c r="D640" s="7"/>
      <c r="E640" s="6"/>
      <c r="F640" s="6"/>
      <c r="G640" s="8"/>
      <c r="H640" s="6"/>
      <c r="I640" s="6"/>
      <c r="J640" s="6"/>
      <c r="K640" s="6"/>
      <c r="L640" s="6"/>
      <c r="M640" s="6"/>
      <c r="N640" s="6"/>
      <c r="O640" s="6"/>
      <c r="P640" s="6"/>
      <c r="Q640" s="6"/>
    </row>
    <row r="641" spans="2:17" ht="15.5" x14ac:dyDescent="0.35">
      <c r="B641" s="5"/>
      <c r="C641" s="6"/>
      <c r="D641" s="7"/>
      <c r="E641" s="6"/>
      <c r="F641" s="6"/>
      <c r="G641" s="8"/>
      <c r="H641" s="6"/>
      <c r="I641" s="6"/>
      <c r="J641" s="6"/>
      <c r="K641" s="6"/>
      <c r="L641" s="6"/>
      <c r="M641" s="6"/>
      <c r="N641" s="6"/>
      <c r="O641" s="6"/>
      <c r="P641" s="6"/>
      <c r="Q641" s="6"/>
    </row>
    <row r="642" spans="2:17" ht="15.5" x14ac:dyDescent="0.35">
      <c r="B642" s="5"/>
      <c r="C642" s="6"/>
      <c r="D642" s="7"/>
      <c r="E642" s="6"/>
      <c r="F642" s="6"/>
      <c r="G642" s="8"/>
      <c r="H642" s="6"/>
      <c r="I642" s="6"/>
      <c r="J642" s="6"/>
      <c r="K642" s="6"/>
      <c r="L642" s="6"/>
      <c r="M642" s="6"/>
      <c r="N642" s="6"/>
      <c r="O642" s="6"/>
      <c r="P642" s="6"/>
      <c r="Q642" s="6"/>
    </row>
    <row r="643" spans="2:17" ht="15.5" x14ac:dyDescent="0.35">
      <c r="B643" s="5"/>
      <c r="C643" s="6"/>
      <c r="D643" s="7"/>
      <c r="E643" s="6"/>
      <c r="F643" s="6"/>
      <c r="G643" s="8"/>
      <c r="H643" s="6"/>
      <c r="I643" s="6"/>
      <c r="J643" s="6"/>
      <c r="K643" s="6"/>
      <c r="L643" s="6"/>
      <c r="M643" s="6"/>
      <c r="N643" s="6"/>
      <c r="O643" s="6"/>
      <c r="P643" s="6"/>
      <c r="Q643" s="6"/>
    </row>
    <row r="644" spans="2:17" ht="15.5" x14ac:dyDescent="0.35">
      <c r="B644" s="5"/>
      <c r="C644" s="6"/>
      <c r="D644" s="7"/>
      <c r="E644" s="6"/>
      <c r="F644" s="6"/>
      <c r="G644" s="8"/>
      <c r="H644" s="6"/>
      <c r="I644" s="6"/>
      <c r="J644" s="6"/>
      <c r="K644" s="6"/>
      <c r="L644" s="6"/>
      <c r="M644" s="6"/>
      <c r="N644" s="6"/>
      <c r="O644" s="6"/>
      <c r="P644" s="6"/>
      <c r="Q644" s="6"/>
    </row>
    <row r="645" spans="2:17" ht="15.5" x14ac:dyDescent="0.35">
      <c r="B645" s="5"/>
      <c r="C645" s="6"/>
      <c r="D645" s="7"/>
      <c r="E645" s="6"/>
      <c r="F645" s="6"/>
      <c r="G645" s="8"/>
      <c r="H645" s="6"/>
      <c r="I645" s="6"/>
      <c r="J645" s="6"/>
      <c r="K645" s="6"/>
      <c r="L645" s="6"/>
      <c r="M645" s="6"/>
      <c r="N645" s="6"/>
      <c r="O645" s="6"/>
      <c r="P645" s="6"/>
      <c r="Q645" s="6"/>
    </row>
    <row r="646" spans="2:17" ht="15.5" x14ac:dyDescent="0.35">
      <c r="B646" s="5"/>
      <c r="C646" s="6"/>
      <c r="D646" s="7"/>
      <c r="E646" s="6"/>
      <c r="F646" s="6"/>
      <c r="G646" s="8"/>
      <c r="H646" s="6"/>
      <c r="I646" s="6"/>
      <c r="J646" s="6"/>
      <c r="K646" s="6"/>
      <c r="L646" s="6"/>
      <c r="M646" s="6"/>
      <c r="N646" s="6"/>
      <c r="O646" s="6"/>
      <c r="P646" s="6"/>
      <c r="Q646" s="6"/>
    </row>
    <row r="647" spans="2:17" ht="15.5" x14ac:dyDescent="0.35">
      <c r="B647" s="5"/>
      <c r="C647" s="6"/>
      <c r="D647" s="7"/>
      <c r="E647" s="6"/>
      <c r="F647" s="6"/>
      <c r="G647" s="8"/>
      <c r="H647" s="6"/>
      <c r="I647" s="6"/>
      <c r="J647" s="6"/>
      <c r="K647" s="6"/>
      <c r="L647" s="6"/>
      <c r="M647" s="6"/>
      <c r="N647" s="6"/>
      <c r="O647" s="6"/>
      <c r="P647" s="6"/>
      <c r="Q647" s="6"/>
    </row>
    <row r="648" spans="2:17" ht="15.5" x14ac:dyDescent="0.35">
      <c r="B648" s="5"/>
      <c r="C648" s="6"/>
      <c r="D648" s="7"/>
      <c r="E648" s="6"/>
      <c r="F648" s="6"/>
      <c r="G648" s="8"/>
      <c r="H648" s="6"/>
      <c r="I648" s="6"/>
      <c r="J648" s="6"/>
      <c r="K648" s="6"/>
      <c r="L648" s="6"/>
      <c r="M648" s="6"/>
      <c r="N648" s="6"/>
      <c r="O648" s="6"/>
      <c r="P648" s="6"/>
      <c r="Q648" s="6"/>
    </row>
    <row r="649" spans="2:17" ht="15.5" x14ac:dyDescent="0.35">
      <c r="B649" s="5"/>
      <c r="C649" s="6"/>
      <c r="D649" s="7"/>
      <c r="E649" s="6"/>
      <c r="F649" s="6"/>
      <c r="G649" s="8"/>
      <c r="H649" s="6"/>
      <c r="I649" s="6"/>
      <c r="J649" s="6"/>
      <c r="K649" s="6"/>
      <c r="L649" s="6"/>
      <c r="M649" s="6"/>
      <c r="N649" s="6"/>
      <c r="O649" s="6"/>
      <c r="P649" s="6"/>
      <c r="Q649" s="6"/>
    </row>
    <row r="650" spans="2:17" ht="15.5" x14ac:dyDescent="0.35">
      <c r="B650" s="5"/>
      <c r="C650" s="6"/>
      <c r="D650" s="7"/>
      <c r="E650" s="6"/>
      <c r="F650" s="6"/>
      <c r="G650" s="8"/>
      <c r="H650" s="6"/>
      <c r="I650" s="6"/>
      <c r="J650" s="6"/>
      <c r="K650" s="6"/>
      <c r="L650" s="6"/>
      <c r="M650" s="6"/>
      <c r="N650" s="6"/>
      <c r="O650" s="6"/>
      <c r="P650" s="6"/>
      <c r="Q650" s="6"/>
    </row>
    <row r="651" spans="2:17" ht="15.5" x14ac:dyDescent="0.35">
      <c r="B651" s="5"/>
      <c r="C651" s="6"/>
      <c r="D651" s="7"/>
      <c r="E651" s="6"/>
      <c r="F651" s="6"/>
      <c r="G651" s="8"/>
      <c r="H651" s="6"/>
      <c r="I651" s="6"/>
      <c r="J651" s="6"/>
      <c r="K651" s="6"/>
      <c r="L651" s="6"/>
      <c r="M651" s="6"/>
      <c r="N651" s="6"/>
      <c r="O651" s="6"/>
      <c r="P651" s="6"/>
      <c r="Q651" s="6"/>
    </row>
    <row r="652" spans="2:17" ht="15.5" x14ac:dyDescent="0.35">
      <c r="B652" s="5"/>
      <c r="C652" s="6"/>
      <c r="D652" s="7"/>
      <c r="E652" s="6"/>
      <c r="F652" s="6"/>
      <c r="G652" s="8"/>
      <c r="H652" s="6"/>
      <c r="I652" s="6"/>
      <c r="J652" s="6"/>
      <c r="K652" s="6"/>
      <c r="L652" s="6"/>
      <c r="M652" s="6"/>
      <c r="N652" s="6"/>
      <c r="O652" s="6"/>
      <c r="P652" s="6"/>
      <c r="Q652" s="6"/>
    </row>
    <row r="653" spans="2:17" ht="15.5" x14ac:dyDescent="0.35">
      <c r="B653" s="5"/>
      <c r="C653" s="6"/>
      <c r="D653" s="7"/>
      <c r="E653" s="6"/>
      <c r="F653" s="6"/>
      <c r="G653" s="8"/>
      <c r="H653" s="6"/>
      <c r="I653" s="6"/>
      <c r="J653" s="6"/>
      <c r="K653" s="6"/>
      <c r="L653" s="6"/>
      <c r="M653" s="6"/>
      <c r="N653" s="6"/>
      <c r="O653" s="6"/>
      <c r="P653" s="6"/>
      <c r="Q653" s="6"/>
    </row>
    <row r="654" spans="2:17" ht="15.5" x14ac:dyDescent="0.35">
      <c r="B654" s="5"/>
      <c r="C654" s="6"/>
      <c r="D654" s="7"/>
      <c r="E654" s="6"/>
      <c r="F654" s="6"/>
      <c r="G654" s="8"/>
      <c r="H654" s="6"/>
      <c r="I654" s="6"/>
      <c r="J654" s="6"/>
      <c r="K654" s="6"/>
      <c r="L654" s="6"/>
      <c r="M654" s="6"/>
      <c r="N654" s="6"/>
      <c r="O654" s="6"/>
      <c r="P654" s="6"/>
      <c r="Q654" s="6"/>
    </row>
    <row r="655" spans="2:17" ht="15.5" x14ac:dyDescent="0.35">
      <c r="B655" s="5"/>
      <c r="C655" s="6"/>
      <c r="D655" s="7"/>
      <c r="E655" s="6"/>
      <c r="F655" s="6"/>
      <c r="G655" s="8"/>
      <c r="H655" s="6"/>
      <c r="I655" s="6"/>
      <c r="J655" s="6"/>
      <c r="K655" s="6"/>
      <c r="L655" s="6"/>
      <c r="M655" s="6"/>
      <c r="N655" s="6"/>
      <c r="O655" s="6"/>
      <c r="P655" s="6"/>
      <c r="Q655" s="6"/>
    </row>
    <row r="656" spans="2:17" ht="15.5" x14ac:dyDescent="0.35">
      <c r="B656" s="5"/>
      <c r="C656" s="6"/>
      <c r="D656" s="7"/>
      <c r="E656" s="6"/>
      <c r="F656" s="6"/>
      <c r="G656" s="8"/>
      <c r="H656" s="6"/>
      <c r="I656" s="6"/>
      <c r="J656" s="6"/>
      <c r="K656" s="6"/>
      <c r="L656" s="6"/>
      <c r="M656" s="6"/>
      <c r="N656" s="6"/>
      <c r="O656" s="6"/>
      <c r="P656" s="6"/>
      <c r="Q656" s="6"/>
    </row>
    <row r="657" spans="2:17" ht="15.5" x14ac:dyDescent="0.35">
      <c r="B657" s="5"/>
      <c r="C657" s="6"/>
      <c r="D657" s="7"/>
      <c r="E657" s="6"/>
      <c r="F657" s="6"/>
      <c r="G657" s="8"/>
      <c r="H657" s="6"/>
      <c r="I657" s="6"/>
      <c r="J657" s="6"/>
      <c r="K657" s="6"/>
      <c r="L657" s="6"/>
      <c r="M657" s="6"/>
      <c r="N657" s="6"/>
      <c r="O657" s="6"/>
      <c r="P657" s="6"/>
      <c r="Q657" s="6"/>
    </row>
    <row r="658" spans="2:17" ht="15.5" x14ac:dyDescent="0.35">
      <c r="B658" s="5"/>
      <c r="C658" s="6"/>
      <c r="D658" s="7"/>
      <c r="E658" s="6"/>
      <c r="F658" s="6"/>
      <c r="G658" s="8"/>
      <c r="H658" s="6"/>
      <c r="I658" s="6"/>
      <c r="J658" s="6"/>
      <c r="K658" s="6"/>
      <c r="L658" s="6"/>
      <c r="M658" s="6"/>
      <c r="N658" s="6"/>
      <c r="O658" s="6"/>
      <c r="P658" s="6"/>
      <c r="Q658" s="6"/>
    </row>
    <row r="659" spans="2:17" ht="15.5" x14ac:dyDescent="0.35">
      <c r="B659" s="5"/>
      <c r="C659" s="6"/>
      <c r="D659" s="7"/>
      <c r="E659" s="6"/>
      <c r="F659" s="6"/>
      <c r="G659" s="8"/>
      <c r="H659" s="6"/>
      <c r="I659" s="6"/>
      <c r="J659" s="6"/>
      <c r="K659" s="6"/>
      <c r="L659" s="6"/>
      <c r="M659" s="6"/>
      <c r="N659" s="6"/>
      <c r="O659" s="6"/>
      <c r="P659" s="6"/>
      <c r="Q659" s="6"/>
    </row>
    <row r="660" spans="2:17" ht="15.5" x14ac:dyDescent="0.35">
      <c r="B660" s="5"/>
      <c r="C660" s="6"/>
      <c r="D660" s="7"/>
      <c r="E660" s="6"/>
      <c r="F660" s="6"/>
      <c r="G660" s="8"/>
      <c r="H660" s="6"/>
      <c r="I660" s="6"/>
      <c r="J660" s="6"/>
      <c r="K660" s="6"/>
      <c r="L660" s="6"/>
      <c r="M660" s="6"/>
      <c r="N660" s="6"/>
      <c r="O660" s="6"/>
      <c r="P660" s="6"/>
      <c r="Q660" s="6"/>
    </row>
    <row r="661" spans="2:17" ht="15.5" x14ac:dyDescent="0.35">
      <c r="B661" s="5"/>
      <c r="C661" s="6"/>
      <c r="D661" s="7"/>
      <c r="E661" s="6"/>
      <c r="F661" s="6"/>
      <c r="G661" s="8"/>
      <c r="H661" s="6"/>
      <c r="I661" s="6"/>
      <c r="J661" s="6"/>
      <c r="K661" s="6"/>
      <c r="L661" s="6"/>
      <c r="M661" s="6"/>
      <c r="N661" s="6"/>
      <c r="O661" s="6"/>
      <c r="P661" s="6"/>
      <c r="Q661" s="6"/>
    </row>
    <row r="662" spans="2:17" ht="15.5" x14ac:dyDescent="0.35">
      <c r="B662" s="5"/>
      <c r="C662" s="6"/>
      <c r="D662" s="7"/>
      <c r="E662" s="6"/>
      <c r="F662" s="6"/>
      <c r="G662" s="8"/>
      <c r="H662" s="6"/>
      <c r="I662" s="6"/>
      <c r="J662" s="6"/>
      <c r="K662" s="6"/>
      <c r="L662" s="6"/>
      <c r="M662" s="6"/>
      <c r="N662" s="6"/>
      <c r="O662" s="6"/>
      <c r="P662" s="6"/>
      <c r="Q662" s="6"/>
    </row>
    <row r="663" spans="2:17" ht="15.5" x14ac:dyDescent="0.35">
      <c r="B663" s="5"/>
      <c r="C663" s="6"/>
      <c r="D663" s="7"/>
      <c r="E663" s="6"/>
      <c r="F663" s="6"/>
      <c r="G663" s="8"/>
      <c r="H663" s="6"/>
      <c r="I663" s="6"/>
      <c r="J663" s="6"/>
      <c r="K663" s="6"/>
      <c r="L663" s="6"/>
      <c r="M663" s="6"/>
      <c r="N663" s="6"/>
      <c r="O663" s="6"/>
      <c r="P663" s="6"/>
      <c r="Q663" s="6"/>
    </row>
    <row r="664" spans="2:17" ht="15.5" x14ac:dyDescent="0.35">
      <c r="B664" s="5"/>
      <c r="C664" s="6"/>
      <c r="D664" s="7"/>
      <c r="E664" s="6"/>
      <c r="F664" s="6"/>
      <c r="G664" s="8"/>
      <c r="H664" s="6"/>
      <c r="I664" s="6"/>
      <c r="J664" s="6"/>
      <c r="K664" s="6"/>
      <c r="L664" s="6"/>
      <c r="M664" s="6"/>
      <c r="N664" s="6"/>
      <c r="O664" s="6"/>
      <c r="P664" s="6"/>
      <c r="Q664" s="6"/>
    </row>
    <row r="665" spans="2:17" ht="15.5" x14ac:dyDescent="0.35">
      <c r="B665" s="5"/>
      <c r="C665" s="6"/>
      <c r="D665" s="7"/>
      <c r="E665" s="6"/>
      <c r="F665" s="6"/>
      <c r="G665" s="8"/>
      <c r="H665" s="6"/>
      <c r="I665" s="6"/>
      <c r="J665" s="6"/>
      <c r="K665" s="6"/>
      <c r="L665" s="6"/>
      <c r="M665" s="6"/>
      <c r="N665" s="6"/>
      <c r="O665" s="6"/>
      <c r="P665" s="6"/>
      <c r="Q665" s="6"/>
    </row>
    <row r="666" spans="2:17" ht="15.5" x14ac:dyDescent="0.35">
      <c r="B666" s="5"/>
      <c r="C666" s="6"/>
      <c r="D666" s="7"/>
      <c r="E666" s="6"/>
      <c r="F666" s="6"/>
      <c r="G666" s="8"/>
      <c r="H666" s="6"/>
      <c r="I666" s="6"/>
      <c r="J666" s="6"/>
      <c r="K666" s="6"/>
      <c r="L666" s="6"/>
      <c r="M666" s="6"/>
      <c r="N666" s="6"/>
      <c r="O666" s="6"/>
      <c r="P666" s="6"/>
      <c r="Q666" s="6"/>
    </row>
    <row r="667" spans="2:17" ht="15.5" x14ac:dyDescent="0.35">
      <c r="B667" s="5"/>
      <c r="C667" s="6"/>
      <c r="D667" s="7"/>
      <c r="E667" s="6"/>
      <c r="F667" s="6"/>
      <c r="G667" s="8"/>
      <c r="H667" s="6"/>
      <c r="I667" s="6"/>
      <c r="J667" s="6"/>
      <c r="K667" s="6"/>
      <c r="L667" s="6"/>
      <c r="M667" s="6"/>
      <c r="N667" s="6"/>
      <c r="O667" s="6"/>
      <c r="P667" s="6"/>
      <c r="Q667" s="6"/>
    </row>
    <row r="668" spans="2:17" ht="15.5" x14ac:dyDescent="0.35">
      <c r="B668" s="5"/>
      <c r="C668" s="6"/>
      <c r="D668" s="7"/>
      <c r="E668" s="6"/>
      <c r="F668" s="6"/>
      <c r="G668" s="8"/>
      <c r="H668" s="6"/>
      <c r="I668" s="6"/>
      <c r="J668" s="6"/>
      <c r="K668" s="6"/>
      <c r="L668" s="6"/>
      <c r="M668" s="6"/>
      <c r="N668" s="6"/>
      <c r="O668" s="6"/>
      <c r="P668" s="6"/>
      <c r="Q668" s="6"/>
    </row>
    <row r="669" spans="2:17" ht="15.5" x14ac:dyDescent="0.35">
      <c r="B669" s="5"/>
      <c r="C669" s="6"/>
      <c r="D669" s="7"/>
      <c r="E669" s="6"/>
      <c r="F669" s="6"/>
      <c r="G669" s="8"/>
      <c r="H669" s="6"/>
      <c r="I669" s="6"/>
      <c r="J669" s="6"/>
      <c r="K669" s="6"/>
      <c r="L669" s="6"/>
      <c r="M669" s="6"/>
      <c r="N669" s="6"/>
      <c r="O669" s="6"/>
      <c r="P669" s="6"/>
      <c r="Q669" s="6"/>
    </row>
    <row r="670" spans="2:17" ht="15.5" x14ac:dyDescent="0.35">
      <c r="B670" s="5"/>
      <c r="C670" s="6"/>
      <c r="D670" s="7"/>
      <c r="E670" s="6"/>
      <c r="F670" s="6"/>
      <c r="G670" s="8"/>
      <c r="H670" s="6"/>
      <c r="I670" s="6"/>
      <c r="J670" s="6"/>
      <c r="K670" s="6"/>
      <c r="L670" s="6"/>
      <c r="M670" s="6"/>
      <c r="N670" s="6"/>
      <c r="O670" s="6"/>
      <c r="P670" s="6"/>
      <c r="Q670" s="6"/>
    </row>
    <row r="671" spans="2:17" ht="15.5" x14ac:dyDescent="0.35">
      <c r="B671" s="5"/>
      <c r="C671" s="6"/>
      <c r="D671" s="7"/>
      <c r="E671" s="6"/>
      <c r="F671" s="6"/>
      <c r="G671" s="8"/>
      <c r="H671" s="6"/>
      <c r="I671" s="6"/>
      <c r="J671" s="6"/>
      <c r="K671" s="6"/>
      <c r="L671" s="6"/>
      <c r="M671" s="6"/>
      <c r="N671" s="6"/>
      <c r="O671" s="6"/>
      <c r="P671" s="6"/>
      <c r="Q671" s="6"/>
    </row>
    <row r="672" spans="2:17" ht="15.5" x14ac:dyDescent="0.35">
      <c r="B672" s="5"/>
      <c r="C672" s="6"/>
      <c r="D672" s="7"/>
      <c r="E672" s="6"/>
      <c r="F672" s="6"/>
      <c r="G672" s="8"/>
      <c r="H672" s="6"/>
      <c r="I672" s="6"/>
      <c r="J672" s="6"/>
      <c r="K672" s="6"/>
      <c r="L672" s="6"/>
      <c r="M672" s="6"/>
      <c r="N672" s="6"/>
      <c r="O672" s="6"/>
      <c r="P672" s="6"/>
      <c r="Q672" s="6"/>
    </row>
    <row r="673" spans="2:17" ht="15.5" x14ac:dyDescent="0.35">
      <c r="B673" s="5"/>
      <c r="C673" s="6"/>
      <c r="D673" s="7"/>
      <c r="E673" s="6"/>
      <c r="F673" s="6"/>
      <c r="G673" s="8"/>
      <c r="H673" s="6"/>
      <c r="I673" s="6"/>
      <c r="J673" s="6"/>
      <c r="K673" s="6"/>
      <c r="L673" s="6"/>
      <c r="M673" s="6"/>
      <c r="N673" s="6"/>
      <c r="O673" s="6"/>
      <c r="P673" s="6"/>
      <c r="Q673" s="6"/>
    </row>
    <row r="674" spans="2:17" ht="15.5" x14ac:dyDescent="0.35">
      <c r="B674" s="5"/>
      <c r="C674" s="6"/>
      <c r="D674" s="7"/>
      <c r="E674" s="6"/>
      <c r="F674" s="6"/>
      <c r="G674" s="8"/>
      <c r="H674" s="6"/>
      <c r="I674" s="6"/>
      <c r="J674" s="6"/>
      <c r="K674" s="6"/>
      <c r="L674" s="6"/>
      <c r="M674" s="6"/>
      <c r="N674" s="6"/>
      <c r="O674" s="6"/>
      <c r="P674" s="6"/>
      <c r="Q674" s="6"/>
    </row>
    <row r="675" spans="2:17" ht="15.5" x14ac:dyDescent="0.35">
      <c r="B675" s="5"/>
      <c r="C675" s="6"/>
      <c r="D675" s="7"/>
      <c r="E675" s="6"/>
      <c r="F675" s="6"/>
      <c r="G675" s="8"/>
      <c r="H675" s="6"/>
      <c r="I675" s="6"/>
      <c r="J675" s="6"/>
      <c r="K675" s="6"/>
      <c r="L675" s="6"/>
      <c r="M675" s="6"/>
      <c r="N675" s="6"/>
      <c r="O675" s="6"/>
      <c r="P675" s="6"/>
      <c r="Q675" s="6"/>
    </row>
    <row r="676" spans="2:17" ht="15.5" x14ac:dyDescent="0.35">
      <c r="B676" s="5"/>
      <c r="C676" s="6"/>
      <c r="D676" s="7"/>
      <c r="E676" s="6"/>
      <c r="F676" s="6"/>
      <c r="G676" s="8"/>
      <c r="H676" s="6"/>
      <c r="I676" s="6"/>
      <c r="J676" s="6"/>
      <c r="K676" s="6"/>
      <c r="L676" s="6"/>
      <c r="M676" s="6"/>
      <c r="N676" s="6"/>
      <c r="O676" s="6"/>
      <c r="P676" s="6"/>
      <c r="Q676" s="6"/>
    </row>
    <row r="677" spans="2:17" ht="15.5" x14ac:dyDescent="0.35">
      <c r="B677" s="5"/>
      <c r="C677" s="6"/>
      <c r="D677" s="7"/>
      <c r="E677" s="6"/>
      <c r="F677" s="6"/>
      <c r="G677" s="8"/>
      <c r="H677" s="6"/>
      <c r="I677" s="6"/>
      <c r="J677" s="6"/>
      <c r="K677" s="6"/>
      <c r="L677" s="6"/>
      <c r="M677" s="6"/>
      <c r="N677" s="6"/>
      <c r="O677" s="6"/>
      <c r="P677" s="6"/>
      <c r="Q677" s="6"/>
    </row>
    <row r="678" spans="2:17" ht="15.5" x14ac:dyDescent="0.35">
      <c r="B678" s="5"/>
      <c r="C678" s="6"/>
      <c r="D678" s="7"/>
      <c r="E678" s="6"/>
      <c r="F678" s="6"/>
      <c r="G678" s="8"/>
      <c r="H678" s="6"/>
      <c r="I678" s="6"/>
      <c r="J678" s="6"/>
      <c r="K678" s="6"/>
      <c r="L678" s="6"/>
      <c r="M678" s="6"/>
      <c r="N678" s="6"/>
      <c r="O678" s="6"/>
      <c r="P678" s="6"/>
      <c r="Q678" s="6"/>
    </row>
    <row r="679" spans="2:17" ht="15.5" x14ac:dyDescent="0.35">
      <c r="B679" s="5"/>
      <c r="C679" s="6"/>
      <c r="D679" s="7"/>
      <c r="E679" s="6"/>
      <c r="F679" s="6"/>
      <c r="G679" s="8"/>
      <c r="H679" s="6"/>
      <c r="I679" s="6"/>
      <c r="J679" s="6"/>
      <c r="K679" s="6"/>
      <c r="L679" s="6"/>
      <c r="M679" s="6"/>
      <c r="N679" s="6"/>
      <c r="O679" s="6"/>
      <c r="P679" s="6"/>
      <c r="Q679" s="6"/>
    </row>
    <row r="680" spans="2:17" ht="15.5" x14ac:dyDescent="0.35">
      <c r="B680" s="5"/>
      <c r="C680" s="6"/>
      <c r="D680" s="7"/>
      <c r="E680" s="6"/>
      <c r="F680" s="6"/>
      <c r="G680" s="8"/>
      <c r="H680" s="6"/>
      <c r="I680" s="6"/>
      <c r="J680" s="6"/>
      <c r="K680" s="6"/>
      <c r="L680" s="6"/>
      <c r="M680" s="6"/>
      <c r="N680" s="6"/>
      <c r="O680" s="6"/>
      <c r="P680" s="6"/>
      <c r="Q680" s="6"/>
    </row>
    <row r="681" spans="2:17" ht="15.5" x14ac:dyDescent="0.35">
      <c r="B681" s="5"/>
      <c r="C681" s="6"/>
      <c r="D681" s="7"/>
      <c r="E681" s="6"/>
      <c r="F681" s="6"/>
      <c r="G681" s="8"/>
      <c r="H681" s="6"/>
      <c r="I681" s="6"/>
      <c r="J681" s="6"/>
      <c r="K681" s="6"/>
      <c r="L681" s="6"/>
      <c r="M681" s="6"/>
      <c r="N681" s="6"/>
      <c r="O681" s="6"/>
      <c r="P681" s="6"/>
      <c r="Q681" s="6"/>
    </row>
    <row r="682" spans="2:17" ht="15.5" x14ac:dyDescent="0.35">
      <c r="B682" s="5"/>
      <c r="C682" s="6"/>
      <c r="D682" s="7"/>
      <c r="E682" s="6"/>
      <c r="F682" s="6"/>
      <c r="G682" s="8"/>
      <c r="H682" s="6"/>
      <c r="I682" s="6"/>
      <c r="J682" s="6"/>
      <c r="K682" s="6"/>
      <c r="L682" s="6"/>
      <c r="M682" s="6"/>
      <c r="N682" s="6"/>
      <c r="O682" s="6"/>
      <c r="P682" s="6"/>
      <c r="Q682" s="6"/>
    </row>
    <row r="683" spans="2:17" ht="15.5" x14ac:dyDescent="0.35">
      <c r="B683" s="5"/>
      <c r="C683" s="6"/>
      <c r="D683" s="7"/>
      <c r="E683" s="6"/>
      <c r="F683" s="6"/>
      <c r="G683" s="8"/>
      <c r="H683" s="6"/>
      <c r="I683" s="6"/>
      <c r="J683" s="6"/>
      <c r="K683" s="6"/>
      <c r="L683" s="6"/>
      <c r="M683" s="6"/>
      <c r="N683" s="6"/>
      <c r="O683" s="6"/>
      <c r="P683" s="6"/>
      <c r="Q683" s="6"/>
    </row>
    <row r="684" spans="2:17" ht="15.5" x14ac:dyDescent="0.35">
      <c r="B684" s="5"/>
      <c r="C684" s="6"/>
      <c r="D684" s="7"/>
      <c r="E684" s="6"/>
      <c r="F684" s="6"/>
      <c r="G684" s="8"/>
      <c r="H684" s="6"/>
      <c r="I684" s="6"/>
      <c r="J684" s="6"/>
      <c r="K684" s="6"/>
      <c r="L684" s="6"/>
      <c r="M684" s="6"/>
      <c r="N684" s="6"/>
      <c r="O684" s="6"/>
      <c r="P684" s="6"/>
      <c r="Q684" s="6"/>
    </row>
    <row r="685" spans="2:17" ht="15.5" x14ac:dyDescent="0.35">
      <c r="B685" s="5"/>
      <c r="C685" s="6"/>
      <c r="D685" s="7"/>
      <c r="E685" s="6"/>
      <c r="F685" s="6"/>
      <c r="G685" s="8"/>
      <c r="H685" s="6"/>
      <c r="I685" s="6"/>
      <c r="J685" s="6"/>
      <c r="K685" s="6"/>
      <c r="L685" s="6"/>
      <c r="M685" s="6"/>
      <c r="N685" s="6"/>
      <c r="O685" s="6"/>
      <c r="P685" s="6"/>
      <c r="Q685" s="6"/>
    </row>
    <row r="686" spans="2:17" ht="15.5" x14ac:dyDescent="0.35">
      <c r="B686" s="5"/>
      <c r="C686" s="6"/>
      <c r="D686" s="7"/>
      <c r="E686" s="6"/>
      <c r="F686" s="6"/>
      <c r="G686" s="8"/>
      <c r="H686" s="6"/>
      <c r="I686" s="6"/>
      <c r="J686" s="6"/>
      <c r="K686" s="6"/>
      <c r="L686" s="6"/>
      <c r="M686" s="6"/>
      <c r="N686" s="6"/>
      <c r="O686" s="6"/>
      <c r="P686" s="6"/>
      <c r="Q686" s="6"/>
    </row>
    <row r="687" spans="2:17" ht="15.5" x14ac:dyDescent="0.35">
      <c r="B687" s="5"/>
      <c r="C687" s="6"/>
      <c r="D687" s="7"/>
      <c r="E687" s="6"/>
      <c r="F687" s="6"/>
      <c r="G687" s="8"/>
      <c r="H687" s="6"/>
      <c r="I687" s="6"/>
      <c r="J687" s="6"/>
      <c r="K687" s="6"/>
      <c r="L687" s="6"/>
      <c r="M687" s="6"/>
      <c r="N687" s="6"/>
      <c r="O687" s="6"/>
      <c r="P687" s="6"/>
      <c r="Q687" s="6"/>
    </row>
    <row r="688" spans="2:17" ht="15.5" x14ac:dyDescent="0.35">
      <c r="B688" s="5"/>
      <c r="C688" s="6"/>
      <c r="D688" s="7"/>
      <c r="E688" s="6"/>
      <c r="F688" s="6"/>
      <c r="G688" s="8"/>
      <c r="H688" s="6"/>
      <c r="I688" s="6"/>
      <c r="J688" s="6"/>
      <c r="K688" s="6"/>
      <c r="L688" s="6"/>
      <c r="M688" s="6"/>
      <c r="N688" s="6"/>
      <c r="O688" s="6"/>
      <c r="P688" s="6"/>
      <c r="Q688" s="6"/>
    </row>
    <row r="689" spans="2:17" ht="15.5" x14ac:dyDescent="0.35">
      <c r="B689" s="5"/>
      <c r="C689" s="6"/>
      <c r="D689" s="7"/>
      <c r="E689" s="6"/>
      <c r="F689" s="6"/>
      <c r="G689" s="8"/>
      <c r="H689" s="6"/>
      <c r="I689" s="6"/>
      <c r="J689" s="6"/>
      <c r="K689" s="6"/>
      <c r="L689" s="6"/>
      <c r="M689" s="6"/>
      <c r="N689" s="6"/>
      <c r="O689" s="6"/>
      <c r="P689" s="6"/>
      <c r="Q689" s="6"/>
    </row>
    <row r="690" spans="2:17" ht="15.5" x14ac:dyDescent="0.35">
      <c r="B690" s="5"/>
      <c r="C690" s="6"/>
      <c r="D690" s="7"/>
      <c r="E690" s="6"/>
      <c r="F690" s="6"/>
      <c r="G690" s="8"/>
      <c r="H690" s="6"/>
      <c r="I690" s="6"/>
      <c r="J690" s="6"/>
      <c r="K690" s="6"/>
      <c r="L690" s="6"/>
      <c r="M690" s="6"/>
      <c r="N690" s="6"/>
      <c r="O690" s="6"/>
      <c r="P690" s="6"/>
      <c r="Q690" s="6"/>
    </row>
    <row r="691" spans="2:17" ht="15.5" x14ac:dyDescent="0.35">
      <c r="B691" s="5"/>
      <c r="C691" s="6"/>
      <c r="D691" s="7"/>
      <c r="E691" s="6"/>
      <c r="F691" s="6"/>
      <c r="G691" s="8"/>
      <c r="H691" s="6"/>
      <c r="I691" s="6"/>
      <c r="J691" s="6"/>
      <c r="K691" s="6"/>
      <c r="L691" s="6"/>
      <c r="M691" s="6"/>
      <c r="N691" s="6"/>
      <c r="O691" s="6"/>
      <c r="P691" s="6"/>
      <c r="Q691" s="6"/>
    </row>
    <row r="692" spans="2:17" ht="15.5" x14ac:dyDescent="0.35">
      <c r="B692" s="5"/>
      <c r="C692" s="6"/>
      <c r="D692" s="7"/>
      <c r="E692" s="6"/>
      <c r="F692" s="6"/>
      <c r="G692" s="8"/>
      <c r="H692" s="6"/>
      <c r="I692" s="6"/>
      <c r="J692" s="6"/>
      <c r="K692" s="6"/>
      <c r="L692" s="6"/>
      <c r="M692" s="6"/>
      <c r="N692" s="6"/>
      <c r="O692" s="6"/>
      <c r="P692" s="6"/>
      <c r="Q692" s="6"/>
    </row>
    <row r="693" spans="2:17" ht="15.5" x14ac:dyDescent="0.35">
      <c r="B693" s="5"/>
      <c r="C693" s="6"/>
      <c r="D693" s="7"/>
      <c r="E693" s="6"/>
      <c r="F693" s="6"/>
      <c r="G693" s="8"/>
      <c r="H693" s="6"/>
      <c r="I693" s="6"/>
      <c r="J693" s="6"/>
      <c r="K693" s="6"/>
      <c r="L693" s="6"/>
      <c r="M693" s="6"/>
      <c r="N693" s="6"/>
      <c r="O693" s="6"/>
      <c r="P693" s="6"/>
      <c r="Q693" s="6"/>
    </row>
    <row r="694" spans="2:17" ht="15.5" x14ac:dyDescent="0.35">
      <c r="B694" s="5"/>
      <c r="C694" s="6"/>
      <c r="D694" s="7"/>
      <c r="E694" s="6"/>
      <c r="F694" s="6"/>
      <c r="G694" s="8"/>
      <c r="H694" s="6"/>
      <c r="I694" s="6"/>
      <c r="J694" s="6"/>
      <c r="K694" s="6"/>
      <c r="L694" s="6"/>
      <c r="M694" s="6"/>
      <c r="N694" s="6"/>
      <c r="O694" s="6"/>
      <c r="P694" s="6"/>
      <c r="Q694" s="6"/>
    </row>
    <row r="695" spans="2:17" ht="15.5" x14ac:dyDescent="0.35">
      <c r="B695" s="5"/>
      <c r="C695" s="6"/>
      <c r="D695" s="7"/>
      <c r="E695" s="6"/>
      <c r="F695" s="6"/>
      <c r="G695" s="8"/>
      <c r="H695" s="6"/>
      <c r="I695" s="6"/>
      <c r="J695" s="6"/>
      <c r="K695" s="6"/>
      <c r="L695" s="6"/>
      <c r="M695" s="6"/>
      <c r="N695" s="6"/>
      <c r="O695" s="6"/>
      <c r="P695" s="6"/>
      <c r="Q695" s="6"/>
    </row>
    <row r="696" spans="2:17" ht="15.5" x14ac:dyDescent="0.35">
      <c r="B696" s="5"/>
      <c r="C696" s="6"/>
      <c r="D696" s="7"/>
      <c r="E696" s="6"/>
      <c r="F696" s="6"/>
      <c r="G696" s="8"/>
      <c r="H696" s="6"/>
      <c r="I696" s="6"/>
      <c r="J696" s="6"/>
      <c r="K696" s="6"/>
      <c r="L696" s="6"/>
      <c r="M696" s="6"/>
      <c r="N696" s="6"/>
      <c r="O696" s="6"/>
      <c r="P696" s="6"/>
      <c r="Q696" s="6"/>
    </row>
    <row r="697" spans="2:17" ht="15.5" x14ac:dyDescent="0.35">
      <c r="B697" s="5"/>
      <c r="C697" s="6"/>
      <c r="D697" s="7"/>
      <c r="E697" s="6"/>
      <c r="F697" s="6"/>
      <c r="G697" s="8"/>
      <c r="H697" s="6"/>
      <c r="I697" s="6"/>
      <c r="J697" s="6"/>
      <c r="K697" s="6"/>
      <c r="L697" s="6"/>
      <c r="M697" s="6"/>
      <c r="N697" s="6"/>
      <c r="O697" s="6"/>
      <c r="P697" s="6"/>
      <c r="Q697" s="6"/>
    </row>
    <row r="698" spans="2:17" ht="15.5" x14ac:dyDescent="0.35">
      <c r="B698" s="5"/>
      <c r="C698" s="6"/>
      <c r="D698" s="7"/>
      <c r="E698" s="6"/>
      <c r="F698" s="6"/>
      <c r="G698" s="8"/>
      <c r="H698" s="6"/>
      <c r="I698" s="6"/>
      <c r="J698" s="6"/>
      <c r="K698" s="6"/>
      <c r="L698" s="6"/>
      <c r="M698" s="6"/>
      <c r="N698" s="6"/>
      <c r="O698" s="6"/>
      <c r="P698" s="6"/>
      <c r="Q698" s="6"/>
    </row>
    <row r="699" spans="2:17" ht="15.5" x14ac:dyDescent="0.35">
      <c r="B699" s="5"/>
      <c r="C699" s="6"/>
      <c r="D699" s="7"/>
      <c r="E699" s="6"/>
      <c r="F699" s="6"/>
      <c r="G699" s="8"/>
      <c r="H699" s="6"/>
      <c r="I699" s="6"/>
      <c r="J699" s="6"/>
      <c r="K699" s="6"/>
      <c r="L699" s="6"/>
      <c r="M699" s="6"/>
      <c r="N699" s="6"/>
      <c r="O699" s="6"/>
      <c r="P699" s="6"/>
      <c r="Q699" s="6"/>
    </row>
    <row r="700" spans="2:17" ht="15.5" x14ac:dyDescent="0.35">
      <c r="B700" s="5"/>
      <c r="C700" s="6"/>
      <c r="D700" s="7"/>
      <c r="E700" s="6"/>
      <c r="F700" s="6"/>
      <c r="G700" s="8"/>
      <c r="H700" s="6"/>
      <c r="I700" s="6"/>
      <c r="J700" s="6"/>
      <c r="K700" s="6"/>
      <c r="L700" s="6"/>
      <c r="M700" s="6"/>
      <c r="N700" s="6"/>
      <c r="O700" s="6"/>
      <c r="P700" s="6"/>
      <c r="Q700" s="6"/>
    </row>
    <row r="701" spans="2:17" ht="15.5" x14ac:dyDescent="0.35">
      <c r="B701" s="5"/>
      <c r="C701" s="6"/>
      <c r="D701" s="7"/>
      <c r="E701" s="6"/>
      <c r="F701" s="6"/>
      <c r="G701" s="8"/>
      <c r="H701" s="6"/>
      <c r="I701" s="6"/>
      <c r="J701" s="6"/>
      <c r="K701" s="6"/>
      <c r="L701" s="6"/>
      <c r="M701" s="6"/>
      <c r="N701" s="6"/>
      <c r="O701" s="6"/>
      <c r="P701" s="6"/>
      <c r="Q701" s="6"/>
    </row>
    <row r="702" spans="2:17" ht="15.5" x14ac:dyDescent="0.35">
      <c r="B702" s="5"/>
      <c r="C702" s="6"/>
      <c r="D702" s="7"/>
      <c r="E702" s="6"/>
      <c r="F702" s="6"/>
      <c r="G702" s="8"/>
      <c r="H702" s="6"/>
      <c r="I702" s="6"/>
      <c r="J702" s="6"/>
      <c r="K702" s="6"/>
      <c r="L702" s="6"/>
      <c r="M702" s="6"/>
      <c r="N702" s="6"/>
      <c r="O702" s="6"/>
      <c r="P702" s="6"/>
      <c r="Q702" s="6"/>
    </row>
    <row r="703" spans="2:17" ht="15.5" x14ac:dyDescent="0.35">
      <c r="B703" s="5"/>
      <c r="C703" s="6"/>
      <c r="D703" s="7"/>
      <c r="E703" s="6"/>
      <c r="F703" s="6"/>
      <c r="G703" s="8"/>
      <c r="H703" s="6"/>
      <c r="I703" s="6"/>
      <c r="J703" s="6"/>
      <c r="K703" s="6"/>
      <c r="L703" s="6"/>
      <c r="M703" s="6"/>
      <c r="N703" s="6"/>
      <c r="O703" s="6"/>
      <c r="P703" s="6"/>
      <c r="Q703" s="6"/>
    </row>
    <row r="704" spans="2:17" ht="15.5" x14ac:dyDescent="0.35">
      <c r="B704" s="5"/>
      <c r="C704" s="6"/>
      <c r="D704" s="7"/>
      <c r="E704" s="6"/>
      <c r="F704" s="6"/>
      <c r="G704" s="8"/>
      <c r="H704" s="6"/>
      <c r="I704" s="6"/>
      <c r="J704" s="6"/>
      <c r="K704" s="6"/>
      <c r="L704" s="6"/>
      <c r="M704" s="6"/>
      <c r="N704" s="6"/>
      <c r="O704" s="6"/>
      <c r="P704" s="6"/>
      <c r="Q704" s="6"/>
    </row>
    <row r="705" spans="2:17" ht="15.5" x14ac:dyDescent="0.35">
      <c r="B705" s="5"/>
      <c r="C705" s="6"/>
      <c r="D705" s="7"/>
      <c r="E705" s="6"/>
      <c r="F705" s="6"/>
      <c r="G705" s="8"/>
      <c r="H705" s="6"/>
      <c r="I705" s="6"/>
      <c r="J705" s="6"/>
      <c r="K705" s="6"/>
      <c r="L705" s="6"/>
      <c r="M705" s="6"/>
      <c r="N705" s="6"/>
      <c r="O705" s="6"/>
      <c r="P705" s="6"/>
      <c r="Q705" s="6"/>
    </row>
    <row r="706" spans="2:17" ht="15.5" x14ac:dyDescent="0.35">
      <c r="B706" s="5"/>
      <c r="C706" s="6"/>
      <c r="D706" s="7"/>
      <c r="E706" s="6"/>
      <c r="F706" s="6"/>
      <c r="G706" s="8"/>
      <c r="H706" s="6"/>
      <c r="I706" s="6"/>
      <c r="J706" s="6"/>
      <c r="K706" s="6"/>
      <c r="L706" s="6"/>
      <c r="M706" s="6"/>
      <c r="N706" s="6"/>
      <c r="O706" s="6"/>
      <c r="P706" s="6"/>
      <c r="Q706" s="6"/>
    </row>
    <row r="707" spans="2:17" ht="15.5" x14ac:dyDescent="0.35">
      <c r="B707" s="5"/>
      <c r="C707" s="6"/>
      <c r="D707" s="7"/>
      <c r="E707" s="6"/>
      <c r="F707" s="6"/>
      <c r="G707" s="8"/>
      <c r="H707" s="6"/>
      <c r="I707" s="6"/>
      <c r="J707" s="6"/>
      <c r="K707" s="6"/>
      <c r="L707" s="6"/>
      <c r="M707" s="6"/>
      <c r="N707" s="6"/>
      <c r="O707" s="6"/>
      <c r="P707" s="6"/>
      <c r="Q707" s="6"/>
    </row>
    <row r="708" spans="2:17" ht="15.5" x14ac:dyDescent="0.35">
      <c r="B708" s="5"/>
      <c r="C708" s="6"/>
      <c r="D708" s="7"/>
      <c r="E708" s="6"/>
      <c r="F708" s="6"/>
      <c r="G708" s="8"/>
      <c r="H708" s="6"/>
      <c r="I708" s="6"/>
      <c r="J708" s="6"/>
      <c r="K708" s="6"/>
      <c r="L708" s="6"/>
      <c r="M708" s="6"/>
      <c r="N708" s="6"/>
      <c r="O708" s="6"/>
      <c r="P708" s="6"/>
      <c r="Q708" s="6"/>
    </row>
    <row r="709" spans="2:17" ht="15.5" x14ac:dyDescent="0.35">
      <c r="B709" s="5"/>
      <c r="C709" s="6"/>
      <c r="D709" s="7"/>
      <c r="E709" s="6"/>
      <c r="F709" s="6"/>
      <c r="G709" s="8"/>
      <c r="H709" s="6"/>
      <c r="I709" s="6"/>
      <c r="J709" s="6"/>
      <c r="K709" s="6"/>
      <c r="L709" s="6"/>
      <c r="M709" s="6"/>
      <c r="N709" s="6"/>
      <c r="O709" s="6"/>
      <c r="P709" s="6"/>
      <c r="Q709" s="6"/>
    </row>
    <row r="710" spans="2:17" ht="15.5" x14ac:dyDescent="0.35">
      <c r="B710" s="5"/>
      <c r="C710" s="6"/>
      <c r="D710" s="7"/>
      <c r="E710" s="6"/>
      <c r="F710" s="6"/>
      <c r="G710" s="8"/>
      <c r="H710" s="6"/>
      <c r="I710" s="6"/>
      <c r="J710" s="6"/>
      <c r="K710" s="6"/>
      <c r="L710" s="6"/>
      <c r="M710" s="6"/>
      <c r="N710" s="6"/>
      <c r="O710" s="6"/>
      <c r="P710" s="6"/>
      <c r="Q710" s="6"/>
    </row>
    <row r="711" spans="2:17" ht="15.5" x14ac:dyDescent="0.35">
      <c r="B711" s="5"/>
      <c r="C711" s="6"/>
      <c r="D711" s="7"/>
      <c r="E711" s="6"/>
      <c r="F711" s="6"/>
      <c r="G711" s="8"/>
      <c r="H711" s="6"/>
      <c r="I711" s="6"/>
      <c r="J711" s="6"/>
      <c r="K711" s="6"/>
      <c r="L711" s="6"/>
      <c r="M711" s="6"/>
      <c r="N711" s="6"/>
      <c r="O711" s="6"/>
      <c r="P711" s="6"/>
      <c r="Q711" s="6"/>
    </row>
    <row r="712" spans="2:17" ht="15.5" x14ac:dyDescent="0.35">
      <c r="B712" s="5"/>
      <c r="C712" s="6"/>
      <c r="D712" s="7"/>
      <c r="E712" s="6"/>
      <c r="F712" s="6"/>
      <c r="G712" s="8"/>
      <c r="H712" s="6"/>
      <c r="I712" s="6"/>
      <c r="J712" s="6"/>
      <c r="K712" s="6"/>
      <c r="L712" s="6"/>
      <c r="M712" s="6"/>
      <c r="N712" s="6"/>
      <c r="O712" s="6"/>
      <c r="P712" s="6"/>
      <c r="Q712" s="6"/>
    </row>
    <row r="713" spans="2:17" ht="15.5" x14ac:dyDescent="0.35">
      <c r="B713" s="5"/>
      <c r="C713" s="6"/>
      <c r="D713" s="7"/>
      <c r="E713" s="6"/>
      <c r="F713" s="6"/>
      <c r="G713" s="8"/>
      <c r="H713" s="6"/>
      <c r="I713" s="6"/>
      <c r="J713" s="6"/>
      <c r="K713" s="6"/>
      <c r="L713" s="6"/>
      <c r="M713" s="6"/>
      <c r="N713" s="6"/>
      <c r="O713" s="6"/>
      <c r="P713" s="6"/>
      <c r="Q713" s="6"/>
    </row>
    <row r="714" spans="2:17" ht="15.5" x14ac:dyDescent="0.35">
      <c r="B714" s="5"/>
      <c r="C714" s="6"/>
      <c r="D714" s="7"/>
      <c r="E714" s="6"/>
      <c r="F714" s="6"/>
      <c r="G714" s="8"/>
      <c r="H714" s="6"/>
      <c r="I714" s="6"/>
      <c r="J714" s="6"/>
      <c r="K714" s="6"/>
      <c r="L714" s="6"/>
      <c r="M714" s="6"/>
      <c r="N714" s="6"/>
      <c r="O714" s="6"/>
      <c r="P714" s="6"/>
      <c r="Q714" s="6"/>
    </row>
    <row r="715" spans="2:17" ht="15.5" x14ac:dyDescent="0.35">
      <c r="B715" s="5"/>
      <c r="C715" s="6"/>
      <c r="D715" s="7"/>
      <c r="E715" s="6"/>
      <c r="F715" s="6"/>
      <c r="G715" s="8"/>
      <c r="H715" s="6"/>
      <c r="I715" s="6"/>
      <c r="J715" s="6"/>
      <c r="K715" s="6"/>
      <c r="L715" s="6"/>
      <c r="M715" s="6"/>
      <c r="N715" s="6"/>
      <c r="O715" s="6"/>
      <c r="P715" s="6"/>
      <c r="Q715" s="6"/>
    </row>
    <row r="716" spans="2:17" ht="15.5" x14ac:dyDescent="0.35">
      <c r="B716" s="5"/>
      <c r="C716" s="6"/>
      <c r="D716" s="7"/>
      <c r="E716" s="6"/>
      <c r="F716" s="6"/>
      <c r="G716" s="8"/>
      <c r="H716" s="6"/>
      <c r="I716" s="6"/>
      <c r="J716" s="6"/>
      <c r="K716" s="6"/>
      <c r="L716" s="6"/>
      <c r="M716" s="6"/>
      <c r="N716" s="6"/>
      <c r="O716" s="6"/>
      <c r="P716" s="6"/>
      <c r="Q716" s="6"/>
    </row>
    <row r="717" spans="2:17" ht="15.5" x14ac:dyDescent="0.35">
      <c r="B717" s="5"/>
      <c r="C717" s="6"/>
      <c r="D717" s="7"/>
      <c r="E717" s="6"/>
      <c r="F717" s="6"/>
      <c r="G717" s="8"/>
      <c r="H717" s="6"/>
      <c r="I717" s="6"/>
      <c r="J717" s="6"/>
      <c r="K717" s="6"/>
      <c r="L717" s="6"/>
      <c r="M717" s="6"/>
      <c r="N717" s="6"/>
      <c r="O717" s="6"/>
      <c r="P717" s="6"/>
      <c r="Q717" s="6"/>
    </row>
    <row r="718" spans="2:17" ht="15.5" x14ac:dyDescent="0.35">
      <c r="B718" s="5"/>
      <c r="C718" s="6"/>
      <c r="D718" s="7"/>
      <c r="E718" s="6"/>
      <c r="F718" s="6"/>
      <c r="G718" s="8"/>
      <c r="H718" s="6"/>
      <c r="I718" s="6"/>
      <c r="J718" s="6"/>
      <c r="K718" s="6"/>
      <c r="L718" s="6"/>
      <c r="M718" s="6"/>
      <c r="N718" s="6"/>
      <c r="O718" s="6"/>
      <c r="P718" s="6"/>
      <c r="Q718" s="6"/>
    </row>
    <row r="719" spans="2:17" ht="15.5" x14ac:dyDescent="0.35">
      <c r="B719" s="5"/>
      <c r="C719" s="6"/>
      <c r="D719" s="7"/>
      <c r="E719" s="6"/>
      <c r="F719" s="6"/>
      <c r="G719" s="8"/>
      <c r="H719" s="6"/>
      <c r="I719" s="6"/>
      <c r="J719" s="6"/>
      <c r="K719" s="6"/>
      <c r="L719" s="6"/>
      <c r="M719" s="6"/>
      <c r="N719" s="6"/>
      <c r="O719" s="6"/>
      <c r="P719" s="6"/>
      <c r="Q719" s="6"/>
    </row>
    <row r="720" spans="2:17" ht="15.5" x14ac:dyDescent="0.35">
      <c r="B720" s="5"/>
      <c r="C720" s="6"/>
      <c r="D720" s="7"/>
      <c r="E720" s="6"/>
      <c r="F720" s="6"/>
      <c r="G720" s="8"/>
      <c r="H720" s="6"/>
      <c r="I720" s="6"/>
      <c r="J720" s="6"/>
      <c r="K720" s="6"/>
      <c r="L720" s="6"/>
      <c r="M720" s="6"/>
      <c r="N720" s="6"/>
      <c r="O720" s="6"/>
      <c r="P720" s="6"/>
      <c r="Q720" s="6"/>
    </row>
    <row r="721" spans="2:17" ht="15.5" x14ac:dyDescent="0.35">
      <c r="B721" s="5"/>
      <c r="C721" s="6"/>
      <c r="D721" s="7"/>
      <c r="E721" s="6"/>
      <c r="F721" s="6"/>
      <c r="G721" s="8"/>
      <c r="H721" s="6"/>
      <c r="I721" s="6"/>
      <c r="J721" s="6"/>
      <c r="K721" s="6"/>
      <c r="L721" s="6"/>
      <c r="M721" s="6"/>
      <c r="N721" s="6"/>
      <c r="O721" s="6"/>
      <c r="P721" s="6"/>
      <c r="Q721" s="6"/>
    </row>
    <row r="722" spans="2:17" ht="15.5" x14ac:dyDescent="0.35">
      <c r="B722" s="5"/>
      <c r="C722" s="6"/>
      <c r="D722" s="7"/>
      <c r="E722" s="6"/>
      <c r="F722" s="6"/>
      <c r="G722" s="8"/>
      <c r="H722" s="6"/>
      <c r="I722" s="6"/>
      <c r="J722" s="6"/>
      <c r="K722" s="6"/>
      <c r="L722" s="6"/>
      <c r="M722" s="6"/>
      <c r="N722" s="6"/>
      <c r="O722" s="6"/>
      <c r="P722" s="6"/>
      <c r="Q722" s="6"/>
    </row>
    <row r="723" spans="2:17" ht="15.5" x14ac:dyDescent="0.35">
      <c r="B723" s="5"/>
      <c r="C723" s="6"/>
      <c r="D723" s="7"/>
      <c r="E723" s="6"/>
      <c r="F723" s="6"/>
      <c r="G723" s="8"/>
      <c r="H723" s="6"/>
      <c r="I723" s="6"/>
      <c r="J723" s="6"/>
      <c r="K723" s="6"/>
      <c r="L723" s="6"/>
      <c r="M723" s="6"/>
      <c r="N723" s="6"/>
      <c r="O723" s="6"/>
      <c r="P723" s="6"/>
      <c r="Q723" s="6"/>
    </row>
    <row r="724" spans="2:17" ht="15.5" x14ac:dyDescent="0.35">
      <c r="B724" s="5"/>
      <c r="C724" s="6"/>
      <c r="D724" s="7"/>
      <c r="E724" s="6"/>
      <c r="F724" s="6"/>
      <c r="G724" s="8"/>
      <c r="H724" s="6"/>
      <c r="I724" s="6"/>
      <c r="J724" s="6"/>
      <c r="K724" s="6"/>
      <c r="L724" s="6"/>
      <c r="M724" s="6"/>
      <c r="N724" s="6"/>
      <c r="O724" s="6"/>
      <c r="P724" s="6"/>
      <c r="Q724" s="6"/>
    </row>
    <row r="725" spans="2:17" ht="15.5" x14ac:dyDescent="0.35">
      <c r="B725" s="5"/>
      <c r="C725" s="6"/>
      <c r="D725" s="7"/>
      <c r="E725" s="6"/>
      <c r="F725" s="6"/>
      <c r="G725" s="8"/>
      <c r="H725" s="6"/>
      <c r="I725" s="6"/>
      <c r="J725" s="6"/>
      <c r="K725" s="6"/>
      <c r="L725" s="6"/>
      <c r="M725" s="6"/>
      <c r="N725" s="6"/>
      <c r="O725" s="6"/>
      <c r="P725" s="6"/>
      <c r="Q725" s="6"/>
    </row>
    <row r="726" spans="2:17" ht="15.5" x14ac:dyDescent="0.35">
      <c r="B726" s="5"/>
      <c r="C726" s="6"/>
      <c r="D726" s="7"/>
      <c r="E726" s="6"/>
      <c r="F726" s="6"/>
      <c r="G726" s="8"/>
      <c r="H726" s="6"/>
      <c r="I726" s="6"/>
      <c r="J726" s="6"/>
      <c r="K726" s="6"/>
      <c r="L726" s="6"/>
      <c r="M726" s="6"/>
      <c r="N726" s="6"/>
      <c r="O726" s="6"/>
      <c r="P726" s="6"/>
      <c r="Q726" s="6"/>
    </row>
    <row r="727" spans="2:17" ht="15.5" x14ac:dyDescent="0.35">
      <c r="B727" s="5"/>
      <c r="C727" s="6"/>
      <c r="D727" s="7"/>
      <c r="E727" s="6"/>
      <c r="F727" s="6"/>
      <c r="G727" s="8"/>
      <c r="H727" s="6"/>
      <c r="I727" s="6"/>
      <c r="J727" s="6"/>
      <c r="K727" s="6"/>
      <c r="L727" s="6"/>
      <c r="M727" s="6"/>
      <c r="N727" s="6"/>
      <c r="O727" s="6"/>
      <c r="P727" s="6"/>
      <c r="Q727" s="6"/>
    </row>
    <row r="728" spans="2:17" ht="15.5" x14ac:dyDescent="0.35">
      <c r="B728" s="5"/>
      <c r="C728" s="6"/>
      <c r="D728" s="7"/>
      <c r="E728" s="6"/>
      <c r="F728" s="6"/>
      <c r="G728" s="8"/>
      <c r="H728" s="6"/>
      <c r="I728" s="6"/>
      <c r="J728" s="6"/>
      <c r="K728" s="6"/>
      <c r="L728" s="6"/>
      <c r="M728" s="6"/>
      <c r="N728" s="6"/>
      <c r="O728" s="6"/>
      <c r="P728" s="6"/>
      <c r="Q728" s="6"/>
    </row>
    <row r="729" spans="2:17" ht="15.5" x14ac:dyDescent="0.35">
      <c r="B729" s="5"/>
      <c r="C729" s="6"/>
      <c r="D729" s="7"/>
      <c r="E729" s="6"/>
      <c r="F729" s="6"/>
      <c r="G729" s="8"/>
      <c r="H729" s="6"/>
      <c r="I729" s="6"/>
      <c r="J729" s="6"/>
      <c r="K729" s="6"/>
      <c r="L729" s="6"/>
      <c r="M729" s="6"/>
      <c r="N729" s="6"/>
      <c r="O729" s="6"/>
      <c r="P729" s="6"/>
      <c r="Q729" s="6"/>
    </row>
    <row r="730" spans="2:17" ht="15.5" x14ac:dyDescent="0.35">
      <c r="B730" s="5"/>
      <c r="C730" s="6"/>
      <c r="D730" s="7"/>
      <c r="E730" s="6"/>
      <c r="F730" s="6"/>
      <c r="G730" s="8"/>
      <c r="H730" s="6"/>
      <c r="I730" s="6"/>
      <c r="J730" s="6"/>
      <c r="K730" s="6"/>
      <c r="L730" s="6"/>
      <c r="M730" s="6"/>
      <c r="N730" s="6"/>
      <c r="O730" s="6"/>
      <c r="P730" s="6"/>
      <c r="Q730" s="6"/>
    </row>
    <row r="731" spans="2:17" ht="15.5" x14ac:dyDescent="0.35">
      <c r="B731" s="5"/>
      <c r="C731" s="6"/>
      <c r="D731" s="7"/>
      <c r="E731" s="6"/>
      <c r="F731" s="6"/>
      <c r="G731" s="8"/>
      <c r="H731" s="6"/>
      <c r="I731" s="6"/>
      <c r="J731" s="6"/>
      <c r="K731" s="6"/>
      <c r="L731" s="6"/>
      <c r="M731" s="6"/>
      <c r="N731" s="6"/>
      <c r="O731" s="6"/>
      <c r="P731" s="6"/>
      <c r="Q731" s="6"/>
    </row>
    <row r="732" spans="2:17" ht="15.5" x14ac:dyDescent="0.35">
      <c r="B732" s="5"/>
      <c r="C732" s="6"/>
      <c r="D732" s="7"/>
      <c r="E732" s="6"/>
      <c r="F732" s="6"/>
      <c r="G732" s="8"/>
      <c r="H732" s="6"/>
      <c r="I732" s="6"/>
      <c r="J732" s="6"/>
      <c r="K732" s="6"/>
      <c r="L732" s="6"/>
      <c r="M732" s="6"/>
      <c r="N732" s="6"/>
      <c r="O732" s="6"/>
      <c r="P732" s="6"/>
      <c r="Q732" s="6"/>
    </row>
    <row r="733" spans="2:17" ht="15.5" x14ac:dyDescent="0.35">
      <c r="B733" s="5"/>
      <c r="C733" s="6"/>
      <c r="D733" s="7"/>
      <c r="E733" s="6"/>
      <c r="F733" s="6"/>
      <c r="G733" s="8"/>
      <c r="H733" s="6"/>
      <c r="I733" s="6"/>
      <c r="J733" s="6"/>
      <c r="K733" s="6"/>
      <c r="L733" s="6"/>
      <c r="M733" s="6"/>
      <c r="N733" s="6"/>
      <c r="O733" s="6"/>
      <c r="P733" s="6"/>
      <c r="Q733" s="6"/>
    </row>
    <row r="734" spans="2:17" ht="15.5" x14ac:dyDescent="0.35">
      <c r="B734" s="5"/>
      <c r="C734" s="6"/>
      <c r="D734" s="7"/>
      <c r="E734" s="6"/>
      <c r="F734" s="6"/>
      <c r="G734" s="8"/>
      <c r="H734" s="6"/>
      <c r="I734" s="6"/>
      <c r="J734" s="6"/>
      <c r="K734" s="6"/>
      <c r="L734" s="6"/>
      <c r="M734" s="6"/>
      <c r="N734" s="6"/>
      <c r="O734" s="6"/>
      <c r="P734" s="6"/>
      <c r="Q734" s="6"/>
    </row>
    <row r="735" spans="2:17" ht="15.5" x14ac:dyDescent="0.35">
      <c r="B735" s="5"/>
      <c r="C735" s="6"/>
      <c r="D735" s="7"/>
      <c r="E735" s="6"/>
      <c r="F735" s="6"/>
      <c r="G735" s="8"/>
      <c r="H735" s="6"/>
      <c r="I735" s="6"/>
      <c r="J735" s="6"/>
      <c r="K735" s="6"/>
      <c r="L735" s="6"/>
      <c r="M735" s="6"/>
      <c r="N735" s="6"/>
      <c r="O735" s="6"/>
      <c r="P735" s="6"/>
      <c r="Q735" s="6"/>
    </row>
    <row r="736" spans="2:17" ht="15.5" x14ac:dyDescent="0.35">
      <c r="B736" s="5"/>
      <c r="C736" s="6"/>
      <c r="D736" s="7"/>
      <c r="E736" s="6"/>
      <c r="F736" s="6"/>
      <c r="G736" s="8"/>
      <c r="H736" s="6"/>
      <c r="I736" s="6"/>
      <c r="J736" s="6"/>
      <c r="K736" s="6"/>
      <c r="L736" s="6"/>
      <c r="M736" s="6"/>
      <c r="N736" s="6"/>
      <c r="O736" s="6"/>
      <c r="P736" s="6"/>
      <c r="Q736" s="6"/>
    </row>
    <row r="737" spans="2:17" ht="15.5" x14ac:dyDescent="0.35">
      <c r="B737" s="5"/>
      <c r="C737" s="6"/>
      <c r="D737" s="7"/>
      <c r="E737" s="6"/>
      <c r="F737" s="6"/>
      <c r="G737" s="8"/>
      <c r="H737" s="6"/>
      <c r="I737" s="6"/>
      <c r="J737" s="6"/>
      <c r="K737" s="6"/>
      <c r="L737" s="6"/>
      <c r="M737" s="6"/>
      <c r="N737" s="6"/>
      <c r="O737" s="6"/>
      <c r="P737" s="6"/>
      <c r="Q737" s="6"/>
    </row>
    <row r="738" spans="2:17" ht="15.5" x14ac:dyDescent="0.35">
      <c r="B738" s="5"/>
      <c r="C738" s="6"/>
      <c r="D738" s="7"/>
      <c r="E738" s="6"/>
      <c r="F738" s="6"/>
      <c r="G738" s="8"/>
      <c r="H738" s="6"/>
      <c r="I738" s="6"/>
      <c r="J738" s="6"/>
      <c r="K738" s="6"/>
      <c r="L738" s="6"/>
      <c r="M738" s="6"/>
      <c r="N738" s="6"/>
      <c r="O738" s="6"/>
      <c r="P738" s="6"/>
      <c r="Q738" s="6"/>
    </row>
    <row r="739" spans="2:17" ht="15.5" x14ac:dyDescent="0.35">
      <c r="B739" s="5"/>
      <c r="C739" s="6"/>
      <c r="D739" s="7"/>
      <c r="E739" s="6"/>
      <c r="F739" s="6"/>
      <c r="G739" s="8"/>
      <c r="H739" s="6"/>
      <c r="I739" s="6"/>
      <c r="J739" s="6"/>
      <c r="K739" s="6"/>
      <c r="L739" s="6"/>
      <c r="M739" s="6"/>
      <c r="N739" s="6"/>
      <c r="O739" s="6"/>
      <c r="P739" s="6"/>
      <c r="Q739" s="6"/>
    </row>
    <row r="740" spans="2:17" ht="15.5" x14ac:dyDescent="0.35">
      <c r="B740" s="5"/>
      <c r="C740" s="6"/>
      <c r="D740" s="7"/>
      <c r="E740" s="6"/>
      <c r="F740" s="6"/>
      <c r="G740" s="8"/>
      <c r="H740" s="6"/>
      <c r="I740" s="6"/>
      <c r="J740" s="6"/>
      <c r="K740" s="6"/>
      <c r="L740" s="6"/>
      <c r="M740" s="6"/>
      <c r="N740" s="6"/>
      <c r="O740" s="6"/>
      <c r="P740" s="6"/>
      <c r="Q740" s="6"/>
    </row>
    <row r="741" spans="2:17" ht="15.5" x14ac:dyDescent="0.35">
      <c r="B741" s="5"/>
      <c r="C741" s="6"/>
      <c r="D741" s="7"/>
      <c r="E741" s="6"/>
      <c r="F741" s="6"/>
      <c r="G741" s="8"/>
      <c r="H741" s="6"/>
      <c r="I741" s="6"/>
      <c r="J741" s="6"/>
      <c r="K741" s="6"/>
      <c r="L741" s="6"/>
      <c r="M741" s="6"/>
      <c r="N741" s="6"/>
      <c r="O741" s="6"/>
      <c r="P741" s="6"/>
      <c r="Q741" s="6"/>
    </row>
    <row r="742" spans="2:17" ht="15.5" x14ac:dyDescent="0.35">
      <c r="B742" s="5"/>
      <c r="C742" s="6"/>
      <c r="D742" s="7"/>
      <c r="E742" s="6"/>
      <c r="F742" s="6"/>
      <c r="G742" s="8"/>
      <c r="H742" s="6"/>
      <c r="I742" s="6"/>
      <c r="J742" s="6"/>
      <c r="K742" s="6"/>
      <c r="L742" s="6"/>
      <c r="M742" s="6"/>
      <c r="N742" s="6"/>
      <c r="O742" s="6"/>
      <c r="P742" s="6"/>
      <c r="Q742" s="6"/>
    </row>
    <row r="743" spans="2:17" ht="15.5" x14ac:dyDescent="0.35">
      <c r="B743" s="5"/>
      <c r="C743" s="6"/>
      <c r="D743" s="7"/>
      <c r="E743" s="6"/>
      <c r="F743" s="6"/>
      <c r="G743" s="8"/>
      <c r="H743" s="6"/>
      <c r="I743" s="6"/>
      <c r="J743" s="6"/>
      <c r="K743" s="6"/>
      <c r="L743" s="6"/>
      <c r="M743" s="6"/>
      <c r="N743" s="6"/>
      <c r="O743" s="6"/>
      <c r="P743" s="6"/>
      <c r="Q743" s="6"/>
    </row>
    <row r="744" spans="2:17" ht="15.5" x14ac:dyDescent="0.35">
      <c r="B744" s="5"/>
      <c r="C744" s="6"/>
      <c r="D744" s="7"/>
      <c r="E744" s="6"/>
      <c r="F744" s="6"/>
      <c r="G744" s="8"/>
      <c r="H744" s="6"/>
      <c r="I744" s="6"/>
      <c r="J744" s="6"/>
      <c r="K744" s="6"/>
      <c r="L744" s="6"/>
      <c r="M744" s="6"/>
      <c r="N744" s="6"/>
      <c r="O744" s="6"/>
      <c r="P744" s="6"/>
      <c r="Q744" s="6"/>
    </row>
    <row r="745" spans="2:17" ht="15.5" x14ac:dyDescent="0.35">
      <c r="B745" s="5"/>
      <c r="C745" s="6"/>
      <c r="D745" s="7"/>
      <c r="E745" s="6"/>
      <c r="F745" s="6"/>
      <c r="G745" s="8"/>
      <c r="H745" s="6"/>
      <c r="I745" s="6"/>
      <c r="J745" s="6"/>
      <c r="K745" s="6"/>
      <c r="L745" s="6"/>
      <c r="M745" s="6"/>
      <c r="N745" s="6"/>
      <c r="O745" s="6"/>
      <c r="P745" s="6"/>
      <c r="Q745" s="6"/>
    </row>
    <row r="746" spans="2:17" ht="15.5" x14ac:dyDescent="0.35">
      <c r="B746" s="5"/>
      <c r="C746" s="6"/>
      <c r="D746" s="7"/>
      <c r="E746" s="6"/>
      <c r="F746" s="6"/>
      <c r="G746" s="8"/>
      <c r="H746" s="6"/>
      <c r="I746" s="6"/>
      <c r="J746" s="6"/>
      <c r="K746" s="6"/>
      <c r="L746" s="6"/>
      <c r="M746" s="6"/>
      <c r="N746" s="6"/>
      <c r="O746" s="6"/>
      <c r="P746" s="6"/>
      <c r="Q746" s="6"/>
    </row>
    <row r="747" spans="2:17" ht="15.5" x14ac:dyDescent="0.35">
      <c r="B747" s="5"/>
      <c r="C747" s="6"/>
      <c r="D747" s="7"/>
      <c r="E747" s="6"/>
      <c r="F747" s="6"/>
      <c r="G747" s="8"/>
      <c r="H747" s="6"/>
      <c r="I747" s="6"/>
      <c r="J747" s="6"/>
      <c r="K747" s="6"/>
      <c r="L747" s="6"/>
      <c r="M747" s="6"/>
      <c r="N747" s="6"/>
      <c r="O747" s="6"/>
      <c r="P747" s="6"/>
      <c r="Q747" s="6"/>
    </row>
    <row r="748" spans="2:17" ht="15.5" x14ac:dyDescent="0.35">
      <c r="B748" s="5"/>
      <c r="C748" s="6"/>
      <c r="D748" s="7"/>
      <c r="E748" s="6"/>
      <c r="F748" s="6"/>
      <c r="G748" s="8"/>
      <c r="H748" s="6"/>
      <c r="I748" s="6"/>
      <c r="J748" s="6"/>
      <c r="K748" s="6"/>
      <c r="L748" s="6"/>
      <c r="M748" s="6"/>
      <c r="N748" s="6"/>
      <c r="O748" s="6"/>
      <c r="P748" s="6"/>
      <c r="Q748" s="6"/>
    </row>
    <row r="749" spans="2:17" ht="15.5" x14ac:dyDescent="0.35">
      <c r="B749" s="5"/>
      <c r="C749" s="6"/>
      <c r="D749" s="7"/>
      <c r="E749" s="6"/>
      <c r="F749" s="6"/>
      <c r="G749" s="8"/>
      <c r="H749" s="6"/>
      <c r="I749" s="6"/>
      <c r="J749" s="6"/>
      <c r="K749" s="6"/>
      <c r="L749" s="6"/>
      <c r="M749" s="6"/>
      <c r="N749" s="6"/>
      <c r="O749" s="6"/>
      <c r="P749" s="6"/>
      <c r="Q749" s="6"/>
    </row>
    <row r="750" spans="2:17" ht="15.5" x14ac:dyDescent="0.35">
      <c r="B750" s="5"/>
      <c r="C750" s="6"/>
      <c r="D750" s="7"/>
      <c r="E750" s="6"/>
      <c r="F750" s="6"/>
      <c r="G750" s="8"/>
      <c r="H750" s="6"/>
      <c r="I750" s="6"/>
      <c r="J750" s="6"/>
      <c r="K750" s="6"/>
      <c r="L750" s="6"/>
      <c r="M750" s="6"/>
      <c r="N750" s="6"/>
      <c r="O750" s="6"/>
      <c r="P750" s="6"/>
      <c r="Q750" s="6"/>
    </row>
    <row r="751" spans="2:17" ht="15.5" x14ac:dyDescent="0.35">
      <c r="B751" s="5"/>
      <c r="C751" s="6"/>
      <c r="D751" s="7"/>
      <c r="E751" s="6"/>
      <c r="F751" s="6"/>
      <c r="G751" s="8"/>
      <c r="H751" s="6"/>
      <c r="I751" s="6"/>
      <c r="J751" s="6"/>
      <c r="K751" s="6"/>
      <c r="L751" s="6"/>
      <c r="M751" s="6"/>
      <c r="N751" s="6"/>
      <c r="O751" s="6"/>
      <c r="P751" s="6"/>
      <c r="Q751" s="6"/>
    </row>
    <row r="752" spans="2:17" ht="15.5" x14ac:dyDescent="0.35">
      <c r="B752" s="5"/>
      <c r="C752" s="6"/>
      <c r="D752" s="7"/>
      <c r="E752" s="6"/>
      <c r="F752" s="6"/>
      <c r="G752" s="8"/>
      <c r="H752" s="6"/>
      <c r="I752" s="6"/>
      <c r="J752" s="6"/>
      <c r="K752" s="6"/>
      <c r="L752" s="6"/>
      <c r="M752" s="6"/>
      <c r="N752" s="6"/>
      <c r="O752" s="6"/>
      <c r="P752" s="6"/>
      <c r="Q752" s="6"/>
    </row>
    <row r="753" spans="2:17" ht="15.5" x14ac:dyDescent="0.35">
      <c r="B753" s="5"/>
      <c r="C753" s="6"/>
      <c r="D753" s="7"/>
      <c r="E753" s="6"/>
      <c r="F753" s="6"/>
      <c r="G753" s="8"/>
      <c r="H753" s="6"/>
      <c r="I753" s="6"/>
      <c r="J753" s="6"/>
      <c r="K753" s="6"/>
      <c r="L753" s="6"/>
      <c r="M753" s="6"/>
      <c r="N753" s="6"/>
      <c r="O753" s="6"/>
      <c r="P753" s="6"/>
      <c r="Q753" s="6"/>
    </row>
    <row r="754" spans="2:17" ht="15.5" x14ac:dyDescent="0.35">
      <c r="B754" s="5"/>
      <c r="C754" s="6"/>
      <c r="D754" s="7"/>
      <c r="E754" s="6"/>
      <c r="F754" s="6"/>
      <c r="G754" s="8"/>
      <c r="H754" s="6"/>
      <c r="I754" s="6"/>
      <c r="J754" s="6"/>
      <c r="K754" s="6"/>
      <c r="L754" s="6"/>
      <c r="M754" s="6"/>
      <c r="N754" s="6"/>
      <c r="O754" s="6"/>
      <c r="P754" s="6"/>
      <c r="Q754" s="6"/>
    </row>
    <row r="755" spans="2:17" ht="15.5" x14ac:dyDescent="0.35">
      <c r="B755" s="5"/>
      <c r="C755" s="6"/>
      <c r="D755" s="7"/>
      <c r="E755" s="6"/>
      <c r="F755" s="6"/>
      <c r="G755" s="8"/>
      <c r="H755" s="6"/>
      <c r="I755" s="6"/>
      <c r="J755" s="6"/>
      <c r="K755" s="6"/>
      <c r="L755" s="6"/>
      <c r="M755" s="6"/>
      <c r="N755" s="6"/>
      <c r="O755" s="6"/>
      <c r="P755" s="6"/>
      <c r="Q755" s="6"/>
    </row>
    <row r="756" spans="2:17" ht="15.5" x14ac:dyDescent="0.35">
      <c r="B756" s="5"/>
      <c r="C756" s="6"/>
      <c r="D756" s="7"/>
      <c r="E756" s="6"/>
      <c r="F756" s="6"/>
      <c r="G756" s="8"/>
      <c r="H756" s="6"/>
      <c r="I756" s="6"/>
      <c r="J756" s="6"/>
      <c r="K756" s="6"/>
      <c r="L756" s="6"/>
      <c r="M756" s="6"/>
      <c r="N756" s="6"/>
      <c r="O756" s="6"/>
      <c r="P756" s="6"/>
      <c r="Q756" s="6"/>
    </row>
    <row r="757" spans="2:17" ht="15.5" x14ac:dyDescent="0.35">
      <c r="B757" s="5"/>
      <c r="C757" s="6"/>
      <c r="D757" s="7"/>
      <c r="E757" s="6"/>
      <c r="F757" s="6"/>
      <c r="G757" s="8"/>
      <c r="H757" s="6"/>
      <c r="I757" s="6"/>
      <c r="J757" s="6"/>
      <c r="K757" s="6"/>
      <c r="L757" s="6"/>
      <c r="M757" s="6"/>
      <c r="N757" s="6"/>
      <c r="O757" s="6"/>
      <c r="P757" s="6"/>
      <c r="Q757" s="6"/>
    </row>
    <row r="758" spans="2:17" ht="15.5" x14ac:dyDescent="0.35">
      <c r="B758" s="5"/>
      <c r="C758" s="6"/>
      <c r="D758" s="7"/>
      <c r="E758" s="6"/>
      <c r="F758" s="6"/>
      <c r="G758" s="8"/>
      <c r="H758" s="6"/>
      <c r="I758" s="6"/>
      <c r="J758" s="6"/>
      <c r="K758" s="6"/>
      <c r="L758" s="6"/>
      <c r="M758" s="6"/>
      <c r="N758" s="6"/>
      <c r="O758" s="6"/>
      <c r="P758" s="6"/>
      <c r="Q758" s="6"/>
    </row>
    <row r="759" spans="2:17" ht="15.5" x14ac:dyDescent="0.35">
      <c r="B759" s="5"/>
      <c r="C759" s="6"/>
      <c r="D759" s="7"/>
      <c r="E759" s="6"/>
      <c r="F759" s="6"/>
      <c r="G759" s="8"/>
      <c r="H759" s="6"/>
      <c r="I759" s="6"/>
      <c r="J759" s="6"/>
      <c r="K759" s="6"/>
      <c r="L759" s="6"/>
      <c r="M759" s="6"/>
      <c r="N759" s="6"/>
      <c r="O759" s="6"/>
      <c r="P759" s="6"/>
      <c r="Q759" s="6"/>
    </row>
    <row r="760" spans="2:17" ht="15.5" x14ac:dyDescent="0.35">
      <c r="B760" s="5"/>
      <c r="C760" s="6"/>
      <c r="D760" s="7"/>
      <c r="E760" s="6"/>
      <c r="F760" s="6"/>
      <c r="G760" s="8"/>
      <c r="H760" s="6"/>
      <c r="I760" s="6"/>
      <c r="J760" s="6"/>
      <c r="K760" s="6"/>
      <c r="L760" s="6"/>
      <c r="M760" s="6"/>
      <c r="N760" s="6"/>
      <c r="O760" s="6"/>
      <c r="P760" s="6"/>
      <c r="Q760" s="6"/>
    </row>
    <row r="761" spans="2:17" ht="15.5" x14ac:dyDescent="0.35">
      <c r="B761" s="5"/>
      <c r="C761" s="6"/>
      <c r="D761" s="7"/>
      <c r="E761" s="6"/>
      <c r="F761" s="6"/>
      <c r="G761" s="8"/>
      <c r="H761" s="6"/>
      <c r="I761" s="6"/>
      <c r="J761" s="6"/>
      <c r="K761" s="6"/>
      <c r="L761" s="6"/>
      <c r="M761" s="6"/>
      <c r="N761" s="6"/>
      <c r="O761" s="6"/>
      <c r="P761" s="6"/>
      <c r="Q761" s="6"/>
    </row>
    <row r="762" spans="2:17" ht="15.5" x14ac:dyDescent="0.35">
      <c r="B762" s="5"/>
      <c r="C762" s="6"/>
      <c r="D762" s="7"/>
      <c r="E762" s="6"/>
      <c r="F762" s="6"/>
      <c r="G762" s="8"/>
      <c r="H762" s="6"/>
      <c r="I762" s="6"/>
      <c r="J762" s="6"/>
      <c r="K762" s="6"/>
      <c r="L762" s="6"/>
      <c r="M762" s="6"/>
      <c r="N762" s="6"/>
      <c r="O762" s="6"/>
      <c r="P762" s="6"/>
      <c r="Q762" s="6"/>
    </row>
    <row r="763" spans="2:17" ht="15.5" x14ac:dyDescent="0.35">
      <c r="B763" s="5"/>
      <c r="C763" s="6"/>
      <c r="D763" s="7"/>
      <c r="E763" s="6"/>
      <c r="F763" s="6"/>
      <c r="G763" s="8"/>
      <c r="H763" s="6"/>
      <c r="I763" s="6"/>
      <c r="J763" s="6"/>
      <c r="K763" s="6"/>
      <c r="L763" s="6"/>
      <c r="M763" s="6"/>
      <c r="N763" s="6"/>
      <c r="O763" s="6"/>
      <c r="P763" s="6"/>
      <c r="Q763" s="6"/>
    </row>
    <row r="764" spans="2:17" ht="15.5" x14ac:dyDescent="0.35">
      <c r="B764" s="5"/>
      <c r="C764" s="6"/>
      <c r="D764" s="7"/>
      <c r="E764" s="6"/>
      <c r="F764" s="6"/>
      <c r="G764" s="8"/>
      <c r="H764" s="6"/>
      <c r="I764" s="6"/>
      <c r="J764" s="6"/>
      <c r="K764" s="6"/>
      <c r="L764" s="6"/>
      <c r="M764" s="6"/>
      <c r="N764" s="6"/>
      <c r="O764" s="6"/>
      <c r="P764" s="6"/>
      <c r="Q764" s="6"/>
    </row>
    <row r="765" spans="2:17" ht="15.5" x14ac:dyDescent="0.35">
      <c r="B765" s="5"/>
      <c r="C765" s="6"/>
      <c r="D765" s="7"/>
      <c r="E765" s="6"/>
      <c r="F765" s="6"/>
      <c r="G765" s="8"/>
      <c r="H765" s="6"/>
      <c r="I765" s="6"/>
      <c r="J765" s="6"/>
      <c r="K765" s="6"/>
      <c r="L765" s="6"/>
      <c r="M765" s="6"/>
      <c r="N765" s="6"/>
      <c r="O765" s="6"/>
      <c r="P765" s="6"/>
      <c r="Q765" s="6"/>
    </row>
    <row r="766" spans="2:17" ht="15.5" x14ac:dyDescent="0.35">
      <c r="B766" s="5"/>
      <c r="C766" s="6"/>
      <c r="D766" s="7"/>
      <c r="E766" s="6"/>
      <c r="F766" s="6"/>
      <c r="G766" s="8"/>
      <c r="H766" s="6"/>
      <c r="I766" s="6"/>
      <c r="J766" s="6"/>
      <c r="K766" s="6"/>
      <c r="L766" s="6"/>
      <c r="M766" s="6"/>
      <c r="N766" s="6"/>
      <c r="O766" s="6"/>
      <c r="P766" s="6"/>
      <c r="Q766" s="6"/>
    </row>
    <row r="767" spans="2:17" ht="15.5" x14ac:dyDescent="0.35">
      <c r="B767" s="5"/>
      <c r="C767" s="6"/>
      <c r="D767" s="7"/>
      <c r="E767" s="6"/>
      <c r="F767" s="6"/>
      <c r="G767" s="8"/>
      <c r="H767" s="6"/>
      <c r="I767" s="6"/>
      <c r="J767" s="6"/>
      <c r="K767" s="6"/>
      <c r="L767" s="6"/>
      <c r="M767" s="6"/>
      <c r="N767" s="6"/>
      <c r="O767" s="6"/>
      <c r="P767" s="6"/>
      <c r="Q767" s="6"/>
    </row>
    <row r="768" spans="2:17" ht="15.5" x14ac:dyDescent="0.35">
      <c r="B768" s="5"/>
      <c r="C768" s="6"/>
      <c r="D768" s="7"/>
      <c r="E768" s="6"/>
      <c r="F768" s="6"/>
      <c r="G768" s="8"/>
      <c r="H768" s="6"/>
      <c r="I768" s="6"/>
      <c r="J768" s="6"/>
      <c r="K768" s="6"/>
      <c r="L768" s="6"/>
      <c r="M768" s="6"/>
      <c r="N768" s="6"/>
      <c r="O768" s="6"/>
      <c r="P768" s="6"/>
      <c r="Q768" s="6"/>
    </row>
    <row r="769" spans="2:17" ht="15.5" x14ac:dyDescent="0.35">
      <c r="B769" s="5"/>
      <c r="C769" s="6"/>
      <c r="D769" s="7"/>
      <c r="E769" s="6"/>
      <c r="F769" s="6"/>
      <c r="G769" s="8"/>
      <c r="H769" s="6"/>
      <c r="I769" s="6"/>
      <c r="J769" s="6"/>
      <c r="K769" s="6"/>
      <c r="L769" s="6"/>
      <c r="M769" s="6"/>
      <c r="N769" s="6"/>
      <c r="O769" s="6"/>
      <c r="P769" s="6"/>
      <c r="Q769" s="6"/>
    </row>
    <row r="770" spans="2:17" ht="15.5" x14ac:dyDescent="0.35">
      <c r="B770" s="5"/>
      <c r="C770" s="6"/>
      <c r="D770" s="7"/>
      <c r="E770" s="6"/>
      <c r="F770" s="6"/>
      <c r="G770" s="8"/>
      <c r="H770" s="6"/>
      <c r="I770" s="6"/>
      <c r="J770" s="6"/>
      <c r="K770" s="6"/>
      <c r="L770" s="6"/>
      <c r="M770" s="6"/>
      <c r="N770" s="6"/>
      <c r="O770" s="6"/>
      <c r="P770" s="6"/>
      <c r="Q770" s="6"/>
    </row>
    <row r="771" spans="2:17" ht="15.5" x14ac:dyDescent="0.35">
      <c r="B771" s="5"/>
      <c r="C771" s="6"/>
      <c r="D771" s="7"/>
      <c r="E771" s="6"/>
      <c r="F771" s="6"/>
      <c r="G771" s="8"/>
      <c r="H771" s="6"/>
      <c r="I771" s="6"/>
      <c r="J771" s="6"/>
      <c r="K771" s="6"/>
      <c r="L771" s="6"/>
      <c r="M771" s="6"/>
      <c r="N771" s="6"/>
      <c r="O771" s="6"/>
      <c r="P771" s="6"/>
      <c r="Q771" s="6"/>
    </row>
    <row r="772" spans="2:17" ht="15.5" x14ac:dyDescent="0.35">
      <c r="B772" s="5"/>
      <c r="C772" s="6"/>
      <c r="D772" s="7"/>
      <c r="E772" s="6"/>
      <c r="F772" s="6"/>
      <c r="G772" s="8"/>
      <c r="H772" s="6"/>
      <c r="I772" s="6"/>
      <c r="J772" s="6"/>
      <c r="K772" s="6"/>
      <c r="L772" s="6"/>
      <c r="M772" s="6"/>
      <c r="N772" s="6"/>
      <c r="O772" s="6"/>
      <c r="P772" s="6"/>
      <c r="Q772" s="6"/>
    </row>
    <row r="773" spans="2:17" ht="15.5" x14ac:dyDescent="0.35">
      <c r="B773" s="5"/>
      <c r="C773" s="6"/>
      <c r="D773" s="7"/>
      <c r="E773" s="6"/>
      <c r="F773" s="6"/>
      <c r="G773" s="8"/>
      <c r="H773" s="6"/>
      <c r="I773" s="6"/>
      <c r="J773" s="6"/>
      <c r="K773" s="6"/>
      <c r="L773" s="6"/>
      <c r="M773" s="6"/>
      <c r="N773" s="6"/>
      <c r="O773" s="6"/>
      <c r="P773" s="6"/>
      <c r="Q773" s="6"/>
    </row>
    <row r="774" spans="2:17" ht="15.5" x14ac:dyDescent="0.35">
      <c r="B774" s="5"/>
      <c r="C774" s="6"/>
      <c r="D774" s="7"/>
      <c r="E774" s="6"/>
      <c r="F774" s="6"/>
      <c r="G774" s="8"/>
      <c r="H774" s="6"/>
      <c r="I774" s="6"/>
      <c r="J774" s="6"/>
      <c r="K774" s="6"/>
      <c r="L774" s="6"/>
      <c r="M774" s="6"/>
      <c r="N774" s="6"/>
      <c r="O774" s="6"/>
      <c r="P774" s="6"/>
      <c r="Q774" s="6"/>
    </row>
    <row r="775" spans="2:17" ht="15.5" x14ac:dyDescent="0.35">
      <c r="B775" s="5"/>
      <c r="C775" s="6"/>
      <c r="D775" s="7"/>
      <c r="E775" s="6"/>
      <c r="F775" s="6"/>
      <c r="G775" s="8"/>
      <c r="H775" s="6"/>
      <c r="I775" s="6"/>
      <c r="J775" s="6"/>
      <c r="K775" s="6"/>
      <c r="L775" s="6"/>
      <c r="M775" s="6"/>
      <c r="N775" s="6"/>
      <c r="O775" s="6"/>
      <c r="P775" s="6"/>
      <c r="Q775" s="6"/>
    </row>
    <row r="776" spans="2:17" ht="15.5" x14ac:dyDescent="0.35">
      <c r="B776" s="5"/>
      <c r="C776" s="6"/>
      <c r="D776" s="7"/>
      <c r="E776" s="6"/>
      <c r="F776" s="6"/>
      <c r="G776" s="8"/>
      <c r="H776" s="6"/>
      <c r="I776" s="6"/>
      <c r="J776" s="6"/>
      <c r="K776" s="6"/>
      <c r="L776" s="6"/>
      <c r="M776" s="6"/>
      <c r="N776" s="6"/>
      <c r="O776" s="6"/>
      <c r="P776" s="6"/>
      <c r="Q776" s="6"/>
    </row>
    <row r="777" spans="2:17" ht="15.5" x14ac:dyDescent="0.35">
      <c r="B777" s="5"/>
      <c r="C777" s="6"/>
      <c r="D777" s="7"/>
      <c r="E777" s="6"/>
      <c r="F777" s="6"/>
      <c r="G777" s="8"/>
      <c r="H777" s="6"/>
      <c r="I777" s="6"/>
      <c r="J777" s="6"/>
      <c r="K777" s="6"/>
      <c r="L777" s="6"/>
      <c r="M777" s="6"/>
      <c r="N777" s="6"/>
      <c r="O777" s="6"/>
      <c r="P777" s="6"/>
      <c r="Q777" s="6"/>
    </row>
    <row r="778" spans="2:17" ht="15.5" x14ac:dyDescent="0.35">
      <c r="B778" s="5"/>
      <c r="C778" s="6"/>
      <c r="D778" s="7"/>
      <c r="E778" s="6"/>
      <c r="F778" s="6"/>
      <c r="G778" s="8"/>
      <c r="H778" s="6"/>
      <c r="I778" s="6"/>
      <c r="J778" s="6"/>
      <c r="K778" s="6"/>
      <c r="L778" s="6"/>
      <c r="M778" s="6"/>
      <c r="N778" s="6"/>
      <c r="O778" s="6"/>
      <c r="P778" s="6"/>
      <c r="Q778" s="6"/>
    </row>
    <row r="779" spans="2:17" ht="15.5" x14ac:dyDescent="0.35">
      <c r="B779" s="5"/>
      <c r="C779" s="6"/>
      <c r="D779" s="7"/>
      <c r="E779" s="6"/>
      <c r="F779" s="6"/>
      <c r="G779" s="8"/>
      <c r="H779" s="6"/>
      <c r="I779" s="6"/>
      <c r="J779" s="6"/>
      <c r="K779" s="6"/>
      <c r="L779" s="6"/>
      <c r="M779" s="6"/>
      <c r="N779" s="6"/>
      <c r="O779" s="6"/>
      <c r="P779" s="6"/>
      <c r="Q779" s="6"/>
    </row>
    <row r="780" spans="2:17" ht="15.5" x14ac:dyDescent="0.35">
      <c r="B780" s="5"/>
      <c r="C780" s="6"/>
      <c r="D780" s="7"/>
      <c r="E780" s="6"/>
      <c r="F780" s="6"/>
      <c r="G780" s="8"/>
      <c r="H780" s="6"/>
      <c r="I780" s="6"/>
      <c r="J780" s="6"/>
      <c r="K780" s="6"/>
      <c r="L780" s="6"/>
      <c r="M780" s="6"/>
      <c r="N780" s="6"/>
      <c r="O780" s="6"/>
      <c r="P780" s="6"/>
      <c r="Q780" s="6"/>
    </row>
    <row r="781" spans="2:17" ht="15.5" x14ac:dyDescent="0.35">
      <c r="B781" s="5"/>
      <c r="C781" s="6"/>
      <c r="D781" s="7"/>
      <c r="E781" s="6"/>
      <c r="F781" s="6"/>
      <c r="G781" s="8"/>
      <c r="H781" s="6"/>
      <c r="I781" s="6"/>
      <c r="J781" s="6"/>
      <c r="K781" s="6"/>
      <c r="L781" s="6"/>
      <c r="M781" s="6"/>
      <c r="N781" s="6"/>
      <c r="O781" s="6"/>
      <c r="P781" s="6"/>
      <c r="Q781" s="6"/>
    </row>
    <row r="782" spans="2:17" ht="15.5" x14ac:dyDescent="0.35">
      <c r="B782" s="5"/>
      <c r="C782" s="6"/>
      <c r="D782" s="7"/>
      <c r="E782" s="6"/>
      <c r="F782" s="6"/>
      <c r="G782" s="8"/>
      <c r="H782" s="6"/>
      <c r="I782" s="6"/>
      <c r="J782" s="6"/>
      <c r="K782" s="6"/>
      <c r="L782" s="6"/>
      <c r="M782" s="6"/>
      <c r="N782" s="6"/>
      <c r="O782" s="6"/>
      <c r="P782" s="6"/>
      <c r="Q782" s="6"/>
    </row>
    <row r="783" spans="2:17" ht="15.5" x14ac:dyDescent="0.35">
      <c r="B783" s="5"/>
      <c r="C783" s="6"/>
      <c r="D783" s="7"/>
      <c r="E783" s="6"/>
      <c r="F783" s="6"/>
      <c r="G783" s="8"/>
      <c r="H783" s="6"/>
      <c r="I783" s="6"/>
      <c r="J783" s="6"/>
      <c r="K783" s="6"/>
      <c r="L783" s="6"/>
      <c r="M783" s="6"/>
      <c r="N783" s="6"/>
      <c r="O783" s="6"/>
      <c r="P783" s="6"/>
      <c r="Q783" s="6"/>
    </row>
    <row r="784" spans="2:17" ht="15.5" x14ac:dyDescent="0.35">
      <c r="B784" s="5"/>
      <c r="C784" s="6"/>
      <c r="D784" s="7"/>
      <c r="E784" s="6"/>
      <c r="F784" s="6"/>
      <c r="G784" s="8"/>
      <c r="H784" s="6"/>
      <c r="I784" s="6"/>
      <c r="J784" s="6"/>
      <c r="K784" s="6"/>
      <c r="L784" s="6"/>
      <c r="M784" s="6"/>
      <c r="N784" s="6"/>
      <c r="O784" s="6"/>
      <c r="P784" s="6"/>
      <c r="Q784" s="6"/>
    </row>
    <row r="785" spans="2:17" ht="15.5" x14ac:dyDescent="0.35">
      <c r="B785" s="5"/>
      <c r="C785" s="6"/>
      <c r="D785" s="7"/>
      <c r="E785" s="6"/>
      <c r="F785" s="6"/>
      <c r="G785" s="8"/>
      <c r="H785" s="6"/>
      <c r="I785" s="6"/>
      <c r="J785" s="6"/>
      <c r="K785" s="6"/>
      <c r="L785" s="6"/>
      <c r="M785" s="6"/>
      <c r="N785" s="6"/>
      <c r="O785" s="6"/>
      <c r="P785" s="6"/>
      <c r="Q785" s="6"/>
    </row>
    <row r="786" spans="2:17" ht="15.5" x14ac:dyDescent="0.35">
      <c r="B786" s="5"/>
      <c r="C786" s="6"/>
      <c r="D786" s="7"/>
      <c r="E786" s="6"/>
      <c r="F786" s="6"/>
      <c r="G786" s="8"/>
      <c r="H786" s="6"/>
      <c r="I786" s="6"/>
      <c r="J786" s="6"/>
      <c r="K786" s="6"/>
      <c r="L786" s="6"/>
      <c r="M786" s="6"/>
      <c r="N786" s="6"/>
      <c r="O786" s="6"/>
      <c r="P786" s="6"/>
      <c r="Q786" s="6"/>
    </row>
    <row r="787" spans="2:17" ht="15.5" x14ac:dyDescent="0.35">
      <c r="B787" s="5"/>
      <c r="C787" s="6"/>
      <c r="D787" s="7"/>
      <c r="E787" s="6"/>
      <c r="F787" s="6"/>
      <c r="G787" s="8"/>
      <c r="H787" s="6"/>
      <c r="I787" s="6"/>
      <c r="J787" s="6"/>
      <c r="K787" s="6"/>
      <c r="L787" s="6"/>
      <c r="M787" s="6"/>
      <c r="N787" s="6"/>
      <c r="O787" s="6"/>
      <c r="P787" s="6"/>
      <c r="Q787" s="6"/>
    </row>
    <row r="788" spans="2:17" ht="15.5" x14ac:dyDescent="0.35">
      <c r="B788" s="5"/>
      <c r="C788" s="6"/>
      <c r="D788" s="7"/>
      <c r="E788" s="6"/>
      <c r="F788" s="6"/>
      <c r="G788" s="8"/>
      <c r="H788" s="6"/>
      <c r="I788" s="6"/>
      <c r="J788" s="6"/>
      <c r="K788" s="6"/>
      <c r="L788" s="6"/>
      <c r="M788" s="6"/>
      <c r="N788" s="6"/>
      <c r="O788" s="6"/>
      <c r="P788" s="6"/>
      <c r="Q788" s="6"/>
    </row>
    <row r="789" spans="2:17" ht="15.5" x14ac:dyDescent="0.35">
      <c r="B789" s="5"/>
      <c r="C789" s="6"/>
      <c r="D789" s="7"/>
      <c r="E789" s="6"/>
      <c r="F789" s="6"/>
      <c r="G789" s="8"/>
      <c r="H789" s="6"/>
      <c r="I789" s="6"/>
      <c r="J789" s="6"/>
      <c r="K789" s="6"/>
      <c r="L789" s="6"/>
      <c r="M789" s="6"/>
      <c r="N789" s="6"/>
      <c r="O789" s="6"/>
      <c r="P789" s="6"/>
      <c r="Q789" s="6"/>
    </row>
    <row r="790" spans="2:17" ht="15.5" x14ac:dyDescent="0.35">
      <c r="B790" s="5"/>
      <c r="C790" s="6"/>
      <c r="D790" s="7"/>
      <c r="E790" s="6"/>
      <c r="F790" s="6"/>
      <c r="G790" s="8"/>
      <c r="H790" s="6"/>
      <c r="I790" s="6"/>
      <c r="J790" s="6"/>
      <c r="K790" s="6"/>
      <c r="L790" s="6"/>
      <c r="M790" s="6"/>
      <c r="N790" s="6"/>
      <c r="O790" s="6"/>
      <c r="P790" s="6"/>
      <c r="Q790" s="6"/>
    </row>
    <row r="791" spans="2:17" ht="15.5" x14ac:dyDescent="0.35">
      <c r="B791" s="5"/>
      <c r="C791" s="6"/>
      <c r="D791" s="7"/>
      <c r="E791" s="6"/>
      <c r="F791" s="6"/>
      <c r="G791" s="8"/>
      <c r="H791" s="6"/>
      <c r="I791" s="6"/>
      <c r="J791" s="6"/>
      <c r="K791" s="6"/>
      <c r="L791" s="6"/>
      <c r="M791" s="6"/>
      <c r="N791" s="6"/>
      <c r="O791" s="6"/>
      <c r="P791" s="6"/>
      <c r="Q791" s="6"/>
    </row>
    <row r="792" spans="2:17" ht="15.5" x14ac:dyDescent="0.35">
      <c r="B792" s="5"/>
      <c r="C792" s="6"/>
      <c r="D792" s="7"/>
      <c r="E792" s="6"/>
      <c r="F792" s="6"/>
      <c r="G792" s="8"/>
      <c r="H792" s="6"/>
      <c r="I792" s="6"/>
      <c r="J792" s="6"/>
      <c r="K792" s="6"/>
      <c r="L792" s="6"/>
      <c r="M792" s="6"/>
      <c r="N792" s="6"/>
      <c r="O792" s="6"/>
      <c r="P792" s="6"/>
      <c r="Q792" s="6"/>
    </row>
    <row r="793" spans="2:17" ht="15.5" x14ac:dyDescent="0.35">
      <c r="B793" s="5"/>
      <c r="C793" s="6"/>
      <c r="D793" s="7"/>
      <c r="E793" s="6"/>
      <c r="F793" s="6"/>
      <c r="G793" s="8"/>
      <c r="H793" s="6"/>
      <c r="I793" s="6"/>
      <c r="J793" s="6"/>
      <c r="K793" s="6"/>
      <c r="L793" s="6"/>
      <c r="M793" s="6"/>
      <c r="N793" s="6"/>
      <c r="O793" s="6"/>
      <c r="P793" s="6"/>
      <c r="Q793" s="6"/>
    </row>
    <row r="794" spans="2:17" ht="15.5" x14ac:dyDescent="0.35">
      <c r="B794" s="5"/>
      <c r="C794" s="6"/>
      <c r="D794" s="7"/>
      <c r="E794" s="6"/>
      <c r="F794" s="6"/>
      <c r="G794" s="8"/>
      <c r="H794" s="6"/>
      <c r="I794" s="6"/>
      <c r="J794" s="6"/>
      <c r="K794" s="6"/>
      <c r="L794" s="6"/>
      <c r="M794" s="6"/>
      <c r="N794" s="6"/>
      <c r="O794" s="6"/>
      <c r="P794" s="6"/>
      <c r="Q794" s="6"/>
    </row>
    <row r="795" spans="2:17" ht="15.5" x14ac:dyDescent="0.35">
      <c r="B795" s="5"/>
      <c r="C795" s="6"/>
      <c r="D795" s="7"/>
      <c r="E795" s="6"/>
      <c r="F795" s="6"/>
      <c r="G795" s="8"/>
      <c r="H795" s="6"/>
      <c r="I795" s="6"/>
      <c r="J795" s="6"/>
      <c r="K795" s="6"/>
      <c r="L795" s="6"/>
      <c r="M795" s="6"/>
      <c r="N795" s="6"/>
      <c r="O795" s="6"/>
      <c r="P795" s="6"/>
      <c r="Q795" s="6"/>
    </row>
    <row r="796" spans="2:17" ht="15.5" x14ac:dyDescent="0.35">
      <c r="B796" s="5"/>
      <c r="C796" s="6"/>
      <c r="D796" s="7"/>
      <c r="E796" s="6"/>
      <c r="F796" s="6"/>
      <c r="G796" s="8"/>
      <c r="H796" s="6"/>
      <c r="I796" s="6"/>
      <c r="J796" s="6"/>
      <c r="K796" s="6"/>
      <c r="L796" s="6"/>
      <c r="M796" s="6"/>
      <c r="N796" s="6"/>
      <c r="O796" s="6"/>
      <c r="P796" s="6"/>
      <c r="Q796" s="6"/>
    </row>
    <row r="797" spans="2:17" ht="15.5" x14ac:dyDescent="0.35">
      <c r="B797" s="5"/>
      <c r="C797" s="6"/>
      <c r="D797" s="7"/>
      <c r="E797" s="6"/>
      <c r="F797" s="6"/>
      <c r="G797" s="8"/>
      <c r="H797" s="6"/>
      <c r="I797" s="6"/>
      <c r="J797" s="6"/>
      <c r="K797" s="6"/>
      <c r="L797" s="6"/>
      <c r="M797" s="6"/>
      <c r="N797" s="6"/>
      <c r="O797" s="6"/>
      <c r="P797" s="6"/>
      <c r="Q797" s="6"/>
    </row>
    <row r="798" spans="2:17" ht="15.5" x14ac:dyDescent="0.35">
      <c r="B798" s="5"/>
      <c r="C798" s="6"/>
      <c r="D798" s="7"/>
      <c r="E798" s="6"/>
      <c r="F798" s="6"/>
      <c r="G798" s="8"/>
      <c r="H798" s="6"/>
      <c r="I798" s="6"/>
      <c r="J798" s="6"/>
      <c r="K798" s="6"/>
      <c r="L798" s="6"/>
      <c r="M798" s="6"/>
      <c r="N798" s="6"/>
      <c r="O798" s="6"/>
      <c r="P798" s="6"/>
      <c r="Q798" s="6"/>
    </row>
    <row r="799" spans="2:17" ht="15.5" x14ac:dyDescent="0.35">
      <c r="B799" s="5"/>
      <c r="C799" s="6"/>
      <c r="D799" s="7"/>
      <c r="E799" s="6"/>
      <c r="F799" s="6"/>
      <c r="G799" s="8"/>
      <c r="H799" s="6"/>
      <c r="I799" s="6"/>
      <c r="J799" s="6"/>
      <c r="K799" s="6"/>
      <c r="L799" s="6"/>
      <c r="M799" s="6"/>
      <c r="N799" s="6"/>
      <c r="O799" s="6"/>
      <c r="P799" s="6"/>
      <c r="Q799" s="6"/>
    </row>
    <row r="800" spans="2:17" ht="15.5" x14ac:dyDescent="0.35">
      <c r="B800" s="5"/>
      <c r="C800" s="6"/>
      <c r="D800" s="7"/>
      <c r="E800" s="6"/>
      <c r="F800" s="6"/>
      <c r="G800" s="8"/>
      <c r="H800" s="6"/>
      <c r="I800" s="6"/>
      <c r="J800" s="6"/>
      <c r="K800" s="6"/>
      <c r="L800" s="6"/>
      <c r="M800" s="6"/>
      <c r="N800" s="6"/>
      <c r="O800" s="6"/>
      <c r="P800" s="6"/>
      <c r="Q800" s="6"/>
    </row>
    <row r="801" spans="2:17" ht="15.5" x14ac:dyDescent="0.35">
      <c r="B801" s="5"/>
      <c r="C801" s="6"/>
      <c r="D801" s="7"/>
      <c r="E801" s="6"/>
      <c r="F801" s="6"/>
      <c r="G801" s="8"/>
      <c r="H801" s="6"/>
      <c r="I801" s="6"/>
      <c r="J801" s="6"/>
      <c r="K801" s="6"/>
      <c r="L801" s="6"/>
      <c r="M801" s="6"/>
      <c r="N801" s="6"/>
      <c r="O801" s="6"/>
      <c r="P801" s="6"/>
      <c r="Q801" s="6"/>
    </row>
    <row r="802" spans="2:17" ht="15.5" x14ac:dyDescent="0.35">
      <c r="B802" s="5"/>
      <c r="C802" s="6"/>
      <c r="D802" s="7"/>
      <c r="E802" s="6"/>
      <c r="F802" s="6"/>
      <c r="G802" s="8"/>
      <c r="H802" s="6"/>
      <c r="I802" s="6"/>
      <c r="J802" s="6"/>
      <c r="K802" s="6"/>
      <c r="L802" s="6"/>
      <c r="M802" s="6"/>
      <c r="N802" s="6"/>
      <c r="O802" s="6"/>
      <c r="P802" s="6"/>
      <c r="Q802" s="6"/>
    </row>
    <row r="803" spans="2:17" ht="15.5" x14ac:dyDescent="0.35">
      <c r="B803" s="5"/>
      <c r="C803" s="6"/>
      <c r="D803" s="7"/>
      <c r="E803" s="6"/>
      <c r="F803" s="6"/>
      <c r="G803" s="8"/>
      <c r="H803" s="6"/>
      <c r="I803" s="6"/>
      <c r="J803" s="6"/>
      <c r="K803" s="6"/>
      <c r="L803" s="6"/>
      <c r="M803" s="6"/>
      <c r="N803" s="6"/>
      <c r="O803" s="6"/>
      <c r="P803" s="6"/>
      <c r="Q803" s="6"/>
    </row>
    <row r="804" spans="2:17" ht="15.5" x14ac:dyDescent="0.35">
      <c r="B804" s="5"/>
      <c r="C804" s="6"/>
      <c r="D804" s="7"/>
      <c r="E804" s="6"/>
      <c r="F804" s="6"/>
      <c r="G804" s="8"/>
      <c r="H804" s="6"/>
      <c r="I804" s="6"/>
      <c r="J804" s="6"/>
      <c r="K804" s="6"/>
      <c r="L804" s="6"/>
      <c r="M804" s="6"/>
      <c r="N804" s="6"/>
      <c r="O804" s="6"/>
      <c r="P804" s="6"/>
      <c r="Q804" s="6"/>
    </row>
    <row r="805" spans="2:17" ht="15.5" x14ac:dyDescent="0.35">
      <c r="B805" s="5"/>
      <c r="C805" s="6"/>
      <c r="D805" s="7"/>
      <c r="E805" s="6"/>
      <c r="F805" s="6"/>
      <c r="G805" s="8"/>
      <c r="H805" s="6"/>
      <c r="I805" s="6"/>
      <c r="J805" s="6"/>
      <c r="K805" s="6"/>
      <c r="L805" s="6"/>
      <c r="M805" s="6"/>
      <c r="N805" s="6"/>
      <c r="O805" s="6"/>
      <c r="P805" s="6"/>
      <c r="Q805" s="6"/>
    </row>
    <row r="806" spans="2:17" ht="15.5" x14ac:dyDescent="0.35">
      <c r="B806" s="5"/>
      <c r="C806" s="6"/>
      <c r="D806" s="7"/>
      <c r="E806" s="6"/>
      <c r="F806" s="6"/>
      <c r="G806" s="8"/>
      <c r="H806" s="6"/>
      <c r="I806" s="6"/>
      <c r="J806" s="6"/>
      <c r="K806" s="6"/>
      <c r="L806" s="6"/>
      <c r="M806" s="6"/>
      <c r="N806" s="6"/>
      <c r="O806" s="6"/>
      <c r="P806" s="6"/>
      <c r="Q806" s="6"/>
    </row>
    <row r="807" spans="2:17" ht="15.5" x14ac:dyDescent="0.35">
      <c r="B807" s="5"/>
      <c r="C807" s="6"/>
      <c r="D807" s="7"/>
      <c r="E807" s="6"/>
      <c r="F807" s="6"/>
      <c r="G807" s="8"/>
      <c r="H807" s="6"/>
      <c r="I807" s="6"/>
      <c r="J807" s="6"/>
      <c r="K807" s="6"/>
      <c r="L807" s="6"/>
      <c r="M807" s="6"/>
      <c r="N807" s="6"/>
      <c r="O807" s="6"/>
      <c r="P807" s="6"/>
      <c r="Q807" s="6"/>
    </row>
    <row r="808" spans="2:17" ht="15.5" x14ac:dyDescent="0.35">
      <c r="B808" s="5"/>
      <c r="C808" s="6"/>
      <c r="D808" s="7"/>
      <c r="E808" s="6"/>
      <c r="F808" s="6"/>
      <c r="G808" s="8"/>
      <c r="H808" s="6"/>
      <c r="I808" s="6"/>
      <c r="J808" s="6"/>
      <c r="K808" s="6"/>
      <c r="L808" s="6"/>
      <c r="M808" s="6"/>
      <c r="N808" s="6"/>
      <c r="O808" s="6"/>
      <c r="P808" s="6"/>
      <c r="Q808" s="6"/>
    </row>
    <row r="809" spans="2:17" ht="15.5" x14ac:dyDescent="0.35">
      <c r="B809" s="5"/>
      <c r="C809" s="6"/>
      <c r="D809" s="7"/>
      <c r="E809" s="6"/>
      <c r="F809" s="6"/>
      <c r="G809" s="8"/>
      <c r="H809" s="6"/>
      <c r="I809" s="6"/>
      <c r="J809" s="6"/>
      <c r="K809" s="6"/>
      <c r="L809" s="6"/>
      <c r="M809" s="6"/>
      <c r="N809" s="6"/>
      <c r="O809" s="6"/>
      <c r="P809" s="6"/>
      <c r="Q809" s="6"/>
    </row>
    <row r="810" spans="2:17" ht="15.5" x14ac:dyDescent="0.35">
      <c r="B810" s="5"/>
      <c r="C810" s="6"/>
      <c r="D810" s="7"/>
      <c r="E810" s="6"/>
      <c r="F810" s="6"/>
      <c r="G810" s="8"/>
      <c r="H810" s="6"/>
      <c r="I810" s="6"/>
      <c r="J810" s="6"/>
      <c r="K810" s="6"/>
      <c r="L810" s="6"/>
      <c r="M810" s="6"/>
      <c r="N810" s="6"/>
      <c r="O810" s="6"/>
      <c r="P810" s="6"/>
      <c r="Q810" s="6"/>
    </row>
    <row r="811" spans="2:17" ht="15.5" x14ac:dyDescent="0.35">
      <c r="B811" s="5"/>
      <c r="C811" s="6"/>
      <c r="D811" s="7"/>
      <c r="E811" s="6"/>
      <c r="F811" s="6"/>
      <c r="G811" s="8"/>
      <c r="H811" s="6"/>
      <c r="I811" s="6"/>
      <c r="J811" s="6"/>
      <c r="K811" s="6"/>
      <c r="L811" s="6"/>
      <c r="M811" s="6"/>
      <c r="N811" s="6"/>
      <c r="O811" s="6"/>
      <c r="P811" s="6"/>
      <c r="Q811" s="6"/>
    </row>
    <row r="812" spans="2:17" ht="15.5" x14ac:dyDescent="0.35">
      <c r="B812" s="5"/>
      <c r="C812" s="6"/>
      <c r="D812" s="7"/>
      <c r="E812" s="6"/>
      <c r="F812" s="6"/>
      <c r="G812" s="8"/>
      <c r="H812" s="6"/>
      <c r="I812" s="6"/>
      <c r="J812" s="6"/>
      <c r="K812" s="6"/>
      <c r="L812" s="6"/>
      <c r="M812" s="6"/>
      <c r="N812" s="6"/>
      <c r="O812" s="6"/>
      <c r="P812" s="6"/>
      <c r="Q812" s="6"/>
    </row>
    <row r="813" spans="2:17" ht="15.5" x14ac:dyDescent="0.35">
      <c r="B813" s="5"/>
      <c r="C813" s="6"/>
      <c r="D813" s="7"/>
      <c r="E813" s="6"/>
      <c r="F813" s="6"/>
      <c r="G813" s="8"/>
      <c r="H813" s="6"/>
      <c r="I813" s="6"/>
      <c r="J813" s="6"/>
      <c r="K813" s="6"/>
      <c r="L813" s="6"/>
      <c r="M813" s="6"/>
      <c r="N813" s="6"/>
      <c r="O813" s="6"/>
      <c r="P813" s="6"/>
      <c r="Q813" s="6"/>
    </row>
    <row r="814" spans="2:17" ht="15.5" x14ac:dyDescent="0.35">
      <c r="B814" s="5"/>
      <c r="C814" s="6"/>
      <c r="D814" s="7"/>
      <c r="E814" s="6"/>
      <c r="F814" s="6"/>
      <c r="G814" s="8"/>
      <c r="H814" s="6"/>
      <c r="I814" s="6"/>
      <c r="J814" s="6"/>
      <c r="K814" s="6"/>
      <c r="L814" s="6"/>
      <c r="M814" s="6"/>
      <c r="N814" s="6"/>
      <c r="O814" s="6"/>
      <c r="P814" s="6"/>
      <c r="Q814" s="6"/>
    </row>
    <row r="815" spans="2:17" ht="15.5" x14ac:dyDescent="0.35">
      <c r="B815" s="5"/>
      <c r="C815" s="6"/>
      <c r="D815" s="7"/>
      <c r="E815" s="6"/>
      <c r="F815" s="6"/>
      <c r="G815" s="8"/>
      <c r="H815" s="6"/>
      <c r="I815" s="6"/>
      <c r="J815" s="6"/>
      <c r="K815" s="6"/>
      <c r="L815" s="6"/>
      <c r="M815" s="6"/>
      <c r="N815" s="6"/>
      <c r="O815" s="6"/>
      <c r="P815" s="6"/>
      <c r="Q815" s="6"/>
    </row>
    <row r="816" spans="2:17" ht="15.5" x14ac:dyDescent="0.35">
      <c r="B816" s="5"/>
      <c r="C816" s="6"/>
      <c r="D816" s="7"/>
      <c r="E816" s="6"/>
      <c r="F816" s="6"/>
      <c r="G816" s="8"/>
      <c r="H816" s="6"/>
      <c r="I816" s="6"/>
      <c r="J816" s="6"/>
      <c r="K816" s="6"/>
      <c r="L816" s="6"/>
      <c r="M816" s="6"/>
      <c r="N816" s="6"/>
      <c r="O816" s="6"/>
      <c r="P816" s="6"/>
      <c r="Q816" s="6"/>
    </row>
    <row r="817" spans="2:17" ht="15.5" x14ac:dyDescent="0.35">
      <c r="B817" s="5"/>
      <c r="C817" s="6"/>
      <c r="D817" s="7"/>
      <c r="E817" s="6"/>
      <c r="F817" s="6"/>
      <c r="G817" s="8"/>
      <c r="H817" s="6"/>
      <c r="I817" s="6"/>
      <c r="J817" s="6"/>
      <c r="K817" s="6"/>
      <c r="L817" s="6"/>
      <c r="M817" s="6"/>
      <c r="N817" s="6"/>
      <c r="O817" s="6"/>
      <c r="P817" s="6"/>
      <c r="Q817" s="6"/>
    </row>
    <row r="818" spans="2:17" ht="15.5" x14ac:dyDescent="0.35">
      <c r="B818" s="5"/>
      <c r="C818" s="6"/>
      <c r="D818" s="7"/>
      <c r="E818" s="6"/>
      <c r="F818" s="6"/>
      <c r="G818" s="8"/>
      <c r="H818" s="6"/>
      <c r="I818" s="6"/>
      <c r="J818" s="6"/>
      <c r="K818" s="6"/>
      <c r="L818" s="6"/>
      <c r="M818" s="6"/>
      <c r="N818" s="6"/>
      <c r="O818" s="6"/>
      <c r="P818" s="6"/>
      <c r="Q818" s="6"/>
    </row>
    <row r="819" spans="2:17" ht="15.5" x14ac:dyDescent="0.35">
      <c r="B819" s="5"/>
      <c r="C819" s="6"/>
      <c r="D819" s="7"/>
      <c r="E819" s="6"/>
      <c r="F819" s="6"/>
      <c r="G819" s="8"/>
      <c r="H819" s="6"/>
      <c r="I819" s="6"/>
      <c r="J819" s="6"/>
      <c r="K819" s="6"/>
      <c r="L819" s="6"/>
      <c r="M819" s="6"/>
      <c r="N819" s="6"/>
      <c r="O819" s="6"/>
      <c r="P819" s="6"/>
      <c r="Q819" s="6"/>
    </row>
    <row r="820" spans="2:17" ht="15.5" x14ac:dyDescent="0.35">
      <c r="B820" s="5"/>
      <c r="C820" s="6"/>
      <c r="D820" s="7"/>
      <c r="E820" s="6"/>
      <c r="F820" s="6"/>
      <c r="G820" s="8"/>
      <c r="H820" s="6"/>
      <c r="I820" s="6"/>
      <c r="J820" s="6"/>
      <c r="K820" s="6"/>
      <c r="L820" s="6"/>
      <c r="M820" s="6"/>
      <c r="N820" s="6"/>
      <c r="O820" s="6"/>
      <c r="P820" s="6"/>
      <c r="Q820" s="6"/>
    </row>
    <row r="821" spans="2:17" ht="15.5" x14ac:dyDescent="0.35">
      <c r="B821" s="5"/>
      <c r="C821" s="6"/>
      <c r="D821" s="7"/>
      <c r="E821" s="6"/>
      <c r="F821" s="6"/>
      <c r="G821" s="8"/>
      <c r="H821" s="6"/>
      <c r="I821" s="6"/>
      <c r="J821" s="6"/>
      <c r="K821" s="6"/>
      <c r="L821" s="6"/>
      <c r="M821" s="6"/>
      <c r="N821" s="6"/>
      <c r="O821" s="6"/>
      <c r="P821" s="6"/>
      <c r="Q821" s="6"/>
    </row>
    <row r="822" spans="2:17" ht="15.5" x14ac:dyDescent="0.35">
      <c r="B822" s="5"/>
      <c r="C822" s="6"/>
      <c r="D822" s="7"/>
      <c r="E822" s="6"/>
      <c r="F822" s="6"/>
      <c r="G822" s="8"/>
      <c r="H822" s="6"/>
      <c r="I822" s="6"/>
      <c r="J822" s="6"/>
      <c r="K822" s="6"/>
      <c r="L822" s="6"/>
      <c r="M822" s="6"/>
      <c r="N822" s="6"/>
      <c r="O822" s="6"/>
      <c r="P822" s="6"/>
      <c r="Q822" s="6"/>
    </row>
    <row r="823" spans="2:17" ht="15.5" x14ac:dyDescent="0.35">
      <c r="B823" s="5"/>
      <c r="C823" s="6"/>
      <c r="D823" s="7"/>
      <c r="E823" s="6"/>
      <c r="F823" s="6"/>
      <c r="G823" s="8"/>
      <c r="H823" s="6"/>
      <c r="I823" s="6"/>
      <c r="J823" s="6"/>
      <c r="K823" s="6"/>
      <c r="L823" s="6"/>
      <c r="M823" s="6"/>
      <c r="N823" s="6"/>
      <c r="O823" s="6"/>
      <c r="P823" s="6"/>
      <c r="Q823" s="6"/>
    </row>
    <row r="824" spans="2:17" ht="15.5" x14ac:dyDescent="0.35">
      <c r="B824" s="5"/>
      <c r="C824" s="6"/>
      <c r="D824" s="7"/>
      <c r="E824" s="6"/>
      <c r="F824" s="6"/>
      <c r="G824" s="8"/>
      <c r="H824" s="6"/>
      <c r="I824" s="6"/>
      <c r="J824" s="6"/>
      <c r="K824" s="6"/>
      <c r="L824" s="6"/>
      <c r="M824" s="6"/>
      <c r="N824" s="6"/>
      <c r="O824" s="6"/>
      <c r="P824" s="6"/>
      <c r="Q824" s="6"/>
    </row>
    <row r="825" spans="2:17" ht="15.5" x14ac:dyDescent="0.35">
      <c r="B825" s="5"/>
      <c r="C825" s="6"/>
      <c r="D825" s="7"/>
      <c r="E825" s="6"/>
      <c r="F825" s="6"/>
      <c r="G825" s="8"/>
      <c r="H825" s="6"/>
      <c r="I825" s="6"/>
      <c r="J825" s="6"/>
      <c r="K825" s="6"/>
      <c r="L825" s="6"/>
      <c r="M825" s="6"/>
      <c r="N825" s="6"/>
      <c r="O825" s="6"/>
      <c r="P825" s="6"/>
      <c r="Q825" s="6"/>
    </row>
    <row r="826" spans="2:17" ht="15.5" x14ac:dyDescent="0.35">
      <c r="B826" s="5"/>
      <c r="C826" s="6"/>
      <c r="D826" s="7"/>
      <c r="E826" s="6"/>
      <c r="F826" s="6"/>
      <c r="G826" s="8"/>
      <c r="H826" s="6"/>
      <c r="I826" s="6"/>
      <c r="J826" s="6"/>
      <c r="K826" s="6"/>
      <c r="L826" s="6"/>
      <c r="M826" s="6"/>
      <c r="N826" s="6"/>
      <c r="O826" s="6"/>
      <c r="P826" s="6"/>
      <c r="Q826" s="6"/>
    </row>
    <row r="827" spans="2:17" ht="15.5" x14ac:dyDescent="0.35">
      <c r="B827" s="5"/>
      <c r="C827" s="6"/>
      <c r="D827" s="7"/>
      <c r="E827" s="6"/>
      <c r="F827" s="6"/>
      <c r="G827" s="8"/>
      <c r="H827" s="6"/>
      <c r="I827" s="6"/>
      <c r="J827" s="6"/>
      <c r="K827" s="6"/>
      <c r="L827" s="6"/>
      <c r="M827" s="6"/>
      <c r="N827" s="6"/>
      <c r="O827" s="6"/>
      <c r="P827" s="6"/>
      <c r="Q827" s="6"/>
    </row>
    <row r="828" spans="2:17" ht="15.5" x14ac:dyDescent="0.35">
      <c r="B828" s="5"/>
      <c r="C828" s="6"/>
      <c r="D828" s="7"/>
      <c r="E828" s="6"/>
      <c r="F828" s="6"/>
      <c r="G828" s="8"/>
      <c r="H828" s="6"/>
      <c r="I828" s="6"/>
      <c r="J828" s="6"/>
      <c r="K828" s="6"/>
      <c r="L828" s="6"/>
      <c r="M828" s="6"/>
      <c r="N828" s="6"/>
      <c r="O828" s="6"/>
      <c r="P828" s="6"/>
      <c r="Q828" s="6"/>
    </row>
    <row r="829" spans="2:17" ht="15.5" x14ac:dyDescent="0.35">
      <c r="B829" s="5"/>
      <c r="C829" s="6"/>
      <c r="D829" s="7"/>
      <c r="E829" s="6"/>
      <c r="F829" s="6"/>
      <c r="G829" s="8"/>
      <c r="H829" s="6"/>
      <c r="I829" s="6"/>
      <c r="J829" s="6"/>
      <c r="K829" s="6"/>
      <c r="L829" s="6"/>
      <c r="M829" s="6"/>
      <c r="N829" s="6"/>
      <c r="O829" s="6"/>
      <c r="P829" s="6"/>
      <c r="Q829" s="6"/>
    </row>
    <row r="830" spans="2:17" ht="15.5" x14ac:dyDescent="0.35">
      <c r="B830" s="5"/>
      <c r="C830" s="6"/>
      <c r="D830" s="7"/>
      <c r="E830" s="6"/>
      <c r="F830" s="6"/>
      <c r="G830" s="8"/>
      <c r="H830" s="6"/>
      <c r="I830" s="6"/>
      <c r="J830" s="6"/>
      <c r="K830" s="6"/>
      <c r="L830" s="6"/>
      <c r="M830" s="6"/>
      <c r="N830" s="6"/>
      <c r="O830" s="6"/>
      <c r="P830" s="6"/>
      <c r="Q830" s="6"/>
    </row>
    <row r="831" spans="2:17" ht="15.5" x14ac:dyDescent="0.35">
      <c r="B831" s="5"/>
      <c r="C831" s="6"/>
      <c r="D831" s="7"/>
      <c r="E831" s="6"/>
      <c r="F831" s="6"/>
      <c r="G831" s="8"/>
      <c r="H831" s="6"/>
      <c r="I831" s="6"/>
      <c r="J831" s="6"/>
      <c r="K831" s="6"/>
      <c r="L831" s="6"/>
      <c r="M831" s="6"/>
      <c r="N831" s="6"/>
      <c r="O831" s="6"/>
      <c r="P831" s="6"/>
      <c r="Q831" s="6"/>
    </row>
    <row r="832" spans="2:17" ht="15.5" x14ac:dyDescent="0.35">
      <c r="B832" s="5"/>
      <c r="C832" s="6"/>
      <c r="D832" s="7"/>
      <c r="E832" s="6"/>
      <c r="F832" s="6"/>
      <c r="G832" s="8"/>
      <c r="H832" s="6"/>
      <c r="I832" s="6"/>
      <c r="J832" s="6"/>
      <c r="K832" s="6"/>
      <c r="L832" s="6"/>
      <c r="M832" s="6"/>
      <c r="N832" s="6"/>
      <c r="O832" s="6"/>
      <c r="P832" s="6"/>
      <c r="Q832" s="6"/>
    </row>
    <row r="833" spans="2:17" ht="15.5" x14ac:dyDescent="0.35">
      <c r="B833" s="5"/>
      <c r="C833" s="6"/>
      <c r="D833" s="7"/>
      <c r="E833" s="6"/>
      <c r="F833" s="6"/>
      <c r="G833" s="8"/>
      <c r="H833" s="6"/>
      <c r="I833" s="6"/>
      <c r="J833" s="6"/>
      <c r="K833" s="6"/>
      <c r="L833" s="6"/>
      <c r="M833" s="6"/>
      <c r="N833" s="6"/>
      <c r="O833" s="6"/>
      <c r="P833" s="6"/>
      <c r="Q833" s="6"/>
    </row>
    <row r="834" spans="2:17" ht="15.5" x14ac:dyDescent="0.35">
      <c r="B834" s="5"/>
      <c r="C834" s="6"/>
      <c r="D834" s="7"/>
      <c r="E834" s="6"/>
      <c r="F834" s="6"/>
      <c r="G834" s="8"/>
      <c r="H834" s="6"/>
      <c r="I834" s="6"/>
      <c r="J834" s="6"/>
      <c r="K834" s="6"/>
      <c r="L834" s="6"/>
      <c r="M834" s="6"/>
      <c r="N834" s="6"/>
      <c r="O834" s="6"/>
      <c r="P834" s="6"/>
      <c r="Q834" s="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S1357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2.6328125" defaultRowHeight="15.75" customHeight="1" x14ac:dyDescent="0.25"/>
  <cols>
    <col min="1" max="1" width="24.08984375" customWidth="1"/>
    <col min="2" max="2" width="12.90625" customWidth="1"/>
    <col min="3" max="3" width="13.26953125" customWidth="1"/>
    <col min="4" max="5" width="24.453125" customWidth="1"/>
    <col min="6" max="6" width="42.90625" hidden="1" customWidth="1"/>
    <col min="7" max="7" width="26.90625" hidden="1" customWidth="1"/>
    <col min="8" max="8" width="44.36328125" customWidth="1"/>
    <col min="9" max="9" width="13.08984375" customWidth="1"/>
    <col min="10" max="10" width="14.7265625" customWidth="1"/>
    <col min="11" max="11" width="36.26953125" customWidth="1"/>
    <col min="12" max="12" width="27.90625" customWidth="1"/>
    <col min="13" max="13" width="24.453125" customWidth="1"/>
    <col min="14" max="19" width="18.90625" customWidth="1"/>
  </cols>
  <sheetData>
    <row r="1" spans="1:19" ht="164.25" customHeight="1" x14ac:dyDescent="0.45">
      <c r="A1" s="9" t="s">
        <v>1</v>
      </c>
      <c r="B1" s="4" t="s">
        <v>2</v>
      </c>
      <c r="C1" s="4" t="s">
        <v>3</v>
      </c>
      <c r="D1" s="4" t="s">
        <v>4</v>
      </c>
      <c r="E1" s="4" t="s">
        <v>5</v>
      </c>
      <c r="F1" s="4" t="s">
        <v>6</v>
      </c>
      <c r="G1" s="4" t="s">
        <v>7</v>
      </c>
      <c r="H1" s="10" t="s">
        <v>900</v>
      </c>
      <c r="I1" s="11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1"/>
      <c r="O1" s="1"/>
      <c r="P1" s="1"/>
      <c r="Q1" s="1"/>
      <c r="R1" s="1"/>
      <c r="S1" s="1"/>
    </row>
    <row r="2" spans="1:19" ht="33" customHeight="1" x14ac:dyDescent="0.25">
      <c r="A2" s="12" t="str">
        <f ca="1">IFERROR(__xludf.DUMMYFUNCTION("IMPORTRANGE(""1-Rs6wsBgKbsaupZuSBMUCMbdu8QZ0XTnVOIJ3AV91YM"",""'Réponses au formulaire 1'!B2:B1000"")"),"DEJOYE Casey")</f>
        <v>DEJOYE Casey</v>
      </c>
      <c r="B2" s="12" t="str">
        <f ca="1">IFERROR(__xludf.DUMMYFUNCTION("IMPORTRANGE(""1-Rs6wsBgKbsaupZuSBMUCMbdu8QZ0XTnVOIJ3AV91YM"",""'Réponses au formulaire 1'!C2:C1000"")"),"H")</f>
        <v>H</v>
      </c>
      <c r="C2" s="13">
        <f ca="1">IFERROR(__xludf.DUMMYFUNCTION("IMPORTRANGE(""1-Rs6wsBgKbsaupZuSBMUCMbdu8QZ0XTnVOIJ3AV91YM"",""'Réponses au formulaire 1'!D2:D1000"")"),42819)</f>
        <v>42819</v>
      </c>
      <c r="D2" s="12" t="str">
        <f ca="1">IFERROR(__xludf.DUMMYFUNCTION("IMPORTRANGE(""1-Rs6wsBgKbsaupZuSBMUCMbdu8QZ0XTnVOIJ3AV91YM"",""'Réponses au formulaire 1'!E2:E1000"")"),"EVEIL ATHLE")</f>
        <v>EVEIL ATHLE</v>
      </c>
      <c r="E2" s="14" t="str">
        <f ca="1">IFERROR(__xludf.DUMMYFUNCTION("IMPORTRANGE(""1-Rs6wsBgKbsaupZuSBMUCMbdu8QZ0XTnVOIJ3AV91YM"",""'Réponses au formulaire 1'!F2:F1000"")"),"ECOLE
")</f>
        <v xml:space="preserve">ECOLE
</v>
      </c>
      <c r="F2" s="15" t="str">
        <f ca="1">IFERROR(__xludf.DUMMYFUNCTION("IMPORTRANGE(""1-Rs6wsBgKbsaupZuSBMUCMbdu8QZ0XTnVOIJ3AV91YM"",""'Réponses au formulaire 1'!G2:G1000"")"),"RPI APREMONT")</f>
        <v>RPI APREMONT</v>
      </c>
      <c r="G2" s="12" t="str">
        <f ca="1">IFERROR(__xludf.DUMMYFUNCTION("IMPORTRANGE(""1-Rs6wsBgKbsaupZuSBMUCMbdu8QZ0XTnVOIJ3AV91YM"",""'Réponses au formulaire 1'!H2:H1000"")"),"APREMONT")</f>
        <v>APREMONT</v>
      </c>
      <c r="H2" s="12" t="str">
        <f t="shared" ref="H2:H256" ca="1" si="0">(E2&amp;"  "&amp;F2&amp;"  "&amp;G2)</f>
        <v>ECOLE
  RPI APREMONT  APREMONT</v>
      </c>
      <c r="J2" s="12" t="str">
        <f ca="1">IFERROR(__xludf.DUMMYFUNCTION("IMPORTRANGE(""1-Rs6wsBgKbsaupZuSBMUCMbdu8QZ0XTnVOIJ3AV91YM"",""'Réponses au formulaire 1'!J2:J1000"")"),"OK")</f>
        <v>OK</v>
      </c>
      <c r="K2" s="12" t="str">
        <f ca="1">IFERROR(__xludf.DUMMYFUNCTION("IMPORTRANGE(""1-Rs6wsBgKbsaupZuSBMUCMbdu8QZ0XTnVOIJ3AV91YM"",""'Réponses au formulaire 1'!K2:K1000"")"),"ameline.rouget@laposte.net")</f>
        <v>ameline.rouget@laposte.net</v>
      </c>
      <c r="L2" s="12" t="str">
        <f ca="1">IFERROR(__xludf.DUMMYFUNCTION("IMPORTRANGE(""1-Rs6wsBgKbsaupZuSBMUCMbdu8QZ0XTnVOIJ3AV91YM"",""'Réponses au formulaire 1'!L2:L1000"")"),"06 31 40 36 40")</f>
        <v>06 31 40 36 40</v>
      </c>
      <c r="M2" s="12" t="str">
        <f ca="1">IFERROR(__xludf.DUMMYFUNCTION("IMPORTRANGE(""1-Rs6wsBgKbsaupZuSBMUCMbdu8QZ0XTnVOIJ3AV91YM"",""'Réponses au formulaire 1'!M2:M1000"")"),"70100 APREMONT")</f>
        <v>70100 APREMONT</v>
      </c>
      <c r="N2" s="12" t="s">
        <v>13</v>
      </c>
      <c r="O2" s="12">
        <v>0</v>
      </c>
    </row>
    <row r="3" spans="1:19" ht="12.5" x14ac:dyDescent="0.25">
      <c r="A3" s="12" t="str">
        <f ca="1">IFERROR(__xludf.DUMMYFUNCTION("""COMPUTED_VALUE"""),"FARIELLO Jeanne")</f>
        <v>FARIELLO Jeanne</v>
      </c>
      <c r="B3" s="12" t="str">
        <f ca="1">IFERROR(__xludf.DUMMYFUNCTION("""COMPUTED_VALUE"""),"F")</f>
        <v>F</v>
      </c>
      <c r="C3" s="13">
        <f ca="1">IFERROR(__xludf.DUMMYFUNCTION("""COMPUTED_VALUE"""),42163)</f>
        <v>42163</v>
      </c>
      <c r="D3" s="12" t="str">
        <f ca="1">IFERROR(__xludf.DUMMYFUNCTION("""COMPUTED_VALUE"""),"EVEIL ATHLE")</f>
        <v>EVEIL ATHLE</v>
      </c>
      <c r="E3" s="14" t="str">
        <f ca="1">IFERROR(__xludf.DUMMYFUNCTION("""COMPUTED_VALUE"""),"ECOLE
")</f>
        <v xml:space="preserve">ECOLE
</v>
      </c>
      <c r="F3" s="1" t="str">
        <f ca="1">IFERROR(__xludf.DUMMYFUNCTION("""COMPUTED_VALUE"""),"APREMON")</f>
        <v>APREMON</v>
      </c>
      <c r="G3" s="12" t="str">
        <f ca="1">IFERROR(__xludf.DUMMYFUNCTION("""COMPUTED_VALUE"""),"APREMONT")</f>
        <v>APREMONT</v>
      </c>
      <c r="H3" s="12" t="str">
        <f t="shared" ca="1" si="0"/>
        <v>ECOLE
  APREMON  APREMONT</v>
      </c>
      <c r="J3" s="12" t="str">
        <f ca="1">IFERROR(__xludf.DUMMYFUNCTION("""COMPUTED_VALUE"""),"OK")</f>
        <v>OK</v>
      </c>
      <c r="K3" s="12" t="str">
        <f ca="1">IFERROR(__xludf.DUMMYFUNCTION("""COMPUTED_VALUE"""),"sandrine.chretien@wanadoo.fr")</f>
        <v>sandrine.chretien@wanadoo.fr</v>
      </c>
      <c r="L3" s="12" t="str">
        <f ca="1">IFERROR(__xludf.DUMMYFUNCTION("""COMPUTED_VALUE"""),"06 86 46 20 73")</f>
        <v>06 86 46 20 73</v>
      </c>
      <c r="M3" s="12" t="str">
        <f ca="1">IFERROR(__xludf.DUMMYFUNCTION("""COMPUTED_VALUE"""),"70100 GERMIGNEY")</f>
        <v>70100 GERMIGNEY</v>
      </c>
      <c r="N3" s="12" t="s">
        <v>13</v>
      </c>
      <c r="O3" s="12">
        <v>0</v>
      </c>
    </row>
    <row r="4" spans="1:19" ht="12.5" x14ac:dyDescent="0.25">
      <c r="A4" s="12" t="str">
        <f ca="1">IFERROR(__xludf.DUMMYFUNCTION("""COMPUTED_VALUE"""),"RONDEY Augustin")</f>
        <v>RONDEY Augustin</v>
      </c>
      <c r="B4" s="12" t="str">
        <f ca="1">IFERROR(__xludf.DUMMYFUNCTION("""COMPUTED_VALUE"""),"H")</f>
        <v>H</v>
      </c>
      <c r="C4" s="13">
        <f ca="1">IFERROR(__xludf.DUMMYFUNCTION("""COMPUTED_VALUE"""),42714)</f>
        <v>42714</v>
      </c>
      <c r="D4" s="12" t="str">
        <f ca="1">IFERROR(__xludf.DUMMYFUNCTION("""COMPUTED_VALUE"""),"EVEIL ATHLE")</f>
        <v>EVEIL ATHLE</v>
      </c>
      <c r="E4" s="14" t="str">
        <f ca="1">IFERROR(__xludf.DUMMYFUNCTION("""COMPUTED_VALUE"""),"ECOLE
")</f>
        <v xml:space="preserve">ECOLE
</v>
      </c>
      <c r="F4" s="1" t="str">
        <f ca="1">IFERROR(__xludf.DUMMYFUNCTION("""COMPUTED_VALUE"""),"APREMONT")</f>
        <v>APREMONT</v>
      </c>
      <c r="G4" s="12" t="str">
        <f ca="1">IFERROR(__xludf.DUMMYFUNCTION("""COMPUTED_VALUE"""),"APREMONT")</f>
        <v>APREMONT</v>
      </c>
      <c r="H4" s="12" t="str">
        <f t="shared" ca="1" si="0"/>
        <v>ECOLE
  APREMONT  APREMONT</v>
      </c>
      <c r="J4" s="12" t="str">
        <f ca="1">IFERROR(__xludf.DUMMYFUNCTION("""COMPUTED_VALUE"""),"OK")</f>
        <v>OK</v>
      </c>
      <c r="K4" s="12" t="str">
        <f ca="1">IFERROR(__xludf.DUMMYFUNCTION("""COMPUTED_VALUE"""),"steve.70@live.fr")</f>
        <v>steve.70@live.fr</v>
      </c>
      <c r="L4" s="12" t="str">
        <f ca="1">IFERROR(__xludf.DUMMYFUNCTION("""COMPUTED_VALUE"""),"06 30 79 59 45")</f>
        <v>06 30 79 59 45</v>
      </c>
      <c r="M4" s="12" t="str">
        <f ca="1">IFERROR(__xludf.DUMMYFUNCTION("""COMPUTED_VALUE"""),"70100 APREMONT")</f>
        <v>70100 APREMONT</v>
      </c>
      <c r="N4" s="12" t="s">
        <v>13</v>
      </c>
      <c r="O4" s="12">
        <v>0</v>
      </c>
    </row>
    <row r="5" spans="1:19" ht="15.5" x14ac:dyDescent="0.35">
      <c r="A5" s="12" t="str">
        <f ca="1">IFERROR(__xludf.DUMMYFUNCTION("""COMPUTED_VALUE"""),"MAJ Maxine")</f>
        <v>MAJ Maxine</v>
      </c>
      <c r="B5" s="12" t="str">
        <f ca="1">IFERROR(__xludf.DUMMYFUNCTION("""COMPUTED_VALUE"""),"F")</f>
        <v>F</v>
      </c>
      <c r="C5" s="13">
        <f ca="1">IFERROR(__xludf.DUMMYFUNCTION("""COMPUTED_VALUE"""),41337)</f>
        <v>41337</v>
      </c>
      <c r="D5" s="12" t="str">
        <f ca="1">IFERROR(__xludf.DUMMYFUNCTION("""COMPUTED_VALUE"""),"POUSSINS")</f>
        <v>POUSSINS</v>
      </c>
      <c r="E5" s="14" t="str">
        <f ca="1">IFERROR(__xludf.DUMMYFUNCTION("""COMPUTED_VALUE"""),"ECOLE
")</f>
        <v xml:space="preserve">ECOLE
</v>
      </c>
      <c r="F5" s="1" t="str">
        <f ca="1">IFERROR(__xludf.DUMMYFUNCTION("""COMPUTED_VALUE"""),"RPI APREMONT")</f>
        <v>RPI APREMONT</v>
      </c>
      <c r="G5" s="12" t="str">
        <f ca="1">IFERROR(__xludf.DUMMYFUNCTION("""COMPUTED_VALUE"""),"APREMON")</f>
        <v>APREMON</v>
      </c>
      <c r="H5" s="12" t="str">
        <f t="shared" ca="1" si="0"/>
        <v>ECOLE
  RPI APREMONT  APREMON</v>
      </c>
      <c r="J5" s="12" t="str">
        <f ca="1">IFERROR(__xludf.DUMMYFUNCTION("""COMPUTED_VALUE"""),"OK")</f>
        <v>OK</v>
      </c>
      <c r="K5" s="12" t="str">
        <f ca="1">IFERROR(__xludf.DUMMYFUNCTION("""COMPUTED_VALUE"""),"maj.vincent.gabriel@gmail.com")</f>
        <v>maj.vincent.gabriel@gmail.com</v>
      </c>
      <c r="L5" s="12" t="str">
        <f ca="1">IFERROR(__xludf.DUMMYFUNCTION("""COMPUTED_VALUE"""),"06 08 47 52 56")</f>
        <v>06 08 47 52 56</v>
      </c>
      <c r="M5" s="12" t="str">
        <f ca="1">IFERROR(__xludf.DUMMYFUNCTION("""COMPUTED_VALUE"""),"70100 LE TREMBLOIS")</f>
        <v>70100 LE TREMBLOIS</v>
      </c>
      <c r="N5" s="5"/>
      <c r="O5" s="5"/>
    </row>
    <row r="6" spans="1:19" ht="15.5" x14ac:dyDescent="0.35">
      <c r="A6" s="12" t="str">
        <f ca="1">IFERROR(__xludf.DUMMYFUNCTION("""COMPUTED_VALUE"""),"RONDEY Ninon")</f>
        <v>RONDEY Ninon</v>
      </c>
      <c r="B6" s="12" t="str">
        <f ca="1">IFERROR(__xludf.DUMMYFUNCTION("""COMPUTED_VALUE"""),"F")</f>
        <v>F</v>
      </c>
      <c r="C6" s="13">
        <f ca="1">IFERROR(__xludf.DUMMYFUNCTION("""COMPUTED_VALUE"""),41798)</f>
        <v>41798</v>
      </c>
      <c r="D6" s="12" t="str">
        <f ca="1">IFERROR(__xludf.DUMMYFUNCTION("""COMPUTED_VALUE"""),"POUSSINS")</f>
        <v>POUSSINS</v>
      </c>
      <c r="E6" s="14" t="str">
        <f ca="1">IFERROR(__xludf.DUMMYFUNCTION("""COMPUTED_VALUE"""),"ECOLE
")</f>
        <v xml:space="preserve">ECOLE
</v>
      </c>
      <c r="F6" s="1" t="str">
        <f ca="1">IFERROR(__xludf.DUMMYFUNCTION("""COMPUTED_VALUE"""),"APREMONT")</f>
        <v>APREMONT</v>
      </c>
      <c r="G6" s="12" t="str">
        <f ca="1">IFERROR(__xludf.DUMMYFUNCTION("""COMPUTED_VALUE"""),"APREMONT")</f>
        <v>APREMONT</v>
      </c>
      <c r="H6" s="12" t="str">
        <f t="shared" ca="1" si="0"/>
        <v>ECOLE
  APREMONT  APREMONT</v>
      </c>
      <c r="J6" s="12" t="str">
        <f ca="1">IFERROR(__xludf.DUMMYFUNCTION("""COMPUTED_VALUE"""),"OK")</f>
        <v>OK</v>
      </c>
      <c r="K6" s="12" t="str">
        <f ca="1">IFERROR(__xludf.DUMMYFUNCTION("""COMPUTED_VALUE"""),"steve.70@live.fr")</f>
        <v>steve.70@live.fr</v>
      </c>
      <c r="L6" s="12" t="str">
        <f ca="1">IFERROR(__xludf.DUMMYFUNCTION("""COMPUTED_VALUE"""),"06 30 79 59 45")</f>
        <v>06 30 79 59 45</v>
      </c>
      <c r="M6" s="12" t="str">
        <f ca="1">IFERROR(__xludf.DUMMYFUNCTION("""COMPUTED_VALUE"""),"70100 APREMONT")</f>
        <v>70100 APREMONT</v>
      </c>
      <c r="N6" s="5"/>
      <c r="O6" s="5"/>
    </row>
    <row r="7" spans="1:19" ht="15.5" x14ac:dyDescent="0.35">
      <c r="A7" s="12" t="str">
        <f ca="1">IFERROR(__xludf.DUMMYFUNCTION("""COMPUTED_VALUE"""),"RONDEY Augustin")</f>
        <v>RONDEY Augustin</v>
      </c>
      <c r="B7" s="12" t="str">
        <f ca="1">IFERROR(__xludf.DUMMYFUNCTION("""COMPUTED_VALUE"""),"H")</f>
        <v>H</v>
      </c>
      <c r="C7" s="13">
        <f ca="1">IFERROR(__xludf.DUMMYFUNCTION("""COMPUTED_VALUE"""),42714)</f>
        <v>42714</v>
      </c>
      <c r="D7" s="12" t="str">
        <f ca="1">IFERROR(__xludf.DUMMYFUNCTION("""COMPUTED_VALUE"""),"EVEIL ATHLE")</f>
        <v>EVEIL ATHLE</v>
      </c>
      <c r="E7" s="14" t="str">
        <f ca="1">IFERROR(__xludf.DUMMYFUNCTION("""COMPUTED_VALUE"""),"ECOLE
")</f>
        <v xml:space="preserve">ECOLE
</v>
      </c>
      <c r="F7" s="1" t="str">
        <f ca="1">IFERROR(__xludf.DUMMYFUNCTION("""COMPUTED_VALUE"""),"APREMONT")</f>
        <v>APREMONT</v>
      </c>
      <c r="G7" s="12" t="str">
        <f ca="1">IFERROR(__xludf.DUMMYFUNCTION("""COMPUTED_VALUE"""),"APREMONT")</f>
        <v>APREMONT</v>
      </c>
      <c r="H7" s="12" t="str">
        <f t="shared" ca="1" si="0"/>
        <v>ECOLE
  APREMONT  APREMONT</v>
      </c>
      <c r="I7" s="5"/>
      <c r="J7" s="12"/>
      <c r="K7" s="12"/>
      <c r="L7" s="12" t="str">
        <f ca="1">IFERROR(__xludf.DUMMYFUNCTION("""COMPUTED_VALUE"""),"06 30 79 59 45")</f>
        <v>06 30 79 59 45</v>
      </c>
      <c r="M7" s="12" t="str">
        <f ca="1">IFERROR(__xludf.DUMMYFUNCTION("""COMPUTED_VALUE"""),"70100 APREMONT")</f>
        <v>70100 APREMONT</v>
      </c>
      <c r="N7" s="5"/>
      <c r="O7" s="5"/>
    </row>
    <row r="8" spans="1:19" ht="15.5" x14ac:dyDescent="0.35">
      <c r="A8" s="12" t="str">
        <f ca="1">IFERROR(__xludf.DUMMYFUNCTION("""COMPUTED_VALUE"""),"MAJ Maxine")</f>
        <v>MAJ Maxine</v>
      </c>
      <c r="B8" s="12" t="str">
        <f ca="1">IFERROR(__xludf.DUMMYFUNCTION("""COMPUTED_VALUE"""),"F")</f>
        <v>F</v>
      </c>
      <c r="C8" s="13">
        <f ca="1">IFERROR(__xludf.DUMMYFUNCTION("""COMPUTED_VALUE"""),41337)</f>
        <v>41337</v>
      </c>
      <c r="D8" s="12" t="str">
        <f ca="1">IFERROR(__xludf.DUMMYFUNCTION("""COMPUTED_VALUE"""),"POUSSINS")</f>
        <v>POUSSINS</v>
      </c>
      <c r="E8" s="14" t="str">
        <f ca="1">IFERROR(__xludf.DUMMYFUNCTION("""COMPUTED_VALUE"""),"ECOLE
")</f>
        <v xml:space="preserve">ECOLE
</v>
      </c>
      <c r="F8" s="1" t="str">
        <f ca="1">IFERROR(__xludf.DUMMYFUNCTION("""COMPUTED_VALUE"""),"APREMONT")</f>
        <v>APREMONT</v>
      </c>
      <c r="G8" s="12" t="str">
        <f ca="1">IFERROR(__xludf.DUMMYFUNCTION("""COMPUTED_VALUE"""),"APREMONT")</f>
        <v>APREMONT</v>
      </c>
      <c r="H8" s="12" t="str">
        <f t="shared" ca="1" si="0"/>
        <v>ECOLE
  APREMONT  APREMONT</v>
      </c>
      <c r="I8" s="5"/>
      <c r="J8" s="12"/>
      <c r="K8" s="12"/>
      <c r="L8" s="12" t="str">
        <f ca="1">IFERROR(__xludf.DUMMYFUNCTION("""COMPUTED_VALUE"""),"06 08 47 52 56")</f>
        <v>06 08 47 52 56</v>
      </c>
      <c r="M8" s="12" t="str">
        <f ca="1">IFERROR(__xludf.DUMMYFUNCTION("""COMPUTED_VALUE"""),"70100 LE TREMBLOIS")</f>
        <v>70100 LE TREMBLOIS</v>
      </c>
      <c r="N8" s="5"/>
      <c r="O8" s="5"/>
    </row>
    <row r="9" spans="1:19" ht="15.5" x14ac:dyDescent="0.35">
      <c r="A9" s="12" t="str">
        <f ca="1">IFERROR(__xludf.DUMMYFUNCTION("""COMPUTED_VALUE"""),"RONDEY Ninon")</f>
        <v>RONDEY Ninon</v>
      </c>
      <c r="B9" s="12" t="str">
        <f ca="1">IFERROR(__xludf.DUMMYFUNCTION("""COMPUTED_VALUE"""),"F")</f>
        <v>F</v>
      </c>
      <c r="C9" s="13">
        <f ca="1">IFERROR(__xludf.DUMMYFUNCTION("""COMPUTED_VALUE"""),41798)</f>
        <v>41798</v>
      </c>
      <c r="D9" s="12" t="str">
        <f ca="1">IFERROR(__xludf.DUMMYFUNCTION("""COMPUTED_VALUE"""),"POUSSINS")</f>
        <v>POUSSINS</v>
      </c>
      <c r="E9" s="14" t="str">
        <f ca="1">IFERROR(__xludf.DUMMYFUNCTION("""COMPUTED_VALUE"""),"ECOLE
")</f>
        <v xml:space="preserve">ECOLE
</v>
      </c>
      <c r="F9" s="1" t="str">
        <f ca="1">IFERROR(__xludf.DUMMYFUNCTION("""COMPUTED_VALUE"""),"RPI APREMON")</f>
        <v>RPI APREMON</v>
      </c>
      <c r="G9" s="12" t="str">
        <f ca="1">IFERROR(__xludf.DUMMYFUNCTION("""COMPUTED_VALUE"""),"APREMONT")</f>
        <v>APREMONT</v>
      </c>
      <c r="H9" s="12" t="str">
        <f t="shared" ca="1" si="0"/>
        <v>ECOLE
  RPI APREMON  APREMONT</v>
      </c>
      <c r="I9" s="5"/>
      <c r="J9" s="12"/>
      <c r="K9" s="12"/>
      <c r="L9" s="12" t="str">
        <f ca="1">IFERROR(__xludf.DUMMYFUNCTION("""COMPUTED_VALUE"""),"06 30 79 59 45")</f>
        <v>06 30 79 59 45</v>
      </c>
      <c r="M9" s="12" t="str">
        <f ca="1">IFERROR(__xludf.DUMMYFUNCTION("""COMPUTED_VALUE"""),"70100 APREMONT")</f>
        <v>70100 APREMONT</v>
      </c>
      <c r="N9" s="5"/>
      <c r="O9" s="5"/>
    </row>
    <row r="10" spans="1:19" ht="15.5" x14ac:dyDescent="0.35">
      <c r="A10" s="12" t="str">
        <f ca="1">IFERROR(__xludf.DUMMYFUNCTION("""COMPUTED_VALUE"""),"POURET Léna")</f>
        <v>POURET Léna</v>
      </c>
      <c r="B10" s="12" t="str">
        <f ca="1">IFERROR(__xludf.DUMMYFUNCTION("""COMPUTED_VALUE"""),"F")</f>
        <v>F</v>
      </c>
      <c r="C10" s="13">
        <f ca="1">IFERROR(__xludf.DUMMYFUNCTION("""COMPUTED_VALUE"""),43976)</f>
        <v>43976</v>
      </c>
      <c r="D10" s="12" t="str">
        <f ca="1">IFERROR(__xludf.DUMMYFUNCTION("""COMPUTED_VALUE"""),"BABY ATHLE")</f>
        <v>BABY ATHLE</v>
      </c>
      <c r="E10" s="14" t="str">
        <f ca="1">IFERROR(__xludf.DUMMYFUNCTION("""COMPUTED_VALUE"""),"ECOLE
")</f>
        <v xml:space="preserve">ECOLE
</v>
      </c>
      <c r="F10" s="1" t="str">
        <f ca="1">IFERROR(__xludf.DUMMYFUNCTION("""COMPUTED_VALUE"""),"LOUIS PERGAUD")</f>
        <v>LOUIS PERGAUD</v>
      </c>
      <c r="G10" s="12" t="str">
        <f ca="1">IFERROR(__xludf.DUMMYFUNCTION("""COMPUTED_VALUE"""),"ARC LES GRAY")</f>
        <v>ARC LES GRAY</v>
      </c>
      <c r="H10" s="12" t="str">
        <f t="shared" ca="1" si="0"/>
        <v>ECOLE
  LOUIS PERGAUD  ARC LES GRAY</v>
      </c>
      <c r="I10" s="5"/>
      <c r="J10" s="12" t="str">
        <f ca="1">IFERROR(__xludf.DUMMYFUNCTION("""COMPUTED_VALUE"""),"OK")</f>
        <v>OK</v>
      </c>
      <c r="K10" s="12" t="str">
        <f ca="1">IFERROR(__xludf.DUMMYFUNCTION("""COMPUTED_VALUE"""),"ihami@outlook.fr")</f>
        <v>ihami@outlook.fr</v>
      </c>
      <c r="L10" s="12" t="str">
        <f ca="1">IFERROR(__xludf.DUMMYFUNCTION("""COMPUTED_VALUE"""),"06 81 64 69 37")</f>
        <v>06 81 64 69 37</v>
      </c>
      <c r="M10" s="12" t="str">
        <f ca="1">IFERROR(__xludf.DUMMYFUNCTION("""COMPUTED_VALUE"""),"70100 ARC LES GRAY")</f>
        <v>70100 ARC LES GRAY</v>
      </c>
      <c r="N10" s="5"/>
      <c r="O10" s="5"/>
    </row>
    <row r="11" spans="1:19" ht="15.5" x14ac:dyDescent="0.35">
      <c r="A11" s="12" t="str">
        <f ca="1">IFERROR(__xludf.DUMMYFUNCTION("""COMPUTED_VALUE"""),"ETTAOUSSI Rita")</f>
        <v>ETTAOUSSI Rita</v>
      </c>
      <c r="B11" s="12" t="str">
        <f ca="1">IFERROR(__xludf.DUMMYFUNCTION("""COMPUTED_VALUE"""),"F")</f>
        <v>F</v>
      </c>
      <c r="C11" s="13">
        <f ca="1">IFERROR(__xludf.DUMMYFUNCTION("""COMPUTED_VALUE"""),42474)</f>
        <v>42474</v>
      </c>
      <c r="D11" s="12" t="str">
        <f ca="1">IFERROR(__xludf.DUMMYFUNCTION("""COMPUTED_VALUE"""),"EVEIL ATHLE")</f>
        <v>EVEIL ATHLE</v>
      </c>
      <c r="E11" s="14" t="str">
        <f ca="1">IFERROR(__xludf.DUMMYFUNCTION("""COMPUTED_VALUE"""),"ECOLE
")</f>
        <v xml:space="preserve">ECOLE
</v>
      </c>
      <c r="F11" s="1" t="str">
        <f ca="1">IFERROR(__xludf.DUMMYFUNCTION("""COMPUTED_VALUE"""),"LOUIS PERGAUD")</f>
        <v>LOUIS PERGAUD</v>
      </c>
      <c r="G11" s="12" t="str">
        <f ca="1">IFERROR(__xludf.DUMMYFUNCTION("""COMPUTED_VALUE"""),"ARC LES GRAY")</f>
        <v>ARC LES GRAY</v>
      </c>
      <c r="H11" s="12" t="str">
        <f t="shared" ca="1" si="0"/>
        <v>ECOLE
  LOUIS PERGAUD  ARC LES GRAY</v>
      </c>
      <c r="I11" s="5"/>
      <c r="J11" s="12" t="str">
        <f ca="1">IFERROR(__xludf.DUMMYFUNCTION("""COMPUTED_VALUE"""),"OK")</f>
        <v>OK</v>
      </c>
      <c r="K11" s="12" t="str">
        <f ca="1">IFERROR(__xludf.DUMMYFUNCTION("""COMPUTED_VALUE"""),"hinham28@hotmail.com")</f>
        <v>hinham28@hotmail.com</v>
      </c>
      <c r="L11" s="12" t="str">
        <f ca="1">IFERROR(__xludf.DUMMYFUNCTION("""COMPUTED_VALUE"""),"06 63 42 61 84")</f>
        <v>06 63 42 61 84</v>
      </c>
      <c r="M11" s="12" t="str">
        <f ca="1">IFERROR(__xludf.DUMMYFUNCTION("""COMPUTED_VALUE"""),"70100 ARC LES GRAY")</f>
        <v>70100 ARC LES GRAY</v>
      </c>
      <c r="N11" s="5"/>
      <c r="O11" s="5"/>
    </row>
    <row r="12" spans="1:19" ht="15.5" x14ac:dyDescent="0.35">
      <c r="A12" s="12" t="str">
        <f ca="1">IFERROR(__xludf.DUMMYFUNCTION("""COMPUTED_VALUE"""),"PARMENTIER Tom")</f>
        <v>PARMENTIER Tom</v>
      </c>
      <c r="B12" s="12" t="str">
        <f ca="1">IFERROR(__xludf.DUMMYFUNCTION("""COMPUTED_VALUE"""),"H")</f>
        <v>H</v>
      </c>
      <c r="C12" s="13">
        <f ca="1">IFERROR(__xludf.DUMMYFUNCTION("""COMPUTED_VALUE"""),42546)</f>
        <v>42546</v>
      </c>
      <c r="D12" s="12" t="str">
        <f ca="1">IFERROR(__xludf.DUMMYFUNCTION("""COMPUTED_VALUE"""),"EVEIL ATHLE")</f>
        <v>EVEIL ATHLE</v>
      </c>
      <c r="E12" s="14" t="str">
        <f ca="1">IFERROR(__xludf.DUMMYFUNCTION("""COMPUTED_VALUE"""),"ECOLE
")</f>
        <v xml:space="preserve">ECOLE
</v>
      </c>
      <c r="F12" s="1" t="str">
        <f ca="1">IFERROR(__xludf.DUMMYFUNCTION("""COMPUTED_VALUE"""),"LOUIS PERGAUD")</f>
        <v>LOUIS PERGAUD</v>
      </c>
      <c r="G12" s="12" t="str">
        <f ca="1">IFERROR(__xludf.DUMMYFUNCTION("""COMPUTED_VALUE"""),"ARC LES GRAY")</f>
        <v>ARC LES GRAY</v>
      </c>
      <c r="H12" s="12" t="str">
        <f t="shared" ca="1" si="0"/>
        <v>ECOLE
  LOUIS PERGAUD  ARC LES GRAY</v>
      </c>
      <c r="I12" s="5"/>
      <c r="J12" s="12" t="str">
        <f ca="1">IFERROR(__xludf.DUMMYFUNCTION("""COMPUTED_VALUE"""),"OK")</f>
        <v>OK</v>
      </c>
      <c r="K12" s="12" t="str">
        <f ca="1">IFERROR(__xludf.DUMMYFUNCTION("""COMPUTED_VALUE"""),"cindyroux7021@gmail.com")</f>
        <v>cindyroux7021@gmail.com</v>
      </c>
      <c r="L12" s="12" t="str">
        <f ca="1">IFERROR(__xludf.DUMMYFUNCTION("""COMPUTED_VALUE"""),"06 70 69 81 57")</f>
        <v>06 70 69 81 57</v>
      </c>
      <c r="M12" s="12" t="str">
        <f ca="1">IFERROR(__xludf.DUMMYFUNCTION("""COMPUTED_VALUE"""),"70100 MANTOCHE")</f>
        <v>70100 MANTOCHE</v>
      </c>
      <c r="N12" s="5"/>
      <c r="O12" s="5"/>
    </row>
    <row r="13" spans="1:19" ht="15.5" x14ac:dyDescent="0.35">
      <c r="A13" s="12" t="str">
        <f ca="1">IFERROR(__xludf.DUMMYFUNCTION("""COMPUTED_VALUE"""),"BAILLY Laurent")</f>
        <v>BAILLY Laurent</v>
      </c>
      <c r="B13" s="12" t="str">
        <f ca="1">IFERROR(__xludf.DUMMYFUNCTION("""COMPUTED_VALUE"""),"H")</f>
        <v>H</v>
      </c>
      <c r="C13" s="13">
        <f ca="1">IFERROR(__xludf.DUMMYFUNCTION("""COMPUTED_VALUE"""),42219)</f>
        <v>42219</v>
      </c>
      <c r="D13" s="12" t="str">
        <f ca="1">IFERROR(__xludf.DUMMYFUNCTION("""COMPUTED_VALUE"""),"POUSSINS")</f>
        <v>POUSSINS</v>
      </c>
      <c r="E13" s="14" t="str">
        <f ca="1">IFERROR(__xludf.DUMMYFUNCTION("""COMPUTED_VALUE"""),"ECOLE
")</f>
        <v xml:space="preserve">ECOLE
</v>
      </c>
      <c r="F13" s="1" t="str">
        <f ca="1">IFERROR(__xludf.DUMMYFUNCTION("""COMPUTED_VALUE"""),"LOUIS PERGAUD")</f>
        <v>LOUIS PERGAUD</v>
      </c>
      <c r="G13" s="12" t="str">
        <f ca="1">IFERROR(__xludf.DUMMYFUNCTION("""COMPUTED_VALUE"""),"ARC LES GRAY")</f>
        <v>ARC LES GRAY</v>
      </c>
      <c r="H13" s="12" t="str">
        <f t="shared" ca="1" si="0"/>
        <v>ECOLE
  LOUIS PERGAUD  ARC LES GRAY</v>
      </c>
      <c r="I13" s="5"/>
      <c r="J13" s="12" t="str">
        <f ca="1">IFERROR(__xludf.DUMMYFUNCTION("""COMPUTED_VALUE"""),"OUI")</f>
        <v>OUI</v>
      </c>
      <c r="K13" s="12" t="str">
        <f ca="1">IFERROR(__xludf.DUMMYFUNCTION("""COMPUTED_VALUE"""),"lolobabail@hotmail.com")</f>
        <v>lolobabail@hotmail.com</v>
      </c>
      <c r="L13" s="12">
        <f ca="1">IFERROR(__xludf.DUMMYFUNCTION("""COMPUTED_VALUE"""),628260472)</f>
        <v>628260472</v>
      </c>
      <c r="M13" s="12" t="str">
        <f ca="1">IFERROR(__xludf.DUMMYFUNCTION("""COMPUTED_VALUE"""),"403 rue du Val de Saône 70100 GRAY LA VILLE")</f>
        <v>403 rue du Val de Saône 70100 GRAY LA VILLE</v>
      </c>
      <c r="N13" s="5"/>
      <c r="O13" s="5"/>
    </row>
    <row r="14" spans="1:19" ht="15.5" x14ac:dyDescent="0.35">
      <c r="A14" s="12" t="str">
        <f ca="1">IFERROR(__xludf.DUMMYFUNCTION("""COMPUTED_VALUE"""),"CLAUSSE Margot")</f>
        <v>CLAUSSE Margot</v>
      </c>
      <c r="B14" s="12" t="str">
        <f ca="1">IFERROR(__xludf.DUMMYFUNCTION("""COMPUTED_VALUE"""),"F")</f>
        <v>F</v>
      </c>
      <c r="C14" s="13">
        <f ca="1">IFERROR(__xludf.DUMMYFUNCTION("""COMPUTED_VALUE"""),41968)</f>
        <v>41968</v>
      </c>
      <c r="D14" s="12" t="str">
        <f ca="1">IFERROR(__xludf.DUMMYFUNCTION("""COMPUTED_VALUE"""),"POUSSINS")</f>
        <v>POUSSINS</v>
      </c>
      <c r="E14" s="14" t="str">
        <f ca="1">IFERROR(__xludf.DUMMYFUNCTION("""COMPUTED_VALUE"""),"ECOLE
")</f>
        <v xml:space="preserve">ECOLE
</v>
      </c>
      <c r="F14" s="1" t="str">
        <f ca="1">IFERROR(__xludf.DUMMYFUNCTION("""COMPUTED_VALUE"""),"LOUIS PERGAUD")</f>
        <v>LOUIS PERGAUD</v>
      </c>
      <c r="G14" s="12" t="str">
        <f ca="1">IFERROR(__xludf.DUMMYFUNCTION("""COMPUTED_VALUE"""),"ARC LES GRAY")</f>
        <v>ARC LES GRAY</v>
      </c>
      <c r="H14" s="12" t="str">
        <f t="shared" ca="1" si="0"/>
        <v>ECOLE
  LOUIS PERGAUD  ARC LES GRAY</v>
      </c>
      <c r="I14" s="5"/>
      <c r="J14" s="12" t="str">
        <f ca="1">IFERROR(__xludf.DUMMYFUNCTION("""COMPUTED_VALUE"""),"OK")</f>
        <v>OK</v>
      </c>
      <c r="K14" s="12" t="str">
        <f ca="1">IFERROR(__xludf.DUMMYFUNCTION("""COMPUTED_VALUE"""),"clarisse.coquibus@gmail.com")</f>
        <v>clarisse.coquibus@gmail.com</v>
      </c>
      <c r="L14" s="12" t="str">
        <f ca="1">IFERROR(__xludf.DUMMYFUNCTION("""COMPUTED_VALUE"""),"06 48 77 78 78")</f>
        <v>06 48 77 78 78</v>
      </c>
      <c r="M14" s="12" t="str">
        <f ca="1">IFERROR(__xludf.DUMMYFUNCTION("""COMPUTED_VALUE"""),"25170 PELOUSEY")</f>
        <v>25170 PELOUSEY</v>
      </c>
      <c r="N14" s="5"/>
      <c r="O14" s="5"/>
    </row>
    <row r="15" spans="1:19" ht="15.5" x14ac:dyDescent="0.35">
      <c r="A15" s="12" t="str">
        <f ca="1">IFERROR(__xludf.DUMMYFUNCTION("""COMPUTED_VALUE"""),"GUENOT Léna")</f>
        <v>GUENOT Léna</v>
      </c>
      <c r="B15" s="12" t="str">
        <f ca="1">IFERROR(__xludf.DUMMYFUNCTION("""COMPUTED_VALUE"""),"F")</f>
        <v>F</v>
      </c>
      <c r="C15" s="13">
        <f ca="1">IFERROR(__xludf.DUMMYFUNCTION("""COMPUTED_VALUE"""),41330)</f>
        <v>41330</v>
      </c>
      <c r="D15" s="12" t="str">
        <f ca="1">IFERROR(__xludf.DUMMYFUNCTION("""COMPUTED_VALUE"""),"POUSSINS")</f>
        <v>POUSSINS</v>
      </c>
      <c r="E15" s="14" t="str">
        <f ca="1">IFERROR(__xludf.DUMMYFUNCTION("""COMPUTED_VALUE"""),"ECOLE
")</f>
        <v xml:space="preserve">ECOLE
</v>
      </c>
      <c r="F15" s="1" t="str">
        <f ca="1">IFERROR(__xludf.DUMMYFUNCTION("""COMPUTED_VALUE"""),"LOUIS PERGAUD")</f>
        <v>LOUIS PERGAUD</v>
      </c>
      <c r="G15" s="12" t="str">
        <f ca="1">IFERROR(__xludf.DUMMYFUNCTION("""COMPUTED_VALUE"""),"ARC LES GRAY")</f>
        <v>ARC LES GRAY</v>
      </c>
      <c r="H15" s="12" t="str">
        <f t="shared" ca="1" si="0"/>
        <v>ECOLE
  LOUIS PERGAUD  ARC LES GRAY</v>
      </c>
      <c r="I15" s="5"/>
      <c r="J15" s="12" t="str">
        <f ca="1">IFERROR(__xludf.DUMMYFUNCTION("""COMPUTED_VALUE"""),"OK")</f>
        <v>OK</v>
      </c>
      <c r="K15" s="12" t="str">
        <f ca="1">IFERROR(__xludf.DUMMYFUNCTION("""COMPUTED_VALUE"""),"julienet-elodie@orange.fr")</f>
        <v>julienet-elodie@orange.fr</v>
      </c>
      <c r="L15" s="12" t="str">
        <f ca="1">IFERROR(__xludf.DUMMYFUNCTION("""COMPUTED_VALUE"""),"06 33 36 63 05")</f>
        <v>06 33 36 63 05</v>
      </c>
      <c r="M15" s="12" t="str">
        <f ca="1">IFERROR(__xludf.DUMMYFUNCTION("""COMPUTED_VALUE"""),"70100 ARC LES GRAY")</f>
        <v>70100 ARC LES GRAY</v>
      </c>
      <c r="N15" s="5"/>
      <c r="O15" s="5"/>
    </row>
    <row r="16" spans="1:19" ht="15.5" x14ac:dyDescent="0.35">
      <c r="A16" s="12" t="str">
        <f ca="1">IFERROR(__xludf.DUMMYFUNCTION("""COMPUTED_VALUE"""),"JEANNERET Noa")</f>
        <v>JEANNERET Noa</v>
      </c>
      <c r="B16" s="12" t="str">
        <f ca="1">IFERROR(__xludf.DUMMYFUNCTION("""COMPUTED_VALUE"""),"H")</f>
        <v>H</v>
      </c>
      <c r="C16" s="13">
        <f ca="1">IFERROR(__xludf.DUMMYFUNCTION("""COMPUTED_VALUE"""),41754)</f>
        <v>41754</v>
      </c>
      <c r="D16" s="12" t="str">
        <f ca="1">IFERROR(__xludf.DUMMYFUNCTION("""COMPUTED_VALUE"""),"POUSSINS")</f>
        <v>POUSSINS</v>
      </c>
      <c r="E16" s="14" t="str">
        <f ca="1">IFERROR(__xludf.DUMMYFUNCTION("""COMPUTED_VALUE"""),"ECOLE
")</f>
        <v xml:space="preserve">ECOLE
</v>
      </c>
      <c r="F16" s="1" t="str">
        <f ca="1">IFERROR(__xludf.DUMMYFUNCTION("""COMPUTED_VALUE"""),"LOUIS PERGAUD")</f>
        <v>LOUIS PERGAUD</v>
      </c>
      <c r="G16" s="12" t="str">
        <f ca="1">IFERROR(__xludf.DUMMYFUNCTION("""COMPUTED_VALUE"""),"ARC LES GRAY")</f>
        <v>ARC LES GRAY</v>
      </c>
      <c r="H16" s="12" t="str">
        <f t="shared" ca="1" si="0"/>
        <v>ECOLE
  LOUIS PERGAUD  ARC LES GRAY</v>
      </c>
      <c r="I16" s="5"/>
      <c r="J16" s="12" t="str">
        <f ca="1">IFERROR(__xludf.DUMMYFUNCTION("""COMPUTED_VALUE"""),"OK")</f>
        <v>OK</v>
      </c>
      <c r="K16" s="12" t="str">
        <f ca="1">IFERROR(__xludf.DUMMYFUNCTION("""COMPUTED_VALUE"""),"ced.jeanneret@orange.fr")</f>
        <v>ced.jeanneret@orange.fr</v>
      </c>
      <c r="L16" s="12" t="str">
        <f ca="1">IFERROR(__xludf.DUMMYFUNCTION("""COMPUTED_VALUE"""),"06 88 90 94 16")</f>
        <v>06 88 90 94 16</v>
      </c>
      <c r="M16" s="12" t="str">
        <f ca="1">IFERROR(__xludf.DUMMYFUNCTION("""COMPUTED_VALUE"""),"70100 ARC LES GRAY")</f>
        <v>70100 ARC LES GRAY</v>
      </c>
      <c r="N16" s="6"/>
      <c r="O16" s="6"/>
    </row>
    <row r="17" spans="1:15" ht="15.5" x14ac:dyDescent="0.35">
      <c r="A17" s="12" t="str">
        <f ca="1">IFERROR(__xludf.DUMMYFUNCTION("""COMPUTED_VALUE"""),"LAMBERT Gabin")</f>
        <v>LAMBERT Gabin</v>
      </c>
      <c r="B17" s="12" t="str">
        <f ca="1">IFERROR(__xludf.DUMMYFUNCTION("""COMPUTED_VALUE"""),"H")</f>
        <v>H</v>
      </c>
      <c r="C17" s="13">
        <f ca="1">IFERROR(__xludf.DUMMYFUNCTION("""COMPUTED_VALUE"""),41710)</f>
        <v>41710</v>
      </c>
      <c r="D17" s="12" t="str">
        <f ca="1">IFERROR(__xludf.DUMMYFUNCTION("""COMPUTED_VALUE"""),"POUSSINS")</f>
        <v>POUSSINS</v>
      </c>
      <c r="E17" s="14" t="str">
        <f ca="1">IFERROR(__xludf.DUMMYFUNCTION("""COMPUTED_VALUE"""),"ECOLE
")</f>
        <v xml:space="preserve">ECOLE
</v>
      </c>
      <c r="F17" s="1" t="str">
        <f ca="1">IFERROR(__xludf.DUMMYFUNCTION("""COMPUTED_VALUE"""),"LOUIS PERGAUD")</f>
        <v>LOUIS PERGAUD</v>
      </c>
      <c r="G17" s="12" t="str">
        <f ca="1">IFERROR(__xludf.DUMMYFUNCTION("""COMPUTED_VALUE"""),"ARC LES GRAY")</f>
        <v>ARC LES GRAY</v>
      </c>
      <c r="H17" s="12" t="str">
        <f t="shared" ca="1" si="0"/>
        <v>ECOLE
  LOUIS PERGAUD  ARC LES GRAY</v>
      </c>
      <c r="I17" s="5"/>
      <c r="J17" s="12" t="str">
        <f ca="1">IFERROR(__xludf.DUMMYFUNCTION("""COMPUTED_VALUE"""),"OK")</f>
        <v>OK</v>
      </c>
      <c r="K17" s="12" t="str">
        <f ca="1">IFERROR(__xludf.DUMMYFUNCTION("""COMPUTED_VALUE"""),"lambertangelique70@gmail.com")</f>
        <v>lambertangelique70@gmail.com</v>
      </c>
      <c r="L17" s="12" t="str">
        <f ca="1">IFERROR(__xludf.DUMMYFUNCTION("""COMPUTED_VALUE"""),"06 89 03 23 73")</f>
        <v>06 89 03 23 73</v>
      </c>
      <c r="M17" s="12" t="str">
        <f ca="1">IFERROR(__xludf.DUMMYFUNCTION("""COMPUTED_VALUE"""),"70100 ARC LES GRAY")</f>
        <v>70100 ARC LES GRAY</v>
      </c>
      <c r="N17" s="6"/>
      <c r="O17" s="6"/>
    </row>
    <row r="18" spans="1:15" ht="15.5" x14ac:dyDescent="0.35">
      <c r="A18" s="12" t="str">
        <f ca="1">IFERROR(__xludf.DUMMYFUNCTION("""COMPUTED_VALUE"""),"MARTIN Kyllian")</f>
        <v>MARTIN Kyllian</v>
      </c>
      <c r="B18" s="12" t="str">
        <f ca="1">IFERROR(__xludf.DUMMYFUNCTION("""COMPUTED_VALUE"""),"H")</f>
        <v>H</v>
      </c>
      <c r="C18" s="13">
        <f ca="1">IFERROR(__xludf.DUMMYFUNCTION("""COMPUTED_VALUE"""),41627)</f>
        <v>41627</v>
      </c>
      <c r="D18" s="12" t="str">
        <f ca="1">IFERROR(__xludf.DUMMYFUNCTION("""COMPUTED_VALUE"""),"POUSSINS")</f>
        <v>POUSSINS</v>
      </c>
      <c r="E18" s="14" t="str">
        <f ca="1">IFERROR(__xludf.DUMMYFUNCTION("""COMPUTED_VALUE"""),"ECOLE
")</f>
        <v xml:space="preserve">ECOLE
</v>
      </c>
      <c r="F18" s="1" t="str">
        <f ca="1">IFERROR(__xludf.DUMMYFUNCTION("""COMPUTED_VALUE"""),"LOUIS PERGAUD")</f>
        <v>LOUIS PERGAUD</v>
      </c>
      <c r="G18" s="12" t="str">
        <f ca="1">IFERROR(__xludf.DUMMYFUNCTION("""COMPUTED_VALUE"""),"ARC LES GRAY")</f>
        <v>ARC LES GRAY</v>
      </c>
      <c r="H18" s="12" t="str">
        <f t="shared" ca="1" si="0"/>
        <v>ECOLE
  LOUIS PERGAUD  ARC LES GRAY</v>
      </c>
      <c r="I18" s="6"/>
      <c r="J18" s="12" t="str">
        <f ca="1">IFERROR(__xludf.DUMMYFUNCTION("""COMPUTED_VALUE"""),"OK")</f>
        <v>OK</v>
      </c>
      <c r="K18" s="12" t="str">
        <f ca="1">IFERROR(__xludf.DUMMYFUNCTION("""COMPUTED_VALUE"""),"mlle.samantha-39@live.fr")</f>
        <v>mlle.samantha-39@live.fr</v>
      </c>
      <c r="L18" s="12" t="str">
        <f ca="1">IFERROR(__xludf.DUMMYFUNCTION("""COMPUTED_VALUE"""),"06 46 82 41 91")</f>
        <v>06 46 82 41 91</v>
      </c>
      <c r="M18" s="12" t="str">
        <f ca="1">IFERROR(__xludf.DUMMYFUNCTION("""COMPUTED_VALUE"""),"70100 NANTILLY")</f>
        <v>70100 NANTILLY</v>
      </c>
      <c r="N18" s="6"/>
      <c r="O18" s="6"/>
    </row>
    <row r="19" spans="1:15" ht="15.5" x14ac:dyDescent="0.35">
      <c r="A19" s="12" t="str">
        <f ca="1">IFERROR(__xludf.DUMMYFUNCTION("""COMPUTED_VALUE"""),"PAILLOTTET Clara")</f>
        <v>PAILLOTTET Clara</v>
      </c>
      <c r="B19" s="12" t="str">
        <f ca="1">IFERROR(__xludf.DUMMYFUNCTION("""COMPUTED_VALUE"""),"F")</f>
        <v>F</v>
      </c>
      <c r="C19" s="13">
        <f ca="1">IFERROR(__xludf.DUMMYFUNCTION("""COMPUTED_VALUE"""),41286)</f>
        <v>41286</v>
      </c>
      <c r="D19" s="12" t="str">
        <f ca="1">IFERROR(__xludf.DUMMYFUNCTION("""COMPUTED_VALUE"""),"POUSSINS")</f>
        <v>POUSSINS</v>
      </c>
      <c r="E19" s="14" t="str">
        <f ca="1">IFERROR(__xludf.DUMMYFUNCTION("""COMPUTED_VALUE"""),"ECOLE
")</f>
        <v xml:space="preserve">ECOLE
</v>
      </c>
      <c r="F19" s="1" t="str">
        <f ca="1">IFERROR(__xludf.DUMMYFUNCTION("""COMPUTED_VALUE"""),"LOUIS PERGAUD")</f>
        <v>LOUIS PERGAUD</v>
      </c>
      <c r="G19" s="12" t="str">
        <f ca="1">IFERROR(__xludf.DUMMYFUNCTION("""COMPUTED_VALUE"""),"ARC LES GRAY")</f>
        <v>ARC LES GRAY</v>
      </c>
      <c r="H19" s="12" t="str">
        <f t="shared" ca="1" si="0"/>
        <v>ECOLE
  LOUIS PERGAUD  ARC LES GRAY</v>
      </c>
      <c r="I19" s="6"/>
      <c r="J19" s="12" t="str">
        <f ca="1">IFERROR(__xludf.DUMMYFUNCTION("""COMPUTED_VALUE"""),"OK")</f>
        <v>OK</v>
      </c>
      <c r="K19" s="12" t="str">
        <f ca="1">IFERROR(__xludf.DUMMYFUNCTION("""COMPUTED_VALUE"""),"laurentetveronique70@orange.fr")</f>
        <v>laurentetveronique70@orange.fr</v>
      </c>
      <c r="L19" s="12" t="str">
        <f ca="1">IFERROR(__xludf.DUMMYFUNCTION("""COMPUTED_VALUE"""),"07 50 35 68 68")</f>
        <v>07 50 35 68 68</v>
      </c>
      <c r="M19" s="12" t="str">
        <f ca="1">IFERROR(__xludf.DUMMYFUNCTION("""COMPUTED_VALUE"""),"70100 ARC LES GRAY")</f>
        <v>70100 ARC LES GRAY</v>
      </c>
      <c r="N19" s="6"/>
      <c r="O19" s="6"/>
    </row>
    <row r="20" spans="1:15" ht="15.5" x14ac:dyDescent="0.35">
      <c r="A20" s="12" t="str">
        <f ca="1">IFERROR(__xludf.DUMMYFUNCTION("""COMPUTED_VALUE"""),"PARMENTIER Tom")</f>
        <v>PARMENTIER Tom</v>
      </c>
      <c r="B20" s="12" t="str">
        <f ca="1">IFERROR(__xludf.DUMMYFUNCTION("""COMPUTED_VALUE"""),"H")</f>
        <v>H</v>
      </c>
      <c r="C20" s="13">
        <f ca="1">IFERROR(__xludf.DUMMYFUNCTION("""COMPUTED_VALUE"""),42546)</f>
        <v>42546</v>
      </c>
      <c r="D20" s="12" t="str">
        <f ca="1">IFERROR(__xludf.DUMMYFUNCTION("""COMPUTED_VALUE"""),"EVEIL ATHLE")</f>
        <v>EVEIL ATHLE</v>
      </c>
      <c r="E20" s="14" t="str">
        <f ca="1">IFERROR(__xludf.DUMMYFUNCTION("""COMPUTED_VALUE"""),"ECOLE
")</f>
        <v xml:space="preserve">ECOLE
</v>
      </c>
      <c r="F20" s="1" t="str">
        <f ca="1">IFERROR(__xludf.DUMMYFUNCTION("""COMPUTED_VALUE"""),"LOUIS PERGAUD")</f>
        <v>LOUIS PERGAUD</v>
      </c>
      <c r="G20" s="12" t="str">
        <f ca="1">IFERROR(__xludf.DUMMYFUNCTION("""COMPUTED_VALUE"""),"ARC LES GRAY")</f>
        <v>ARC LES GRAY</v>
      </c>
      <c r="H20" s="12" t="str">
        <f t="shared" ca="1" si="0"/>
        <v>ECOLE
  LOUIS PERGAUD  ARC LES GRAY</v>
      </c>
      <c r="I20" s="6"/>
      <c r="J20" s="12"/>
      <c r="K20" s="12"/>
      <c r="L20" s="12" t="str">
        <f ca="1">IFERROR(__xludf.DUMMYFUNCTION("""COMPUTED_VALUE"""),"06 70 69 81 57")</f>
        <v>06 70 69 81 57</v>
      </c>
      <c r="M20" s="12" t="str">
        <f ca="1">IFERROR(__xludf.DUMMYFUNCTION("""COMPUTED_VALUE"""),"70100 MANTOCHE")</f>
        <v>70100 MANTOCHE</v>
      </c>
      <c r="N20" s="6"/>
      <c r="O20" s="6"/>
    </row>
    <row r="21" spans="1:15" ht="15.5" x14ac:dyDescent="0.35">
      <c r="A21" s="12" t="str">
        <f ca="1">IFERROR(__xludf.DUMMYFUNCTION("""COMPUTED_VALUE"""),"BAILLY Laurent")</f>
        <v>BAILLY Laurent</v>
      </c>
      <c r="B21" s="12" t="str">
        <f ca="1">IFERROR(__xludf.DUMMYFUNCTION("""COMPUTED_VALUE"""),"H")</f>
        <v>H</v>
      </c>
      <c r="C21" s="13">
        <f ca="1">IFERROR(__xludf.DUMMYFUNCTION("""COMPUTED_VALUE"""),42219)</f>
        <v>42219</v>
      </c>
      <c r="D21" s="12" t="str">
        <f ca="1">IFERROR(__xludf.DUMMYFUNCTION("""COMPUTED_VALUE"""),"POUSSINS")</f>
        <v>POUSSINS</v>
      </c>
      <c r="E21" s="14" t="str">
        <f ca="1">IFERROR(__xludf.DUMMYFUNCTION("""COMPUTED_VALUE"""),"ECOLE
")</f>
        <v xml:space="preserve">ECOLE
</v>
      </c>
      <c r="F21" s="1" t="str">
        <f ca="1">IFERROR(__xludf.DUMMYFUNCTION("""COMPUTED_VALUE"""),"LOUIS PERGAUD")</f>
        <v>LOUIS PERGAUD</v>
      </c>
      <c r="G21" s="12" t="str">
        <f ca="1">IFERROR(__xludf.DUMMYFUNCTION("""COMPUTED_VALUE"""),"ARC LES GRAY")</f>
        <v>ARC LES GRAY</v>
      </c>
      <c r="H21" s="12" t="str">
        <f t="shared" ca="1" si="0"/>
        <v>ECOLE
  LOUIS PERGAUD  ARC LES GRAY</v>
      </c>
      <c r="I21" s="6"/>
      <c r="J21" s="12"/>
      <c r="K21" s="12"/>
      <c r="L21" s="12">
        <f ca="1">IFERROR(__xludf.DUMMYFUNCTION("""COMPUTED_VALUE"""),628260472)</f>
        <v>628260472</v>
      </c>
      <c r="M21" s="12" t="str">
        <f ca="1">IFERROR(__xludf.DUMMYFUNCTION("""COMPUTED_VALUE"""),"403 rue du Val de Saône 70100 GRAY LA VILLE")</f>
        <v>403 rue du Val de Saône 70100 GRAY LA VILLE</v>
      </c>
      <c r="N21" s="6"/>
      <c r="O21" s="6"/>
    </row>
    <row r="22" spans="1:15" ht="15.5" x14ac:dyDescent="0.35">
      <c r="A22" s="12" t="str">
        <f ca="1">IFERROR(__xludf.DUMMYFUNCTION("""COMPUTED_VALUE"""),"CLAUSSE Margot")</f>
        <v>CLAUSSE Margot</v>
      </c>
      <c r="B22" s="12" t="str">
        <f ca="1">IFERROR(__xludf.DUMMYFUNCTION("""COMPUTED_VALUE"""),"F")</f>
        <v>F</v>
      </c>
      <c r="C22" s="13">
        <f ca="1">IFERROR(__xludf.DUMMYFUNCTION("""COMPUTED_VALUE"""),41968)</f>
        <v>41968</v>
      </c>
      <c r="D22" s="12" t="str">
        <f ca="1">IFERROR(__xludf.DUMMYFUNCTION("""COMPUTED_VALUE"""),"POUSSINS")</f>
        <v>POUSSINS</v>
      </c>
      <c r="E22" s="14" t="str">
        <f ca="1">IFERROR(__xludf.DUMMYFUNCTION("""COMPUTED_VALUE"""),"ECOLE
")</f>
        <v xml:space="preserve">ECOLE
</v>
      </c>
      <c r="F22" s="1" t="str">
        <f ca="1">IFERROR(__xludf.DUMMYFUNCTION("""COMPUTED_VALUE"""),"LOUIS PERGAUD")</f>
        <v>LOUIS PERGAUD</v>
      </c>
      <c r="G22" s="12" t="str">
        <f ca="1">IFERROR(__xludf.DUMMYFUNCTION("""COMPUTED_VALUE"""),"ARC LES GRAY")</f>
        <v>ARC LES GRAY</v>
      </c>
      <c r="H22" s="12" t="str">
        <f t="shared" ca="1" si="0"/>
        <v>ECOLE
  LOUIS PERGAUD  ARC LES GRAY</v>
      </c>
      <c r="I22" s="6"/>
      <c r="J22" s="12"/>
      <c r="K22" s="12"/>
      <c r="L22" s="12" t="str">
        <f ca="1">IFERROR(__xludf.DUMMYFUNCTION("""COMPUTED_VALUE"""),"06 48 77 78 78")</f>
        <v>06 48 77 78 78</v>
      </c>
      <c r="M22" s="12" t="str">
        <f ca="1">IFERROR(__xludf.DUMMYFUNCTION("""COMPUTED_VALUE"""),"25170 PELOUSEY")</f>
        <v>25170 PELOUSEY</v>
      </c>
      <c r="N22" s="6"/>
      <c r="O22" s="6"/>
    </row>
    <row r="23" spans="1:15" ht="15.5" x14ac:dyDescent="0.35">
      <c r="A23" s="12" t="str">
        <f ca="1">IFERROR(__xludf.DUMMYFUNCTION("""COMPUTED_VALUE"""),"GUENOT Léna")</f>
        <v>GUENOT Léna</v>
      </c>
      <c r="B23" s="12" t="str">
        <f ca="1">IFERROR(__xludf.DUMMYFUNCTION("""COMPUTED_VALUE"""),"F")</f>
        <v>F</v>
      </c>
      <c r="C23" s="13">
        <f ca="1">IFERROR(__xludf.DUMMYFUNCTION("""COMPUTED_VALUE"""),41330)</f>
        <v>41330</v>
      </c>
      <c r="D23" s="12" t="str">
        <f ca="1">IFERROR(__xludf.DUMMYFUNCTION("""COMPUTED_VALUE"""),"POUSSINS")</f>
        <v>POUSSINS</v>
      </c>
      <c r="E23" s="14" t="str">
        <f ca="1">IFERROR(__xludf.DUMMYFUNCTION("""COMPUTED_VALUE"""),"ECOLE
")</f>
        <v xml:space="preserve">ECOLE
</v>
      </c>
      <c r="F23" s="1" t="str">
        <f ca="1">IFERROR(__xludf.DUMMYFUNCTION("""COMPUTED_VALUE"""),"LOUIS PERGAUD")</f>
        <v>LOUIS PERGAUD</v>
      </c>
      <c r="G23" s="12" t="str">
        <f ca="1">IFERROR(__xludf.DUMMYFUNCTION("""COMPUTED_VALUE"""),"ARC LES GRAY")</f>
        <v>ARC LES GRAY</v>
      </c>
      <c r="H23" s="12" t="str">
        <f t="shared" ca="1" si="0"/>
        <v>ECOLE
  LOUIS PERGAUD  ARC LES GRAY</v>
      </c>
      <c r="I23" s="6"/>
      <c r="J23" s="12"/>
      <c r="K23" s="12"/>
      <c r="L23" s="12" t="str">
        <f ca="1">IFERROR(__xludf.DUMMYFUNCTION("""COMPUTED_VALUE"""),"06 33 36 63 05")</f>
        <v>06 33 36 63 05</v>
      </c>
      <c r="M23" s="12" t="str">
        <f ca="1">IFERROR(__xludf.DUMMYFUNCTION("""COMPUTED_VALUE"""),"70100 ARC LES GRAY")</f>
        <v>70100 ARC LES GRAY</v>
      </c>
      <c r="N23" s="6"/>
      <c r="O23" s="6"/>
    </row>
    <row r="24" spans="1:15" ht="15.5" x14ac:dyDescent="0.35">
      <c r="A24" s="12" t="str">
        <f ca="1">IFERROR(__xludf.DUMMYFUNCTION("""COMPUTED_VALUE"""),"JEANNERET Noa")</f>
        <v>JEANNERET Noa</v>
      </c>
      <c r="B24" s="12" t="str">
        <f ca="1">IFERROR(__xludf.DUMMYFUNCTION("""COMPUTED_VALUE"""),"H")</f>
        <v>H</v>
      </c>
      <c r="C24" s="13">
        <f ca="1">IFERROR(__xludf.DUMMYFUNCTION("""COMPUTED_VALUE"""),41754)</f>
        <v>41754</v>
      </c>
      <c r="D24" s="12" t="str">
        <f ca="1">IFERROR(__xludf.DUMMYFUNCTION("""COMPUTED_VALUE"""),"POUSSINS")</f>
        <v>POUSSINS</v>
      </c>
      <c r="E24" s="14" t="str">
        <f ca="1">IFERROR(__xludf.DUMMYFUNCTION("""COMPUTED_VALUE"""),"ECOLE
")</f>
        <v xml:space="preserve">ECOLE
</v>
      </c>
      <c r="F24" s="1" t="str">
        <f ca="1">IFERROR(__xludf.DUMMYFUNCTION("""COMPUTED_VALUE"""),"LOUIS PERGAUD")</f>
        <v>LOUIS PERGAUD</v>
      </c>
      <c r="G24" s="12" t="str">
        <f ca="1">IFERROR(__xludf.DUMMYFUNCTION("""COMPUTED_VALUE"""),"ARC LES GRAY")</f>
        <v>ARC LES GRAY</v>
      </c>
      <c r="H24" s="12" t="str">
        <f t="shared" ca="1" si="0"/>
        <v>ECOLE
  LOUIS PERGAUD  ARC LES GRAY</v>
      </c>
      <c r="I24" s="6"/>
      <c r="J24" s="12"/>
      <c r="K24" s="12"/>
      <c r="L24" s="12" t="str">
        <f ca="1">IFERROR(__xludf.DUMMYFUNCTION("""COMPUTED_VALUE"""),"06 88 90 94 16")</f>
        <v>06 88 90 94 16</v>
      </c>
      <c r="M24" s="12" t="str">
        <f ca="1">IFERROR(__xludf.DUMMYFUNCTION("""COMPUTED_VALUE"""),"70100 ARC LES GRAY")</f>
        <v>70100 ARC LES GRAY</v>
      </c>
      <c r="N24" s="6"/>
      <c r="O24" s="6"/>
    </row>
    <row r="25" spans="1:15" ht="15.5" x14ac:dyDescent="0.35">
      <c r="A25" s="12" t="str">
        <f ca="1">IFERROR(__xludf.DUMMYFUNCTION("""COMPUTED_VALUE"""),"LAMBERT Gabin")</f>
        <v>LAMBERT Gabin</v>
      </c>
      <c r="B25" s="12" t="str">
        <f ca="1">IFERROR(__xludf.DUMMYFUNCTION("""COMPUTED_VALUE"""),"H")</f>
        <v>H</v>
      </c>
      <c r="C25" s="13">
        <f ca="1">IFERROR(__xludf.DUMMYFUNCTION("""COMPUTED_VALUE"""),41710)</f>
        <v>41710</v>
      </c>
      <c r="D25" s="12" t="str">
        <f ca="1">IFERROR(__xludf.DUMMYFUNCTION("""COMPUTED_VALUE"""),"POUSSINS")</f>
        <v>POUSSINS</v>
      </c>
      <c r="E25" s="14" t="str">
        <f ca="1">IFERROR(__xludf.DUMMYFUNCTION("""COMPUTED_VALUE"""),"ECOLE
")</f>
        <v xml:space="preserve">ECOLE
</v>
      </c>
      <c r="F25" s="1" t="str">
        <f ca="1">IFERROR(__xludf.DUMMYFUNCTION("""COMPUTED_VALUE"""),"LOUIS PERGAUD")</f>
        <v>LOUIS PERGAUD</v>
      </c>
      <c r="G25" s="12" t="str">
        <f ca="1">IFERROR(__xludf.DUMMYFUNCTION("""COMPUTED_VALUE"""),"ARC LES GRAY")</f>
        <v>ARC LES GRAY</v>
      </c>
      <c r="H25" s="12" t="str">
        <f t="shared" ca="1" si="0"/>
        <v>ECOLE
  LOUIS PERGAUD  ARC LES GRAY</v>
      </c>
      <c r="I25" s="6"/>
      <c r="J25" s="12"/>
      <c r="K25" s="12"/>
      <c r="L25" s="12" t="str">
        <f ca="1">IFERROR(__xludf.DUMMYFUNCTION("""COMPUTED_VALUE"""),"06 89 03 23 73")</f>
        <v>06 89 03 23 73</v>
      </c>
      <c r="M25" s="12" t="str">
        <f ca="1">IFERROR(__xludf.DUMMYFUNCTION("""COMPUTED_VALUE"""),"70100 ARC LES GRAY")</f>
        <v>70100 ARC LES GRAY</v>
      </c>
      <c r="N25" s="6"/>
      <c r="O25" s="6"/>
    </row>
    <row r="26" spans="1:15" ht="15.5" x14ac:dyDescent="0.35">
      <c r="A26" s="12" t="str">
        <f ca="1">IFERROR(__xludf.DUMMYFUNCTION("""COMPUTED_VALUE"""),"MARTIN Kyllian")</f>
        <v>MARTIN Kyllian</v>
      </c>
      <c r="B26" s="12" t="str">
        <f ca="1">IFERROR(__xludf.DUMMYFUNCTION("""COMPUTED_VALUE"""),"H")</f>
        <v>H</v>
      </c>
      <c r="C26" s="13">
        <f ca="1">IFERROR(__xludf.DUMMYFUNCTION("""COMPUTED_VALUE"""),41627)</f>
        <v>41627</v>
      </c>
      <c r="D26" s="12" t="str">
        <f ca="1">IFERROR(__xludf.DUMMYFUNCTION("""COMPUTED_VALUE"""),"POUSSINS")</f>
        <v>POUSSINS</v>
      </c>
      <c r="E26" s="14" t="str">
        <f ca="1">IFERROR(__xludf.DUMMYFUNCTION("""COMPUTED_VALUE"""),"ECOLE
")</f>
        <v xml:space="preserve">ECOLE
</v>
      </c>
      <c r="F26" s="1" t="str">
        <f ca="1">IFERROR(__xludf.DUMMYFUNCTION("""COMPUTED_VALUE"""),"LOUIS PERGAUD")</f>
        <v>LOUIS PERGAUD</v>
      </c>
      <c r="G26" s="12" t="str">
        <f ca="1">IFERROR(__xludf.DUMMYFUNCTION("""COMPUTED_VALUE"""),"ARC LES GRAY")</f>
        <v>ARC LES GRAY</v>
      </c>
      <c r="H26" s="12" t="str">
        <f t="shared" ca="1" si="0"/>
        <v>ECOLE
  LOUIS PERGAUD  ARC LES GRAY</v>
      </c>
      <c r="I26" s="6"/>
      <c r="J26" s="12"/>
      <c r="K26" s="12"/>
      <c r="L26" s="12" t="str">
        <f ca="1">IFERROR(__xludf.DUMMYFUNCTION("""COMPUTED_VALUE"""),"06 46 82 41 91")</f>
        <v>06 46 82 41 91</v>
      </c>
      <c r="M26" s="12" t="str">
        <f ca="1">IFERROR(__xludf.DUMMYFUNCTION("""COMPUTED_VALUE"""),"70100 NANTILLY")</f>
        <v>70100 NANTILLY</v>
      </c>
      <c r="N26" s="6"/>
      <c r="O26" s="6"/>
    </row>
    <row r="27" spans="1:15" ht="15.5" x14ac:dyDescent="0.35">
      <c r="A27" s="12" t="str">
        <f ca="1">IFERROR(__xludf.DUMMYFUNCTION("""COMPUTED_VALUE"""),"PAILLOTTET Clara")</f>
        <v>PAILLOTTET Clara</v>
      </c>
      <c r="B27" s="12" t="str">
        <f ca="1">IFERROR(__xludf.DUMMYFUNCTION("""COMPUTED_VALUE"""),"F")</f>
        <v>F</v>
      </c>
      <c r="C27" s="13">
        <f ca="1">IFERROR(__xludf.DUMMYFUNCTION("""COMPUTED_VALUE"""),41286)</f>
        <v>41286</v>
      </c>
      <c r="D27" s="12" t="str">
        <f ca="1">IFERROR(__xludf.DUMMYFUNCTION("""COMPUTED_VALUE"""),"POUSSINS")</f>
        <v>POUSSINS</v>
      </c>
      <c r="E27" s="14" t="str">
        <f ca="1">IFERROR(__xludf.DUMMYFUNCTION("""COMPUTED_VALUE"""),"ECOLE
")</f>
        <v xml:space="preserve">ECOLE
</v>
      </c>
      <c r="F27" s="1" t="str">
        <f ca="1">IFERROR(__xludf.DUMMYFUNCTION("""COMPUTED_VALUE"""),"LOUIS PERGAUD")</f>
        <v>LOUIS PERGAUD</v>
      </c>
      <c r="G27" s="12" t="str">
        <f ca="1">IFERROR(__xludf.DUMMYFUNCTION("""COMPUTED_VALUE"""),"ARC LES GRAY")</f>
        <v>ARC LES GRAY</v>
      </c>
      <c r="H27" s="12" t="str">
        <f t="shared" ca="1" si="0"/>
        <v>ECOLE
  LOUIS PERGAUD  ARC LES GRAY</v>
      </c>
      <c r="I27" s="6"/>
      <c r="J27" s="12"/>
      <c r="K27" s="12"/>
      <c r="L27" s="12" t="str">
        <f ca="1">IFERROR(__xludf.DUMMYFUNCTION("""COMPUTED_VALUE"""),"07 50 35 68 68")</f>
        <v>07 50 35 68 68</v>
      </c>
      <c r="M27" s="12" t="str">
        <f ca="1">IFERROR(__xludf.DUMMYFUNCTION("""COMPUTED_VALUE"""),"70100 ARC LES GRAY")</f>
        <v>70100 ARC LES GRAY</v>
      </c>
      <c r="N27" s="6"/>
      <c r="O27" s="6"/>
    </row>
    <row r="28" spans="1:15" ht="15.5" x14ac:dyDescent="0.35">
      <c r="A28" s="12" t="str">
        <f ca="1">IFERROR(__xludf.DUMMYFUNCTION("""COMPUTED_VALUE"""),"DUMAIN Léane")</f>
        <v>DUMAIN Léane</v>
      </c>
      <c r="B28" s="12" t="str">
        <f ca="1">IFERROR(__xludf.DUMMYFUNCTION("""COMPUTED_VALUE"""),"F")</f>
        <v>F</v>
      </c>
      <c r="C28" s="13">
        <f ca="1">IFERROR(__xludf.DUMMYFUNCTION("""COMPUTED_VALUE"""),41527)</f>
        <v>41527</v>
      </c>
      <c r="D28" s="12" t="str">
        <f ca="1">IFERROR(__xludf.DUMMYFUNCTION("""COMPUTED_VALUE"""),"POUSSINS")</f>
        <v>POUSSINS</v>
      </c>
      <c r="E28" s="14" t="str">
        <f ca="1">IFERROR(__xludf.DUMMYFUNCTION("""COMPUTED_VALUE"""),"ECOLE
")</f>
        <v xml:space="preserve">ECOLE
</v>
      </c>
      <c r="F28" s="1" t="str">
        <f ca="1">IFERROR(__xludf.DUMMYFUNCTION("""COMPUTED_VALUE"""),"AUTHOISON")</f>
        <v>AUTHOISON</v>
      </c>
      <c r="G28" s="12" t="str">
        <f ca="1">IFERROR(__xludf.DUMMYFUNCTION("""COMPUTED_VALUE"""),"AUTHOISON")</f>
        <v>AUTHOISON</v>
      </c>
      <c r="H28" s="12" t="str">
        <f t="shared" ca="1" si="0"/>
        <v>ECOLE
  AUTHOISON  AUTHOISON</v>
      </c>
      <c r="I28" s="6"/>
      <c r="J28" s="12" t="str">
        <f ca="1">IFERROR(__xludf.DUMMYFUNCTION("""COMPUTED_VALUE"""),"OK")</f>
        <v>OK</v>
      </c>
      <c r="K28" s="12" t="str">
        <f ca="1">IFERROR(__xludf.DUMMYFUNCTION("""COMPUTED_VALUE"""),"lucileravillon@hotmail.fr")</f>
        <v>lucileravillon@hotmail.fr</v>
      </c>
      <c r="L28" s="12" t="str">
        <f ca="1">IFERROR(__xludf.DUMMYFUNCTION("""COMPUTED_VALUE"""),"06 74 99 08 71")</f>
        <v>06 74 99 08 71</v>
      </c>
      <c r="M28" s="12" t="str">
        <f ca="1">IFERROR(__xludf.DUMMYFUNCTION("""COMPUTED_VALUE"""),"70190 AUTHOISON")</f>
        <v>70190 AUTHOISON</v>
      </c>
      <c r="N28" s="6"/>
      <c r="O28" s="6"/>
    </row>
    <row r="29" spans="1:15" ht="15.5" x14ac:dyDescent="0.35">
      <c r="A29" s="12" t="str">
        <f ca="1">IFERROR(__xludf.DUMMYFUNCTION("""COMPUTED_VALUE"""),"DUMAIN Léane")</f>
        <v>DUMAIN Léane</v>
      </c>
      <c r="B29" s="12" t="str">
        <f ca="1">IFERROR(__xludf.DUMMYFUNCTION("""COMPUTED_VALUE"""),"F")</f>
        <v>F</v>
      </c>
      <c r="C29" s="13">
        <f ca="1">IFERROR(__xludf.DUMMYFUNCTION("""COMPUTED_VALUE"""),41527)</f>
        <v>41527</v>
      </c>
      <c r="D29" s="12" t="str">
        <f ca="1">IFERROR(__xludf.DUMMYFUNCTION("""COMPUTED_VALUE"""),"POUSSINS")</f>
        <v>POUSSINS</v>
      </c>
      <c r="E29" s="14" t="str">
        <f ca="1">IFERROR(__xludf.DUMMYFUNCTION("""COMPUTED_VALUE"""),"ECOLE
")</f>
        <v xml:space="preserve">ECOLE
</v>
      </c>
      <c r="F29" s="1" t="str">
        <f ca="1">IFERROR(__xludf.DUMMYFUNCTION("""COMPUTED_VALUE"""),"AUTHOISON")</f>
        <v>AUTHOISON</v>
      </c>
      <c r="G29" s="12" t="str">
        <f ca="1">IFERROR(__xludf.DUMMYFUNCTION("""COMPUTED_VALUE"""),"AUTHOISON")</f>
        <v>AUTHOISON</v>
      </c>
      <c r="H29" s="12" t="str">
        <f t="shared" ca="1" si="0"/>
        <v>ECOLE
  AUTHOISON  AUTHOISON</v>
      </c>
      <c r="I29" s="6"/>
      <c r="J29" s="12"/>
      <c r="K29" s="12"/>
      <c r="L29" s="12" t="str">
        <f ca="1">IFERROR(__xludf.DUMMYFUNCTION("""COMPUTED_VALUE"""),"06 74 99 08 71")</f>
        <v>06 74 99 08 71</v>
      </c>
      <c r="M29" s="12" t="str">
        <f ca="1">IFERROR(__xludf.DUMMYFUNCTION("""COMPUTED_VALUE"""),"70190 AUTHOISON")</f>
        <v>70190 AUTHOISON</v>
      </c>
      <c r="N29" s="6"/>
      <c r="O29" s="6"/>
    </row>
    <row r="30" spans="1:15" ht="15.5" x14ac:dyDescent="0.35">
      <c r="A30" s="12" t="str">
        <f ca="1">IFERROR(__xludf.DUMMYFUNCTION("""COMPUTED_VALUE"""),"COLLINET Meredith")</f>
        <v>COLLINET Meredith</v>
      </c>
      <c r="B30" s="12" t="str">
        <f ca="1">IFERROR(__xludf.DUMMYFUNCTION("""COMPUTED_VALUE"""),"F")</f>
        <v>F</v>
      </c>
      <c r="C30" s="13">
        <f ca="1">IFERROR(__xludf.DUMMYFUNCTION("""COMPUTED_VALUE"""),41546)</f>
        <v>41546</v>
      </c>
      <c r="D30" s="12" t="str">
        <f ca="1">IFERROR(__xludf.DUMMYFUNCTION("""COMPUTED_VALUE"""),"POUSSINS")</f>
        <v>POUSSINS</v>
      </c>
      <c r="E30" s="14" t="str">
        <f ca="1">IFERROR(__xludf.DUMMYFUNCTION("""COMPUTED_VALUE"""),"ECOLE
")</f>
        <v xml:space="preserve">ECOLE
</v>
      </c>
      <c r="F30" s="1" t="str">
        <f ca="1">IFERROR(__xludf.DUMMYFUNCTION("""COMPUTED_VALUE"""),"AUTREY LES GRAY")</f>
        <v>AUTREY LES GRAY</v>
      </c>
      <c r="G30" s="12" t="str">
        <f ca="1">IFERROR(__xludf.DUMMYFUNCTION("""COMPUTED_VALUE"""),"AUTREY LES GRAY")</f>
        <v>AUTREY LES GRAY</v>
      </c>
      <c r="H30" s="12" t="str">
        <f t="shared" ca="1" si="0"/>
        <v>ECOLE
  AUTREY LES GRAY  AUTREY LES GRAY</v>
      </c>
      <c r="I30" s="6"/>
      <c r="J30" s="12" t="str">
        <f ca="1">IFERROR(__xludf.DUMMYFUNCTION("""COMPUTED_VALUE"""),"OK")</f>
        <v>OK</v>
      </c>
      <c r="K30" s="12"/>
      <c r="L30" s="12"/>
      <c r="M30" s="12" t="str">
        <f ca="1">IFERROR(__xludf.DUMMYFUNCTION("""COMPUTED_VALUE"""),"70100 BROYE LES LOUPS")</f>
        <v>70100 BROYE LES LOUPS</v>
      </c>
      <c r="N30" s="6"/>
      <c r="O30" s="6"/>
    </row>
    <row r="31" spans="1:15" ht="15.5" x14ac:dyDescent="0.35">
      <c r="A31" s="12" t="str">
        <f ca="1">IFERROR(__xludf.DUMMYFUNCTION("""COMPUTED_VALUE"""),"HAREL Apolline")</f>
        <v>HAREL Apolline</v>
      </c>
      <c r="B31" s="12" t="str">
        <f ca="1">IFERROR(__xludf.DUMMYFUNCTION("""COMPUTED_VALUE"""),"F")</f>
        <v>F</v>
      </c>
      <c r="C31" s="13">
        <f ca="1">IFERROR(__xludf.DUMMYFUNCTION("""COMPUTED_VALUE"""),41938)</f>
        <v>41938</v>
      </c>
      <c r="D31" s="12" t="str">
        <f ca="1">IFERROR(__xludf.DUMMYFUNCTION("""COMPUTED_VALUE"""),"POUSSINS")</f>
        <v>POUSSINS</v>
      </c>
      <c r="E31" s="14" t="str">
        <f ca="1">IFERROR(__xludf.DUMMYFUNCTION("""COMPUTED_VALUE"""),"ECOLE
")</f>
        <v xml:space="preserve">ECOLE
</v>
      </c>
      <c r="F31" s="1" t="str">
        <f ca="1">IFERROR(__xludf.DUMMYFUNCTION("""COMPUTED_VALUE"""),"AUTREY LES GRAY")</f>
        <v>AUTREY LES GRAY</v>
      </c>
      <c r="G31" s="12" t="str">
        <f ca="1">IFERROR(__xludf.DUMMYFUNCTION("""COMPUTED_VALUE"""),"AUTREY LES GRAY")</f>
        <v>AUTREY LES GRAY</v>
      </c>
      <c r="H31" s="12" t="str">
        <f t="shared" ca="1" si="0"/>
        <v>ECOLE
  AUTREY LES GRAY  AUTREY LES GRAY</v>
      </c>
      <c r="I31" s="6"/>
      <c r="J31" s="12" t="str">
        <f ca="1">IFERROR(__xludf.DUMMYFUNCTION("""COMPUTED_VALUE"""),"OK")</f>
        <v>OK</v>
      </c>
      <c r="K31" s="12" t="str">
        <f ca="1">IFERROR(__xludf.DUMMYFUNCTION("""COMPUTED_VALUE"""),"matt1602@hotmail.fr")</f>
        <v>matt1602@hotmail.fr</v>
      </c>
      <c r="L31" s="12" t="str">
        <f ca="1">IFERROR(__xludf.DUMMYFUNCTION("""COMPUTED_VALUE"""),"06 60 77 10 34")</f>
        <v>06 60 77 10 34</v>
      </c>
      <c r="M31" s="12" t="str">
        <f ca="1">IFERROR(__xludf.DUMMYFUNCTION("""COMPUTED_VALUE"""),"25000 BESANCON")</f>
        <v>25000 BESANCON</v>
      </c>
      <c r="N31" s="6"/>
      <c r="O31" s="6"/>
    </row>
    <row r="32" spans="1:15" ht="15.5" x14ac:dyDescent="0.35">
      <c r="A32" s="12" t="str">
        <f ca="1">IFERROR(__xludf.DUMMYFUNCTION("""COMPUTED_VALUE"""),"HERGAS Gabin")</f>
        <v>HERGAS Gabin</v>
      </c>
      <c r="B32" s="12" t="str">
        <f ca="1">IFERROR(__xludf.DUMMYFUNCTION("""COMPUTED_VALUE"""),"H")</f>
        <v>H</v>
      </c>
      <c r="C32" s="13">
        <f ca="1">IFERROR(__xludf.DUMMYFUNCTION("""COMPUTED_VALUE"""),41850)</f>
        <v>41850</v>
      </c>
      <c r="D32" s="12" t="str">
        <f ca="1">IFERROR(__xludf.DUMMYFUNCTION("""COMPUTED_VALUE"""),"POUSSINS")</f>
        <v>POUSSINS</v>
      </c>
      <c r="E32" s="14" t="str">
        <f ca="1">IFERROR(__xludf.DUMMYFUNCTION("""COMPUTED_VALUE"""),"ECOLE
")</f>
        <v xml:space="preserve">ECOLE
</v>
      </c>
      <c r="F32" s="1" t="str">
        <f ca="1">IFERROR(__xludf.DUMMYFUNCTION("""COMPUTED_VALUE"""),"AUTREY LES GRAY")</f>
        <v>AUTREY LES GRAY</v>
      </c>
      <c r="G32" s="12" t="str">
        <f ca="1">IFERROR(__xludf.DUMMYFUNCTION("""COMPUTED_VALUE"""),"AUTREY LES GRAY")</f>
        <v>AUTREY LES GRAY</v>
      </c>
      <c r="H32" s="12" t="str">
        <f t="shared" ca="1" si="0"/>
        <v>ECOLE
  AUTREY LES GRAY  AUTREY LES GRAY</v>
      </c>
      <c r="I32" s="6"/>
      <c r="J32" s="12" t="str">
        <f ca="1">IFERROR(__xludf.DUMMYFUNCTION("""COMPUTED_VALUE"""),"OK")</f>
        <v>OK</v>
      </c>
      <c r="K32" s="12" t="str">
        <f ca="1">IFERROR(__xludf.DUMMYFUNCTION("""COMPUTED_VALUE"""),"cecileparisot@hotmail.fr")</f>
        <v>cecileparisot@hotmail.fr</v>
      </c>
      <c r="L32" s="12" t="str">
        <f ca="1">IFERROR(__xludf.DUMMYFUNCTION("""COMPUTED_VALUE"""),"06 83 73 11 61")</f>
        <v>06 83 73 11 61</v>
      </c>
      <c r="M32" s="12" t="str">
        <f ca="1">IFERROR(__xludf.DUMMYFUNCTION("""COMPUTED_VALUE"""),"70100 BOUHANS")</f>
        <v>70100 BOUHANS</v>
      </c>
      <c r="N32" s="6"/>
      <c r="O32" s="6"/>
    </row>
    <row r="33" spans="1:15" ht="15.5" x14ac:dyDescent="0.35">
      <c r="A33" s="12" t="str">
        <f ca="1">IFERROR(__xludf.DUMMYFUNCTION("""COMPUTED_VALUE"""),"RIGOLLOT Camille")</f>
        <v>RIGOLLOT Camille</v>
      </c>
      <c r="B33" s="12" t="str">
        <f ca="1">IFERROR(__xludf.DUMMYFUNCTION("""COMPUTED_VALUE"""),"F")</f>
        <v>F</v>
      </c>
      <c r="C33" s="13">
        <f ca="1">IFERROR(__xludf.DUMMYFUNCTION("""COMPUTED_VALUE"""),41499)</f>
        <v>41499</v>
      </c>
      <c r="D33" s="12" t="str">
        <f ca="1">IFERROR(__xludf.DUMMYFUNCTION("""COMPUTED_VALUE"""),"POUSSINS")</f>
        <v>POUSSINS</v>
      </c>
      <c r="E33" s="14" t="str">
        <f ca="1">IFERROR(__xludf.DUMMYFUNCTION("""COMPUTED_VALUE"""),"ECOLE
")</f>
        <v xml:space="preserve">ECOLE
</v>
      </c>
      <c r="F33" s="1" t="str">
        <f ca="1">IFERROR(__xludf.DUMMYFUNCTION("""COMPUTED_VALUE"""),"AUTREY LES GRAY")</f>
        <v>AUTREY LES GRAY</v>
      </c>
      <c r="G33" s="12" t="str">
        <f ca="1">IFERROR(__xludf.DUMMYFUNCTION("""COMPUTED_VALUE"""),"AUTREY LES GRAY")</f>
        <v>AUTREY LES GRAY</v>
      </c>
      <c r="H33" s="12" t="str">
        <f t="shared" ca="1" si="0"/>
        <v>ECOLE
  AUTREY LES GRAY  AUTREY LES GRAY</v>
      </c>
      <c r="I33" s="6"/>
      <c r="J33" s="12" t="str">
        <f ca="1">IFERROR(__xludf.DUMMYFUNCTION("""COMPUTED_VALUE"""),"OK")</f>
        <v>OK</v>
      </c>
      <c r="K33" s="12" t="str">
        <f ca="1">IFERROR(__xludf.DUMMYFUNCTION("""COMPUTED_VALUE"""),"tony.rigollot@gmail.com")</f>
        <v>tony.rigollot@gmail.com</v>
      </c>
      <c r="L33" s="12" t="str">
        <f ca="1">IFERROR(__xludf.DUMMYFUNCTION("""COMPUTED_VALUE"""),"06 84 08 84 84")</f>
        <v>06 84 08 84 84</v>
      </c>
      <c r="M33" s="12" t="str">
        <f ca="1">IFERROR(__xludf.DUMMYFUNCTION("""COMPUTED_VALUE"""),"70100 BOUHANS")</f>
        <v>70100 BOUHANS</v>
      </c>
      <c r="N33" s="6"/>
      <c r="O33" s="6"/>
    </row>
    <row r="34" spans="1:15" ht="15.5" x14ac:dyDescent="0.35">
      <c r="A34" s="12" t="str">
        <f ca="1">IFERROR(__xludf.DUMMYFUNCTION("""COMPUTED_VALUE"""),"COLLINET Meredith")</f>
        <v>COLLINET Meredith</v>
      </c>
      <c r="B34" s="12" t="str">
        <f ca="1">IFERROR(__xludf.DUMMYFUNCTION("""COMPUTED_VALUE"""),"F")</f>
        <v>F</v>
      </c>
      <c r="C34" s="13">
        <f ca="1">IFERROR(__xludf.DUMMYFUNCTION("""COMPUTED_VALUE"""),41546)</f>
        <v>41546</v>
      </c>
      <c r="D34" s="12" t="str">
        <f ca="1">IFERROR(__xludf.DUMMYFUNCTION("""COMPUTED_VALUE"""),"POUSSINS")</f>
        <v>POUSSINS</v>
      </c>
      <c r="E34" s="14" t="str">
        <f ca="1">IFERROR(__xludf.DUMMYFUNCTION("""COMPUTED_VALUE"""),"ECOLE
")</f>
        <v xml:space="preserve">ECOLE
</v>
      </c>
      <c r="F34" s="1" t="str">
        <f ca="1">IFERROR(__xludf.DUMMYFUNCTION("""COMPUTED_VALUE"""),"AUTREY LES GRAY")</f>
        <v>AUTREY LES GRAY</v>
      </c>
      <c r="G34" s="12" t="str">
        <f ca="1">IFERROR(__xludf.DUMMYFUNCTION("""COMPUTED_VALUE"""),"AUTREY LES GRAY")</f>
        <v>AUTREY LES GRAY</v>
      </c>
      <c r="H34" s="12" t="str">
        <f t="shared" ca="1" si="0"/>
        <v>ECOLE
  AUTREY LES GRAY  AUTREY LES GRAY</v>
      </c>
      <c r="I34" s="6"/>
      <c r="J34" s="12"/>
      <c r="K34" s="12"/>
      <c r="L34" s="12"/>
      <c r="M34" s="12" t="str">
        <f ca="1">IFERROR(__xludf.DUMMYFUNCTION("""COMPUTED_VALUE"""),"70100 BROYE LES LOUPS")</f>
        <v>70100 BROYE LES LOUPS</v>
      </c>
      <c r="N34" s="6"/>
      <c r="O34" s="6"/>
    </row>
    <row r="35" spans="1:15" ht="15.5" x14ac:dyDescent="0.35">
      <c r="A35" s="12" t="str">
        <f ca="1">IFERROR(__xludf.DUMMYFUNCTION("""COMPUTED_VALUE"""),"HAREL Apolline")</f>
        <v>HAREL Apolline</v>
      </c>
      <c r="B35" s="12" t="str">
        <f ca="1">IFERROR(__xludf.DUMMYFUNCTION("""COMPUTED_VALUE"""),"F")</f>
        <v>F</v>
      </c>
      <c r="C35" s="13">
        <f ca="1">IFERROR(__xludf.DUMMYFUNCTION("""COMPUTED_VALUE"""),41938)</f>
        <v>41938</v>
      </c>
      <c r="D35" s="12" t="str">
        <f ca="1">IFERROR(__xludf.DUMMYFUNCTION("""COMPUTED_VALUE"""),"POUSSINS")</f>
        <v>POUSSINS</v>
      </c>
      <c r="E35" s="14" t="str">
        <f ca="1">IFERROR(__xludf.DUMMYFUNCTION("""COMPUTED_VALUE"""),"ECOLE
")</f>
        <v xml:space="preserve">ECOLE
</v>
      </c>
      <c r="F35" s="1" t="str">
        <f ca="1">IFERROR(__xludf.DUMMYFUNCTION("""COMPUTED_VALUE"""),"AUTREY LES GRAY")</f>
        <v>AUTREY LES GRAY</v>
      </c>
      <c r="G35" s="12" t="str">
        <f ca="1">IFERROR(__xludf.DUMMYFUNCTION("""COMPUTED_VALUE"""),"AUTREY LES GRAY")</f>
        <v>AUTREY LES GRAY</v>
      </c>
      <c r="H35" s="12" t="str">
        <f t="shared" ca="1" si="0"/>
        <v>ECOLE
  AUTREY LES GRAY  AUTREY LES GRAY</v>
      </c>
      <c r="I35" s="6"/>
      <c r="J35" s="12"/>
      <c r="K35" s="12"/>
      <c r="L35" s="12" t="str">
        <f ca="1">IFERROR(__xludf.DUMMYFUNCTION("""COMPUTED_VALUE"""),"06 60 77 10 34")</f>
        <v>06 60 77 10 34</v>
      </c>
      <c r="M35" s="12" t="str">
        <f ca="1">IFERROR(__xludf.DUMMYFUNCTION("""COMPUTED_VALUE"""),"25000 BESANCON")</f>
        <v>25000 BESANCON</v>
      </c>
      <c r="N35" s="6"/>
      <c r="O35" s="6"/>
    </row>
    <row r="36" spans="1:15" ht="15.5" x14ac:dyDescent="0.35">
      <c r="A36" s="12" t="str">
        <f ca="1">IFERROR(__xludf.DUMMYFUNCTION("""COMPUTED_VALUE"""),"HERGAS Gabin")</f>
        <v>HERGAS Gabin</v>
      </c>
      <c r="B36" s="12" t="str">
        <f ca="1">IFERROR(__xludf.DUMMYFUNCTION("""COMPUTED_VALUE"""),"H")</f>
        <v>H</v>
      </c>
      <c r="C36" s="13">
        <f ca="1">IFERROR(__xludf.DUMMYFUNCTION("""COMPUTED_VALUE"""),41850)</f>
        <v>41850</v>
      </c>
      <c r="D36" s="12" t="str">
        <f ca="1">IFERROR(__xludf.DUMMYFUNCTION("""COMPUTED_VALUE"""),"POUSSINS")</f>
        <v>POUSSINS</v>
      </c>
      <c r="E36" s="14" t="str">
        <f ca="1">IFERROR(__xludf.DUMMYFUNCTION("""COMPUTED_VALUE"""),"ECOLE
")</f>
        <v xml:space="preserve">ECOLE
</v>
      </c>
      <c r="F36" s="1" t="str">
        <f ca="1">IFERROR(__xludf.DUMMYFUNCTION("""COMPUTED_VALUE"""),"AUTREY LES GRAY")</f>
        <v>AUTREY LES GRAY</v>
      </c>
      <c r="G36" s="12" t="str">
        <f ca="1">IFERROR(__xludf.DUMMYFUNCTION("""COMPUTED_VALUE"""),"AUTREY LES GRAY")</f>
        <v>AUTREY LES GRAY</v>
      </c>
      <c r="H36" s="12" t="str">
        <f t="shared" ca="1" si="0"/>
        <v>ECOLE
  AUTREY LES GRAY  AUTREY LES GRAY</v>
      </c>
      <c r="I36" s="6"/>
      <c r="J36" s="12"/>
      <c r="K36" s="12"/>
      <c r="L36" s="12" t="str">
        <f ca="1">IFERROR(__xludf.DUMMYFUNCTION("""COMPUTED_VALUE"""),"06 83 73 11 61")</f>
        <v>06 83 73 11 61</v>
      </c>
      <c r="M36" s="12" t="str">
        <f ca="1">IFERROR(__xludf.DUMMYFUNCTION("""COMPUTED_VALUE"""),"70100 BOUHANS")</f>
        <v>70100 BOUHANS</v>
      </c>
      <c r="N36" s="6"/>
      <c r="O36" s="6"/>
    </row>
    <row r="37" spans="1:15" ht="15.5" x14ac:dyDescent="0.35">
      <c r="A37" s="12" t="str">
        <f ca="1">IFERROR(__xludf.DUMMYFUNCTION("""COMPUTED_VALUE"""),"RIGOLLOT Camille")</f>
        <v>RIGOLLOT Camille</v>
      </c>
      <c r="B37" s="12" t="str">
        <f ca="1">IFERROR(__xludf.DUMMYFUNCTION("""COMPUTED_VALUE"""),"F")</f>
        <v>F</v>
      </c>
      <c r="C37" s="13">
        <f ca="1">IFERROR(__xludf.DUMMYFUNCTION("""COMPUTED_VALUE"""),41499)</f>
        <v>41499</v>
      </c>
      <c r="D37" s="12" t="str">
        <f ca="1">IFERROR(__xludf.DUMMYFUNCTION("""COMPUTED_VALUE"""),"POUSSINS")</f>
        <v>POUSSINS</v>
      </c>
      <c r="E37" s="14" t="str">
        <f ca="1">IFERROR(__xludf.DUMMYFUNCTION("""COMPUTED_VALUE"""),"ECOLE
")</f>
        <v xml:space="preserve">ECOLE
</v>
      </c>
      <c r="F37" s="1" t="str">
        <f ca="1">IFERROR(__xludf.DUMMYFUNCTION("""COMPUTED_VALUE"""),"AUTREY LES GRAY")</f>
        <v>AUTREY LES GRAY</v>
      </c>
      <c r="G37" s="12" t="str">
        <f ca="1">IFERROR(__xludf.DUMMYFUNCTION("""COMPUTED_VALUE"""),"AUTREY LES GRAY")</f>
        <v>AUTREY LES GRAY</v>
      </c>
      <c r="H37" s="12" t="str">
        <f t="shared" ca="1" si="0"/>
        <v>ECOLE
  AUTREY LES GRAY  AUTREY LES GRAY</v>
      </c>
      <c r="I37" s="6"/>
      <c r="J37" s="12"/>
      <c r="K37" s="12"/>
      <c r="L37" s="12" t="str">
        <f ca="1">IFERROR(__xludf.DUMMYFUNCTION("""COMPUTED_VALUE"""),"06 84 08 84 84")</f>
        <v>06 84 08 84 84</v>
      </c>
      <c r="M37" s="12" t="str">
        <f ca="1">IFERROR(__xludf.DUMMYFUNCTION("""COMPUTED_VALUE"""),"70100 BOUHANS")</f>
        <v>70100 BOUHANS</v>
      </c>
      <c r="N37" s="6"/>
      <c r="O37" s="6"/>
    </row>
    <row r="38" spans="1:15" ht="15.5" x14ac:dyDescent="0.35">
      <c r="A38" s="12" t="str">
        <f ca="1">IFERROR(__xludf.DUMMYFUNCTION("""COMPUTED_VALUE"""),"AIT SADI Safiya")</f>
        <v>AIT SADI Safiya</v>
      </c>
      <c r="B38" s="12" t="str">
        <f ca="1">IFERROR(__xludf.DUMMYFUNCTION("""COMPUTED_VALUE"""),"F")</f>
        <v>F</v>
      </c>
      <c r="C38" s="13">
        <f ca="1">IFERROR(__xludf.DUMMYFUNCTION("""COMPUTED_VALUE"""),43852)</f>
        <v>43852</v>
      </c>
      <c r="D38" s="12" t="str">
        <f ca="1">IFERROR(__xludf.DUMMYFUNCTION("""COMPUTED_VALUE"""),"BABY ATHLE")</f>
        <v>BABY ATHLE</v>
      </c>
      <c r="E38" s="14" t="str">
        <f ca="1">IFERROR(__xludf.DUMMYFUNCTION("""COMPUTED_VALUE"""),"ECOLE
")</f>
        <v xml:space="preserve">ECOLE
</v>
      </c>
      <c r="F38" s="1" t="str">
        <f ca="1">IFERROR(__xludf.DUMMYFUNCTION("""COMPUTED_VALUE"""),"BELLENEUVE")</f>
        <v>BELLENEUVE</v>
      </c>
      <c r="G38" s="12" t="str">
        <f ca="1">IFERROR(__xludf.DUMMYFUNCTION("""COMPUTED_VALUE"""),"BELLENEUVE")</f>
        <v>BELLENEUVE</v>
      </c>
      <c r="H38" s="12" t="str">
        <f t="shared" ca="1" si="0"/>
        <v>ECOLE
  BELLENEUVE  BELLENEUVE</v>
      </c>
      <c r="I38" s="6"/>
      <c r="J38" s="12" t="str">
        <f ca="1">IFERROR(__xludf.DUMMYFUNCTION("""COMPUTED_VALUE"""),"OK")</f>
        <v>OK</v>
      </c>
      <c r="K38" s="12" t="str">
        <f ca="1">IFERROR(__xludf.DUMMYFUNCTION("""COMPUTED_VALUE"""),"oumilyes43@gmail.com")</f>
        <v>oumilyes43@gmail.com</v>
      </c>
      <c r="L38" s="12" t="str">
        <f ca="1">IFERROR(__xludf.DUMMYFUNCTION("""COMPUTED_VALUE"""),"07 78 43 52 76")</f>
        <v>07 78 43 52 76</v>
      </c>
      <c r="M38" s="12" t="str">
        <f ca="1">IFERROR(__xludf.DUMMYFUNCTION("""COMPUTED_VALUE"""),"70100 GRAY")</f>
        <v>70100 GRAY</v>
      </c>
      <c r="N38" s="6"/>
      <c r="O38" s="6"/>
    </row>
    <row r="39" spans="1:15" ht="15.5" x14ac:dyDescent="0.35">
      <c r="A39" s="12" t="str">
        <f ca="1">IFERROR(__xludf.DUMMYFUNCTION("""COMPUTED_VALUE"""),"BELGUEMARI MOUSSARD Louna")</f>
        <v>BELGUEMARI MOUSSARD Louna</v>
      </c>
      <c r="B39" s="12" t="str">
        <f ca="1">IFERROR(__xludf.DUMMYFUNCTION("""COMPUTED_VALUE"""),"F")</f>
        <v>F</v>
      </c>
      <c r="C39" s="13">
        <f ca="1">IFERROR(__xludf.DUMMYFUNCTION("""COMPUTED_VALUE"""),43918)</f>
        <v>43918</v>
      </c>
      <c r="D39" s="12" t="str">
        <f ca="1">IFERROR(__xludf.DUMMYFUNCTION("""COMPUTED_VALUE"""),"BABY ATHLE")</f>
        <v>BABY ATHLE</v>
      </c>
      <c r="E39" s="14" t="str">
        <f ca="1">IFERROR(__xludf.DUMMYFUNCTION("""COMPUTED_VALUE"""),"ECOLE
")</f>
        <v xml:space="preserve">ECOLE
</v>
      </c>
      <c r="F39" s="1" t="str">
        <f ca="1">IFERROR(__xludf.DUMMYFUNCTION("""COMPUTED_VALUE"""),"BELLENEUVE")</f>
        <v>BELLENEUVE</v>
      </c>
      <c r="G39" s="12" t="str">
        <f ca="1">IFERROR(__xludf.DUMMYFUNCTION("""COMPUTED_VALUE"""),"BELLENEUVE")</f>
        <v>BELLENEUVE</v>
      </c>
      <c r="H39" s="12" t="str">
        <f t="shared" ca="1" si="0"/>
        <v>ECOLE
  BELLENEUVE  BELLENEUVE</v>
      </c>
      <c r="I39" s="6"/>
      <c r="J39" s="12" t="str">
        <f ca="1">IFERROR(__xludf.DUMMYFUNCTION("""COMPUTED_VALUE"""),"OK")</f>
        <v>OK</v>
      </c>
      <c r="K39" s="12" t="str">
        <f ca="1">IFERROR(__xludf.DUMMYFUNCTION("""COMPUTED_VALUE"""),"moussard4@gmail.com")</f>
        <v>moussard4@gmail.com</v>
      </c>
      <c r="L39" s="12" t="str">
        <f ca="1">IFERROR(__xludf.DUMMYFUNCTION("""COMPUTED_VALUE"""),"06 38 47 7986")</f>
        <v>06 38 47 7986</v>
      </c>
      <c r="M39" s="12" t="str">
        <f ca="1">IFERROR(__xludf.DUMMYFUNCTION("""COMPUTED_VALUE"""),"70100 ARC LES GRAY")</f>
        <v>70100 ARC LES GRAY</v>
      </c>
      <c r="N39" s="6"/>
      <c r="O39" s="6"/>
    </row>
    <row r="40" spans="1:15" ht="15.5" x14ac:dyDescent="0.35">
      <c r="A40" s="12" t="str">
        <f ca="1">IFERROR(__xludf.DUMMYFUNCTION("""COMPUTED_VALUE"""),"BONVALOT Emma")</f>
        <v>BONVALOT Emma</v>
      </c>
      <c r="B40" s="12" t="str">
        <f ca="1">IFERROR(__xludf.DUMMYFUNCTION("""COMPUTED_VALUE"""),"F")</f>
        <v>F</v>
      </c>
      <c r="C40" s="13">
        <f ca="1">IFERROR(__xludf.DUMMYFUNCTION("""COMPUTED_VALUE"""),43488)</f>
        <v>43488</v>
      </c>
      <c r="D40" s="12" t="str">
        <f ca="1">IFERROR(__xludf.DUMMYFUNCTION("""COMPUTED_VALUE"""),"BABY ATHLE")</f>
        <v>BABY ATHLE</v>
      </c>
      <c r="E40" s="14" t="str">
        <f ca="1">IFERROR(__xludf.DUMMYFUNCTION("""COMPUTED_VALUE"""),"ECOLE
")</f>
        <v xml:space="preserve">ECOLE
</v>
      </c>
      <c r="F40" s="1" t="str">
        <f ca="1">IFERROR(__xludf.DUMMYFUNCTION("""COMPUTED_VALUE"""),"BELLENEUVE")</f>
        <v>BELLENEUVE</v>
      </c>
      <c r="G40" s="12" t="str">
        <f ca="1">IFERROR(__xludf.DUMMYFUNCTION("""COMPUTED_VALUE"""),"BELLENEUVE")</f>
        <v>BELLENEUVE</v>
      </c>
      <c r="H40" s="12" t="str">
        <f t="shared" ca="1" si="0"/>
        <v>ECOLE
  BELLENEUVE  BELLENEUVE</v>
      </c>
      <c r="I40" s="6"/>
      <c r="J40" s="12" t="str">
        <f ca="1">IFERROR(__xludf.DUMMYFUNCTION("""COMPUTED_VALUE"""),"OK")</f>
        <v>OK</v>
      </c>
      <c r="K40" s="12" t="str">
        <f ca="1">IFERROR(__xludf.DUMMYFUNCTION("""COMPUTED_VALUE"""),"elise.bonvalot@outlook.fr")</f>
        <v>elise.bonvalot@outlook.fr</v>
      </c>
      <c r="L40" s="12" t="str">
        <f ca="1">IFERROR(__xludf.DUMMYFUNCTION("""COMPUTED_VALUE"""),"06 89 24 50 74")</f>
        <v>06 89 24 50 74</v>
      </c>
      <c r="M40" s="12" t="str">
        <f ca="1">IFERROR(__xludf.DUMMYFUNCTION("""COMPUTED_VALUE"""),"70100 LE TREMBLOIS")</f>
        <v>70100 LE TREMBLOIS</v>
      </c>
      <c r="N40" s="6"/>
      <c r="O40" s="6"/>
    </row>
    <row r="41" spans="1:15" ht="15.5" x14ac:dyDescent="0.35">
      <c r="A41" s="12" t="str">
        <f ca="1">IFERROR(__xludf.DUMMYFUNCTION("""COMPUTED_VALUE"""),"CARIOT BESANCON Alice")</f>
        <v>CARIOT BESANCON Alice</v>
      </c>
      <c r="B41" s="12" t="str">
        <f ca="1">IFERROR(__xludf.DUMMYFUNCTION("""COMPUTED_VALUE"""),"F")</f>
        <v>F</v>
      </c>
      <c r="C41" s="13">
        <f ca="1">IFERROR(__xludf.DUMMYFUNCTION("""COMPUTED_VALUE"""),44007)</f>
        <v>44007</v>
      </c>
      <c r="D41" s="12" t="str">
        <f ca="1">IFERROR(__xludf.DUMMYFUNCTION("""COMPUTED_VALUE"""),"BABY ATHLE")</f>
        <v>BABY ATHLE</v>
      </c>
      <c r="E41" s="14" t="str">
        <f ca="1">IFERROR(__xludf.DUMMYFUNCTION("""COMPUTED_VALUE"""),"ECOLE
")</f>
        <v xml:space="preserve">ECOLE
</v>
      </c>
      <c r="F41" s="1" t="str">
        <f ca="1">IFERROR(__xludf.DUMMYFUNCTION("""COMPUTED_VALUE"""),"BELLENEUVE")</f>
        <v>BELLENEUVE</v>
      </c>
      <c r="G41" s="12" t="str">
        <f ca="1">IFERROR(__xludf.DUMMYFUNCTION("""COMPUTED_VALUE"""),"BELLENEUVE")</f>
        <v>BELLENEUVE</v>
      </c>
      <c r="H41" s="12" t="str">
        <f t="shared" ca="1" si="0"/>
        <v>ECOLE
  BELLENEUVE  BELLENEUVE</v>
      </c>
      <c r="I41" s="6"/>
      <c r="J41" s="12" t="str">
        <f ca="1">IFERROR(__xludf.DUMMYFUNCTION("""COMPUTED_VALUE"""),"OK")</f>
        <v>OK</v>
      </c>
      <c r="K41" s="12" t="str">
        <f ca="1">IFERROR(__xludf.DUMMYFUNCTION("""COMPUTED_VALUE"""),"micka.70@hotmail.fr")</f>
        <v>micka.70@hotmail.fr</v>
      </c>
      <c r="L41" s="12" t="str">
        <f ca="1">IFERROR(__xludf.DUMMYFUNCTION("""COMPUTED_VALUE"""),"06 45 04 69 59")</f>
        <v>06 45 04 69 59</v>
      </c>
      <c r="M41" s="12" t="str">
        <f ca="1">IFERROR(__xludf.DUMMYFUNCTION("""COMPUTED_VALUE"""),"70100 CHARGEY LES GRAY")</f>
        <v>70100 CHARGEY LES GRAY</v>
      </c>
      <c r="N41" s="6"/>
      <c r="O41" s="6"/>
    </row>
    <row r="42" spans="1:15" ht="15.5" x14ac:dyDescent="0.35">
      <c r="A42" s="12" t="str">
        <f ca="1">IFERROR(__xludf.DUMMYFUNCTION("""COMPUTED_VALUE"""),"CHEVAUX Lara")</f>
        <v>CHEVAUX Lara</v>
      </c>
      <c r="B42" s="12" t="str">
        <f ca="1">IFERROR(__xludf.DUMMYFUNCTION("""COMPUTED_VALUE"""),"F")</f>
        <v>F</v>
      </c>
      <c r="C42" s="13">
        <f ca="1">IFERROR(__xludf.DUMMYFUNCTION("""COMPUTED_VALUE"""),43306)</f>
        <v>43306</v>
      </c>
      <c r="D42" s="12" t="str">
        <f ca="1">IFERROR(__xludf.DUMMYFUNCTION("""COMPUTED_VALUE"""),"BABY ATHLE")</f>
        <v>BABY ATHLE</v>
      </c>
      <c r="E42" s="14" t="str">
        <f ca="1">IFERROR(__xludf.DUMMYFUNCTION("""COMPUTED_VALUE"""),"ECOLE
")</f>
        <v xml:space="preserve">ECOLE
</v>
      </c>
      <c r="F42" s="1" t="str">
        <f ca="1">IFERROR(__xludf.DUMMYFUNCTION("""COMPUTED_VALUE"""),"BELLENEUVE")</f>
        <v>BELLENEUVE</v>
      </c>
      <c r="G42" s="12" t="str">
        <f ca="1">IFERROR(__xludf.DUMMYFUNCTION("""COMPUTED_VALUE"""),"BELLENEUVE")</f>
        <v>BELLENEUVE</v>
      </c>
      <c r="H42" s="12" t="str">
        <f t="shared" ca="1" si="0"/>
        <v>ECOLE
  BELLENEUVE  BELLENEUVE</v>
      </c>
      <c r="I42" s="6"/>
      <c r="J42" s="12" t="str">
        <f ca="1">IFERROR(__xludf.DUMMYFUNCTION("""COMPUTED_VALUE"""),"OK")</f>
        <v>OK</v>
      </c>
      <c r="K42" s="12" t="str">
        <f ca="1">IFERROR(__xludf.DUMMYFUNCTION("""COMPUTED_VALUE"""),"chevauxjonathan@hotmail.fr")</f>
        <v>chevauxjonathan@hotmail.fr</v>
      </c>
      <c r="L42" s="12" t="str">
        <f ca="1">IFERROR(__xludf.DUMMYFUNCTION("""COMPUTED_VALUE"""),"06 88 60 60 67")</f>
        <v>06 88 60 60 67</v>
      </c>
      <c r="M42" s="12" t="str">
        <f ca="1">IFERROR(__xludf.DUMMYFUNCTION("""COMPUTED_VALUE"""),"70100 ARC LES GRAY")</f>
        <v>70100 ARC LES GRAY</v>
      </c>
      <c r="N42" s="6"/>
      <c r="O42" s="6"/>
    </row>
    <row r="43" spans="1:15" ht="15.5" x14ac:dyDescent="0.35">
      <c r="A43" s="12" t="str">
        <f ca="1">IFERROR(__xludf.DUMMYFUNCTION("""COMPUTED_VALUE"""),"COURVOISIER Léa")</f>
        <v>COURVOISIER Léa</v>
      </c>
      <c r="B43" s="12" t="str">
        <f ca="1">IFERROR(__xludf.DUMMYFUNCTION("""COMPUTED_VALUE"""),"F")</f>
        <v>F</v>
      </c>
      <c r="C43" s="13">
        <f ca="1">IFERROR(__xludf.DUMMYFUNCTION("""COMPUTED_VALUE"""),43530)</f>
        <v>43530</v>
      </c>
      <c r="D43" s="12" t="str">
        <f ca="1">IFERROR(__xludf.DUMMYFUNCTION("""COMPUTED_VALUE"""),"BABY ATHLE")</f>
        <v>BABY ATHLE</v>
      </c>
      <c r="E43" s="14" t="str">
        <f ca="1">IFERROR(__xludf.DUMMYFUNCTION("""COMPUTED_VALUE"""),"ECOLE
")</f>
        <v xml:space="preserve">ECOLE
</v>
      </c>
      <c r="F43" s="1" t="str">
        <f ca="1">IFERROR(__xludf.DUMMYFUNCTION("""COMPUTED_VALUE"""),"BELLENEUVE")</f>
        <v>BELLENEUVE</v>
      </c>
      <c r="G43" s="12" t="str">
        <f ca="1">IFERROR(__xludf.DUMMYFUNCTION("""COMPUTED_VALUE"""),"BELLENEUVE")</f>
        <v>BELLENEUVE</v>
      </c>
      <c r="H43" s="12" t="str">
        <f t="shared" ca="1" si="0"/>
        <v>ECOLE
  BELLENEUVE  BELLENEUVE</v>
      </c>
      <c r="I43" s="6"/>
      <c r="J43" s="12" t="str">
        <f ca="1">IFERROR(__xludf.DUMMYFUNCTION("""COMPUTED_VALUE"""),"OK")</f>
        <v>OK</v>
      </c>
      <c r="K43" s="12" t="str">
        <f ca="1">IFERROR(__xludf.DUMMYFUNCTION("""COMPUTED_VALUE"""),"lylyhomann@hotmail.com")</f>
        <v>lylyhomann@hotmail.com</v>
      </c>
      <c r="L43" s="12" t="str">
        <f ca="1">IFERROR(__xludf.DUMMYFUNCTION("""COMPUTED_VALUE"""),"06 70 53 76 20")</f>
        <v>06 70 53 76 20</v>
      </c>
      <c r="M43" s="12" t="str">
        <f ca="1">IFERROR(__xludf.DUMMYFUNCTION("""COMPUTED_VALUE"""),"70600 VARS")</f>
        <v>70600 VARS</v>
      </c>
      <c r="N43" s="6"/>
      <c r="O43" s="6"/>
    </row>
    <row r="44" spans="1:15" ht="15.5" x14ac:dyDescent="0.35">
      <c r="A44" s="12" t="str">
        <f ca="1">IFERROR(__xludf.DUMMYFUNCTION("""COMPUTED_VALUE"""),"DELAMOTTE Ambroise")</f>
        <v>DELAMOTTE Ambroise</v>
      </c>
      <c r="B44" s="12" t="str">
        <f ca="1">IFERROR(__xludf.DUMMYFUNCTION("""COMPUTED_VALUE"""),"H")</f>
        <v>H</v>
      </c>
      <c r="C44" s="13">
        <f ca="1">IFERROR(__xludf.DUMMYFUNCTION("""COMPUTED_VALUE"""),43262)</f>
        <v>43262</v>
      </c>
      <c r="D44" s="12" t="str">
        <f ca="1">IFERROR(__xludf.DUMMYFUNCTION("""COMPUTED_VALUE"""),"BABY ATHLE")</f>
        <v>BABY ATHLE</v>
      </c>
      <c r="E44" s="14" t="str">
        <f ca="1">IFERROR(__xludf.DUMMYFUNCTION("""COMPUTED_VALUE"""),"ECOLE
")</f>
        <v xml:space="preserve">ECOLE
</v>
      </c>
      <c r="F44" s="1" t="str">
        <f ca="1">IFERROR(__xludf.DUMMYFUNCTION("""COMPUTED_VALUE"""),"BELLENEUVE")</f>
        <v>BELLENEUVE</v>
      </c>
      <c r="G44" s="12" t="str">
        <f ca="1">IFERROR(__xludf.DUMMYFUNCTION("""COMPUTED_VALUE"""),"BELLENEUVE")</f>
        <v>BELLENEUVE</v>
      </c>
      <c r="H44" s="12" t="str">
        <f t="shared" ca="1" si="0"/>
        <v>ECOLE
  BELLENEUVE  BELLENEUVE</v>
      </c>
      <c r="I44" s="6"/>
      <c r="J44" s="12" t="str">
        <f ca="1">IFERROR(__xludf.DUMMYFUNCTION("""COMPUTED_VALUE"""),"OK")</f>
        <v>OK</v>
      </c>
      <c r="K44" s="12" t="str">
        <f ca="1">IFERROR(__xludf.DUMMYFUNCTION("""COMPUTED_VALUE"""),"m.delamotte@orange.fr")</f>
        <v>m.delamotte@orange.fr</v>
      </c>
      <c r="L44" s="12" t="str">
        <f ca="1">IFERROR(__xludf.DUMMYFUNCTION("""COMPUTED_VALUE"""),"06 58 21 85 76")</f>
        <v>06 58 21 85 76</v>
      </c>
      <c r="M44" s="12" t="str">
        <f ca="1">IFERROR(__xludf.DUMMYFUNCTION("""COMPUTED_VALUE"""),"70100 GRAY")</f>
        <v>70100 GRAY</v>
      </c>
      <c r="N44" s="6"/>
      <c r="O44" s="6"/>
    </row>
    <row r="45" spans="1:15" ht="15.5" x14ac:dyDescent="0.35">
      <c r="A45" s="12" t="str">
        <f ca="1">IFERROR(__xludf.DUMMYFUNCTION("""COMPUTED_VALUE"""),"DINC Elif")</f>
        <v>DINC Elif</v>
      </c>
      <c r="B45" s="12" t="str">
        <f ca="1">IFERROR(__xludf.DUMMYFUNCTION("""COMPUTED_VALUE"""),"F")</f>
        <v>F</v>
      </c>
      <c r="C45" s="13">
        <f ca="1">IFERROR(__xludf.DUMMYFUNCTION("""COMPUTED_VALUE"""),43437)</f>
        <v>43437</v>
      </c>
      <c r="D45" s="12" t="str">
        <f ca="1">IFERROR(__xludf.DUMMYFUNCTION("""COMPUTED_VALUE"""),"BABY ATHLE")</f>
        <v>BABY ATHLE</v>
      </c>
      <c r="E45" s="14" t="str">
        <f ca="1">IFERROR(__xludf.DUMMYFUNCTION("""COMPUTED_VALUE"""),"ECOLE
")</f>
        <v xml:space="preserve">ECOLE
</v>
      </c>
      <c r="F45" s="1" t="str">
        <f ca="1">IFERROR(__xludf.DUMMYFUNCTION("""COMPUTED_VALUE"""),"BELLENEUVE")</f>
        <v>BELLENEUVE</v>
      </c>
      <c r="G45" s="12" t="str">
        <f ca="1">IFERROR(__xludf.DUMMYFUNCTION("""COMPUTED_VALUE"""),"BELLENEUVE")</f>
        <v>BELLENEUVE</v>
      </c>
      <c r="H45" s="12" t="str">
        <f t="shared" ca="1" si="0"/>
        <v>ECOLE
  BELLENEUVE  BELLENEUVE</v>
      </c>
      <c r="I45" s="6"/>
      <c r="J45" s="12" t="str">
        <f ca="1">IFERROR(__xludf.DUMMYFUNCTION("""COMPUTED_VALUE"""),"OK")</f>
        <v>OK</v>
      </c>
      <c r="K45" s="12" t="str">
        <f ca="1">IFERROR(__xludf.DUMMYFUNCTION("""COMPUTED_VALUE"""),"laurie.88@hotmail.fr")</f>
        <v>laurie.88@hotmail.fr</v>
      </c>
      <c r="L45" s="12" t="str">
        <f ca="1">IFERROR(__xludf.DUMMYFUNCTION("""COMPUTED_VALUE"""),"06 37 75 87 07")</f>
        <v>06 37 75 87 07</v>
      </c>
      <c r="M45" s="12" t="str">
        <f ca="1">IFERROR(__xludf.DUMMYFUNCTION("""COMPUTED_VALUE"""),"70100 GRAY LA VILLE")</f>
        <v>70100 GRAY LA VILLE</v>
      </c>
      <c r="N45" s="6"/>
      <c r="O45" s="6"/>
    </row>
    <row r="46" spans="1:15" ht="15.5" x14ac:dyDescent="0.35">
      <c r="A46" s="12" t="str">
        <f ca="1">IFERROR(__xludf.DUMMYFUNCTION("""COMPUTED_VALUE"""),"GRISOUARD Margaux")</f>
        <v>GRISOUARD Margaux</v>
      </c>
      <c r="B46" s="12" t="str">
        <f ca="1">IFERROR(__xludf.DUMMYFUNCTION("""COMPUTED_VALUE"""),"F")</f>
        <v>F</v>
      </c>
      <c r="C46" s="13">
        <f ca="1">IFERROR(__xludf.DUMMYFUNCTION("""COMPUTED_VALUE"""),43370)</f>
        <v>43370</v>
      </c>
      <c r="D46" s="12" t="str">
        <f ca="1">IFERROR(__xludf.DUMMYFUNCTION("""COMPUTED_VALUE"""),"BABY ATHLE")</f>
        <v>BABY ATHLE</v>
      </c>
      <c r="E46" s="14" t="str">
        <f ca="1">IFERROR(__xludf.DUMMYFUNCTION("""COMPUTED_VALUE"""),"ECOLE
")</f>
        <v xml:space="preserve">ECOLE
</v>
      </c>
      <c r="F46" s="1" t="str">
        <f ca="1">IFERROR(__xludf.DUMMYFUNCTION("""COMPUTED_VALUE"""),"BELLENEUVE")</f>
        <v>BELLENEUVE</v>
      </c>
      <c r="G46" s="12" t="str">
        <f ca="1">IFERROR(__xludf.DUMMYFUNCTION("""COMPUTED_VALUE"""),"BELLENEUVE")</f>
        <v>BELLENEUVE</v>
      </c>
      <c r="H46" s="12" t="str">
        <f t="shared" ca="1" si="0"/>
        <v>ECOLE
  BELLENEUVE  BELLENEUVE</v>
      </c>
      <c r="I46" s="6"/>
      <c r="J46" s="12" t="str">
        <f ca="1">IFERROR(__xludf.DUMMYFUNCTION("""COMPUTED_VALUE"""),"OK")</f>
        <v>OK</v>
      </c>
      <c r="K46" s="12" t="str">
        <f ca="1">IFERROR(__xludf.DUMMYFUNCTION("""COMPUTED_VALUE"""),"francois.grisouard@laposte.net")</f>
        <v>francois.grisouard@laposte.net</v>
      </c>
      <c r="L46" s="12" t="str">
        <f ca="1">IFERROR(__xludf.DUMMYFUNCTION("""COMPUTED_VALUE"""),"06 72 13 43 39")</f>
        <v>06 72 13 43 39</v>
      </c>
      <c r="M46" s="12" t="str">
        <f ca="1">IFERROR(__xludf.DUMMYFUNCTION("""COMPUTED_VALUE"""),"70100 CHARGEY LES GRAY")</f>
        <v>70100 CHARGEY LES GRAY</v>
      </c>
      <c r="N46" s="6"/>
      <c r="O46" s="6"/>
    </row>
    <row r="47" spans="1:15" ht="15.5" x14ac:dyDescent="0.35">
      <c r="A47" s="12" t="str">
        <f ca="1">IFERROR(__xludf.DUMMYFUNCTION("""COMPUTED_VALUE"""),"GUEGUEN Dorian")</f>
        <v>GUEGUEN Dorian</v>
      </c>
      <c r="B47" s="12" t="str">
        <f ca="1">IFERROR(__xludf.DUMMYFUNCTION("""COMPUTED_VALUE"""),"H")</f>
        <v>H</v>
      </c>
      <c r="C47" s="13">
        <f ca="1">IFERROR(__xludf.DUMMYFUNCTION("""COMPUTED_VALUE"""),43697)</f>
        <v>43697</v>
      </c>
      <c r="D47" s="12" t="str">
        <f ca="1">IFERROR(__xludf.DUMMYFUNCTION("""COMPUTED_VALUE"""),"BABY ATHLE")</f>
        <v>BABY ATHLE</v>
      </c>
      <c r="E47" s="14" t="str">
        <f ca="1">IFERROR(__xludf.DUMMYFUNCTION("""COMPUTED_VALUE"""),"ECOLE
")</f>
        <v xml:space="preserve">ECOLE
</v>
      </c>
      <c r="F47" s="1" t="str">
        <f ca="1">IFERROR(__xludf.DUMMYFUNCTION("""COMPUTED_VALUE"""),"BELLENEUVE")</f>
        <v>BELLENEUVE</v>
      </c>
      <c r="G47" s="12" t="str">
        <f ca="1">IFERROR(__xludf.DUMMYFUNCTION("""COMPUTED_VALUE"""),"BELLENEUVE")</f>
        <v>BELLENEUVE</v>
      </c>
      <c r="H47" s="12" t="str">
        <f t="shared" ca="1" si="0"/>
        <v>ECOLE
  BELLENEUVE  BELLENEUVE</v>
      </c>
      <c r="I47" s="6"/>
      <c r="J47" s="12" t="str">
        <f ca="1">IFERROR(__xludf.DUMMYFUNCTION("""COMPUTED_VALUE"""),"OK")</f>
        <v>OK</v>
      </c>
      <c r="K47" s="12" t="str">
        <f ca="1">IFERROR(__xludf.DUMMYFUNCTION("""COMPUTED_VALUE"""),"estelle.revoy@gmail.com")</f>
        <v>estelle.revoy@gmail.com</v>
      </c>
      <c r="L47" s="12" t="str">
        <f ca="1">IFERROR(__xludf.DUMMYFUNCTION("""COMPUTED_VALUE"""),"06 74 66 26 23")</f>
        <v>06 74 66 26 23</v>
      </c>
      <c r="M47" s="12" t="str">
        <f ca="1">IFERROR(__xludf.DUMMYFUNCTION("""COMPUTED_VALUE"""),"70100 APREMONT")</f>
        <v>70100 APREMONT</v>
      </c>
      <c r="N47" s="6"/>
      <c r="O47" s="6"/>
    </row>
    <row r="48" spans="1:15" ht="15.5" x14ac:dyDescent="0.35">
      <c r="A48" s="12" t="str">
        <f ca="1">IFERROR(__xludf.DUMMYFUNCTION("""COMPUTED_VALUE"""),"HARO MUNOZ Camille")</f>
        <v>HARO MUNOZ Camille</v>
      </c>
      <c r="B48" s="12" t="str">
        <f ca="1">IFERROR(__xludf.DUMMYFUNCTION("""COMPUTED_VALUE"""),"H")</f>
        <v>H</v>
      </c>
      <c r="C48" s="13">
        <f ca="1">IFERROR(__xludf.DUMMYFUNCTION("""COMPUTED_VALUE"""),44168)</f>
        <v>44168</v>
      </c>
      <c r="D48" s="12" t="str">
        <f ca="1">IFERROR(__xludf.DUMMYFUNCTION("""COMPUTED_VALUE"""),"BABY ATHLE")</f>
        <v>BABY ATHLE</v>
      </c>
      <c r="E48" s="14" t="str">
        <f ca="1">IFERROR(__xludf.DUMMYFUNCTION("""COMPUTED_VALUE"""),"ECOLE
")</f>
        <v xml:space="preserve">ECOLE
</v>
      </c>
      <c r="F48" s="1" t="str">
        <f ca="1">IFERROR(__xludf.DUMMYFUNCTION("""COMPUTED_VALUE"""),"BELLENEUVE")</f>
        <v>BELLENEUVE</v>
      </c>
      <c r="G48" s="12" t="str">
        <f ca="1">IFERROR(__xludf.DUMMYFUNCTION("""COMPUTED_VALUE"""),"BELLENEUVE")</f>
        <v>BELLENEUVE</v>
      </c>
      <c r="H48" s="12" t="str">
        <f t="shared" ca="1" si="0"/>
        <v>ECOLE
  BELLENEUVE  BELLENEUVE</v>
      </c>
      <c r="I48" s="6"/>
      <c r="J48" s="12" t="str">
        <f ca="1">IFERROR(__xludf.DUMMYFUNCTION("""COMPUTED_VALUE"""),"OK")</f>
        <v>OK</v>
      </c>
      <c r="K48" s="12" t="str">
        <f ca="1">IFERROR(__xludf.DUMMYFUNCTION("""COMPUTED_VALUE"""),"leblanc.laura31@gmail.com")</f>
        <v>leblanc.laura31@gmail.com</v>
      </c>
      <c r="L48" s="12" t="str">
        <f ca="1">IFERROR(__xludf.DUMMYFUNCTION("""COMPUTED_VALUE"""),"07 81 98 63 49")</f>
        <v>07 81 98 63 49</v>
      </c>
      <c r="M48" s="12" t="str">
        <f ca="1">IFERROR(__xludf.DUMMYFUNCTION("""COMPUTED_VALUE"""),"70100 ARC LES GRAY")</f>
        <v>70100 ARC LES GRAY</v>
      </c>
      <c r="N48" s="6"/>
      <c r="O48" s="6"/>
    </row>
    <row r="49" spans="1:15" ht="15.5" x14ac:dyDescent="0.35">
      <c r="A49" s="12" t="str">
        <f ca="1">IFERROR(__xludf.DUMMYFUNCTION("""COMPUTED_VALUE"""),"HERNANDEZ Tiago")</f>
        <v>HERNANDEZ Tiago</v>
      </c>
      <c r="B49" s="12" t="str">
        <f ca="1">IFERROR(__xludf.DUMMYFUNCTION("""COMPUTED_VALUE"""),"H")</f>
        <v>H</v>
      </c>
      <c r="C49" s="13">
        <f ca="1">IFERROR(__xludf.DUMMYFUNCTION("""COMPUTED_VALUE"""),43954)</f>
        <v>43954</v>
      </c>
      <c r="D49" s="12" t="str">
        <f ca="1">IFERROR(__xludf.DUMMYFUNCTION("""COMPUTED_VALUE"""),"BABY ATHLE")</f>
        <v>BABY ATHLE</v>
      </c>
      <c r="E49" s="14" t="str">
        <f ca="1">IFERROR(__xludf.DUMMYFUNCTION("""COMPUTED_VALUE"""),"ECOLE
")</f>
        <v xml:space="preserve">ECOLE
</v>
      </c>
      <c r="F49" s="1" t="str">
        <f ca="1">IFERROR(__xludf.DUMMYFUNCTION("""COMPUTED_VALUE"""),"BELLENEUVE")</f>
        <v>BELLENEUVE</v>
      </c>
      <c r="G49" s="12" t="str">
        <f ca="1">IFERROR(__xludf.DUMMYFUNCTION("""COMPUTED_VALUE"""),"BELLENEUVE")</f>
        <v>BELLENEUVE</v>
      </c>
      <c r="H49" s="12" t="str">
        <f t="shared" ca="1" si="0"/>
        <v>ECOLE
  BELLENEUVE  BELLENEUVE</v>
      </c>
      <c r="I49" s="6"/>
      <c r="J49" s="12" t="str">
        <f ca="1">IFERROR(__xludf.DUMMYFUNCTION("""COMPUTED_VALUE"""),"OK")</f>
        <v>OK</v>
      </c>
      <c r="K49" s="12" t="str">
        <f ca="1">IFERROR(__xludf.DUMMYFUNCTION("""COMPUTED_VALUE"""),"jenny_70100@gmail.com")</f>
        <v>jenny_70100@gmail.com</v>
      </c>
      <c r="L49" s="12" t="str">
        <f ca="1">IFERROR(__xludf.DUMMYFUNCTION("""COMPUTED_VALUE"""),"06 81 24 51 76")</f>
        <v>06 81 24 51 76</v>
      </c>
      <c r="M49" s="12" t="str">
        <f ca="1">IFERROR(__xludf.DUMMYFUNCTION("""COMPUTED_VALUE"""),"70100 ARC LES GRAY")</f>
        <v>70100 ARC LES GRAY</v>
      </c>
      <c r="N49" s="6"/>
      <c r="O49" s="6"/>
    </row>
    <row r="50" spans="1:15" ht="15.5" x14ac:dyDescent="0.35">
      <c r="A50" s="12" t="str">
        <f ca="1">IFERROR(__xludf.DUMMYFUNCTION("""COMPUTED_VALUE"""),"HULIN Amélya")</f>
        <v>HULIN Amélya</v>
      </c>
      <c r="B50" s="12" t="str">
        <f ca="1">IFERROR(__xludf.DUMMYFUNCTION("""COMPUTED_VALUE"""),"F")</f>
        <v>F</v>
      </c>
      <c r="C50" s="13">
        <f ca="1">IFERROR(__xludf.DUMMYFUNCTION("""COMPUTED_VALUE"""),44059)</f>
        <v>44059</v>
      </c>
      <c r="D50" s="12" t="str">
        <f ca="1">IFERROR(__xludf.DUMMYFUNCTION("""COMPUTED_VALUE"""),"BABY ATHLE")</f>
        <v>BABY ATHLE</v>
      </c>
      <c r="E50" s="14" t="str">
        <f ca="1">IFERROR(__xludf.DUMMYFUNCTION("""COMPUTED_VALUE"""),"ECOLE
")</f>
        <v xml:space="preserve">ECOLE
</v>
      </c>
      <c r="F50" s="1" t="str">
        <f ca="1">IFERROR(__xludf.DUMMYFUNCTION("""COMPUTED_VALUE"""),"BELLENEUVE")</f>
        <v>BELLENEUVE</v>
      </c>
      <c r="G50" s="12" t="str">
        <f ca="1">IFERROR(__xludf.DUMMYFUNCTION("""COMPUTED_VALUE"""),"BELLENEUVE")</f>
        <v>BELLENEUVE</v>
      </c>
      <c r="H50" s="12" t="str">
        <f t="shared" ca="1" si="0"/>
        <v>ECOLE
  BELLENEUVE  BELLENEUVE</v>
      </c>
      <c r="I50" s="6"/>
      <c r="J50" s="12" t="str">
        <f ca="1">IFERROR(__xludf.DUMMYFUNCTION("""COMPUTED_VALUE"""),"OK")</f>
        <v>OK</v>
      </c>
      <c r="K50" s="12" t="str">
        <f ca="1">IFERROR(__xludf.DUMMYFUNCTION("""COMPUTED_VALUE"""),"guillaumehulin@yahoo.fr")</f>
        <v>guillaumehulin@yahoo.fr</v>
      </c>
      <c r="L50" s="12" t="str">
        <f ca="1">IFERROR(__xludf.DUMMYFUNCTION("""COMPUTED_VALUE"""),"07 57 43 63 38")</f>
        <v>07 57 43 63 38</v>
      </c>
      <c r="M50" s="12" t="str">
        <f ca="1">IFERROR(__xludf.DUMMYFUNCTION("""COMPUTED_VALUE"""),"70100 GRAY")</f>
        <v>70100 GRAY</v>
      </c>
      <c r="N50" s="6"/>
      <c r="O50" s="6"/>
    </row>
    <row r="51" spans="1:15" ht="15.5" x14ac:dyDescent="0.35">
      <c r="A51" s="12" t="str">
        <f ca="1">IFERROR(__xludf.DUMMYFUNCTION("""COMPUTED_VALUE"""),"JACOPIN Jade")</f>
        <v>JACOPIN Jade</v>
      </c>
      <c r="B51" s="12" t="str">
        <f ca="1">IFERROR(__xludf.DUMMYFUNCTION("""COMPUTED_VALUE"""),"F")</f>
        <v>F</v>
      </c>
      <c r="C51" s="13">
        <f ca="1">IFERROR(__xludf.DUMMYFUNCTION("""COMPUTED_VALUE"""),43352)</f>
        <v>43352</v>
      </c>
      <c r="D51" s="12" t="str">
        <f ca="1">IFERROR(__xludf.DUMMYFUNCTION("""COMPUTED_VALUE"""),"BABY ATHLE")</f>
        <v>BABY ATHLE</v>
      </c>
      <c r="E51" s="14" t="str">
        <f ca="1">IFERROR(__xludf.DUMMYFUNCTION("""COMPUTED_VALUE"""),"ECOLE
")</f>
        <v xml:space="preserve">ECOLE
</v>
      </c>
      <c r="F51" s="1" t="str">
        <f ca="1">IFERROR(__xludf.DUMMYFUNCTION("""COMPUTED_VALUE"""),"BELLENEUVE")</f>
        <v>BELLENEUVE</v>
      </c>
      <c r="G51" s="12" t="str">
        <f ca="1">IFERROR(__xludf.DUMMYFUNCTION("""COMPUTED_VALUE"""),"BELLENEUVE")</f>
        <v>BELLENEUVE</v>
      </c>
      <c r="H51" s="12" t="str">
        <f t="shared" ca="1" si="0"/>
        <v>ECOLE
  BELLENEUVE  BELLENEUVE</v>
      </c>
      <c r="I51" s="6"/>
      <c r="J51" s="12" t="str">
        <f ca="1">IFERROR(__xludf.DUMMYFUNCTION("""COMPUTED_VALUE"""),"OK")</f>
        <v>OK</v>
      </c>
      <c r="K51" s="12" t="str">
        <f ca="1">IFERROR(__xludf.DUMMYFUNCTION("""COMPUTED_VALUE"""),"nathalie.ruchet@hotmail.fr")</f>
        <v>nathalie.ruchet@hotmail.fr</v>
      </c>
      <c r="L51" s="12" t="str">
        <f ca="1">IFERROR(__xludf.DUMMYFUNCTION("""COMPUTED_VALUE"""),"06 31 41 79 94")</f>
        <v>06 31 41 79 94</v>
      </c>
      <c r="M51" s="12" t="str">
        <f ca="1">IFERROR(__xludf.DUMMYFUNCTION("""COMPUTED_VALUE"""),"70100 SAINT LOUP NANTOUARD")</f>
        <v>70100 SAINT LOUP NANTOUARD</v>
      </c>
      <c r="N51" s="6"/>
      <c r="O51" s="6"/>
    </row>
    <row r="52" spans="1:15" ht="15.5" x14ac:dyDescent="0.35">
      <c r="A52" s="12" t="str">
        <f ca="1">IFERROR(__xludf.DUMMYFUNCTION("""COMPUTED_VALUE"""),"TASSI Ethan")</f>
        <v>TASSI Ethan</v>
      </c>
      <c r="B52" s="12" t="str">
        <f ca="1">IFERROR(__xludf.DUMMYFUNCTION("""COMPUTED_VALUE"""),"H")</f>
        <v>H</v>
      </c>
      <c r="C52" s="13">
        <f ca="1">IFERROR(__xludf.DUMMYFUNCTION("""COMPUTED_VALUE"""),42592)</f>
        <v>42592</v>
      </c>
      <c r="D52" s="12" t="str">
        <f ca="1">IFERROR(__xludf.DUMMYFUNCTION("""COMPUTED_VALUE"""),"EVEIL ATHLE")</f>
        <v>EVEIL ATHLE</v>
      </c>
      <c r="E52" s="14" t="str">
        <f ca="1">IFERROR(__xludf.DUMMYFUNCTION("""COMPUTED_VALUE"""),"ECOLE
")</f>
        <v xml:space="preserve">ECOLE
</v>
      </c>
      <c r="F52" s="1" t="str">
        <f ca="1">IFERROR(__xludf.DUMMYFUNCTION("""COMPUTED_VALUE"""),"BELLENEUVE")</f>
        <v>BELLENEUVE</v>
      </c>
      <c r="G52" s="12" t="str">
        <f ca="1">IFERROR(__xludf.DUMMYFUNCTION("""COMPUTED_VALUE"""),"BELLENEUVE")</f>
        <v>BELLENEUVE</v>
      </c>
      <c r="H52" s="12" t="str">
        <f t="shared" ca="1" si="0"/>
        <v>ECOLE
  BELLENEUVE  BELLENEUVE</v>
      </c>
      <c r="I52" s="6"/>
      <c r="J52" s="12" t="str">
        <f ca="1">IFERROR(__xludf.DUMMYFUNCTION("""COMPUTED_VALUE"""),"OK")</f>
        <v>OK</v>
      </c>
      <c r="K52" s="12" t="str">
        <f ca="1">IFERROR(__xludf.DUMMYFUNCTION("""COMPUTED_VALUE"""),"alexandralamboule@gmail.com")</f>
        <v>alexandralamboule@gmail.com</v>
      </c>
      <c r="L52" s="12" t="str">
        <f ca="1">IFERROR(__xludf.DUMMYFUNCTION("""COMPUTED_VALUE"""),"06 78 40 06 11")</f>
        <v>06 78 40 06 11</v>
      </c>
      <c r="M52" s="12" t="str">
        <f ca="1">IFERROR(__xludf.DUMMYFUNCTION("""COMPUTED_VALUE"""),"21310 BELLENEUVE")</f>
        <v>21310 BELLENEUVE</v>
      </c>
      <c r="N52" s="6"/>
      <c r="O52" s="6"/>
    </row>
    <row r="53" spans="1:15" ht="15.5" x14ac:dyDescent="0.35">
      <c r="A53" s="12" t="str">
        <f ca="1">IFERROR(__xludf.DUMMYFUNCTION("""COMPUTED_VALUE"""),"TEIXEIRA LOPES Mathéo")</f>
        <v>TEIXEIRA LOPES Mathéo</v>
      </c>
      <c r="B53" s="12" t="str">
        <f ca="1">IFERROR(__xludf.DUMMYFUNCTION("""COMPUTED_VALUE"""),"H")</f>
        <v>H</v>
      </c>
      <c r="C53" s="13">
        <f ca="1">IFERROR(__xludf.DUMMYFUNCTION("""COMPUTED_VALUE"""),42304)</f>
        <v>42304</v>
      </c>
      <c r="D53" s="12" t="str">
        <f ca="1">IFERROR(__xludf.DUMMYFUNCTION("""COMPUTED_VALUE"""),"EVEIL ATHLE")</f>
        <v>EVEIL ATHLE</v>
      </c>
      <c r="E53" s="14" t="str">
        <f ca="1">IFERROR(__xludf.DUMMYFUNCTION("""COMPUTED_VALUE"""),"ECOLE
")</f>
        <v xml:space="preserve">ECOLE
</v>
      </c>
      <c r="F53" s="1" t="str">
        <f ca="1">IFERROR(__xludf.DUMMYFUNCTION("""COMPUTED_VALUE"""),"BELLENEUVE")</f>
        <v>BELLENEUVE</v>
      </c>
      <c r="G53" s="12" t="str">
        <f ca="1">IFERROR(__xludf.DUMMYFUNCTION("""COMPUTED_VALUE"""),"BELLENEUVE")</f>
        <v>BELLENEUVE</v>
      </c>
      <c r="H53" s="12" t="str">
        <f t="shared" ca="1" si="0"/>
        <v>ECOLE
  BELLENEUVE  BELLENEUVE</v>
      </c>
      <c r="I53" s="6"/>
      <c r="J53" s="12" t="str">
        <f ca="1">IFERROR(__xludf.DUMMYFUNCTION("""COMPUTED_VALUE"""),"OK")</f>
        <v>OK</v>
      </c>
      <c r="K53" s="12" t="str">
        <f ca="1">IFERROR(__xludf.DUMMYFUNCTION("""COMPUTED_VALUE"""),"amandinebobert@outlook.fr")</f>
        <v>amandinebobert@outlook.fr</v>
      </c>
      <c r="L53" s="12" t="str">
        <f ca="1">IFERROR(__xludf.DUMMYFUNCTION("""COMPUTED_VALUE"""),"06 40 40 05 65")</f>
        <v>06 40 40 05 65</v>
      </c>
      <c r="M53" s="12" t="str">
        <f ca="1">IFERROR(__xludf.DUMMYFUNCTION("""COMPUTED_VALUE"""),"70100 LE TREMBLOIS")</f>
        <v>70100 LE TREMBLOIS</v>
      </c>
      <c r="N53" s="6"/>
      <c r="O53" s="6"/>
    </row>
    <row r="54" spans="1:15" ht="15.5" x14ac:dyDescent="0.35">
      <c r="A54" s="12" t="str">
        <f ca="1">IFERROR(__xludf.DUMMYFUNCTION("""COMPUTED_VALUE"""),"TELLIER Adèle")</f>
        <v>TELLIER Adèle</v>
      </c>
      <c r="B54" s="12" t="str">
        <f ca="1">IFERROR(__xludf.DUMMYFUNCTION("""COMPUTED_VALUE"""),"F")</f>
        <v>F</v>
      </c>
      <c r="C54" s="13">
        <f ca="1">IFERROR(__xludf.DUMMYFUNCTION("""COMPUTED_VALUE"""),43000)</f>
        <v>43000</v>
      </c>
      <c r="D54" s="12" t="str">
        <f ca="1">IFERROR(__xludf.DUMMYFUNCTION("""COMPUTED_VALUE"""),"EVEIL ATHLE")</f>
        <v>EVEIL ATHLE</v>
      </c>
      <c r="E54" s="14" t="str">
        <f ca="1">IFERROR(__xludf.DUMMYFUNCTION("""COMPUTED_VALUE"""),"ECOLE
")</f>
        <v xml:space="preserve">ECOLE
</v>
      </c>
      <c r="F54" s="1" t="str">
        <f ca="1">IFERROR(__xludf.DUMMYFUNCTION("""COMPUTED_VALUE"""),"BELLENEUVE")</f>
        <v>BELLENEUVE</v>
      </c>
      <c r="G54" s="12" t="str">
        <f ca="1">IFERROR(__xludf.DUMMYFUNCTION("""COMPUTED_VALUE"""),"BELLENEUVE")</f>
        <v>BELLENEUVE</v>
      </c>
      <c r="H54" s="12" t="str">
        <f t="shared" ca="1" si="0"/>
        <v>ECOLE
  BELLENEUVE  BELLENEUVE</v>
      </c>
      <c r="I54" s="6"/>
      <c r="J54" s="12" t="str">
        <f ca="1">IFERROR(__xludf.DUMMYFUNCTION("""COMPUTED_VALUE"""),"OK")</f>
        <v>OK</v>
      </c>
      <c r="K54" s="12" t="str">
        <f ca="1">IFERROR(__xludf.DUMMYFUNCTION("""COMPUTED_VALUE"""),"joachim.tellier@orange.fr")</f>
        <v>joachim.tellier@orange.fr</v>
      </c>
      <c r="L54" s="12" t="str">
        <f ca="1">IFERROR(__xludf.DUMMYFUNCTION("""COMPUTED_VALUE"""),"06 38 72 85 63")</f>
        <v>06 38 72 85 63</v>
      </c>
      <c r="M54" s="12" t="str">
        <f ca="1">IFERROR(__xludf.DUMMYFUNCTION("""COMPUTED_VALUE"""),"70100 APREMONT")</f>
        <v>70100 APREMONT</v>
      </c>
      <c r="N54" s="6"/>
      <c r="O54" s="6"/>
    </row>
    <row r="55" spans="1:15" ht="15.5" x14ac:dyDescent="0.35">
      <c r="A55" s="12" t="str">
        <f ca="1">IFERROR(__xludf.DUMMYFUNCTION("""COMPUTED_VALUE"""),"BAULARD Anthon")</f>
        <v>BAULARD Anthon</v>
      </c>
      <c r="B55" s="12" t="str">
        <f ca="1">IFERROR(__xludf.DUMMYFUNCTION("""COMPUTED_VALUE"""),"H")</f>
        <v>H</v>
      </c>
      <c r="C55" s="13">
        <f ca="1">IFERROR(__xludf.DUMMYFUNCTION("""COMPUTED_VALUE"""),40060)</f>
        <v>40060</v>
      </c>
      <c r="D55" s="12" t="str">
        <f ca="1">IFERROR(__xludf.DUMMYFUNCTION("""COMPUTED_VALUE"""),"MINIMES")</f>
        <v>MINIMES</v>
      </c>
      <c r="E55" s="14" t="str">
        <f ca="1">IFERROR(__xludf.DUMMYFUNCTION("""COMPUTED_VALUE"""),"COLLEGE")</f>
        <v>COLLEGE</v>
      </c>
      <c r="F55" s="1" t="str">
        <f ca="1">IFERROR(__xludf.DUMMYFUNCTION("""COMPUTED_VALUE"""),"BELLENEUVE")</f>
        <v>BELLENEUVE</v>
      </c>
      <c r="G55" s="12" t="str">
        <f ca="1">IFERROR(__xludf.DUMMYFUNCTION("""COMPUTED_VALUE"""),"BELLENEUVE")</f>
        <v>BELLENEUVE</v>
      </c>
      <c r="H55" s="12" t="str">
        <f t="shared" ca="1" si="0"/>
        <v>COLLEGE  BELLENEUVE  BELLENEUVE</v>
      </c>
      <c r="I55" s="6"/>
      <c r="J55" s="12" t="str">
        <f ca="1">IFERROR(__xludf.DUMMYFUNCTION("""COMPUTED_VALUE"""),"OK")</f>
        <v>OK</v>
      </c>
      <c r="K55" s="12"/>
      <c r="L55" s="12"/>
      <c r="M55" s="12" t="str">
        <f ca="1">IFERROR(__xludf.DUMMYFUNCTION("""COMPUTED_VALUE"""),"70100 MONTUREUX")</f>
        <v>70100 MONTUREUX</v>
      </c>
      <c r="N55" s="6"/>
      <c r="O55" s="6"/>
    </row>
    <row r="56" spans="1:15" ht="15.5" x14ac:dyDescent="0.35">
      <c r="A56" s="12" t="str">
        <f ca="1">IFERROR(__xludf.DUMMYFUNCTION("""COMPUTED_VALUE"""),"BLANC Evan")</f>
        <v>BLANC Evan</v>
      </c>
      <c r="B56" s="12" t="str">
        <f ca="1">IFERROR(__xludf.DUMMYFUNCTION("""COMPUTED_VALUE"""),"H")</f>
        <v>H</v>
      </c>
      <c r="C56" s="13">
        <f ca="1">IFERROR(__xludf.DUMMYFUNCTION("""COMPUTED_VALUE"""),40477)</f>
        <v>40477</v>
      </c>
      <c r="D56" s="12" t="str">
        <f ca="1">IFERROR(__xludf.DUMMYFUNCTION("""COMPUTED_VALUE"""),"MINIMES")</f>
        <v>MINIMES</v>
      </c>
      <c r="E56" s="14" t="str">
        <f ca="1">IFERROR(__xludf.DUMMYFUNCTION("""COMPUTED_VALUE"""),"COLLEGE")</f>
        <v>COLLEGE</v>
      </c>
      <c r="F56" s="1" t="str">
        <f ca="1">IFERROR(__xludf.DUMMYFUNCTION("""COMPUTED_VALUE"""),"BELLENEUVE")</f>
        <v>BELLENEUVE</v>
      </c>
      <c r="G56" s="12" t="str">
        <f ca="1">IFERROR(__xludf.DUMMYFUNCTION("""COMPUTED_VALUE"""),"BELLENEUVE")</f>
        <v>BELLENEUVE</v>
      </c>
      <c r="H56" s="12" t="str">
        <f t="shared" ca="1" si="0"/>
        <v>COLLEGE  BELLENEUVE  BELLENEUVE</v>
      </c>
      <c r="I56" s="6"/>
      <c r="J56" s="12" t="str">
        <f ca="1">IFERROR(__xludf.DUMMYFUNCTION("""COMPUTED_VALUE"""),"OK")</f>
        <v>OK</v>
      </c>
      <c r="K56" s="12" t="str">
        <f ca="1">IFERROR(__xludf.DUMMYFUNCTION("""COMPUTED_VALUE"""),"brussey.sonia@orange.fr")</f>
        <v>brussey.sonia@orange.fr</v>
      </c>
      <c r="L56" s="12" t="str">
        <f ca="1">IFERROR(__xludf.DUMMYFUNCTION("""COMPUTED_VALUE"""),"06 81 83 11 28")</f>
        <v>06 81 83 11 28</v>
      </c>
      <c r="M56" s="12" t="str">
        <f ca="1">IFERROR(__xludf.DUMMYFUNCTION("""COMPUTED_VALUE"""),"70100 GERMIGNEY")</f>
        <v>70100 GERMIGNEY</v>
      </c>
      <c r="N56" s="6"/>
      <c r="O56" s="6"/>
    </row>
    <row r="57" spans="1:15" ht="15.5" x14ac:dyDescent="0.35">
      <c r="A57" s="12" t="str">
        <f ca="1">IFERROR(__xludf.DUMMYFUNCTION("""COMPUTED_VALUE"""),"BOISSON Eléonore")</f>
        <v>BOISSON Eléonore</v>
      </c>
      <c r="B57" s="12" t="str">
        <f ca="1">IFERROR(__xludf.DUMMYFUNCTION("""COMPUTED_VALUE"""),"F")</f>
        <v>F</v>
      </c>
      <c r="C57" s="13">
        <f ca="1">IFERROR(__xludf.DUMMYFUNCTION("""COMPUTED_VALUE"""),39891)</f>
        <v>39891</v>
      </c>
      <c r="D57" s="12" t="str">
        <f ca="1">IFERROR(__xludf.DUMMYFUNCTION("""COMPUTED_VALUE"""),"MINIMES")</f>
        <v>MINIMES</v>
      </c>
      <c r="E57" s="14" t="str">
        <f ca="1">IFERROR(__xludf.DUMMYFUNCTION("""COMPUTED_VALUE"""),"COLLEGE")</f>
        <v>COLLEGE</v>
      </c>
      <c r="F57" s="1" t="str">
        <f ca="1">IFERROR(__xludf.DUMMYFUNCTION("""COMPUTED_VALUE"""),"BELLENEUVE")</f>
        <v>BELLENEUVE</v>
      </c>
      <c r="G57" s="12" t="str">
        <f ca="1">IFERROR(__xludf.DUMMYFUNCTION("""COMPUTED_VALUE"""),"BELLENEUVE")</f>
        <v>BELLENEUVE</v>
      </c>
      <c r="H57" s="12" t="str">
        <f t="shared" ca="1" si="0"/>
        <v>COLLEGE  BELLENEUVE  BELLENEUVE</v>
      </c>
      <c r="I57" s="6"/>
      <c r="J57" s="12" t="str">
        <f ca="1">IFERROR(__xludf.DUMMYFUNCTION("""COMPUTED_VALUE"""),"OK")</f>
        <v>OK</v>
      </c>
      <c r="K57" s="12" t="str">
        <f ca="1">IFERROR(__xludf.DUMMYFUNCTION("""COMPUTED_VALUE"""),"eleonoree.boisson@gmail.com")</f>
        <v>eleonoree.boisson@gmail.com</v>
      </c>
      <c r="L57" s="12" t="str">
        <f ca="1">IFERROR(__xludf.DUMMYFUNCTION("""COMPUTED_VALUE"""),"06 30 13 11 99")</f>
        <v>06 30 13 11 99</v>
      </c>
      <c r="M57" s="12" t="str">
        <f ca="1">IFERROR(__xludf.DUMMYFUNCTION("""COMPUTED_VALUE"""),"70000 VESOUL")</f>
        <v>70000 VESOUL</v>
      </c>
      <c r="N57" s="6"/>
      <c r="O57" s="6"/>
    </row>
    <row r="58" spans="1:15" ht="15.5" x14ac:dyDescent="0.35">
      <c r="A58" s="12" t="str">
        <f ca="1">IFERROR(__xludf.DUMMYFUNCTION("""COMPUTED_VALUE"""),"BONNAIRE Nathan")</f>
        <v>BONNAIRE Nathan</v>
      </c>
      <c r="B58" s="12" t="str">
        <f ca="1">IFERROR(__xludf.DUMMYFUNCTION("""COMPUTED_VALUE"""),"H")</f>
        <v>H</v>
      </c>
      <c r="C58" s="13">
        <f ca="1">IFERROR(__xludf.DUMMYFUNCTION("""COMPUTED_VALUE"""),40249)</f>
        <v>40249</v>
      </c>
      <c r="D58" s="12" t="str">
        <f ca="1">IFERROR(__xludf.DUMMYFUNCTION("""COMPUTED_VALUE"""),"MINIMES")</f>
        <v>MINIMES</v>
      </c>
      <c r="E58" s="14" t="str">
        <f ca="1">IFERROR(__xludf.DUMMYFUNCTION("""COMPUTED_VALUE"""),"COLLEGE")</f>
        <v>COLLEGE</v>
      </c>
      <c r="F58" s="1" t="str">
        <f ca="1">IFERROR(__xludf.DUMMYFUNCTION("""COMPUTED_VALUE"""),"BELLENEUVE")</f>
        <v>BELLENEUVE</v>
      </c>
      <c r="G58" s="12" t="str">
        <f ca="1">IFERROR(__xludf.DUMMYFUNCTION("""COMPUTED_VALUE"""),"BELLENEUVE")</f>
        <v>BELLENEUVE</v>
      </c>
      <c r="H58" s="12" t="str">
        <f t="shared" ca="1" si="0"/>
        <v>COLLEGE  BELLENEUVE  BELLENEUVE</v>
      </c>
      <c r="I58" s="6"/>
      <c r="J58" s="12" t="str">
        <f ca="1">IFERROR(__xludf.DUMMYFUNCTION("""COMPUTED_VALUE"""),"OK")</f>
        <v>OK</v>
      </c>
      <c r="K58" s="12" t="str">
        <f ca="1">IFERROR(__xludf.DUMMYFUNCTION("""COMPUTED_VALUE"""),"anne20202000@yahoo.fr")</f>
        <v>anne20202000@yahoo.fr</v>
      </c>
      <c r="L58" s="12" t="str">
        <f ca="1">IFERROR(__xludf.DUMMYFUNCTION("""COMPUTED_VALUE"""),"06 89 51 01 15")</f>
        <v>06 89 51 01 15</v>
      </c>
      <c r="M58" s="12" t="str">
        <f ca="1">IFERROR(__xludf.DUMMYFUNCTION("""COMPUTED_VALUE"""),"03600 LOUROUX DE BEAUNE")</f>
        <v>03600 LOUROUX DE BEAUNE</v>
      </c>
      <c r="N58" s="6"/>
      <c r="O58" s="6"/>
    </row>
    <row r="59" spans="1:15" ht="15.5" x14ac:dyDescent="0.35">
      <c r="A59" s="12" t="str">
        <f ca="1">IFERROR(__xludf.DUMMYFUNCTION("""COMPUTED_VALUE"""),"BOSSU Romain")</f>
        <v>BOSSU Romain</v>
      </c>
      <c r="B59" s="12" t="str">
        <f ca="1">IFERROR(__xludf.DUMMYFUNCTION("""COMPUTED_VALUE"""),"H")</f>
        <v>H</v>
      </c>
      <c r="C59" s="13">
        <f ca="1">IFERROR(__xludf.DUMMYFUNCTION("""COMPUTED_VALUE"""),40007)</f>
        <v>40007</v>
      </c>
      <c r="D59" s="12" t="str">
        <f ca="1">IFERROR(__xludf.DUMMYFUNCTION("""COMPUTED_VALUE"""),"MINIMES")</f>
        <v>MINIMES</v>
      </c>
      <c r="E59" s="14" t="str">
        <f ca="1">IFERROR(__xludf.DUMMYFUNCTION("""COMPUTED_VALUE"""),"COLLEGE")</f>
        <v>COLLEGE</v>
      </c>
      <c r="F59" s="1" t="str">
        <f ca="1">IFERROR(__xludf.DUMMYFUNCTION("""COMPUTED_VALUE"""),"BELLENEUVE")</f>
        <v>BELLENEUVE</v>
      </c>
      <c r="G59" s="12" t="str">
        <f ca="1">IFERROR(__xludf.DUMMYFUNCTION("""COMPUTED_VALUE"""),"BELLENEUVE")</f>
        <v>BELLENEUVE</v>
      </c>
      <c r="H59" s="12" t="str">
        <f t="shared" ca="1" si="0"/>
        <v>COLLEGE  BELLENEUVE  BELLENEUVE</v>
      </c>
      <c r="I59" s="6"/>
      <c r="J59" s="12" t="str">
        <f ca="1">IFERROR(__xludf.DUMMYFUNCTION("""COMPUTED_VALUE"""),"OK")</f>
        <v>OK</v>
      </c>
      <c r="K59" s="12" t="str">
        <f ca="1">IFERROR(__xludf.DUMMYFUNCTION("""COMPUTED_VALUE"""),"bossumaud@wanadoo.fr")</f>
        <v>bossumaud@wanadoo.fr</v>
      </c>
      <c r="L59" s="12" t="str">
        <f ca="1">IFERROR(__xludf.DUMMYFUNCTION("""COMPUTED_VALUE"""),"06 88 89 60 36")</f>
        <v>06 88 89 60 36</v>
      </c>
      <c r="M59" s="12" t="str">
        <f ca="1">IFERROR(__xludf.DUMMYFUNCTION("""COMPUTED_VALUE"""),"70700 BUCEY LES GY")</f>
        <v>70700 BUCEY LES GY</v>
      </c>
      <c r="N59" s="6"/>
      <c r="O59" s="6"/>
    </row>
    <row r="60" spans="1:15" ht="15.5" x14ac:dyDescent="0.35">
      <c r="A60" s="12" t="str">
        <f ca="1">IFERROR(__xludf.DUMMYFUNCTION("""COMPUTED_VALUE"""),"BOUVIER Roxane")</f>
        <v>BOUVIER Roxane</v>
      </c>
      <c r="B60" s="12" t="str">
        <f ca="1">IFERROR(__xludf.DUMMYFUNCTION("""COMPUTED_VALUE"""),"F")</f>
        <v>F</v>
      </c>
      <c r="C60" s="13">
        <f ca="1">IFERROR(__xludf.DUMMYFUNCTION("""COMPUTED_VALUE"""),39966)</f>
        <v>39966</v>
      </c>
      <c r="D60" s="12" t="str">
        <f ca="1">IFERROR(__xludf.DUMMYFUNCTION("""COMPUTED_VALUE"""),"MINIMES")</f>
        <v>MINIMES</v>
      </c>
      <c r="E60" s="14" t="str">
        <f ca="1">IFERROR(__xludf.DUMMYFUNCTION("""COMPUTED_VALUE"""),"COLLEGE")</f>
        <v>COLLEGE</v>
      </c>
      <c r="F60" s="1" t="str">
        <f ca="1">IFERROR(__xludf.DUMMYFUNCTION("""COMPUTED_VALUE"""),"BELLENEUVE")</f>
        <v>BELLENEUVE</v>
      </c>
      <c r="G60" s="12" t="str">
        <f ca="1">IFERROR(__xludf.DUMMYFUNCTION("""COMPUTED_VALUE"""),"BELLENEUVE")</f>
        <v>BELLENEUVE</v>
      </c>
      <c r="H60" s="12" t="str">
        <f t="shared" ca="1" si="0"/>
        <v>COLLEGE  BELLENEUVE  BELLENEUVE</v>
      </c>
      <c r="I60" s="6"/>
      <c r="J60" s="12" t="str">
        <f ca="1">IFERROR(__xludf.DUMMYFUNCTION("""COMPUTED_VALUE"""),"OK")</f>
        <v>OK</v>
      </c>
      <c r="K60" s="12" t="str">
        <f ca="1">IFERROR(__xludf.DUMMYFUNCTION("""COMPUTED_VALUE"""),"stefbouvier@wanadoo.fr")</f>
        <v>stefbouvier@wanadoo.fr</v>
      </c>
      <c r="L60" s="12" t="str">
        <f ca="1">IFERROR(__xludf.DUMMYFUNCTION("""COMPUTED_VALUE"""),"06 03 96 82 13")</f>
        <v>06 03 96 82 13</v>
      </c>
      <c r="M60" s="12" t="str">
        <f ca="1">IFERROR(__xludf.DUMMYFUNCTION("""COMPUTED_VALUE"""),"70140 PESMES")</f>
        <v>70140 PESMES</v>
      </c>
      <c r="N60" s="6"/>
      <c r="O60" s="6"/>
    </row>
    <row r="61" spans="1:15" ht="15.5" x14ac:dyDescent="0.35">
      <c r="A61" s="12" t="str">
        <f ca="1">IFERROR(__xludf.DUMMYFUNCTION("""COMPUTED_VALUE"""),"BOZON Paul")</f>
        <v>BOZON Paul</v>
      </c>
      <c r="B61" s="12" t="str">
        <f ca="1">IFERROR(__xludf.DUMMYFUNCTION("""COMPUTED_VALUE"""),"H")</f>
        <v>H</v>
      </c>
      <c r="C61" s="13">
        <f ca="1">IFERROR(__xludf.DUMMYFUNCTION("""COMPUTED_VALUE"""),40407)</f>
        <v>40407</v>
      </c>
      <c r="D61" s="12" t="str">
        <f ca="1">IFERROR(__xludf.DUMMYFUNCTION("""COMPUTED_VALUE"""),"MINIMES")</f>
        <v>MINIMES</v>
      </c>
      <c r="E61" s="14" t="str">
        <f ca="1">IFERROR(__xludf.DUMMYFUNCTION("""COMPUTED_VALUE"""),"COLLEGE")</f>
        <v>COLLEGE</v>
      </c>
      <c r="F61" s="1" t="str">
        <f ca="1">IFERROR(__xludf.DUMMYFUNCTION("""COMPUTED_VALUE"""),"BELLENEUVE")</f>
        <v>BELLENEUVE</v>
      </c>
      <c r="G61" s="12" t="str">
        <f ca="1">IFERROR(__xludf.DUMMYFUNCTION("""COMPUTED_VALUE"""),"BELLENEUVE")</f>
        <v>BELLENEUVE</v>
      </c>
      <c r="H61" s="12" t="str">
        <f t="shared" ca="1" si="0"/>
        <v>COLLEGE  BELLENEUVE  BELLENEUVE</v>
      </c>
      <c r="I61" s="6"/>
      <c r="J61" s="12" t="str">
        <f ca="1">IFERROR(__xludf.DUMMYFUNCTION("""COMPUTED_VALUE"""),"OK")</f>
        <v>OK</v>
      </c>
      <c r="K61" s="12" t="str">
        <f ca="1">IFERROR(__xludf.DUMMYFUNCTION("""COMPUTED_VALUE"""),"stephanie.ob@gmail.com")</f>
        <v>stephanie.ob@gmail.com</v>
      </c>
      <c r="L61" s="12" t="str">
        <f ca="1">IFERROR(__xludf.DUMMYFUNCTION("""COMPUTED_VALUE"""),"07 89 02 31 08")</f>
        <v>07 89 02 31 08</v>
      </c>
      <c r="M61" s="12" t="str">
        <f ca="1">IFERROR(__xludf.DUMMYFUNCTION("""COMPUTED_VALUE"""),"21610 FONTENELLE")</f>
        <v>21610 FONTENELLE</v>
      </c>
      <c r="N61" s="6"/>
      <c r="O61" s="6"/>
    </row>
    <row r="62" spans="1:15" ht="15.5" x14ac:dyDescent="0.35">
      <c r="A62" s="12" t="str">
        <f ca="1">IFERROR(__xludf.DUMMYFUNCTION("""COMPUTED_VALUE"""),"BRESSON Romane")</f>
        <v>BRESSON Romane</v>
      </c>
      <c r="B62" s="12" t="str">
        <f ca="1">IFERROR(__xludf.DUMMYFUNCTION("""COMPUTED_VALUE"""),"F")</f>
        <v>F</v>
      </c>
      <c r="C62" s="13">
        <f ca="1">IFERROR(__xludf.DUMMYFUNCTION("""COMPUTED_VALUE"""),40257)</f>
        <v>40257</v>
      </c>
      <c r="D62" s="12" t="str">
        <f ca="1">IFERROR(__xludf.DUMMYFUNCTION("""COMPUTED_VALUE"""),"MINIMES")</f>
        <v>MINIMES</v>
      </c>
      <c r="E62" s="14" t="str">
        <f ca="1">IFERROR(__xludf.DUMMYFUNCTION("""COMPUTED_VALUE"""),"COLLEGE")</f>
        <v>COLLEGE</v>
      </c>
      <c r="F62" s="1" t="str">
        <f ca="1">IFERROR(__xludf.DUMMYFUNCTION("""COMPUTED_VALUE"""),"BELLENEUVE")</f>
        <v>BELLENEUVE</v>
      </c>
      <c r="G62" s="12" t="str">
        <f ca="1">IFERROR(__xludf.DUMMYFUNCTION("""COMPUTED_VALUE"""),"BELLENEUVE")</f>
        <v>BELLENEUVE</v>
      </c>
      <c r="H62" s="12" t="str">
        <f t="shared" ca="1" si="0"/>
        <v>COLLEGE  BELLENEUVE  BELLENEUVE</v>
      </c>
      <c r="I62" s="6"/>
      <c r="J62" s="12" t="str">
        <f ca="1">IFERROR(__xludf.DUMMYFUNCTION("""COMPUTED_VALUE"""),"OK")</f>
        <v>OK</v>
      </c>
      <c r="K62" s="12" t="str">
        <f ca="1">IFERROR(__xludf.DUMMYFUNCTION("""COMPUTED_VALUE"""),"lylounico@gmail.com")</f>
        <v>lylounico@gmail.com</v>
      </c>
      <c r="L62" s="12" t="str">
        <f ca="1">IFERROR(__xludf.DUMMYFUNCTION("""COMPUTED_VALUE"""),"06 72 90 69 91")</f>
        <v>06 72 90 69 91</v>
      </c>
      <c r="M62" s="12" t="str">
        <f ca="1">IFERROR(__xludf.DUMMYFUNCTION("""COMPUTED_VALUE"""),"70190 SORANS LES BREUREY")</f>
        <v>70190 SORANS LES BREUREY</v>
      </c>
      <c r="N62" s="6"/>
      <c r="O62" s="6"/>
    </row>
    <row r="63" spans="1:15" ht="15.5" x14ac:dyDescent="0.35">
      <c r="A63" s="12" t="str">
        <f ca="1">IFERROR(__xludf.DUMMYFUNCTION("""COMPUTED_VALUE"""),"CADET Chloé")</f>
        <v>CADET Chloé</v>
      </c>
      <c r="B63" s="12" t="str">
        <f ca="1">IFERROR(__xludf.DUMMYFUNCTION("""COMPUTED_VALUE"""),"F")</f>
        <v>F</v>
      </c>
      <c r="C63" s="13">
        <f ca="1">IFERROR(__xludf.DUMMYFUNCTION("""COMPUTED_VALUE"""),40120)</f>
        <v>40120</v>
      </c>
      <c r="D63" s="12" t="str">
        <f ca="1">IFERROR(__xludf.DUMMYFUNCTION("""COMPUTED_VALUE"""),"MINIMES")</f>
        <v>MINIMES</v>
      </c>
      <c r="E63" s="14" t="str">
        <f ca="1">IFERROR(__xludf.DUMMYFUNCTION("""COMPUTED_VALUE"""),"COLLEGE")</f>
        <v>COLLEGE</v>
      </c>
      <c r="F63" s="1" t="str">
        <f ca="1">IFERROR(__xludf.DUMMYFUNCTION("""COMPUTED_VALUE"""),"BELLENEUVE")</f>
        <v>BELLENEUVE</v>
      </c>
      <c r="G63" s="12" t="str">
        <f ca="1">IFERROR(__xludf.DUMMYFUNCTION("""COMPUTED_VALUE"""),"BELLENEUVE")</f>
        <v>BELLENEUVE</v>
      </c>
      <c r="H63" s="12" t="str">
        <f t="shared" ca="1" si="0"/>
        <v>COLLEGE  BELLENEUVE  BELLENEUVE</v>
      </c>
      <c r="I63" s="6"/>
      <c r="J63" s="12" t="str">
        <f ca="1">IFERROR(__xludf.DUMMYFUNCTION("""COMPUTED_VALUE"""),"OK")</f>
        <v>OK</v>
      </c>
      <c r="K63" s="12" t="str">
        <f ca="1">IFERROR(__xludf.DUMMYFUNCTION("""COMPUTED_VALUE"""),"al.clement@wanadoo.fr")</f>
        <v>al.clement@wanadoo.fr</v>
      </c>
      <c r="L63" s="12" t="str">
        <f ca="1">IFERROR(__xludf.DUMMYFUNCTION("""COMPUTED_VALUE"""),"06 81 04 07 99")</f>
        <v>06 81 04 07 99</v>
      </c>
      <c r="M63" s="12" t="str">
        <f ca="1">IFERROR(__xludf.DUMMYFUNCTION("""COMPUTED_VALUE"""),"21610 FONTAINE-FRANCAISE")</f>
        <v>21610 FONTAINE-FRANCAISE</v>
      </c>
      <c r="N63" s="6"/>
      <c r="O63" s="6"/>
    </row>
    <row r="64" spans="1:15" ht="15.5" x14ac:dyDescent="0.35">
      <c r="A64" s="12" t="str">
        <f ca="1">IFERROR(__xludf.DUMMYFUNCTION("""COMPUTED_VALUE"""),"CAMUSET Lucie")</f>
        <v>CAMUSET Lucie</v>
      </c>
      <c r="B64" s="12" t="str">
        <f ca="1">IFERROR(__xludf.DUMMYFUNCTION("""COMPUTED_VALUE"""),"F")</f>
        <v>F</v>
      </c>
      <c r="C64" s="13">
        <f ca="1">IFERROR(__xludf.DUMMYFUNCTION("""COMPUTED_VALUE"""),39970)</f>
        <v>39970</v>
      </c>
      <c r="D64" s="12" t="str">
        <f ca="1">IFERROR(__xludf.DUMMYFUNCTION("""COMPUTED_VALUE"""),"MINIMES")</f>
        <v>MINIMES</v>
      </c>
      <c r="E64" s="14" t="str">
        <f ca="1">IFERROR(__xludf.DUMMYFUNCTION("""COMPUTED_VALUE"""),"COLLEGE")</f>
        <v>COLLEGE</v>
      </c>
      <c r="F64" s="1" t="str">
        <f ca="1">IFERROR(__xludf.DUMMYFUNCTION("""COMPUTED_VALUE"""),"BELLENEUVE")</f>
        <v>BELLENEUVE</v>
      </c>
      <c r="G64" s="12" t="str">
        <f ca="1">IFERROR(__xludf.DUMMYFUNCTION("""COMPUTED_VALUE"""),"BELLENEUVE")</f>
        <v>BELLENEUVE</v>
      </c>
      <c r="H64" s="12" t="str">
        <f t="shared" ca="1" si="0"/>
        <v>COLLEGE  BELLENEUVE  BELLENEUVE</v>
      </c>
      <c r="I64" s="6"/>
      <c r="J64" s="12" t="str">
        <f ca="1">IFERROR(__xludf.DUMMYFUNCTION("""COMPUTED_VALUE"""),"OK")</f>
        <v>OK</v>
      </c>
      <c r="K64" s="12" t="str">
        <f ca="1">IFERROR(__xludf.DUMMYFUNCTION("""COMPUTED_VALUE"""),"camuset.fc@gmail.com")</f>
        <v>camuset.fc@gmail.com</v>
      </c>
      <c r="L64" s="12" t="str">
        <f ca="1">IFERROR(__xludf.DUMMYFUNCTION("""COMPUTED_VALUE"""),"06 85 31 64 37")</f>
        <v>06 85 31 64 37</v>
      </c>
      <c r="M64" s="12" t="str">
        <f ca="1">IFERROR(__xludf.DUMMYFUNCTION("""COMPUTED_VALUE"""),"70100 CHAMPTONNAY")</f>
        <v>70100 CHAMPTONNAY</v>
      </c>
      <c r="N64" s="6"/>
      <c r="O64" s="6"/>
    </row>
    <row r="65" spans="1:15" ht="15.5" x14ac:dyDescent="0.35">
      <c r="A65" s="12" t="str">
        <f ca="1">IFERROR(__xludf.DUMMYFUNCTION("""COMPUTED_VALUE"""),"CARNEIRO Tiago")</f>
        <v>CARNEIRO Tiago</v>
      </c>
      <c r="B65" s="12" t="str">
        <f ca="1">IFERROR(__xludf.DUMMYFUNCTION("""COMPUTED_VALUE"""),"H")</f>
        <v>H</v>
      </c>
      <c r="C65" s="13">
        <f ca="1">IFERROR(__xludf.DUMMYFUNCTION("""COMPUTED_VALUE"""),40327)</f>
        <v>40327</v>
      </c>
      <c r="D65" s="12" t="str">
        <f ca="1">IFERROR(__xludf.DUMMYFUNCTION("""COMPUTED_VALUE"""),"MINIMES")</f>
        <v>MINIMES</v>
      </c>
      <c r="E65" s="14" t="str">
        <f ca="1">IFERROR(__xludf.DUMMYFUNCTION("""COMPUTED_VALUE"""),"COLLEGE")</f>
        <v>COLLEGE</v>
      </c>
      <c r="F65" s="1" t="str">
        <f ca="1">IFERROR(__xludf.DUMMYFUNCTION("""COMPUTED_VALUE"""),"BELLENEUVE")</f>
        <v>BELLENEUVE</v>
      </c>
      <c r="G65" s="12" t="str">
        <f ca="1">IFERROR(__xludf.DUMMYFUNCTION("""COMPUTED_VALUE"""),"BELLENEUVE")</f>
        <v>BELLENEUVE</v>
      </c>
      <c r="H65" s="12" t="str">
        <f t="shared" ca="1" si="0"/>
        <v>COLLEGE  BELLENEUVE  BELLENEUVE</v>
      </c>
      <c r="I65" s="6"/>
      <c r="J65" s="12" t="str">
        <f ca="1">IFERROR(__xludf.DUMMYFUNCTION("""COMPUTED_VALUE"""),"OK")</f>
        <v>OK</v>
      </c>
      <c r="K65" s="12" t="str">
        <f ca="1">IFERROR(__xludf.DUMMYFUNCTION("""COMPUTED_VALUE"""),"carneiroda@wanadoo.fr")</f>
        <v>carneiroda@wanadoo.fr</v>
      </c>
      <c r="L65" s="12" t="str">
        <f ca="1">IFERROR(__xludf.DUMMYFUNCTION("""COMPUTED_VALUE"""),"06 32 68 94 31")</f>
        <v>06 32 68 94 31</v>
      </c>
      <c r="M65" s="12" t="str">
        <f ca="1">IFERROR(__xludf.DUMMYFUNCTION("""COMPUTED_VALUE"""),"70600 CHAMPLITTE")</f>
        <v>70600 CHAMPLITTE</v>
      </c>
      <c r="N65" s="6"/>
      <c r="O65" s="6"/>
    </row>
    <row r="66" spans="1:15" ht="15.5" x14ac:dyDescent="0.35">
      <c r="A66" s="12" t="str">
        <f ca="1">IFERROR(__xludf.DUMMYFUNCTION("""COMPUTED_VALUE"""),"CHABOZ-CHARRASSIER Lylou")</f>
        <v>CHABOZ-CHARRASSIER Lylou</v>
      </c>
      <c r="B66" s="12" t="str">
        <f ca="1">IFERROR(__xludf.DUMMYFUNCTION("""COMPUTED_VALUE"""),"F")</f>
        <v>F</v>
      </c>
      <c r="C66" s="13">
        <f ca="1">IFERROR(__xludf.DUMMYFUNCTION("""COMPUTED_VALUE"""),40512)</f>
        <v>40512</v>
      </c>
      <c r="D66" s="12" t="str">
        <f ca="1">IFERROR(__xludf.DUMMYFUNCTION("""COMPUTED_VALUE"""),"MINIMES")</f>
        <v>MINIMES</v>
      </c>
      <c r="E66" s="14" t="str">
        <f ca="1">IFERROR(__xludf.DUMMYFUNCTION("""COMPUTED_VALUE"""),"COLLEGE")</f>
        <v>COLLEGE</v>
      </c>
      <c r="F66" s="1" t="str">
        <f ca="1">IFERROR(__xludf.DUMMYFUNCTION("""COMPUTED_VALUE"""),"BELLENEUVE")</f>
        <v>BELLENEUVE</v>
      </c>
      <c r="G66" s="12" t="str">
        <f ca="1">IFERROR(__xludf.DUMMYFUNCTION("""COMPUTED_VALUE"""),"BELLENEUVE")</f>
        <v>BELLENEUVE</v>
      </c>
      <c r="H66" s="12" t="str">
        <f t="shared" ca="1" si="0"/>
        <v>COLLEGE  BELLENEUVE  BELLENEUVE</v>
      </c>
      <c r="I66" s="6"/>
      <c r="J66" s="12"/>
      <c r="K66" s="12" t="str">
        <f ca="1">IFERROR(__xludf.DUMMYFUNCTION("""COMPUTED_VALUE"""),"legouxlaurene@gmail.Com")</f>
        <v>legouxlaurene@gmail.Com</v>
      </c>
      <c r="L66" s="12" t="str">
        <f ca="1">IFERROR(__xludf.DUMMYFUNCTION("""COMPUTED_VALUE"""),"07 69 72 20 76")</f>
        <v>07 69 72 20 76</v>
      </c>
      <c r="M66" s="12" t="str">
        <f ca="1">IFERROR(__xludf.DUMMYFUNCTION("""COMPUTED_VALUE"""),"70100 BEAUJEU")</f>
        <v>70100 BEAUJEU</v>
      </c>
      <c r="N66" s="6"/>
      <c r="O66" s="6"/>
    </row>
    <row r="67" spans="1:15" ht="15.5" x14ac:dyDescent="0.35">
      <c r="A67" s="12" t="str">
        <f ca="1">IFERROR(__xludf.DUMMYFUNCTION("""COMPUTED_VALUE"""),"CHAMBLANC Zoé")</f>
        <v>CHAMBLANC Zoé</v>
      </c>
      <c r="B67" s="12" t="str">
        <f ca="1">IFERROR(__xludf.DUMMYFUNCTION("""COMPUTED_VALUE"""),"F")</f>
        <v>F</v>
      </c>
      <c r="C67" s="13">
        <f ca="1">IFERROR(__xludf.DUMMYFUNCTION("""COMPUTED_VALUE"""),40269)</f>
        <v>40269</v>
      </c>
      <c r="D67" s="12" t="str">
        <f ca="1">IFERROR(__xludf.DUMMYFUNCTION("""COMPUTED_VALUE"""),"MINIMES")</f>
        <v>MINIMES</v>
      </c>
      <c r="E67" s="14" t="str">
        <f ca="1">IFERROR(__xludf.DUMMYFUNCTION("""COMPUTED_VALUE"""),"COLLEGE")</f>
        <v>COLLEGE</v>
      </c>
      <c r="F67" s="1" t="str">
        <f ca="1">IFERROR(__xludf.DUMMYFUNCTION("""COMPUTED_VALUE"""),"BELLENEUVE")</f>
        <v>BELLENEUVE</v>
      </c>
      <c r="G67" s="12" t="str">
        <f ca="1">IFERROR(__xludf.DUMMYFUNCTION("""COMPUTED_VALUE"""),"BELLENEUVE")</f>
        <v>BELLENEUVE</v>
      </c>
      <c r="H67" s="12" t="str">
        <f t="shared" ca="1" si="0"/>
        <v>COLLEGE  BELLENEUVE  BELLENEUVE</v>
      </c>
      <c r="I67" s="6"/>
      <c r="J67" s="12" t="str">
        <f ca="1">IFERROR(__xludf.DUMMYFUNCTION("""COMPUTED_VALUE"""),"OK")</f>
        <v>OK</v>
      </c>
      <c r="K67" s="12"/>
      <c r="L67" s="12" t="str">
        <f ca="1">IFERROR(__xludf.DUMMYFUNCTION("""COMPUTED_VALUE"""),"06 77 87 70 24")</f>
        <v>06 77 87 70 24</v>
      </c>
      <c r="M67" s="12" t="str">
        <f ca="1">IFERROR(__xludf.DUMMYFUNCTION("""COMPUTED_VALUE"""),"70100 GRAY")</f>
        <v>70100 GRAY</v>
      </c>
      <c r="N67" s="6"/>
      <c r="O67" s="6"/>
    </row>
    <row r="68" spans="1:15" ht="15.5" x14ac:dyDescent="0.35">
      <c r="A68" s="12" t="str">
        <f ca="1">IFERROR(__xludf.DUMMYFUNCTION("""COMPUTED_VALUE"""),"CHAUVELOT Alix")</f>
        <v>CHAUVELOT Alix</v>
      </c>
      <c r="B68" s="12" t="str">
        <f ca="1">IFERROR(__xludf.DUMMYFUNCTION("""COMPUTED_VALUE"""),"F")</f>
        <v>F</v>
      </c>
      <c r="C68" s="13">
        <f ca="1">IFERROR(__xludf.DUMMYFUNCTION("""COMPUTED_VALUE"""),40537)</f>
        <v>40537</v>
      </c>
      <c r="D68" s="12" t="str">
        <f ca="1">IFERROR(__xludf.DUMMYFUNCTION("""COMPUTED_VALUE"""),"MINIMES")</f>
        <v>MINIMES</v>
      </c>
      <c r="E68" s="14" t="str">
        <f ca="1">IFERROR(__xludf.DUMMYFUNCTION("""COMPUTED_VALUE"""),"COLLEGE")</f>
        <v>COLLEGE</v>
      </c>
      <c r="F68" s="1" t="str">
        <f ca="1">IFERROR(__xludf.DUMMYFUNCTION("""COMPUTED_VALUE"""),"BELLENEUVE")</f>
        <v>BELLENEUVE</v>
      </c>
      <c r="G68" s="12" t="str">
        <f ca="1">IFERROR(__xludf.DUMMYFUNCTION("""COMPUTED_VALUE"""),"BELLENEUVE")</f>
        <v>BELLENEUVE</v>
      </c>
      <c r="H68" s="12" t="str">
        <f t="shared" ca="1" si="0"/>
        <v>COLLEGE  BELLENEUVE  BELLENEUVE</v>
      </c>
      <c r="I68" s="6"/>
      <c r="J68" s="12" t="str">
        <f ca="1">IFERROR(__xludf.DUMMYFUNCTION("""COMPUTED_VALUE"""),"OK")</f>
        <v>OK</v>
      </c>
      <c r="K68" s="12" t="str">
        <f ca="1">IFERROR(__xludf.DUMMYFUNCTION("""COMPUTED_VALUE"""),"sebetso@hotmail.Fr")</f>
        <v>sebetso@hotmail.Fr</v>
      </c>
      <c r="L68" s="12" t="str">
        <f ca="1">IFERROR(__xludf.DUMMYFUNCTION("""COMPUTED_VALUE"""),"07 88 26 57 22")</f>
        <v>07 88 26 57 22</v>
      </c>
      <c r="M68" s="12" t="str">
        <f ca="1">IFERROR(__xludf.DUMMYFUNCTION("""COMPUTED_VALUE"""),"70100 ANCIER")</f>
        <v>70100 ANCIER</v>
      </c>
      <c r="N68" s="6"/>
      <c r="O68" s="6"/>
    </row>
    <row r="69" spans="1:15" ht="15.5" x14ac:dyDescent="0.35">
      <c r="A69" s="12" t="str">
        <f ca="1">IFERROR(__xludf.DUMMYFUNCTION("""COMPUTED_VALUE"""),"CHAUVELOT Bastien")</f>
        <v>CHAUVELOT Bastien</v>
      </c>
      <c r="B69" s="12" t="str">
        <f ca="1">IFERROR(__xludf.DUMMYFUNCTION("""COMPUTED_VALUE"""),"H")</f>
        <v>H</v>
      </c>
      <c r="C69" s="13">
        <f ca="1">IFERROR(__xludf.DUMMYFUNCTION("""COMPUTED_VALUE"""),40537)</f>
        <v>40537</v>
      </c>
      <c r="D69" s="12" t="str">
        <f ca="1">IFERROR(__xludf.DUMMYFUNCTION("""COMPUTED_VALUE"""),"MINIMES")</f>
        <v>MINIMES</v>
      </c>
      <c r="E69" s="14" t="str">
        <f ca="1">IFERROR(__xludf.DUMMYFUNCTION("""COMPUTED_VALUE"""),"COLLEGE")</f>
        <v>COLLEGE</v>
      </c>
      <c r="F69" s="1" t="str">
        <f ca="1">IFERROR(__xludf.DUMMYFUNCTION("""COMPUTED_VALUE"""),"BELLENEUVE")</f>
        <v>BELLENEUVE</v>
      </c>
      <c r="G69" s="12" t="str">
        <f ca="1">IFERROR(__xludf.DUMMYFUNCTION("""COMPUTED_VALUE"""),"BELLENEUVE")</f>
        <v>BELLENEUVE</v>
      </c>
      <c r="H69" s="12" t="str">
        <f t="shared" ca="1" si="0"/>
        <v>COLLEGE  BELLENEUVE  BELLENEUVE</v>
      </c>
      <c r="I69" s="6"/>
      <c r="J69" s="12" t="str">
        <f ca="1">IFERROR(__xludf.DUMMYFUNCTION("""COMPUTED_VALUE"""),"OK")</f>
        <v>OK</v>
      </c>
      <c r="K69" s="12" t="str">
        <f ca="1">IFERROR(__xludf.DUMMYFUNCTION("""COMPUTED_VALUE"""),"sebetso@hotmail.Fr")</f>
        <v>sebetso@hotmail.Fr</v>
      </c>
      <c r="L69" s="12" t="str">
        <f ca="1">IFERROR(__xludf.DUMMYFUNCTION("""COMPUTED_VALUE"""),"07 82 26 57 22")</f>
        <v>07 82 26 57 22</v>
      </c>
      <c r="M69" s="12" t="str">
        <f ca="1">IFERROR(__xludf.DUMMYFUNCTION("""COMPUTED_VALUE"""),"70100 ANCIER")</f>
        <v>70100 ANCIER</v>
      </c>
      <c r="N69" s="6"/>
      <c r="O69" s="6"/>
    </row>
    <row r="70" spans="1:15" ht="15.5" x14ac:dyDescent="0.35">
      <c r="A70" s="12" t="str">
        <f ca="1">IFERROR(__xludf.DUMMYFUNCTION("""COMPUTED_VALUE"""),"CLERGET Nataël")</f>
        <v>CLERGET Nataël</v>
      </c>
      <c r="B70" s="12" t="str">
        <f ca="1">IFERROR(__xludf.DUMMYFUNCTION("""COMPUTED_VALUE"""),"H")</f>
        <v>H</v>
      </c>
      <c r="C70" s="13">
        <f ca="1">IFERROR(__xludf.DUMMYFUNCTION("""COMPUTED_VALUE"""),40055)</f>
        <v>40055</v>
      </c>
      <c r="D70" s="12" t="str">
        <f ca="1">IFERROR(__xludf.DUMMYFUNCTION("""COMPUTED_VALUE"""),"MINIMES")</f>
        <v>MINIMES</v>
      </c>
      <c r="E70" s="14" t="str">
        <f ca="1">IFERROR(__xludf.DUMMYFUNCTION("""COMPUTED_VALUE"""),"COLLEGE")</f>
        <v>COLLEGE</v>
      </c>
      <c r="F70" s="1" t="str">
        <f ca="1">IFERROR(__xludf.DUMMYFUNCTION("""COMPUTED_VALUE"""),"BELLENEUVE")</f>
        <v>BELLENEUVE</v>
      </c>
      <c r="G70" s="12" t="str">
        <f ca="1">IFERROR(__xludf.DUMMYFUNCTION("""COMPUTED_VALUE"""),"BELLENEUVE")</f>
        <v>BELLENEUVE</v>
      </c>
      <c r="H70" s="12" t="str">
        <f t="shared" ca="1" si="0"/>
        <v>COLLEGE  BELLENEUVE  BELLENEUVE</v>
      </c>
      <c r="I70" s="6"/>
      <c r="J70" s="12" t="str">
        <f ca="1">IFERROR(__xludf.DUMMYFUNCTION("""COMPUTED_VALUE"""),"OK")</f>
        <v>OK</v>
      </c>
      <c r="K70" s="12" t="str">
        <f ca="1">IFERROR(__xludf.DUMMYFUNCTION("""COMPUTED_VALUE"""),"clergetemilie@yahoo.fr")</f>
        <v>clergetemilie@yahoo.fr</v>
      </c>
      <c r="L70" s="12" t="str">
        <f ca="1">IFERROR(__xludf.DUMMYFUNCTION("""COMPUTED_VALUE"""),"06 88 39 53 28")</f>
        <v>06 88 39 53 28</v>
      </c>
      <c r="M70" s="12" t="str">
        <f ca="1">IFERROR(__xludf.DUMMYFUNCTION("""COMPUTED_VALUE"""),"25170 BURGILLE")</f>
        <v>25170 BURGILLE</v>
      </c>
      <c r="N70" s="6"/>
      <c r="O70" s="6"/>
    </row>
    <row r="71" spans="1:15" ht="15.5" x14ac:dyDescent="0.35">
      <c r="A71" s="12" t="str">
        <f ca="1">IFERROR(__xludf.DUMMYFUNCTION("""COMPUTED_VALUE"""),"COMPAGNON Eloïse")</f>
        <v>COMPAGNON Eloïse</v>
      </c>
      <c r="B71" s="12" t="str">
        <f ca="1">IFERROR(__xludf.DUMMYFUNCTION("""COMPUTED_VALUE"""),"F")</f>
        <v>F</v>
      </c>
      <c r="C71" s="13">
        <f ca="1">IFERROR(__xludf.DUMMYFUNCTION("""COMPUTED_VALUE"""),39823)</f>
        <v>39823</v>
      </c>
      <c r="D71" s="12" t="str">
        <f ca="1">IFERROR(__xludf.DUMMYFUNCTION("""COMPUTED_VALUE"""),"MINIMES")</f>
        <v>MINIMES</v>
      </c>
      <c r="E71" s="14" t="str">
        <f ca="1">IFERROR(__xludf.DUMMYFUNCTION("""COMPUTED_VALUE"""),"COLLEGE")</f>
        <v>COLLEGE</v>
      </c>
      <c r="F71" s="1" t="str">
        <f ca="1">IFERROR(__xludf.DUMMYFUNCTION("""COMPUTED_VALUE"""),"BELLENEUVE")</f>
        <v>BELLENEUVE</v>
      </c>
      <c r="G71" s="12" t="str">
        <f ca="1">IFERROR(__xludf.DUMMYFUNCTION("""COMPUTED_VALUE"""),"BELLENEUVE")</f>
        <v>BELLENEUVE</v>
      </c>
      <c r="H71" s="12" t="str">
        <f t="shared" ca="1" si="0"/>
        <v>COLLEGE  BELLENEUVE  BELLENEUVE</v>
      </c>
      <c r="I71" s="6"/>
      <c r="J71" s="12" t="str">
        <f ca="1">IFERROR(__xludf.DUMMYFUNCTION("""COMPUTED_VALUE"""),"OK")</f>
        <v>OK</v>
      </c>
      <c r="K71" s="12" t="str">
        <f ca="1">IFERROR(__xludf.DUMMYFUNCTION("""COMPUTED_VALUE"""),"annpomm@hotmail.fr")</f>
        <v>annpomm@hotmail.fr</v>
      </c>
      <c r="L71" s="12" t="str">
        <f ca="1">IFERROR(__xludf.DUMMYFUNCTION("""COMPUTED_VALUE"""),"06 73 60 41 34")</f>
        <v>06 73 60 41 34</v>
      </c>
      <c r="M71" s="12" t="str">
        <f ca="1">IFERROR(__xludf.DUMMYFUNCTION("""COMPUTED_VALUE"""),"70100 VELET")</f>
        <v>70100 VELET</v>
      </c>
      <c r="N71" s="6"/>
      <c r="O71" s="6"/>
    </row>
    <row r="72" spans="1:15" ht="15.5" x14ac:dyDescent="0.35">
      <c r="A72" s="12" t="str">
        <f ca="1">IFERROR(__xludf.DUMMYFUNCTION("""COMPUTED_VALUE"""),"CORNEVIN Emeric")</f>
        <v>CORNEVIN Emeric</v>
      </c>
      <c r="B72" s="12" t="str">
        <f ca="1">IFERROR(__xludf.DUMMYFUNCTION("""COMPUTED_VALUE"""),"H")</f>
        <v>H</v>
      </c>
      <c r="C72" s="13">
        <f ca="1">IFERROR(__xludf.DUMMYFUNCTION("""COMPUTED_VALUE"""),39927)</f>
        <v>39927</v>
      </c>
      <c r="D72" s="12" t="str">
        <f ca="1">IFERROR(__xludf.DUMMYFUNCTION("""COMPUTED_VALUE"""),"MINIMES")</f>
        <v>MINIMES</v>
      </c>
      <c r="E72" s="14" t="str">
        <f ca="1">IFERROR(__xludf.DUMMYFUNCTION("""COMPUTED_VALUE"""),"COLLEGE")</f>
        <v>COLLEGE</v>
      </c>
      <c r="F72" s="1" t="str">
        <f ca="1">IFERROR(__xludf.DUMMYFUNCTION("""COMPUTED_VALUE"""),"BELLENEUVE")</f>
        <v>BELLENEUVE</v>
      </c>
      <c r="G72" s="12" t="str">
        <f ca="1">IFERROR(__xludf.DUMMYFUNCTION("""COMPUTED_VALUE"""),"BELLENEUVE")</f>
        <v>BELLENEUVE</v>
      </c>
      <c r="H72" s="12" t="str">
        <f t="shared" ca="1" si="0"/>
        <v>COLLEGE  BELLENEUVE  BELLENEUVE</v>
      </c>
      <c r="I72" s="6"/>
      <c r="J72" s="12" t="str">
        <f ca="1">IFERROR(__xludf.DUMMYFUNCTION("""COMPUTED_VALUE"""),"OK")</f>
        <v>OK</v>
      </c>
      <c r="K72" s="12" t="str">
        <f ca="1">IFERROR(__xludf.DUMMYFUNCTION("""COMPUTED_VALUE"""),"baptiste.cornevin@orange.fr")</f>
        <v>baptiste.cornevin@orange.fr</v>
      </c>
      <c r="L72" s="12" t="str">
        <f ca="1">IFERROR(__xludf.DUMMYFUNCTION("""COMPUTED_VALUE"""),"06 49 37 73 05")</f>
        <v>06 49 37 73 05</v>
      </c>
      <c r="M72" s="12" t="str">
        <f ca="1">IFERROR(__xludf.DUMMYFUNCTION("""COMPUTED_VALUE"""),"70700 ANGIREY")</f>
        <v>70700 ANGIREY</v>
      </c>
      <c r="N72" s="6"/>
      <c r="O72" s="6"/>
    </row>
    <row r="73" spans="1:15" ht="15.5" x14ac:dyDescent="0.35">
      <c r="A73" s="12" t="str">
        <f ca="1">IFERROR(__xludf.DUMMYFUNCTION("""COMPUTED_VALUE"""),"COURAGEAOT Victor")</f>
        <v>COURAGEAOT Victor</v>
      </c>
      <c r="B73" s="12" t="str">
        <f ca="1">IFERROR(__xludf.DUMMYFUNCTION("""COMPUTED_VALUE"""),"H")</f>
        <v>H</v>
      </c>
      <c r="C73" s="13">
        <f ca="1">IFERROR(__xludf.DUMMYFUNCTION("""COMPUTED_VALUE"""),40540)</f>
        <v>40540</v>
      </c>
      <c r="D73" s="12" t="str">
        <f ca="1">IFERROR(__xludf.DUMMYFUNCTION("""COMPUTED_VALUE"""),"MINIMES")</f>
        <v>MINIMES</v>
      </c>
      <c r="E73" s="14" t="str">
        <f ca="1">IFERROR(__xludf.DUMMYFUNCTION("""COMPUTED_VALUE"""),"COLLEGE")</f>
        <v>COLLEGE</v>
      </c>
      <c r="F73" s="1" t="str">
        <f ca="1">IFERROR(__xludf.DUMMYFUNCTION("""COMPUTED_VALUE"""),"BELLENEUVE")</f>
        <v>BELLENEUVE</v>
      </c>
      <c r="G73" s="12" t="str">
        <f ca="1">IFERROR(__xludf.DUMMYFUNCTION("""COMPUTED_VALUE"""),"BELLENEUVE")</f>
        <v>BELLENEUVE</v>
      </c>
      <c r="H73" s="12" t="str">
        <f t="shared" ca="1" si="0"/>
        <v>COLLEGE  BELLENEUVE  BELLENEUVE</v>
      </c>
      <c r="I73" s="6"/>
      <c r="J73" s="12" t="str">
        <f ca="1">IFERROR(__xludf.DUMMYFUNCTION("""COMPUTED_VALUE"""),"OK")</f>
        <v>OK</v>
      </c>
      <c r="K73" s="12" t="str">
        <f ca="1">IFERROR(__xludf.DUMMYFUNCTION("""COMPUTED_VALUE"""),"florencecourageot82@gmail.com")</f>
        <v>florencecourageot82@gmail.com</v>
      </c>
      <c r="L73" s="12" t="str">
        <f ca="1">IFERROR(__xludf.DUMMYFUNCTION("""COMPUTED_VALUE"""),"06 88 58 94 62")</f>
        <v>06 88 58 94 62</v>
      </c>
      <c r="M73" s="12" t="str">
        <f ca="1">IFERROR(__xludf.DUMMYFUNCTION("""COMPUTED_VALUE"""),"70700 GY")</f>
        <v>70700 GY</v>
      </c>
      <c r="N73" s="6"/>
      <c r="O73" s="6"/>
    </row>
    <row r="74" spans="1:15" ht="15.5" x14ac:dyDescent="0.35">
      <c r="A74" s="12" t="str">
        <f ca="1">IFERROR(__xludf.DUMMYFUNCTION("""COMPUTED_VALUE"""),"DELORME Manon")</f>
        <v>DELORME Manon</v>
      </c>
      <c r="B74" s="12" t="str">
        <f ca="1">IFERROR(__xludf.DUMMYFUNCTION("""COMPUTED_VALUE"""),"F")</f>
        <v>F</v>
      </c>
      <c r="C74" s="13">
        <f ca="1">IFERROR(__xludf.DUMMYFUNCTION("""COMPUTED_VALUE"""),39980)</f>
        <v>39980</v>
      </c>
      <c r="D74" s="12" t="str">
        <f ca="1">IFERROR(__xludf.DUMMYFUNCTION("""COMPUTED_VALUE"""),"MINIMES")</f>
        <v>MINIMES</v>
      </c>
      <c r="E74" s="14" t="str">
        <f ca="1">IFERROR(__xludf.DUMMYFUNCTION("""COMPUTED_VALUE"""),"COLLEGE")</f>
        <v>COLLEGE</v>
      </c>
      <c r="F74" s="1" t="str">
        <f ca="1">IFERROR(__xludf.DUMMYFUNCTION("""COMPUTED_VALUE"""),"BELLENEUVE")</f>
        <v>BELLENEUVE</v>
      </c>
      <c r="G74" s="12" t="str">
        <f ca="1">IFERROR(__xludf.DUMMYFUNCTION("""COMPUTED_VALUE"""),"BELLENEUVE")</f>
        <v>BELLENEUVE</v>
      </c>
      <c r="H74" s="12" t="str">
        <f t="shared" ca="1" si="0"/>
        <v>COLLEGE  BELLENEUVE  BELLENEUVE</v>
      </c>
      <c r="I74" s="6"/>
      <c r="J74" s="12" t="str">
        <f ca="1">IFERROR(__xludf.DUMMYFUNCTION("""COMPUTED_VALUE"""),"OK")</f>
        <v>OK</v>
      </c>
      <c r="K74" s="12"/>
      <c r="L74" s="12" t="str">
        <f ca="1">IFERROR(__xludf.DUMMYFUNCTION("""COMPUTED_VALUE"""),"06 85 28 10 76")</f>
        <v>06 85 28 10 76</v>
      </c>
      <c r="M74" s="12" t="str">
        <f ca="1">IFERROR(__xludf.DUMMYFUNCTION("""COMPUTED_VALUE"""),"21610 FONTENELLE")</f>
        <v>21610 FONTENELLE</v>
      </c>
      <c r="N74" s="6"/>
      <c r="O74" s="6"/>
    </row>
    <row r="75" spans="1:15" ht="15.5" x14ac:dyDescent="0.35">
      <c r="A75" s="12" t="str">
        <f ca="1">IFERROR(__xludf.DUMMYFUNCTION("""COMPUTED_VALUE"""),"DELPOUX Maxence")</f>
        <v>DELPOUX Maxence</v>
      </c>
      <c r="B75" s="12" t="str">
        <f ca="1">IFERROR(__xludf.DUMMYFUNCTION("""COMPUTED_VALUE"""),"H")</f>
        <v>H</v>
      </c>
      <c r="C75" s="13">
        <f ca="1">IFERROR(__xludf.DUMMYFUNCTION("""COMPUTED_VALUE"""),40448)</f>
        <v>40448</v>
      </c>
      <c r="D75" s="12" t="str">
        <f ca="1">IFERROR(__xludf.DUMMYFUNCTION("""COMPUTED_VALUE"""),"MINIMES")</f>
        <v>MINIMES</v>
      </c>
      <c r="E75" s="14" t="str">
        <f ca="1">IFERROR(__xludf.DUMMYFUNCTION("""COMPUTED_VALUE"""),"COLLEGE")</f>
        <v>COLLEGE</v>
      </c>
      <c r="F75" s="1" t="str">
        <f ca="1">IFERROR(__xludf.DUMMYFUNCTION("""COMPUTED_VALUE"""),"BELLENEUVE")</f>
        <v>BELLENEUVE</v>
      </c>
      <c r="G75" s="12" t="str">
        <f ca="1">IFERROR(__xludf.DUMMYFUNCTION("""COMPUTED_VALUE"""),"BELLENEUVE")</f>
        <v>BELLENEUVE</v>
      </c>
      <c r="H75" s="12" t="str">
        <f t="shared" ca="1" si="0"/>
        <v>COLLEGE  BELLENEUVE  BELLENEUVE</v>
      </c>
      <c r="I75" s="6"/>
      <c r="J75" s="12" t="str">
        <f ca="1">IFERROR(__xludf.DUMMYFUNCTION("""COMPUTED_VALUE"""),"OK")</f>
        <v>OK</v>
      </c>
      <c r="K75" s="12" t="str">
        <f ca="1">IFERROR(__xludf.DUMMYFUNCTION("""COMPUTED_VALUE"""),"aurel.sab@free.fr")</f>
        <v>aurel.sab@free.fr</v>
      </c>
      <c r="L75" s="12" t="str">
        <f ca="1">IFERROR(__xludf.DUMMYFUNCTION("""COMPUTED_VALUE"""),"06 74 87 40 93")</f>
        <v>06 74 87 40 93</v>
      </c>
      <c r="M75" s="12" t="str">
        <f ca="1">IFERROR(__xludf.DUMMYFUNCTION("""COMPUTED_VALUE"""),"70120 FRETIGNEY")</f>
        <v>70120 FRETIGNEY</v>
      </c>
      <c r="N75" s="6"/>
      <c r="O75" s="6"/>
    </row>
    <row r="76" spans="1:15" ht="15.5" x14ac:dyDescent="0.35">
      <c r="A76" s="12" t="str">
        <f ca="1">IFERROR(__xludf.DUMMYFUNCTION("""COMPUTED_VALUE"""),"DONDOLINI Emy")</f>
        <v>DONDOLINI Emy</v>
      </c>
      <c r="B76" s="12" t="str">
        <f ca="1">IFERROR(__xludf.DUMMYFUNCTION("""COMPUTED_VALUE"""),"F")</f>
        <v>F</v>
      </c>
      <c r="C76" s="13">
        <f ca="1">IFERROR(__xludf.DUMMYFUNCTION("""COMPUTED_VALUE"""),39936)</f>
        <v>39936</v>
      </c>
      <c r="D76" s="12" t="str">
        <f ca="1">IFERROR(__xludf.DUMMYFUNCTION("""COMPUTED_VALUE"""),"MINIMES")</f>
        <v>MINIMES</v>
      </c>
      <c r="E76" s="14" t="str">
        <f ca="1">IFERROR(__xludf.DUMMYFUNCTION("""COMPUTED_VALUE"""),"COLLEGE")</f>
        <v>COLLEGE</v>
      </c>
      <c r="F76" s="1" t="str">
        <f ca="1">IFERROR(__xludf.DUMMYFUNCTION("""COMPUTED_VALUE"""),"BELLENEUVE")</f>
        <v>BELLENEUVE</v>
      </c>
      <c r="G76" s="12" t="str">
        <f ca="1">IFERROR(__xludf.DUMMYFUNCTION("""COMPUTED_VALUE"""),"BELLENEUVE")</f>
        <v>BELLENEUVE</v>
      </c>
      <c r="H76" s="12" t="str">
        <f t="shared" ca="1" si="0"/>
        <v>COLLEGE  BELLENEUVE  BELLENEUVE</v>
      </c>
      <c r="I76" s="6"/>
      <c r="J76" s="12" t="str">
        <f ca="1">IFERROR(__xludf.DUMMYFUNCTION("""COMPUTED_VALUE"""),"OK")</f>
        <v>OK</v>
      </c>
      <c r="K76" s="12" t="str">
        <f ca="1">IFERROR(__xludf.DUMMYFUNCTION("""COMPUTED_VALUE"""),"anthony.dondolini@sfr.fr")</f>
        <v>anthony.dondolini@sfr.fr</v>
      </c>
      <c r="L76" s="12" t="str">
        <f ca="1">IFERROR(__xludf.DUMMYFUNCTION("""COMPUTED_VALUE"""),"06 86 01 26 65")</f>
        <v>06 86 01 26 65</v>
      </c>
      <c r="M76" s="12" t="str">
        <f ca="1">IFERROR(__xludf.DUMMYFUNCTION("""COMPUTED_VALUE"""),"70200 VY LES LURE")</f>
        <v>70200 VY LES LURE</v>
      </c>
      <c r="N76" s="6"/>
      <c r="O76" s="6"/>
    </row>
    <row r="77" spans="1:15" ht="15.5" x14ac:dyDescent="0.35">
      <c r="A77" s="12" t="str">
        <f ca="1">IFERROR(__xludf.DUMMYFUNCTION("""COMPUTED_VALUE"""),"FRANTZ-GUYOT Dorian")</f>
        <v>FRANTZ-GUYOT Dorian</v>
      </c>
      <c r="B77" s="12" t="str">
        <f ca="1">IFERROR(__xludf.DUMMYFUNCTION("""COMPUTED_VALUE"""),"H")</f>
        <v>H</v>
      </c>
      <c r="C77" s="13">
        <f ca="1">IFERROR(__xludf.DUMMYFUNCTION("""COMPUTED_VALUE"""),40309)</f>
        <v>40309</v>
      </c>
      <c r="D77" s="12" t="str">
        <f ca="1">IFERROR(__xludf.DUMMYFUNCTION("""COMPUTED_VALUE"""),"MINIMES")</f>
        <v>MINIMES</v>
      </c>
      <c r="E77" s="14" t="str">
        <f ca="1">IFERROR(__xludf.DUMMYFUNCTION("""COMPUTED_VALUE"""),"COLLEGE")</f>
        <v>COLLEGE</v>
      </c>
      <c r="F77" s="1" t="str">
        <f ca="1">IFERROR(__xludf.DUMMYFUNCTION("""COMPUTED_VALUE"""),"BELLENEUVE")</f>
        <v>BELLENEUVE</v>
      </c>
      <c r="G77" s="12" t="str">
        <f ca="1">IFERROR(__xludf.DUMMYFUNCTION("""COMPUTED_VALUE"""),"BELLENEUVE")</f>
        <v>BELLENEUVE</v>
      </c>
      <c r="H77" s="12" t="str">
        <f t="shared" ca="1" si="0"/>
        <v>COLLEGE  BELLENEUVE  BELLENEUVE</v>
      </c>
      <c r="I77" s="6"/>
      <c r="J77" s="12" t="str">
        <f ca="1">IFERROR(__xludf.DUMMYFUNCTION("""COMPUTED_VALUE"""),"OK")</f>
        <v>OK</v>
      </c>
      <c r="K77" s="12" t="str">
        <f ca="1">IFERROR(__xludf.DUMMYFUNCTION("""COMPUTED_VALUE"""),"erico70@hotmail.fr")</f>
        <v>erico70@hotmail.fr</v>
      </c>
      <c r="L77" s="12" t="str">
        <f ca="1">IFERROR(__xludf.DUMMYFUNCTION("""COMPUTED_VALUE"""),"06 88 74 64 28")</f>
        <v>06 88 74 64 28</v>
      </c>
      <c r="M77" s="12" t="str">
        <f ca="1">IFERROR(__xludf.DUMMYFUNCTION("""COMPUTED_VALUE"""),"70600 CHAMPLITTE")</f>
        <v>70600 CHAMPLITTE</v>
      </c>
      <c r="N77" s="6"/>
      <c r="O77" s="6"/>
    </row>
    <row r="78" spans="1:15" ht="15.5" x14ac:dyDescent="0.35">
      <c r="A78" s="12" t="str">
        <f ca="1">IFERROR(__xludf.DUMMYFUNCTION("""COMPUTED_VALUE"""),"GAUTHIER Lisa")</f>
        <v>GAUTHIER Lisa</v>
      </c>
      <c r="B78" s="12" t="str">
        <f ca="1">IFERROR(__xludf.DUMMYFUNCTION("""COMPUTED_VALUE"""),"F")</f>
        <v>F</v>
      </c>
      <c r="C78" s="13">
        <f ca="1">IFERROR(__xludf.DUMMYFUNCTION("""COMPUTED_VALUE"""),40219)</f>
        <v>40219</v>
      </c>
      <c r="D78" s="12" t="str">
        <f ca="1">IFERROR(__xludf.DUMMYFUNCTION("""COMPUTED_VALUE"""),"MINIMES")</f>
        <v>MINIMES</v>
      </c>
      <c r="E78" s="14" t="str">
        <f ca="1">IFERROR(__xludf.DUMMYFUNCTION("""COMPUTED_VALUE"""),"COLLEGE")</f>
        <v>COLLEGE</v>
      </c>
      <c r="F78" s="1" t="str">
        <f ca="1">IFERROR(__xludf.DUMMYFUNCTION("""COMPUTED_VALUE"""),"BELLENEUVE")</f>
        <v>BELLENEUVE</v>
      </c>
      <c r="G78" s="12" t="str">
        <f ca="1">IFERROR(__xludf.DUMMYFUNCTION("""COMPUTED_VALUE"""),"BELLENEUVE")</f>
        <v>BELLENEUVE</v>
      </c>
      <c r="H78" s="12" t="str">
        <f t="shared" ca="1" si="0"/>
        <v>COLLEGE  BELLENEUVE  BELLENEUVE</v>
      </c>
      <c r="I78" s="6"/>
      <c r="J78" s="12" t="str">
        <f ca="1">IFERROR(__xludf.DUMMYFUNCTION("""COMPUTED_VALUE"""),"OK")</f>
        <v>OK</v>
      </c>
      <c r="K78" s="12" t="str">
        <f ca="1">IFERROR(__xludf.DUMMYFUNCTION("""COMPUTED_VALUE"""),"floetmanu@orange.fr")</f>
        <v>floetmanu@orange.fr</v>
      </c>
      <c r="L78" s="12" t="str">
        <f ca="1">IFERROR(__xludf.DUMMYFUNCTION("""COMPUTED_VALUE"""),"03 84 31 67 21")</f>
        <v>03 84 31 67 21</v>
      </c>
      <c r="M78" s="12" t="str">
        <f ca="1">IFERROR(__xludf.DUMMYFUNCTION("""COMPUTED_VALUE"""),"70140 VALAY")</f>
        <v>70140 VALAY</v>
      </c>
      <c r="N78" s="6"/>
      <c r="O78" s="6"/>
    </row>
    <row r="79" spans="1:15" ht="15.5" x14ac:dyDescent="0.35">
      <c r="A79" s="12" t="str">
        <f ca="1">IFERROR(__xludf.DUMMYFUNCTION("""COMPUTED_VALUE"""),"GAUTHIER Zélie")</f>
        <v>GAUTHIER Zélie</v>
      </c>
      <c r="B79" s="12" t="str">
        <f ca="1">IFERROR(__xludf.DUMMYFUNCTION("""COMPUTED_VALUE"""),"F")</f>
        <v>F</v>
      </c>
      <c r="C79" s="13">
        <f ca="1">IFERROR(__xludf.DUMMYFUNCTION("""COMPUTED_VALUE"""),40170)</f>
        <v>40170</v>
      </c>
      <c r="D79" s="12" t="str">
        <f ca="1">IFERROR(__xludf.DUMMYFUNCTION("""COMPUTED_VALUE"""),"MINIMES")</f>
        <v>MINIMES</v>
      </c>
      <c r="E79" s="14" t="str">
        <f ca="1">IFERROR(__xludf.DUMMYFUNCTION("""COMPUTED_VALUE"""),"COLLEGE")</f>
        <v>COLLEGE</v>
      </c>
      <c r="F79" s="1" t="str">
        <f ca="1">IFERROR(__xludf.DUMMYFUNCTION("""COMPUTED_VALUE"""),"BELLENEUVE")</f>
        <v>BELLENEUVE</v>
      </c>
      <c r="G79" s="12" t="str">
        <f ca="1">IFERROR(__xludf.DUMMYFUNCTION("""COMPUTED_VALUE"""),"BELLENEUVE")</f>
        <v>BELLENEUVE</v>
      </c>
      <c r="H79" s="12" t="str">
        <f t="shared" ca="1" si="0"/>
        <v>COLLEGE  BELLENEUVE  BELLENEUVE</v>
      </c>
      <c r="I79" s="6"/>
      <c r="J79" s="12" t="str">
        <f ca="1">IFERROR(__xludf.DUMMYFUNCTION("""COMPUTED_VALUE"""),"OK")</f>
        <v>OK</v>
      </c>
      <c r="K79" s="12"/>
      <c r="L79" s="12" t="str">
        <f ca="1">IFERROR(__xludf.DUMMYFUNCTION("""COMPUTED_VALUE"""),"06 38 80 20 42")</f>
        <v>06 38 80 20 42</v>
      </c>
      <c r="M79" s="12" t="str">
        <f ca="1">IFERROR(__xludf.DUMMYFUNCTION("""COMPUTED_VALUE"""),"70100 ANCIER")</f>
        <v>70100 ANCIER</v>
      </c>
      <c r="N79" s="6"/>
      <c r="O79" s="6"/>
    </row>
    <row r="80" spans="1:15" ht="15.5" x14ac:dyDescent="0.35">
      <c r="A80" s="12" t="str">
        <f ca="1">IFERROR(__xludf.DUMMYFUNCTION("""COMPUTED_VALUE"""),"GENIN Aaron")</f>
        <v>GENIN Aaron</v>
      </c>
      <c r="B80" s="12" t="str">
        <f ca="1">IFERROR(__xludf.DUMMYFUNCTION("""COMPUTED_VALUE"""),"H")</f>
        <v>H</v>
      </c>
      <c r="C80" s="13">
        <f ca="1">IFERROR(__xludf.DUMMYFUNCTION("""COMPUTED_VALUE"""),40238)</f>
        <v>40238</v>
      </c>
      <c r="D80" s="12" t="str">
        <f ca="1">IFERROR(__xludf.DUMMYFUNCTION("""COMPUTED_VALUE"""),"MINIMES")</f>
        <v>MINIMES</v>
      </c>
      <c r="E80" s="14" t="str">
        <f ca="1">IFERROR(__xludf.DUMMYFUNCTION("""COMPUTED_VALUE"""),"COLLEGE")</f>
        <v>COLLEGE</v>
      </c>
      <c r="F80" s="1" t="str">
        <f ca="1">IFERROR(__xludf.DUMMYFUNCTION("""COMPUTED_VALUE"""),"BELLENEUVE")</f>
        <v>BELLENEUVE</v>
      </c>
      <c r="G80" s="12" t="str">
        <f ca="1">IFERROR(__xludf.DUMMYFUNCTION("""COMPUTED_VALUE"""),"BELLENEUVE")</f>
        <v>BELLENEUVE</v>
      </c>
      <c r="H80" s="12" t="str">
        <f t="shared" ca="1" si="0"/>
        <v>COLLEGE  BELLENEUVE  BELLENEUVE</v>
      </c>
      <c r="I80" s="6"/>
      <c r="J80" s="12" t="str">
        <f ca="1">IFERROR(__xludf.DUMMYFUNCTION("""COMPUTED_VALUE"""),"OK")</f>
        <v>OK</v>
      </c>
      <c r="K80" s="12" t="str">
        <f ca="1">IFERROR(__xludf.DUMMYFUNCTION("""COMPUTED_VALUE"""),"mikalex.esmoulins@orange.fr")</f>
        <v>mikalex.esmoulins@orange.fr</v>
      </c>
      <c r="L80" s="12" t="str">
        <f ca="1">IFERROR(__xludf.DUMMYFUNCTION("""COMPUTED_VALUE"""),"06 81 84 21 87")</f>
        <v>06 81 84 21 87</v>
      </c>
      <c r="M80" s="12" t="str">
        <f ca="1">IFERROR(__xludf.DUMMYFUNCTION("""COMPUTED_VALUE"""),"70100 ESMOULINS")</f>
        <v>70100 ESMOULINS</v>
      </c>
      <c r="N80" s="6"/>
      <c r="O80" s="6"/>
    </row>
    <row r="81" spans="1:15" ht="15.5" x14ac:dyDescent="0.35">
      <c r="A81" s="12" t="str">
        <f ca="1">IFERROR(__xludf.DUMMYFUNCTION("""COMPUTED_VALUE"""),"GRISOT Mathéo")</f>
        <v>GRISOT Mathéo</v>
      </c>
      <c r="B81" s="12" t="str">
        <f ca="1">IFERROR(__xludf.DUMMYFUNCTION("""COMPUTED_VALUE"""),"H")</f>
        <v>H</v>
      </c>
      <c r="C81" s="13">
        <f ca="1">IFERROR(__xludf.DUMMYFUNCTION("""COMPUTED_VALUE"""),40437)</f>
        <v>40437</v>
      </c>
      <c r="D81" s="12" t="str">
        <f ca="1">IFERROR(__xludf.DUMMYFUNCTION("""COMPUTED_VALUE"""),"MINIMES")</f>
        <v>MINIMES</v>
      </c>
      <c r="E81" s="14" t="str">
        <f ca="1">IFERROR(__xludf.DUMMYFUNCTION("""COMPUTED_VALUE"""),"COLLEGE")</f>
        <v>COLLEGE</v>
      </c>
      <c r="F81" s="1" t="str">
        <f ca="1">IFERROR(__xludf.DUMMYFUNCTION("""COMPUTED_VALUE"""),"BELLENEUVE")</f>
        <v>BELLENEUVE</v>
      </c>
      <c r="G81" s="12" t="str">
        <f ca="1">IFERROR(__xludf.DUMMYFUNCTION("""COMPUTED_VALUE"""),"BELLENEUVE")</f>
        <v>BELLENEUVE</v>
      </c>
      <c r="H81" s="12" t="str">
        <f t="shared" ca="1" si="0"/>
        <v>COLLEGE  BELLENEUVE  BELLENEUVE</v>
      </c>
      <c r="I81" s="6"/>
      <c r="J81" s="12" t="str">
        <f ca="1">IFERROR(__xludf.DUMMYFUNCTION("""COMPUTED_VALUE"""),"OK")</f>
        <v>OK</v>
      </c>
      <c r="K81" s="12" t="str">
        <f ca="1">IFERROR(__xludf.DUMMYFUNCTION("""COMPUTED_VALUE"""),"d.thomas686@laposte.net")</f>
        <v>d.thomas686@laposte.net</v>
      </c>
      <c r="L81" s="12" t="str">
        <f ca="1">IFERROR(__xludf.DUMMYFUNCTION("""COMPUTED_VALUE"""),"07 70 27 26 65")</f>
        <v>07 70 27 26 65</v>
      </c>
      <c r="M81" s="12" t="str">
        <f ca="1">IFERROR(__xludf.DUMMYFUNCTION("""COMPUTED_VALUE"""),"70100 ANCIER")</f>
        <v>70100 ANCIER</v>
      </c>
      <c r="N81" s="6"/>
      <c r="O81" s="6"/>
    </row>
    <row r="82" spans="1:15" ht="15.5" x14ac:dyDescent="0.35">
      <c r="A82" s="12" t="str">
        <f ca="1">IFERROR(__xludf.DUMMYFUNCTION("""COMPUTED_VALUE"""),"HERMELINE PRIGIONE Grégory")</f>
        <v>HERMELINE PRIGIONE Grégory</v>
      </c>
      <c r="B82" s="12" t="str">
        <f ca="1">IFERROR(__xludf.DUMMYFUNCTION("""COMPUTED_VALUE"""),"H")</f>
        <v>H</v>
      </c>
      <c r="C82" s="13">
        <f ca="1">IFERROR(__xludf.DUMMYFUNCTION("""COMPUTED_VALUE"""),39914)</f>
        <v>39914</v>
      </c>
      <c r="D82" s="12" t="str">
        <f ca="1">IFERROR(__xludf.DUMMYFUNCTION("""COMPUTED_VALUE"""),"MINIMES")</f>
        <v>MINIMES</v>
      </c>
      <c r="E82" s="14" t="str">
        <f ca="1">IFERROR(__xludf.DUMMYFUNCTION("""COMPUTED_VALUE"""),"COLLEGE")</f>
        <v>COLLEGE</v>
      </c>
      <c r="F82" s="1" t="str">
        <f ca="1">IFERROR(__xludf.DUMMYFUNCTION("""COMPUTED_VALUE"""),"BELLENEUVE")</f>
        <v>BELLENEUVE</v>
      </c>
      <c r="G82" s="12" t="str">
        <f ca="1">IFERROR(__xludf.DUMMYFUNCTION("""COMPUTED_VALUE"""),"BELLENEUVE")</f>
        <v>BELLENEUVE</v>
      </c>
      <c r="H82" s="12" t="str">
        <f t="shared" ca="1" si="0"/>
        <v>COLLEGE  BELLENEUVE  BELLENEUVE</v>
      </c>
      <c r="I82" s="6"/>
      <c r="J82" s="12" t="str">
        <f ca="1">IFERROR(__xludf.DUMMYFUNCTION("""COMPUTED_VALUE"""),"OK")</f>
        <v>OK</v>
      </c>
      <c r="K82" s="12" t="str">
        <f ca="1">IFERROR(__xludf.DUMMYFUNCTION("""COMPUTED_VALUE"""),"sad.angélique.prigione@gmail.com")</f>
        <v>sad.angélique.prigione@gmail.com</v>
      </c>
      <c r="L82" s="12" t="str">
        <f ca="1">IFERROR(__xludf.DUMMYFUNCTION("""COMPUTED_VALUE"""),"06 25 84 20 10")</f>
        <v>06 25 84 20 10</v>
      </c>
      <c r="M82" s="12" t="str">
        <f ca="1">IFERROR(__xludf.DUMMYFUNCTION("""COMPUTED_VALUE"""),"70100 AUVET")</f>
        <v>70100 AUVET</v>
      </c>
      <c r="N82" s="6"/>
      <c r="O82" s="6"/>
    </row>
    <row r="83" spans="1:15" ht="15.5" x14ac:dyDescent="0.35">
      <c r="A83" s="12" t="str">
        <f ca="1">IFERROR(__xludf.DUMMYFUNCTION("""COMPUTED_VALUE"""),"HORVAT Lise")</f>
        <v>HORVAT Lise</v>
      </c>
      <c r="B83" s="12" t="str">
        <f ca="1">IFERROR(__xludf.DUMMYFUNCTION("""COMPUTED_VALUE"""),"F")</f>
        <v>F</v>
      </c>
      <c r="C83" s="13">
        <f ca="1">IFERROR(__xludf.DUMMYFUNCTION("""COMPUTED_VALUE"""),40070)</f>
        <v>40070</v>
      </c>
      <c r="D83" s="12" t="str">
        <f ca="1">IFERROR(__xludf.DUMMYFUNCTION("""COMPUTED_VALUE"""),"MINIMES")</f>
        <v>MINIMES</v>
      </c>
      <c r="E83" s="14" t="str">
        <f ca="1">IFERROR(__xludf.DUMMYFUNCTION("""COMPUTED_VALUE"""),"COLLEGE")</f>
        <v>COLLEGE</v>
      </c>
      <c r="F83" s="1" t="str">
        <f ca="1">IFERROR(__xludf.DUMMYFUNCTION("""COMPUTED_VALUE"""),"BELLENEUVE")</f>
        <v>BELLENEUVE</v>
      </c>
      <c r="G83" s="12" t="str">
        <f ca="1">IFERROR(__xludf.DUMMYFUNCTION("""COMPUTED_VALUE"""),"BELLENEUVE")</f>
        <v>BELLENEUVE</v>
      </c>
      <c r="H83" s="12" t="str">
        <f t="shared" ca="1" si="0"/>
        <v>COLLEGE  BELLENEUVE  BELLENEUVE</v>
      </c>
      <c r="I83" s="6"/>
      <c r="J83" s="12" t="str">
        <f ca="1">IFERROR(__xludf.DUMMYFUNCTION("""COMPUTED_VALUE"""),"OK")</f>
        <v>OK</v>
      </c>
      <c r="K83" s="12" t="str">
        <f ca="1">IFERROR(__xludf.DUMMYFUNCTION("""COMPUTED_VALUE"""),"corinepasquier@orange.fr")</f>
        <v>corinepasquier@orange.fr</v>
      </c>
      <c r="L83" s="12" t="str">
        <f ca="1">IFERROR(__xludf.DUMMYFUNCTION("""COMPUTED_VALUE"""),"06 81 11 61 27")</f>
        <v>06 81 11 61 27</v>
      </c>
      <c r="M83" s="12" t="str">
        <f ca="1">IFERROR(__xludf.DUMMYFUNCTION("""COMPUTED_VALUE"""),"70100 GRAY LA VILLE")</f>
        <v>70100 GRAY LA VILLE</v>
      </c>
      <c r="N83" s="6"/>
      <c r="O83" s="6"/>
    </row>
    <row r="84" spans="1:15" ht="15.5" x14ac:dyDescent="0.35">
      <c r="A84" s="12" t="str">
        <f ca="1">IFERROR(__xludf.DUMMYFUNCTION("""COMPUTED_VALUE"""),"HUBLARD Céleste")</f>
        <v>HUBLARD Céleste</v>
      </c>
      <c r="B84" s="12" t="str">
        <f ca="1">IFERROR(__xludf.DUMMYFUNCTION("""COMPUTED_VALUE"""),"F")</f>
        <v>F</v>
      </c>
      <c r="C84" s="13">
        <f ca="1">IFERROR(__xludf.DUMMYFUNCTION("""COMPUTED_VALUE"""),40420)</f>
        <v>40420</v>
      </c>
      <c r="D84" s="12" t="str">
        <f ca="1">IFERROR(__xludf.DUMMYFUNCTION("""COMPUTED_VALUE"""),"MINIMES")</f>
        <v>MINIMES</v>
      </c>
      <c r="E84" s="14" t="str">
        <f ca="1">IFERROR(__xludf.DUMMYFUNCTION("""COMPUTED_VALUE"""),"COLLEGE")</f>
        <v>COLLEGE</v>
      </c>
      <c r="F84" s="1" t="str">
        <f ca="1">IFERROR(__xludf.DUMMYFUNCTION("""COMPUTED_VALUE"""),"BELLENEUVE")</f>
        <v>BELLENEUVE</v>
      </c>
      <c r="G84" s="12" t="str">
        <f ca="1">IFERROR(__xludf.DUMMYFUNCTION("""COMPUTED_VALUE"""),"BELLENEUVE")</f>
        <v>BELLENEUVE</v>
      </c>
      <c r="H84" s="12" t="str">
        <f t="shared" ca="1" si="0"/>
        <v>COLLEGE  BELLENEUVE  BELLENEUVE</v>
      </c>
      <c r="I84" s="6"/>
      <c r="J84" s="12" t="str">
        <f ca="1">IFERROR(__xludf.DUMMYFUNCTION("""COMPUTED_VALUE"""),"OK")</f>
        <v>OK</v>
      </c>
      <c r="K84" s="12" t="str">
        <f ca="1">IFERROR(__xludf.DUMMYFUNCTION("""COMPUTED_VALUE"""),"emeline.revoy@orange.fr")</f>
        <v>emeline.revoy@orange.fr</v>
      </c>
      <c r="L84" s="12" t="str">
        <f ca="1">IFERROR(__xludf.DUMMYFUNCTION("""COMPUTED_VALUE"""),"06 86 63 36 75")</f>
        <v>06 86 63 36 75</v>
      </c>
      <c r="M84" s="12" t="str">
        <f ca="1">IFERROR(__xludf.DUMMYFUNCTION("""COMPUTED_VALUE"""),"70100 CHARGEY LES GRAY")</f>
        <v>70100 CHARGEY LES GRAY</v>
      </c>
      <c r="N84" s="6"/>
      <c r="O84" s="6"/>
    </row>
    <row r="85" spans="1:15" ht="15.5" x14ac:dyDescent="0.35">
      <c r="A85" s="12" t="str">
        <f ca="1">IFERROR(__xludf.DUMMYFUNCTION("""COMPUTED_VALUE"""),"HUGOT Zoé")</f>
        <v>HUGOT Zoé</v>
      </c>
      <c r="B85" s="12" t="str">
        <f ca="1">IFERROR(__xludf.DUMMYFUNCTION("""COMPUTED_VALUE"""),"F")</f>
        <v>F</v>
      </c>
      <c r="C85" s="13">
        <f ca="1">IFERROR(__xludf.DUMMYFUNCTION("""COMPUTED_VALUE"""),39894)</f>
        <v>39894</v>
      </c>
      <c r="D85" s="12" t="str">
        <f ca="1">IFERROR(__xludf.DUMMYFUNCTION("""COMPUTED_VALUE"""),"MINIMES")</f>
        <v>MINIMES</v>
      </c>
      <c r="E85" s="14" t="str">
        <f ca="1">IFERROR(__xludf.DUMMYFUNCTION("""COMPUTED_VALUE"""),"COLLEGE")</f>
        <v>COLLEGE</v>
      </c>
      <c r="F85" s="1" t="str">
        <f ca="1">IFERROR(__xludf.DUMMYFUNCTION("""COMPUTED_VALUE"""),"BELLENEUVE")</f>
        <v>BELLENEUVE</v>
      </c>
      <c r="G85" s="12" t="str">
        <f ca="1">IFERROR(__xludf.DUMMYFUNCTION("""COMPUTED_VALUE"""),"BELLENEUVE")</f>
        <v>BELLENEUVE</v>
      </c>
      <c r="H85" s="12" t="str">
        <f t="shared" ca="1" si="0"/>
        <v>COLLEGE  BELLENEUVE  BELLENEUVE</v>
      </c>
      <c r="I85" s="6"/>
      <c r="J85" s="12" t="str">
        <f ca="1">IFERROR(__xludf.DUMMYFUNCTION("""COMPUTED_VALUE"""),"OK")</f>
        <v>OK</v>
      </c>
      <c r="K85" s="12" t="str">
        <f ca="1">IFERROR(__xludf.DUMMYFUNCTION("""COMPUTED_VALUE"""),"maximehugot@live.fr")</f>
        <v>maximehugot@live.fr</v>
      </c>
      <c r="L85" s="12" t="str">
        <f ca="1">IFERROR(__xludf.DUMMYFUNCTION("""COMPUTED_VALUE"""),"06 47 04 60 43")</f>
        <v>06 47 04 60 43</v>
      </c>
      <c r="M85" s="12" t="str">
        <f ca="1">IFERROR(__xludf.DUMMYFUNCTION("""COMPUTED_VALUE"""),"70100 GRAY")</f>
        <v>70100 GRAY</v>
      </c>
      <c r="N85" s="6"/>
      <c r="O85" s="6"/>
    </row>
    <row r="86" spans="1:15" ht="15.5" x14ac:dyDescent="0.35">
      <c r="A86" s="12" t="str">
        <f ca="1">IFERROR(__xludf.DUMMYFUNCTION("""COMPUTED_VALUE"""),"JAMINET Shanna")</f>
        <v>JAMINET Shanna</v>
      </c>
      <c r="B86" s="12" t="str">
        <f ca="1">IFERROR(__xludf.DUMMYFUNCTION("""COMPUTED_VALUE"""),"F")</f>
        <v>F</v>
      </c>
      <c r="C86" s="13">
        <f ca="1">IFERROR(__xludf.DUMMYFUNCTION("""COMPUTED_VALUE"""),39946)</f>
        <v>39946</v>
      </c>
      <c r="D86" s="12" t="str">
        <f ca="1">IFERROR(__xludf.DUMMYFUNCTION("""COMPUTED_VALUE"""),"MINIMES")</f>
        <v>MINIMES</v>
      </c>
      <c r="E86" s="14" t="str">
        <f ca="1">IFERROR(__xludf.DUMMYFUNCTION("""COMPUTED_VALUE"""),"COLLEGE")</f>
        <v>COLLEGE</v>
      </c>
      <c r="F86" s="1" t="str">
        <f ca="1">IFERROR(__xludf.DUMMYFUNCTION("""COMPUTED_VALUE"""),"BELLENEUVE")</f>
        <v>BELLENEUVE</v>
      </c>
      <c r="G86" s="12" t="str">
        <f ca="1">IFERROR(__xludf.DUMMYFUNCTION("""COMPUTED_VALUE"""),"BELLENEUVE")</f>
        <v>BELLENEUVE</v>
      </c>
      <c r="H86" s="12" t="str">
        <f t="shared" ca="1" si="0"/>
        <v>COLLEGE  BELLENEUVE  BELLENEUVE</v>
      </c>
      <c r="I86" s="6"/>
      <c r="J86" s="12" t="str">
        <f ca="1">IFERROR(__xludf.DUMMYFUNCTION("""COMPUTED_VALUE"""),"OK")</f>
        <v>OK</v>
      </c>
      <c r="K86" s="12" t="str">
        <f ca="1">IFERROR(__xludf.DUMMYFUNCTION("""COMPUTED_VALUE"""),"jaminet.tiphanny@orange.fr")</f>
        <v>jaminet.tiphanny@orange.fr</v>
      </c>
      <c r="L86" s="12" t="str">
        <f ca="1">IFERROR(__xludf.DUMMYFUNCTION("""COMPUTED_VALUE"""),"06 31 85 08 66")</f>
        <v>06 31 85 08 66</v>
      </c>
      <c r="M86" s="12" t="str">
        <f ca="1">IFERROR(__xludf.DUMMYFUNCTION("""COMPUTED_VALUE"""),"70100 BEAUJEU")</f>
        <v>70100 BEAUJEU</v>
      </c>
      <c r="N86" s="6"/>
      <c r="O86" s="6"/>
    </row>
    <row r="87" spans="1:15" ht="15.5" x14ac:dyDescent="0.35">
      <c r="A87" s="12" t="str">
        <f ca="1">IFERROR(__xludf.DUMMYFUNCTION("""COMPUTED_VALUE"""),"JEANNOT Marius")</f>
        <v>JEANNOT Marius</v>
      </c>
      <c r="B87" s="12" t="str">
        <f ca="1">IFERROR(__xludf.DUMMYFUNCTION("""COMPUTED_VALUE"""),"H")</f>
        <v>H</v>
      </c>
      <c r="C87" s="13">
        <f ca="1">IFERROR(__xludf.DUMMYFUNCTION("""COMPUTED_VALUE"""),40319)</f>
        <v>40319</v>
      </c>
      <c r="D87" s="12" t="str">
        <f ca="1">IFERROR(__xludf.DUMMYFUNCTION("""COMPUTED_VALUE"""),"MINIMES")</f>
        <v>MINIMES</v>
      </c>
      <c r="E87" s="14" t="str">
        <f ca="1">IFERROR(__xludf.DUMMYFUNCTION("""COMPUTED_VALUE"""),"COLLEGE")</f>
        <v>COLLEGE</v>
      </c>
      <c r="F87" s="1" t="str">
        <f ca="1">IFERROR(__xludf.DUMMYFUNCTION("""COMPUTED_VALUE"""),"BELLENEUVE")</f>
        <v>BELLENEUVE</v>
      </c>
      <c r="G87" s="12" t="str">
        <f ca="1">IFERROR(__xludf.DUMMYFUNCTION("""COMPUTED_VALUE"""),"BELLENEUVE")</f>
        <v>BELLENEUVE</v>
      </c>
      <c r="H87" s="12" t="str">
        <f t="shared" ca="1" si="0"/>
        <v>COLLEGE  BELLENEUVE  BELLENEUVE</v>
      </c>
      <c r="I87" s="6"/>
      <c r="J87" s="12" t="str">
        <f ca="1">IFERROR(__xludf.DUMMYFUNCTION("""COMPUTED_VALUE"""),"OK")</f>
        <v>OK</v>
      </c>
      <c r="K87" s="12" t="str">
        <f ca="1">IFERROR(__xludf.DUMMYFUNCTION("""COMPUTED_VALUE"""),"melanie.jeannot1@gmail.com")</f>
        <v>melanie.jeannot1@gmail.com</v>
      </c>
      <c r="L87" s="12" t="str">
        <f ca="1">IFERROR(__xludf.DUMMYFUNCTION("""COMPUTED_VALUE"""),"06 81 21 73 75")</f>
        <v>06 81 21 73 75</v>
      </c>
      <c r="M87" s="12" t="str">
        <f ca="1">IFERROR(__xludf.DUMMYFUNCTION("""COMPUTED_VALUE"""),"70100 CHARGEY LES GRAY")</f>
        <v>70100 CHARGEY LES GRAY</v>
      </c>
      <c r="N87" s="6"/>
      <c r="O87" s="6"/>
    </row>
    <row r="88" spans="1:15" ht="15.5" x14ac:dyDescent="0.35">
      <c r="A88" s="12" t="str">
        <f ca="1">IFERROR(__xludf.DUMMYFUNCTION("""COMPUTED_VALUE"""),"JULIEN Zoé")</f>
        <v>JULIEN Zoé</v>
      </c>
      <c r="B88" s="12" t="str">
        <f ca="1">IFERROR(__xludf.DUMMYFUNCTION("""COMPUTED_VALUE"""),"F")</f>
        <v>F</v>
      </c>
      <c r="C88" s="13">
        <f ca="1">IFERROR(__xludf.DUMMYFUNCTION("""COMPUTED_VALUE"""),40059)</f>
        <v>40059</v>
      </c>
      <c r="D88" s="12" t="str">
        <f ca="1">IFERROR(__xludf.DUMMYFUNCTION("""COMPUTED_VALUE"""),"MINIMES")</f>
        <v>MINIMES</v>
      </c>
      <c r="E88" s="14" t="str">
        <f ca="1">IFERROR(__xludf.DUMMYFUNCTION("""COMPUTED_VALUE"""),"COLLEGE")</f>
        <v>COLLEGE</v>
      </c>
      <c r="F88" s="1" t="str">
        <f ca="1">IFERROR(__xludf.DUMMYFUNCTION("""COMPUTED_VALUE"""),"BELLENEUVE")</f>
        <v>BELLENEUVE</v>
      </c>
      <c r="G88" s="12" t="str">
        <f ca="1">IFERROR(__xludf.DUMMYFUNCTION("""COMPUTED_VALUE"""),"BELLENEUVE")</f>
        <v>BELLENEUVE</v>
      </c>
      <c r="H88" s="12" t="str">
        <f t="shared" ca="1" si="0"/>
        <v>COLLEGE  BELLENEUVE  BELLENEUVE</v>
      </c>
      <c r="I88" s="6"/>
      <c r="J88" s="12" t="str">
        <f ca="1">IFERROR(__xludf.DUMMYFUNCTION("""COMPUTED_VALUE"""),"OK")</f>
        <v>OK</v>
      </c>
      <c r="K88" s="12" t="str">
        <f ca="1">IFERROR(__xludf.DUMMYFUNCTION("""COMPUTED_VALUE"""),"motochelozo@gmail.com")</f>
        <v>motochelozo@gmail.com</v>
      </c>
      <c r="L88" s="12" t="str">
        <f ca="1">IFERROR(__xludf.DUMMYFUNCTION("""COMPUTED_VALUE"""),"06 86 57 50 51")</f>
        <v>06 86 57 50 51</v>
      </c>
      <c r="M88" s="12" t="str">
        <f ca="1">IFERROR(__xludf.DUMMYFUNCTION("""COMPUTED_VALUE"""),"70140 MONTAGNEY")</f>
        <v>70140 MONTAGNEY</v>
      </c>
      <c r="N88" s="6"/>
      <c r="O88" s="6"/>
    </row>
    <row r="89" spans="1:15" ht="15.5" x14ac:dyDescent="0.35">
      <c r="A89" s="12" t="str">
        <f ca="1">IFERROR(__xludf.DUMMYFUNCTION("""COMPUTED_VALUE"""),"LACOMBE Benjamin")</f>
        <v>LACOMBE Benjamin</v>
      </c>
      <c r="B89" s="12" t="str">
        <f ca="1">IFERROR(__xludf.DUMMYFUNCTION("""COMPUTED_VALUE"""),"H")</f>
        <v>H</v>
      </c>
      <c r="C89" s="13">
        <f ca="1">IFERROR(__xludf.DUMMYFUNCTION("""COMPUTED_VALUE"""),39977)</f>
        <v>39977</v>
      </c>
      <c r="D89" s="12" t="str">
        <f ca="1">IFERROR(__xludf.DUMMYFUNCTION("""COMPUTED_VALUE"""),"MINIMES")</f>
        <v>MINIMES</v>
      </c>
      <c r="E89" s="14" t="str">
        <f ca="1">IFERROR(__xludf.DUMMYFUNCTION("""COMPUTED_VALUE"""),"COLLEGE")</f>
        <v>COLLEGE</v>
      </c>
      <c r="F89" s="1" t="str">
        <f ca="1">IFERROR(__xludf.DUMMYFUNCTION("""COMPUTED_VALUE"""),"BELLENEUVE")</f>
        <v>BELLENEUVE</v>
      </c>
      <c r="G89" s="12" t="str">
        <f ca="1">IFERROR(__xludf.DUMMYFUNCTION("""COMPUTED_VALUE"""),"BELLENEUVE")</f>
        <v>BELLENEUVE</v>
      </c>
      <c r="H89" s="12" t="str">
        <f t="shared" ca="1" si="0"/>
        <v>COLLEGE  BELLENEUVE  BELLENEUVE</v>
      </c>
      <c r="I89" s="6"/>
      <c r="J89" s="12" t="str">
        <f ca="1">IFERROR(__xludf.DUMMYFUNCTION("""COMPUTED_VALUE"""),"OK")</f>
        <v>OK</v>
      </c>
      <c r="K89" s="12" t="str">
        <f ca="1">IFERROR(__xludf.DUMMYFUNCTION("""COMPUTED_VALUE"""),"lacombeseb@icloud.com")</f>
        <v>lacombeseb@icloud.com</v>
      </c>
      <c r="L89" s="12" t="str">
        <f ca="1">IFERROR(__xludf.DUMMYFUNCTION("""COMPUTED_VALUE"""),"06 50 46 91 03")</f>
        <v>06 50 46 91 03</v>
      </c>
      <c r="M89" s="12" t="str">
        <f ca="1">IFERROR(__xludf.DUMMYFUNCTION("""COMPUTED_VALUE"""),"70600 FRAMONT")</f>
        <v>70600 FRAMONT</v>
      </c>
      <c r="N89" s="6"/>
      <c r="O89" s="6"/>
    </row>
    <row r="90" spans="1:15" ht="15.5" x14ac:dyDescent="0.35">
      <c r="A90" s="12" t="str">
        <f ca="1">IFERROR(__xludf.DUMMYFUNCTION("""COMPUTED_VALUE"""),"TASSI Ethan")</f>
        <v>TASSI Ethan</v>
      </c>
      <c r="B90" s="12" t="str">
        <f ca="1">IFERROR(__xludf.DUMMYFUNCTION("""COMPUTED_VALUE"""),"H")</f>
        <v>H</v>
      </c>
      <c r="C90" s="13">
        <f ca="1">IFERROR(__xludf.DUMMYFUNCTION("""COMPUTED_VALUE"""),42592)</f>
        <v>42592</v>
      </c>
      <c r="D90" s="12" t="str">
        <f ca="1">IFERROR(__xludf.DUMMYFUNCTION("""COMPUTED_VALUE"""),"EVEIL ATHLE")</f>
        <v>EVEIL ATHLE</v>
      </c>
      <c r="E90" s="14" t="str">
        <f ca="1">IFERROR(__xludf.DUMMYFUNCTION("""COMPUTED_VALUE"""),"ECOLE
")</f>
        <v xml:space="preserve">ECOLE
</v>
      </c>
      <c r="F90" s="1" t="str">
        <f ca="1">IFERROR(__xludf.DUMMYFUNCTION("""COMPUTED_VALUE"""),"BELLENEUVE")</f>
        <v>BELLENEUVE</v>
      </c>
      <c r="G90" s="12" t="str">
        <f ca="1">IFERROR(__xludf.DUMMYFUNCTION("""COMPUTED_VALUE"""),"BELLENEUVE")</f>
        <v>BELLENEUVE</v>
      </c>
      <c r="H90" s="12" t="str">
        <f t="shared" ca="1" si="0"/>
        <v>ECOLE
  BELLENEUVE  BELLENEUVE</v>
      </c>
      <c r="I90" s="6"/>
      <c r="J90" s="12"/>
      <c r="K90" s="12"/>
      <c r="L90" s="12" t="str">
        <f ca="1">IFERROR(__xludf.DUMMYFUNCTION("""COMPUTED_VALUE"""),"06 78 40 06 11")</f>
        <v>06 78 40 06 11</v>
      </c>
      <c r="M90" s="12" t="str">
        <f ca="1">IFERROR(__xludf.DUMMYFUNCTION("""COMPUTED_VALUE"""),"21310 BELLENEUVE")</f>
        <v>21310 BELLENEUVE</v>
      </c>
      <c r="N90" s="6"/>
      <c r="O90" s="6"/>
    </row>
    <row r="91" spans="1:15" ht="15.5" x14ac:dyDescent="0.35">
      <c r="A91" s="12" t="str">
        <f ca="1">IFERROR(__xludf.DUMMYFUNCTION("""COMPUTED_VALUE"""),"TEIXEIRA LOPES Mathéo")</f>
        <v>TEIXEIRA LOPES Mathéo</v>
      </c>
      <c r="B91" s="12" t="str">
        <f ca="1">IFERROR(__xludf.DUMMYFUNCTION("""COMPUTED_VALUE"""),"H")</f>
        <v>H</v>
      </c>
      <c r="C91" s="13">
        <f ca="1">IFERROR(__xludf.DUMMYFUNCTION("""COMPUTED_VALUE"""),42304)</f>
        <v>42304</v>
      </c>
      <c r="D91" s="12" t="str">
        <f ca="1">IFERROR(__xludf.DUMMYFUNCTION("""COMPUTED_VALUE"""),"EVEIL ATHLE")</f>
        <v>EVEIL ATHLE</v>
      </c>
      <c r="E91" s="14" t="str">
        <f ca="1">IFERROR(__xludf.DUMMYFUNCTION("""COMPUTED_VALUE"""),"ECOLE
")</f>
        <v xml:space="preserve">ECOLE
</v>
      </c>
      <c r="F91" s="1" t="str">
        <f ca="1">IFERROR(__xludf.DUMMYFUNCTION("""COMPUTED_VALUE"""),"BELLENEUVE")</f>
        <v>BELLENEUVE</v>
      </c>
      <c r="G91" s="12" t="str">
        <f ca="1">IFERROR(__xludf.DUMMYFUNCTION("""COMPUTED_VALUE"""),"BELLENEUVE")</f>
        <v>BELLENEUVE</v>
      </c>
      <c r="H91" s="12" t="str">
        <f t="shared" ca="1" si="0"/>
        <v>ECOLE
  BELLENEUVE  BELLENEUVE</v>
      </c>
      <c r="I91" s="6"/>
      <c r="J91" s="12"/>
      <c r="K91" s="12"/>
      <c r="L91" s="12" t="str">
        <f ca="1">IFERROR(__xludf.DUMMYFUNCTION("""COMPUTED_VALUE"""),"06 40 40 05 65")</f>
        <v>06 40 40 05 65</v>
      </c>
      <c r="M91" s="12" t="str">
        <f ca="1">IFERROR(__xludf.DUMMYFUNCTION("""COMPUTED_VALUE"""),"70100 LE TREMBLOIS")</f>
        <v>70100 LE TREMBLOIS</v>
      </c>
      <c r="N91" s="6"/>
      <c r="O91" s="6"/>
    </row>
    <row r="92" spans="1:15" ht="15.5" x14ac:dyDescent="0.35">
      <c r="A92" s="12" t="str">
        <f ca="1">IFERROR(__xludf.DUMMYFUNCTION("""COMPUTED_VALUE"""),"TELLIER Adèle")</f>
        <v>TELLIER Adèle</v>
      </c>
      <c r="B92" s="12" t="str">
        <f ca="1">IFERROR(__xludf.DUMMYFUNCTION("""COMPUTED_VALUE"""),"F")</f>
        <v>F</v>
      </c>
      <c r="C92" s="13">
        <f ca="1">IFERROR(__xludf.DUMMYFUNCTION("""COMPUTED_VALUE"""),43000)</f>
        <v>43000</v>
      </c>
      <c r="D92" s="12" t="str">
        <f ca="1">IFERROR(__xludf.DUMMYFUNCTION("""COMPUTED_VALUE"""),"EVEIL ATHLE")</f>
        <v>EVEIL ATHLE</v>
      </c>
      <c r="E92" s="14" t="str">
        <f ca="1">IFERROR(__xludf.DUMMYFUNCTION("""COMPUTED_VALUE"""),"ECOLE
")</f>
        <v xml:space="preserve">ECOLE
</v>
      </c>
      <c r="F92" s="1" t="str">
        <f ca="1">IFERROR(__xludf.DUMMYFUNCTION("""COMPUTED_VALUE"""),"BELLENEUVE")</f>
        <v>BELLENEUVE</v>
      </c>
      <c r="G92" s="12" t="str">
        <f ca="1">IFERROR(__xludf.DUMMYFUNCTION("""COMPUTED_VALUE"""),"BELLENEUVE")</f>
        <v>BELLENEUVE</v>
      </c>
      <c r="H92" s="12" t="str">
        <f t="shared" ca="1" si="0"/>
        <v>ECOLE
  BELLENEUVE  BELLENEUVE</v>
      </c>
      <c r="I92" s="6"/>
      <c r="J92" s="12"/>
      <c r="K92" s="12"/>
      <c r="L92" s="12" t="str">
        <f ca="1">IFERROR(__xludf.DUMMYFUNCTION("""COMPUTED_VALUE"""),"06 38 72 85 63")</f>
        <v>06 38 72 85 63</v>
      </c>
      <c r="M92" s="12" t="str">
        <f ca="1">IFERROR(__xludf.DUMMYFUNCTION("""COMPUTED_VALUE"""),"70100 APREMONT")</f>
        <v>70100 APREMONT</v>
      </c>
      <c r="N92" s="6"/>
      <c r="O92" s="6"/>
    </row>
    <row r="93" spans="1:15" ht="15.5" x14ac:dyDescent="0.35">
      <c r="A93" s="12" t="str">
        <f ca="1">IFERROR(__xludf.DUMMYFUNCTION("""COMPUTED_VALUE"""),"BAULARD Anthon")</f>
        <v>BAULARD Anthon</v>
      </c>
      <c r="B93" s="12" t="str">
        <f ca="1">IFERROR(__xludf.DUMMYFUNCTION("""COMPUTED_VALUE"""),"H")</f>
        <v>H</v>
      </c>
      <c r="C93" s="13">
        <f ca="1">IFERROR(__xludf.DUMMYFUNCTION("""COMPUTED_VALUE"""),40060)</f>
        <v>40060</v>
      </c>
      <c r="D93" s="12" t="str">
        <f ca="1">IFERROR(__xludf.DUMMYFUNCTION("""COMPUTED_VALUE"""),"MINIMES")</f>
        <v>MINIMES</v>
      </c>
      <c r="E93" s="14" t="str">
        <f ca="1">IFERROR(__xludf.DUMMYFUNCTION("""COMPUTED_VALUE"""),"COLLEGE")</f>
        <v>COLLEGE</v>
      </c>
      <c r="F93" s="1" t="str">
        <f ca="1">IFERROR(__xludf.DUMMYFUNCTION("""COMPUTED_VALUE"""),"BELLENEUVE")</f>
        <v>BELLENEUVE</v>
      </c>
      <c r="G93" s="12" t="str">
        <f ca="1">IFERROR(__xludf.DUMMYFUNCTION("""COMPUTED_VALUE"""),"BELLENEUVE")</f>
        <v>BELLENEUVE</v>
      </c>
      <c r="H93" s="12" t="str">
        <f t="shared" ca="1" si="0"/>
        <v>COLLEGE  BELLENEUVE  BELLENEUVE</v>
      </c>
      <c r="I93" s="6"/>
      <c r="J93" s="12"/>
      <c r="K93" s="12"/>
      <c r="L93" s="12"/>
      <c r="M93" s="12" t="str">
        <f ca="1">IFERROR(__xludf.DUMMYFUNCTION("""COMPUTED_VALUE"""),"70100 MONTUREUX")</f>
        <v>70100 MONTUREUX</v>
      </c>
      <c r="N93" s="6"/>
      <c r="O93" s="6"/>
    </row>
    <row r="94" spans="1:15" ht="15.5" x14ac:dyDescent="0.35">
      <c r="A94" s="12" t="str">
        <f ca="1">IFERROR(__xludf.DUMMYFUNCTION("""COMPUTED_VALUE"""),"BLANC Evan")</f>
        <v>BLANC Evan</v>
      </c>
      <c r="B94" s="12" t="str">
        <f ca="1">IFERROR(__xludf.DUMMYFUNCTION("""COMPUTED_VALUE"""),"H")</f>
        <v>H</v>
      </c>
      <c r="C94" s="13">
        <f ca="1">IFERROR(__xludf.DUMMYFUNCTION("""COMPUTED_VALUE"""),40477)</f>
        <v>40477</v>
      </c>
      <c r="D94" s="12" t="str">
        <f ca="1">IFERROR(__xludf.DUMMYFUNCTION("""COMPUTED_VALUE"""),"MINIMES")</f>
        <v>MINIMES</v>
      </c>
      <c r="E94" s="14" t="str">
        <f ca="1">IFERROR(__xludf.DUMMYFUNCTION("""COMPUTED_VALUE"""),"COLLEGE")</f>
        <v>COLLEGE</v>
      </c>
      <c r="F94" s="1" t="str">
        <f ca="1">IFERROR(__xludf.DUMMYFUNCTION("""COMPUTED_VALUE"""),"BELLENEUVE")</f>
        <v>BELLENEUVE</v>
      </c>
      <c r="G94" s="12" t="str">
        <f ca="1">IFERROR(__xludf.DUMMYFUNCTION("""COMPUTED_VALUE"""),"BELLENEUVE")</f>
        <v>BELLENEUVE</v>
      </c>
      <c r="H94" s="12" t="str">
        <f t="shared" ca="1" si="0"/>
        <v>COLLEGE  BELLENEUVE  BELLENEUVE</v>
      </c>
      <c r="I94" s="6"/>
      <c r="J94" s="12"/>
      <c r="K94" s="12"/>
      <c r="L94" s="12" t="str">
        <f ca="1">IFERROR(__xludf.DUMMYFUNCTION("""COMPUTED_VALUE"""),"06 81 83 11 28")</f>
        <v>06 81 83 11 28</v>
      </c>
      <c r="M94" s="12" t="str">
        <f ca="1">IFERROR(__xludf.DUMMYFUNCTION("""COMPUTED_VALUE"""),"70100 GERMIGNEY")</f>
        <v>70100 GERMIGNEY</v>
      </c>
      <c r="N94" s="6"/>
      <c r="O94" s="6"/>
    </row>
    <row r="95" spans="1:15" ht="15.5" x14ac:dyDescent="0.35">
      <c r="A95" s="12" t="str">
        <f ca="1">IFERROR(__xludf.DUMMYFUNCTION("""COMPUTED_VALUE"""),"BOISSON Eléonore")</f>
        <v>BOISSON Eléonore</v>
      </c>
      <c r="B95" s="12" t="str">
        <f ca="1">IFERROR(__xludf.DUMMYFUNCTION("""COMPUTED_VALUE"""),"F")</f>
        <v>F</v>
      </c>
      <c r="C95" s="13">
        <f ca="1">IFERROR(__xludf.DUMMYFUNCTION("""COMPUTED_VALUE"""),39891)</f>
        <v>39891</v>
      </c>
      <c r="D95" s="12" t="str">
        <f ca="1">IFERROR(__xludf.DUMMYFUNCTION("""COMPUTED_VALUE"""),"MINIMES")</f>
        <v>MINIMES</v>
      </c>
      <c r="E95" s="14" t="str">
        <f ca="1">IFERROR(__xludf.DUMMYFUNCTION("""COMPUTED_VALUE"""),"COLLEGE")</f>
        <v>COLLEGE</v>
      </c>
      <c r="F95" s="1" t="str">
        <f ca="1">IFERROR(__xludf.DUMMYFUNCTION("""COMPUTED_VALUE"""),"BELLENEUVE")</f>
        <v>BELLENEUVE</v>
      </c>
      <c r="G95" s="12" t="str">
        <f ca="1">IFERROR(__xludf.DUMMYFUNCTION("""COMPUTED_VALUE"""),"BELLENEUVE")</f>
        <v>BELLENEUVE</v>
      </c>
      <c r="H95" s="12" t="str">
        <f t="shared" ca="1" si="0"/>
        <v>COLLEGE  BELLENEUVE  BELLENEUVE</v>
      </c>
      <c r="I95" s="6"/>
      <c r="J95" s="12"/>
      <c r="K95" s="12"/>
      <c r="L95" s="12" t="str">
        <f ca="1">IFERROR(__xludf.DUMMYFUNCTION("""COMPUTED_VALUE"""),"06 30 13 11 99")</f>
        <v>06 30 13 11 99</v>
      </c>
      <c r="M95" s="12" t="str">
        <f ca="1">IFERROR(__xludf.DUMMYFUNCTION("""COMPUTED_VALUE"""),"70000 VESOUL")</f>
        <v>70000 VESOUL</v>
      </c>
      <c r="N95" s="6"/>
      <c r="O95" s="6"/>
    </row>
    <row r="96" spans="1:15" ht="15.5" x14ac:dyDescent="0.35">
      <c r="A96" s="12" t="str">
        <f ca="1">IFERROR(__xludf.DUMMYFUNCTION("""COMPUTED_VALUE"""),"BONNAIRE Nathan")</f>
        <v>BONNAIRE Nathan</v>
      </c>
      <c r="B96" s="12" t="str">
        <f ca="1">IFERROR(__xludf.DUMMYFUNCTION("""COMPUTED_VALUE"""),"H")</f>
        <v>H</v>
      </c>
      <c r="C96" s="13">
        <f ca="1">IFERROR(__xludf.DUMMYFUNCTION("""COMPUTED_VALUE"""),40249)</f>
        <v>40249</v>
      </c>
      <c r="D96" s="12" t="str">
        <f ca="1">IFERROR(__xludf.DUMMYFUNCTION("""COMPUTED_VALUE"""),"MINIMES")</f>
        <v>MINIMES</v>
      </c>
      <c r="E96" s="14" t="str">
        <f ca="1">IFERROR(__xludf.DUMMYFUNCTION("""COMPUTED_VALUE"""),"COLLEGE")</f>
        <v>COLLEGE</v>
      </c>
      <c r="F96" s="1" t="str">
        <f ca="1">IFERROR(__xludf.DUMMYFUNCTION("""COMPUTED_VALUE"""),"BELLENEUVE")</f>
        <v>BELLENEUVE</v>
      </c>
      <c r="G96" s="12" t="str">
        <f ca="1">IFERROR(__xludf.DUMMYFUNCTION("""COMPUTED_VALUE"""),"BELLENEUVE")</f>
        <v>BELLENEUVE</v>
      </c>
      <c r="H96" s="12" t="str">
        <f t="shared" ca="1" si="0"/>
        <v>COLLEGE  BELLENEUVE  BELLENEUVE</v>
      </c>
      <c r="I96" s="6"/>
      <c r="J96" s="12"/>
      <c r="K96" s="12"/>
      <c r="L96" s="12" t="str">
        <f ca="1">IFERROR(__xludf.DUMMYFUNCTION("""COMPUTED_VALUE"""),"06 89 51 01 15")</f>
        <v>06 89 51 01 15</v>
      </c>
      <c r="M96" s="12" t="str">
        <f ca="1">IFERROR(__xludf.DUMMYFUNCTION("""COMPUTED_VALUE"""),"03600 LOUROUX DE BEAUNE")</f>
        <v>03600 LOUROUX DE BEAUNE</v>
      </c>
      <c r="N96" s="6"/>
      <c r="O96" s="6"/>
    </row>
    <row r="97" spans="1:15" ht="15.5" x14ac:dyDescent="0.35">
      <c r="A97" s="12" t="str">
        <f ca="1">IFERROR(__xludf.DUMMYFUNCTION("""COMPUTED_VALUE"""),"BOSSU Romain")</f>
        <v>BOSSU Romain</v>
      </c>
      <c r="B97" s="12" t="str">
        <f ca="1">IFERROR(__xludf.DUMMYFUNCTION("""COMPUTED_VALUE"""),"H")</f>
        <v>H</v>
      </c>
      <c r="C97" s="13">
        <f ca="1">IFERROR(__xludf.DUMMYFUNCTION("""COMPUTED_VALUE"""),40007)</f>
        <v>40007</v>
      </c>
      <c r="D97" s="12" t="str">
        <f ca="1">IFERROR(__xludf.DUMMYFUNCTION("""COMPUTED_VALUE"""),"MINIMES")</f>
        <v>MINIMES</v>
      </c>
      <c r="E97" s="14" t="str">
        <f ca="1">IFERROR(__xludf.DUMMYFUNCTION("""COMPUTED_VALUE"""),"COLLEGE")</f>
        <v>COLLEGE</v>
      </c>
      <c r="F97" s="1" t="str">
        <f ca="1">IFERROR(__xludf.DUMMYFUNCTION("""COMPUTED_VALUE"""),"BELLENEUVE")</f>
        <v>BELLENEUVE</v>
      </c>
      <c r="G97" s="12" t="str">
        <f ca="1">IFERROR(__xludf.DUMMYFUNCTION("""COMPUTED_VALUE"""),"BELLENEUVE")</f>
        <v>BELLENEUVE</v>
      </c>
      <c r="H97" s="12" t="str">
        <f t="shared" ca="1" si="0"/>
        <v>COLLEGE  BELLENEUVE  BELLENEUVE</v>
      </c>
      <c r="I97" s="6"/>
      <c r="J97" s="12"/>
      <c r="K97" s="12"/>
      <c r="L97" s="12" t="str">
        <f ca="1">IFERROR(__xludf.DUMMYFUNCTION("""COMPUTED_VALUE"""),"06 88 89 60 36")</f>
        <v>06 88 89 60 36</v>
      </c>
      <c r="M97" s="12" t="str">
        <f ca="1">IFERROR(__xludf.DUMMYFUNCTION("""COMPUTED_VALUE"""),"70700 BUCEY LES GY")</f>
        <v>70700 BUCEY LES GY</v>
      </c>
      <c r="N97" s="6"/>
      <c r="O97" s="6"/>
    </row>
    <row r="98" spans="1:15" ht="15.5" x14ac:dyDescent="0.35">
      <c r="A98" s="12" t="str">
        <f ca="1">IFERROR(__xludf.DUMMYFUNCTION("""COMPUTED_VALUE"""),"BOUVIER Roxane")</f>
        <v>BOUVIER Roxane</v>
      </c>
      <c r="B98" s="12" t="str">
        <f ca="1">IFERROR(__xludf.DUMMYFUNCTION("""COMPUTED_VALUE"""),"F")</f>
        <v>F</v>
      </c>
      <c r="C98" s="13">
        <f ca="1">IFERROR(__xludf.DUMMYFUNCTION("""COMPUTED_VALUE"""),39966)</f>
        <v>39966</v>
      </c>
      <c r="D98" s="12" t="str">
        <f ca="1">IFERROR(__xludf.DUMMYFUNCTION("""COMPUTED_VALUE"""),"MINIMES")</f>
        <v>MINIMES</v>
      </c>
      <c r="E98" s="14" t="str">
        <f ca="1">IFERROR(__xludf.DUMMYFUNCTION("""COMPUTED_VALUE"""),"COLLEGE")</f>
        <v>COLLEGE</v>
      </c>
      <c r="F98" s="1" t="str">
        <f ca="1">IFERROR(__xludf.DUMMYFUNCTION("""COMPUTED_VALUE"""),"BELLENEUVE")</f>
        <v>BELLENEUVE</v>
      </c>
      <c r="G98" s="12" t="str">
        <f ca="1">IFERROR(__xludf.DUMMYFUNCTION("""COMPUTED_VALUE"""),"BELLENEUVE")</f>
        <v>BELLENEUVE</v>
      </c>
      <c r="H98" s="12" t="str">
        <f t="shared" ca="1" si="0"/>
        <v>COLLEGE  BELLENEUVE  BELLENEUVE</v>
      </c>
      <c r="I98" s="6"/>
      <c r="J98" s="12"/>
      <c r="K98" s="12"/>
      <c r="L98" s="12" t="str">
        <f ca="1">IFERROR(__xludf.DUMMYFUNCTION("""COMPUTED_VALUE"""),"06 03 96 82 13")</f>
        <v>06 03 96 82 13</v>
      </c>
      <c r="M98" s="12" t="str">
        <f ca="1">IFERROR(__xludf.DUMMYFUNCTION("""COMPUTED_VALUE"""),"70140 PESMES")</f>
        <v>70140 PESMES</v>
      </c>
      <c r="N98" s="6"/>
      <c r="O98" s="6"/>
    </row>
    <row r="99" spans="1:15" ht="15.5" x14ac:dyDescent="0.35">
      <c r="A99" s="12" t="str">
        <f ca="1">IFERROR(__xludf.DUMMYFUNCTION("""COMPUTED_VALUE"""),"BOZON Paul")</f>
        <v>BOZON Paul</v>
      </c>
      <c r="B99" s="12" t="str">
        <f ca="1">IFERROR(__xludf.DUMMYFUNCTION("""COMPUTED_VALUE"""),"H")</f>
        <v>H</v>
      </c>
      <c r="C99" s="13">
        <f ca="1">IFERROR(__xludf.DUMMYFUNCTION("""COMPUTED_VALUE"""),40407)</f>
        <v>40407</v>
      </c>
      <c r="D99" s="12" t="str">
        <f ca="1">IFERROR(__xludf.DUMMYFUNCTION("""COMPUTED_VALUE"""),"MINIMES")</f>
        <v>MINIMES</v>
      </c>
      <c r="E99" s="14" t="str">
        <f ca="1">IFERROR(__xludf.DUMMYFUNCTION("""COMPUTED_VALUE"""),"COLLEGE")</f>
        <v>COLLEGE</v>
      </c>
      <c r="F99" s="1" t="str">
        <f ca="1">IFERROR(__xludf.DUMMYFUNCTION("""COMPUTED_VALUE"""),"BELLENEUVE")</f>
        <v>BELLENEUVE</v>
      </c>
      <c r="G99" s="12" t="str">
        <f ca="1">IFERROR(__xludf.DUMMYFUNCTION("""COMPUTED_VALUE"""),"BELLENEUVE")</f>
        <v>BELLENEUVE</v>
      </c>
      <c r="H99" s="12" t="str">
        <f t="shared" ca="1" si="0"/>
        <v>COLLEGE  BELLENEUVE  BELLENEUVE</v>
      </c>
      <c r="I99" s="6"/>
      <c r="J99" s="12"/>
      <c r="K99" s="12"/>
      <c r="L99" s="12" t="str">
        <f ca="1">IFERROR(__xludf.DUMMYFUNCTION("""COMPUTED_VALUE"""),"07 89 02 31 08")</f>
        <v>07 89 02 31 08</v>
      </c>
      <c r="M99" s="12" t="str">
        <f ca="1">IFERROR(__xludf.DUMMYFUNCTION("""COMPUTED_VALUE"""),"21610 FONTENELLE")</f>
        <v>21610 FONTENELLE</v>
      </c>
      <c r="N99" s="6"/>
      <c r="O99" s="6"/>
    </row>
    <row r="100" spans="1:15" ht="15.5" x14ac:dyDescent="0.35">
      <c r="A100" s="12" t="str">
        <f ca="1">IFERROR(__xludf.DUMMYFUNCTION("""COMPUTED_VALUE"""),"BRESSON Romane")</f>
        <v>BRESSON Romane</v>
      </c>
      <c r="B100" s="12" t="str">
        <f ca="1">IFERROR(__xludf.DUMMYFUNCTION("""COMPUTED_VALUE"""),"F")</f>
        <v>F</v>
      </c>
      <c r="C100" s="13">
        <f ca="1">IFERROR(__xludf.DUMMYFUNCTION("""COMPUTED_VALUE"""),40257)</f>
        <v>40257</v>
      </c>
      <c r="D100" s="12" t="str">
        <f ca="1">IFERROR(__xludf.DUMMYFUNCTION("""COMPUTED_VALUE"""),"MINIMES")</f>
        <v>MINIMES</v>
      </c>
      <c r="E100" s="14" t="str">
        <f ca="1">IFERROR(__xludf.DUMMYFUNCTION("""COMPUTED_VALUE"""),"COLLEGE")</f>
        <v>COLLEGE</v>
      </c>
      <c r="F100" s="1" t="str">
        <f ca="1">IFERROR(__xludf.DUMMYFUNCTION("""COMPUTED_VALUE"""),"BELLENEUVE")</f>
        <v>BELLENEUVE</v>
      </c>
      <c r="G100" s="12" t="str">
        <f ca="1">IFERROR(__xludf.DUMMYFUNCTION("""COMPUTED_VALUE"""),"BELLENEUVE")</f>
        <v>BELLENEUVE</v>
      </c>
      <c r="H100" s="12" t="str">
        <f t="shared" ca="1" si="0"/>
        <v>COLLEGE  BELLENEUVE  BELLENEUVE</v>
      </c>
      <c r="I100" s="6"/>
      <c r="J100" s="12"/>
      <c r="K100" s="12"/>
      <c r="L100" s="12" t="str">
        <f ca="1">IFERROR(__xludf.DUMMYFUNCTION("""COMPUTED_VALUE"""),"06 72 90 69 91")</f>
        <v>06 72 90 69 91</v>
      </c>
      <c r="M100" s="12" t="str">
        <f ca="1">IFERROR(__xludf.DUMMYFUNCTION("""COMPUTED_VALUE"""),"70190 SORANS LES BREUREY")</f>
        <v>70190 SORANS LES BREUREY</v>
      </c>
      <c r="N100" s="6"/>
      <c r="O100" s="6"/>
    </row>
    <row r="101" spans="1:15" ht="15.5" x14ac:dyDescent="0.35">
      <c r="A101" s="12" t="str">
        <f ca="1">IFERROR(__xludf.DUMMYFUNCTION("""COMPUTED_VALUE"""),"CADET Chloé")</f>
        <v>CADET Chloé</v>
      </c>
      <c r="B101" s="12" t="str">
        <f ca="1">IFERROR(__xludf.DUMMYFUNCTION("""COMPUTED_VALUE"""),"F")</f>
        <v>F</v>
      </c>
      <c r="C101" s="13">
        <f ca="1">IFERROR(__xludf.DUMMYFUNCTION("""COMPUTED_VALUE"""),40120)</f>
        <v>40120</v>
      </c>
      <c r="D101" s="12" t="str">
        <f ca="1">IFERROR(__xludf.DUMMYFUNCTION("""COMPUTED_VALUE"""),"MINIMES")</f>
        <v>MINIMES</v>
      </c>
      <c r="E101" s="14" t="str">
        <f ca="1">IFERROR(__xludf.DUMMYFUNCTION("""COMPUTED_VALUE"""),"COLLEGE")</f>
        <v>COLLEGE</v>
      </c>
      <c r="F101" s="1" t="str">
        <f ca="1">IFERROR(__xludf.DUMMYFUNCTION("""COMPUTED_VALUE"""),"BELLENEUVE")</f>
        <v>BELLENEUVE</v>
      </c>
      <c r="G101" s="12" t="str">
        <f ca="1">IFERROR(__xludf.DUMMYFUNCTION("""COMPUTED_VALUE"""),"BELLENEUVE")</f>
        <v>BELLENEUVE</v>
      </c>
      <c r="H101" s="12" t="str">
        <f t="shared" ca="1" si="0"/>
        <v>COLLEGE  BELLENEUVE  BELLENEUVE</v>
      </c>
      <c r="I101" s="6"/>
      <c r="J101" s="12"/>
      <c r="K101" s="12"/>
      <c r="L101" s="12" t="str">
        <f ca="1">IFERROR(__xludf.DUMMYFUNCTION("""COMPUTED_VALUE"""),"06 81 04 07 99")</f>
        <v>06 81 04 07 99</v>
      </c>
      <c r="M101" s="12" t="str">
        <f ca="1">IFERROR(__xludf.DUMMYFUNCTION("""COMPUTED_VALUE"""),"21610 FONTAINE-FRANCAISE")</f>
        <v>21610 FONTAINE-FRANCAISE</v>
      </c>
      <c r="N101" s="6"/>
      <c r="O101" s="6"/>
    </row>
    <row r="102" spans="1:15" ht="15.5" x14ac:dyDescent="0.35">
      <c r="A102" s="12" t="str">
        <f ca="1">IFERROR(__xludf.DUMMYFUNCTION("""COMPUTED_VALUE"""),"CAMUSET Lucie")</f>
        <v>CAMUSET Lucie</v>
      </c>
      <c r="B102" s="12" t="str">
        <f ca="1">IFERROR(__xludf.DUMMYFUNCTION("""COMPUTED_VALUE"""),"F")</f>
        <v>F</v>
      </c>
      <c r="C102" s="13">
        <f ca="1">IFERROR(__xludf.DUMMYFUNCTION("""COMPUTED_VALUE"""),39970)</f>
        <v>39970</v>
      </c>
      <c r="D102" s="12" t="str">
        <f ca="1">IFERROR(__xludf.DUMMYFUNCTION("""COMPUTED_VALUE"""),"MINIMES")</f>
        <v>MINIMES</v>
      </c>
      <c r="E102" s="14" t="str">
        <f ca="1">IFERROR(__xludf.DUMMYFUNCTION("""COMPUTED_VALUE"""),"COLLEGE")</f>
        <v>COLLEGE</v>
      </c>
      <c r="F102" s="1" t="str">
        <f ca="1">IFERROR(__xludf.DUMMYFUNCTION("""COMPUTED_VALUE"""),"BELLENEUVE")</f>
        <v>BELLENEUVE</v>
      </c>
      <c r="G102" s="12" t="str">
        <f ca="1">IFERROR(__xludf.DUMMYFUNCTION("""COMPUTED_VALUE"""),"BELLENEUVE")</f>
        <v>BELLENEUVE</v>
      </c>
      <c r="H102" s="12" t="str">
        <f t="shared" ca="1" si="0"/>
        <v>COLLEGE  BELLENEUVE  BELLENEUVE</v>
      </c>
      <c r="I102" s="6"/>
      <c r="J102" s="12"/>
      <c r="K102" s="12"/>
      <c r="L102" s="12" t="str">
        <f ca="1">IFERROR(__xludf.DUMMYFUNCTION("""COMPUTED_VALUE"""),"06 85 31 64 37")</f>
        <v>06 85 31 64 37</v>
      </c>
      <c r="M102" s="12" t="str">
        <f ca="1">IFERROR(__xludf.DUMMYFUNCTION("""COMPUTED_VALUE"""),"70100 CHAMPTONNAY")</f>
        <v>70100 CHAMPTONNAY</v>
      </c>
      <c r="N102" s="6"/>
      <c r="O102" s="6"/>
    </row>
    <row r="103" spans="1:15" ht="15.5" x14ac:dyDescent="0.35">
      <c r="A103" s="12" t="str">
        <f ca="1">IFERROR(__xludf.DUMMYFUNCTION("""COMPUTED_VALUE"""),"CARNEIRO Tiago")</f>
        <v>CARNEIRO Tiago</v>
      </c>
      <c r="B103" s="12" t="str">
        <f ca="1">IFERROR(__xludf.DUMMYFUNCTION("""COMPUTED_VALUE"""),"H")</f>
        <v>H</v>
      </c>
      <c r="C103" s="13">
        <f ca="1">IFERROR(__xludf.DUMMYFUNCTION("""COMPUTED_VALUE"""),40327)</f>
        <v>40327</v>
      </c>
      <c r="D103" s="12" t="str">
        <f ca="1">IFERROR(__xludf.DUMMYFUNCTION("""COMPUTED_VALUE"""),"MINIMES")</f>
        <v>MINIMES</v>
      </c>
      <c r="E103" s="14" t="str">
        <f ca="1">IFERROR(__xludf.DUMMYFUNCTION("""COMPUTED_VALUE"""),"COLLEGE")</f>
        <v>COLLEGE</v>
      </c>
      <c r="F103" s="1" t="str">
        <f ca="1">IFERROR(__xludf.DUMMYFUNCTION("""COMPUTED_VALUE"""),"BELLENEUVE")</f>
        <v>BELLENEUVE</v>
      </c>
      <c r="G103" s="12" t="str">
        <f ca="1">IFERROR(__xludf.DUMMYFUNCTION("""COMPUTED_VALUE"""),"BELLENEUVE")</f>
        <v>BELLENEUVE</v>
      </c>
      <c r="H103" s="12" t="str">
        <f t="shared" ca="1" si="0"/>
        <v>COLLEGE  BELLENEUVE  BELLENEUVE</v>
      </c>
      <c r="I103" s="6"/>
      <c r="J103" s="12"/>
      <c r="K103" s="12"/>
      <c r="L103" s="12" t="str">
        <f ca="1">IFERROR(__xludf.DUMMYFUNCTION("""COMPUTED_VALUE"""),"06 32 68 94 31")</f>
        <v>06 32 68 94 31</v>
      </c>
      <c r="M103" s="12" t="str">
        <f ca="1">IFERROR(__xludf.DUMMYFUNCTION("""COMPUTED_VALUE"""),"70600 CHAMPLITTE")</f>
        <v>70600 CHAMPLITTE</v>
      </c>
      <c r="N103" s="6"/>
      <c r="O103" s="6"/>
    </row>
    <row r="104" spans="1:15" ht="15.5" x14ac:dyDescent="0.35">
      <c r="A104" s="12" t="str">
        <f ca="1">IFERROR(__xludf.DUMMYFUNCTION("""COMPUTED_VALUE"""),"CHABOZ-CHARRASSIER Lylou")</f>
        <v>CHABOZ-CHARRASSIER Lylou</v>
      </c>
      <c r="B104" s="12" t="str">
        <f ca="1">IFERROR(__xludf.DUMMYFUNCTION("""COMPUTED_VALUE"""),"F")</f>
        <v>F</v>
      </c>
      <c r="C104" s="13">
        <f ca="1">IFERROR(__xludf.DUMMYFUNCTION("""COMPUTED_VALUE"""),40512)</f>
        <v>40512</v>
      </c>
      <c r="D104" s="12" t="str">
        <f ca="1">IFERROR(__xludf.DUMMYFUNCTION("""COMPUTED_VALUE"""),"MINIMES")</f>
        <v>MINIMES</v>
      </c>
      <c r="E104" s="14" t="str">
        <f ca="1">IFERROR(__xludf.DUMMYFUNCTION("""COMPUTED_VALUE"""),"COLLEGE")</f>
        <v>COLLEGE</v>
      </c>
      <c r="F104" s="1" t="str">
        <f ca="1">IFERROR(__xludf.DUMMYFUNCTION("""COMPUTED_VALUE"""),"BELLENEUVE")</f>
        <v>BELLENEUVE</v>
      </c>
      <c r="G104" s="12" t="str">
        <f ca="1">IFERROR(__xludf.DUMMYFUNCTION("""COMPUTED_VALUE"""),"BELLENEUVE")</f>
        <v>BELLENEUVE</v>
      </c>
      <c r="H104" s="12" t="str">
        <f t="shared" ca="1" si="0"/>
        <v>COLLEGE  BELLENEUVE  BELLENEUVE</v>
      </c>
      <c r="I104" s="6"/>
      <c r="J104" s="12"/>
      <c r="K104" s="12"/>
      <c r="L104" s="12" t="str">
        <f ca="1">IFERROR(__xludf.DUMMYFUNCTION("""COMPUTED_VALUE"""),"07 69 72 20 76")</f>
        <v>07 69 72 20 76</v>
      </c>
      <c r="M104" s="12" t="str">
        <f ca="1">IFERROR(__xludf.DUMMYFUNCTION("""COMPUTED_VALUE"""),"70100 BEAUJEU")</f>
        <v>70100 BEAUJEU</v>
      </c>
      <c r="N104" s="6"/>
      <c r="O104" s="6"/>
    </row>
    <row r="105" spans="1:15" ht="15.5" x14ac:dyDescent="0.35">
      <c r="A105" s="12" t="str">
        <f ca="1">IFERROR(__xludf.DUMMYFUNCTION("""COMPUTED_VALUE"""),"CHAMBLANC Zoé")</f>
        <v>CHAMBLANC Zoé</v>
      </c>
      <c r="B105" s="12" t="str">
        <f ca="1">IFERROR(__xludf.DUMMYFUNCTION("""COMPUTED_VALUE"""),"F")</f>
        <v>F</v>
      </c>
      <c r="C105" s="13">
        <f ca="1">IFERROR(__xludf.DUMMYFUNCTION("""COMPUTED_VALUE"""),40269)</f>
        <v>40269</v>
      </c>
      <c r="D105" s="12" t="str">
        <f ca="1">IFERROR(__xludf.DUMMYFUNCTION("""COMPUTED_VALUE"""),"MINIMES")</f>
        <v>MINIMES</v>
      </c>
      <c r="E105" s="14" t="str">
        <f ca="1">IFERROR(__xludf.DUMMYFUNCTION("""COMPUTED_VALUE"""),"COLLEGE")</f>
        <v>COLLEGE</v>
      </c>
      <c r="F105" s="1" t="str">
        <f ca="1">IFERROR(__xludf.DUMMYFUNCTION("""COMPUTED_VALUE"""),"BELLENEUVE")</f>
        <v>BELLENEUVE</v>
      </c>
      <c r="G105" s="12" t="str">
        <f ca="1">IFERROR(__xludf.DUMMYFUNCTION("""COMPUTED_VALUE"""),"BELLENEUVE")</f>
        <v>BELLENEUVE</v>
      </c>
      <c r="H105" s="12" t="str">
        <f t="shared" ca="1" si="0"/>
        <v>COLLEGE  BELLENEUVE  BELLENEUVE</v>
      </c>
      <c r="I105" s="6"/>
      <c r="J105" s="12"/>
      <c r="K105" s="12"/>
      <c r="L105" s="12" t="str">
        <f ca="1">IFERROR(__xludf.DUMMYFUNCTION("""COMPUTED_VALUE"""),"06 77 87 70 24")</f>
        <v>06 77 87 70 24</v>
      </c>
      <c r="M105" s="12" t="str">
        <f ca="1">IFERROR(__xludf.DUMMYFUNCTION("""COMPUTED_VALUE"""),"70100 GRAY")</f>
        <v>70100 GRAY</v>
      </c>
      <c r="N105" s="6"/>
      <c r="O105" s="6"/>
    </row>
    <row r="106" spans="1:15" ht="15.5" x14ac:dyDescent="0.35">
      <c r="A106" s="12" t="str">
        <f ca="1">IFERROR(__xludf.DUMMYFUNCTION("""COMPUTED_VALUE"""),"CHAUVELOT Alix")</f>
        <v>CHAUVELOT Alix</v>
      </c>
      <c r="B106" s="12" t="str">
        <f ca="1">IFERROR(__xludf.DUMMYFUNCTION("""COMPUTED_VALUE"""),"F")</f>
        <v>F</v>
      </c>
      <c r="C106" s="13">
        <f ca="1">IFERROR(__xludf.DUMMYFUNCTION("""COMPUTED_VALUE"""),40537)</f>
        <v>40537</v>
      </c>
      <c r="D106" s="12" t="str">
        <f ca="1">IFERROR(__xludf.DUMMYFUNCTION("""COMPUTED_VALUE"""),"MINIMES")</f>
        <v>MINIMES</v>
      </c>
      <c r="E106" s="14" t="str">
        <f ca="1">IFERROR(__xludf.DUMMYFUNCTION("""COMPUTED_VALUE"""),"COLLEGE")</f>
        <v>COLLEGE</v>
      </c>
      <c r="F106" s="1" t="str">
        <f ca="1">IFERROR(__xludf.DUMMYFUNCTION("""COMPUTED_VALUE"""),"BELLENEUVE")</f>
        <v>BELLENEUVE</v>
      </c>
      <c r="G106" s="12" t="str">
        <f ca="1">IFERROR(__xludf.DUMMYFUNCTION("""COMPUTED_VALUE"""),"BELLENEUVE")</f>
        <v>BELLENEUVE</v>
      </c>
      <c r="H106" s="12" t="str">
        <f t="shared" ca="1" si="0"/>
        <v>COLLEGE  BELLENEUVE  BELLENEUVE</v>
      </c>
      <c r="I106" s="6"/>
      <c r="J106" s="12"/>
      <c r="K106" s="12"/>
      <c r="L106" s="12" t="str">
        <f ca="1">IFERROR(__xludf.DUMMYFUNCTION("""COMPUTED_VALUE"""),"07 88 26 57 22")</f>
        <v>07 88 26 57 22</v>
      </c>
      <c r="M106" s="12" t="str">
        <f ca="1">IFERROR(__xludf.DUMMYFUNCTION("""COMPUTED_VALUE"""),"70100 ANCIER")</f>
        <v>70100 ANCIER</v>
      </c>
      <c r="N106" s="6"/>
      <c r="O106" s="6"/>
    </row>
    <row r="107" spans="1:15" ht="15.5" x14ac:dyDescent="0.35">
      <c r="A107" s="12" t="str">
        <f ca="1">IFERROR(__xludf.DUMMYFUNCTION("""COMPUTED_VALUE"""),"CHAUVELOT Bastien")</f>
        <v>CHAUVELOT Bastien</v>
      </c>
      <c r="B107" s="12" t="str">
        <f ca="1">IFERROR(__xludf.DUMMYFUNCTION("""COMPUTED_VALUE"""),"H")</f>
        <v>H</v>
      </c>
      <c r="C107" s="13">
        <f ca="1">IFERROR(__xludf.DUMMYFUNCTION("""COMPUTED_VALUE"""),40537)</f>
        <v>40537</v>
      </c>
      <c r="D107" s="12" t="str">
        <f ca="1">IFERROR(__xludf.DUMMYFUNCTION("""COMPUTED_VALUE"""),"MINIMES")</f>
        <v>MINIMES</v>
      </c>
      <c r="E107" s="14" t="str">
        <f ca="1">IFERROR(__xludf.DUMMYFUNCTION("""COMPUTED_VALUE"""),"COLLEGE")</f>
        <v>COLLEGE</v>
      </c>
      <c r="F107" s="1" t="str">
        <f ca="1">IFERROR(__xludf.DUMMYFUNCTION("""COMPUTED_VALUE"""),"BELLENEUVE")</f>
        <v>BELLENEUVE</v>
      </c>
      <c r="G107" s="12" t="str">
        <f ca="1">IFERROR(__xludf.DUMMYFUNCTION("""COMPUTED_VALUE"""),"BELLENEUVE")</f>
        <v>BELLENEUVE</v>
      </c>
      <c r="H107" s="12" t="str">
        <f t="shared" ca="1" si="0"/>
        <v>COLLEGE  BELLENEUVE  BELLENEUVE</v>
      </c>
      <c r="I107" s="6"/>
      <c r="J107" s="12"/>
      <c r="K107" s="12"/>
      <c r="L107" s="12" t="str">
        <f ca="1">IFERROR(__xludf.DUMMYFUNCTION("""COMPUTED_VALUE"""),"07 82 26 57 22")</f>
        <v>07 82 26 57 22</v>
      </c>
      <c r="M107" s="12" t="str">
        <f ca="1">IFERROR(__xludf.DUMMYFUNCTION("""COMPUTED_VALUE"""),"70100 ANCIER")</f>
        <v>70100 ANCIER</v>
      </c>
      <c r="N107" s="6"/>
      <c r="O107" s="6"/>
    </row>
    <row r="108" spans="1:15" ht="15.5" x14ac:dyDescent="0.35">
      <c r="A108" s="12" t="str">
        <f ca="1">IFERROR(__xludf.DUMMYFUNCTION("""COMPUTED_VALUE"""),"CLERGET Nataël")</f>
        <v>CLERGET Nataël</v>
      </c>
      <c r="B108" s="12" t="str">
        <f ca="1">IFERROR(__xludf.DUMMYFUNCTION("""COMPUTED_VALUE"""),"H")</f>
        <v>H</v>
      </c>
      <c r="C108" s="13">
        <f ca="1">IFERROR(__xludf.DUMMYFUNCTION("""COMPUTED_VALUE"""),40055)</f>
        <v>40055</v>
      </c>
      <c r="D108" s="12" t="str">
        <f ca="1">IFERROR(__xludf.DUMMYFUNCTION("""COMPUTED_VALUE"""),"MINIMES")</f>
        <v>MINIMES</v>
      </c>
      <c r="E108" s="14" t="str">
        <f ca="1">IFERROR(__xludf.DUMMYFUNCTION("""COMPUTED_VALUE"""),"COLLEGE")</f>
        <v>COLLEGE</v>
      </c>
      <c r="F108" s="1" t="str">
        <f ca="1">IFERROR(__xludf.DUMMYFUNCTION("""COMPUTED_VALUE"""),"BELLENEUVE")</f>
        <v>BELLENEUVE</v>
      </c>
      <c r="G108" s="12" t="str">
        <f ca="1">IFERROR(__xludf.DUMMYFUNCTION("""COMPUTED_VALUE"""),"BELLENEUVE")</f>
        <v>BELLENEUVE</v>
      </c>
      <c r="H108" s="12" t="str">
        <f t="shared" ca="1" si="0"/>
        <v>COLLEGE  BELLENEUVE  BELLENEUVE</v>
      </c>
      <c r="I108" s="6"/>
      <c r="J108" s="12"/>
      <c r="K108" s="12"/>
      <c r="L108" s="12" t="str">
        <f ca="1">IFERROR(__xludf.DUMMYFUNCTION("""COMPUTED_VALUE"""),"06 88 39 53 28")</f>
        <v>06 88 39 53 28</v>
      </c>
      <c r="M108" s="12" t="str">
        <f ca="1">IFERROR(__xludf.DUMMYFUNCTION("""COMPUTED_VALUE"""),"25170 BURGILLE")</f>
        <v>25170 BURGILLE</v>
      </c>
      <c r="N108" s="6"/>
      <c r="O108" s="6"/>
    </row>
    <row r="109" spans="1:15" ht="15.5" x14ac:dyDescent="0.35">
      <c r="A109" s="12" t="str">
        <f ca="1">IFERROR(__xludf.DUMMYFUNCTION("""COMPUTED_VALUE"""),"COMPAGNON Eloïse")</f>
        <v>COMPAGNON Eloïse</v>
      </c>
      <c r="B109" s="12" t="str">
        <f ca="1">IFERROR(__xludf.DUMMYFUNCTION("""COMPUTED_VALUE"""),"F")</f>
        <v>F</v>
      </c>
      <c r="C109" s="13">
        <f ca="1">IFERROR(__xludf.DUMMYFUNCTION("""COMPUTED_VALUE"""),39823)</f>
        <v>39823</v>
      </c>
      <c r="D109" s="12" t="str">
        <f ca="1">IFERROR(__xludf.DUMMYFUNCTION("""COMPUTED_VALUE"""),"MINIMES")</f>
        <v>MINIMES</v>
      </c>
      <c r="E109" s="14" t="str">
        <f ca="1">IFERROR(__xludf.DUMMYFUNCTION("""COMPUTED_VALUE"""),"COLLEGE")</f>
        <v>COLLEGE</v>
      </c>
      <c r="F109" s="1" t="str">
        <f ca="1">IFERROR(__xludf.DUMMYFUNCTION("""COMPUTED_VALUE"""),"BELLENEUVE")</f>
        <v>BELLENEUVE</v>
      </c>
      <c r="G109" s="12" t="str">
        <f ca="1">IFERROR(__xludf.DUMMYFUNCTION("""COMPUTED_VALUE"""),"BELLENEUVE")</f>
        <v>BELLENEUVE</v>
      </c>
      <c r="H109" s="12" t="str">
        <f t="shared" ca="1" si="0"/>
        <v>COLLEGE  BELLENEUVE  BELLENEUVE</v>
      </c>
      <c r="I109" s="6"/>
      <c r="J109" s="12"/>
      <c r="K109" s="12"/>
      <c r="L109" s="12" t="str">
        <f ca="1">IFERROR(__xludf.DUMMYFUNCTION("""COMPUTED_VALUE"""),"06 73 60 41 34")</f>
        <v>06 73 60 41 34</v>
      </c>
      <c r="M109" s="12" t="str">
        <f ca="1">IFERROR(__xludf.DUMMYFUNCTION("""COMPUTED_VALUE"""),"70100 VELET")</f>
        <v>70100 VELET</v>
      </c>
      <c r="N109" s="6"/>
      <c r="O109" s="6"/>
    </row>
    <row r="110" spans="1:15" ht="15.5" x14ac:dyDescent="0.35">
      <c r="A110" s="12" t="str">
        <f ca="1">IFERROR(__xludf.DUMMYFUNCTION("""COMPUTED_VALUE"""),"CORNEVIN Emeric")</f>
        <v>CORNEVIN Emeric</v>
      </c>
      <c r="B110" s="12" t="str">
        <f ca="1">IFERROR(__xludf.DUMMYFUNCTION("""COMPUTED_VALUE"""),"H")</f>
        <v>H</v>
      </c>
      <c r="C110" s="13">
        <f ca="1">IFERROR(__xludf.DUMMYFUNCTION("""COMPUTED_VALUE"""),39927)</f>
        <v>39927</v>
      </c>
      <c r="D110" s="12" t="str">
        <f ca="1">IFERROR(__xludf.DUMMYFUNCTION("""COMPUTED_VALUE"""),"MINIMES")</f>
        <v>MINIMES</v>
      </c>
      <c r="E110" s="14" t="str">
        <f ca="1">IFERROR(__xludf.DUMMYFUNCTION("""COMPUTED_VALUE"""),"COLLEGE")</f>
        <v>COLLEGE</v>
      </c>
      <c r="F110" s="1" t="str">
        <f ca="1">IFERROR(__xludf.DUMMYFUNCTION("""COMPUTED_VALUE"""),"BELLENEUVE")</f>
        <v>BELLENEUVE</v>
      </c>
      <c r="G110" s="12" t="str">
        <f ca="1">IFERROR(__xludf.DUMMYFUNCTION("""COMPUTED_VALUE"""),"BELLENEUVE")</f>
        <v>BELLENEUVE</v>
      </c>
      <c r="H110" s="12" t="str">
        <f t="shared" ca="1" si="0"/>
        <v>COLLEGE  BELLENEUVE  BELLENEUVE</v>
      </c>
      <c r="I110" s="6"/>
      <c r="J110" s="12"/>
      <c r="K110" s="12"/>
      <c r="L110" s="12" t="str">
        <f ca="1">IFERROR(__xludf.DUMMYFUNCTION("""COMPUTED_VALUE"""),"06 49 37 73 05")</f>
        <v>06 49 37 73 05</v>
      </c>
      <c r="M110" s="12" t="str">
        <f ca="1">IFERROR(__xludf.DUMMYFUNCTION("""COMPUTED_VALUE"""),"70700 ANGIREY")</f>
        <v>70700 ANGIREY</v>
      </c>
      <c r="N110" s="6"/>
      <c r="O110" s="6"/>
    </row>
    <row r="111" spans="1:15" ht="15.5" x14ac:dyDescent="0.35">
      <c r="A111" s="12" t="str">
        <f ca="1">IFERROR(__xludf.DUMMYFUNCTION("""COMPUTED_VALUE"""),"COURAGEAOT Victor")</f>
        <v>COURAGEAOT Victor</v>
      </c>
      <c r="B111" s="12" t="str">
        <f ca="1">IFERROR(__xludf.DUMMYFUNCTION("""COMPUTED_VALUE"""),"H")</f>
        <v>H</v>
      </c>
      <c r="C111" s="13">
        <f ca="1">IFERROR(__xludf.DUMMYFUNCTION("""COMPUTED_VALUE"""),40540)</f>
        <v>40540</v>
      </c>
      <c r="D111" s="12" t="str">
        <f ca="1">IFERROR(__xludf.DUMMYFUNCTION("""COMPUTED_VALUE"""),"MINIMES")</f>
        <v>MINIMES</v>
      </c>
      <c r="E111" s="14" t="str">
        <f ca="1">IFERROR(__xludf.DUMMYFUNCTION("""COMPUTED_VALUE"""),"COLLEGE")</f>
        <v>COLLEGE</v>
      </c>
      <c r="F111" s="1" t="str">
        <f ca="1">IFERROR(__xludf.DUMMYFUNCTION("""COMPUTED_VALUE"""),"BELLENEUVE")</f>
        <v>BELLENEUVE</v>
      </c>
      <c r="G111" s="12" t="str">
        <f ca="1">IFERROR(__xludf.DUMMYFUNCTION("""COMPUTED_VALUE"""),"BELLENEUVE")</f>
        <v>BELLENEUVE</v>
      </c>
      <c r="H111" s="12" t="str">
        <f t="shared" ca="1" si="0"/>
        <v>COLLEGE  BELLENEUVE  BELLENEUVE</v>
      </c>
      <c r="I111" s="6"/>
      <c r="J111" s="12"/>
      <c r="K111" s="12"/>
      <c r="L111" s="12" t="str">
        <f ca="1">IFERROR(__xludf.DUMMYFUNCTION("""COMPUTED_VALUE"""),"06 88 58 94 62")</f>
        <v>06 88 58 94 62</v>
      </c>
      <c r="M111" s="12" t="str">
        <f ca="1">IFERROR(__xludf.DUMMYFUNCTION("""COMPUTED_VALUE"""),"70700 GY")</f>
        <v>70700 GY</v>
      </c>
      <c r="N111" s="6"/>
      <c r="O111" s="6"/>
    </row>
    <row r="112" spans="1:15" ht="15.5" x14ac:dyDescent="0.35">
      <c r="A112" s="12" t="str">
        <f ca="1">IFERROR(__xludf.DUMMYFUNCTION("""COMPUTED_VALUE"""),"DELORME Manon")</f>
        <v>DELORME Manon</v>
      </c>
      <c r="B112" s="12" t="str">
        <f ca="1">IFERROR(__xludf.DUMMYFUNCTION("""COMPUTED_VALUE"""),"F")</f>
        <v>F</v>
      </c>
      <c r="C112" s="13">
        <f ca="1">IFERROR(__xludf.DUMMYFUNCTION("""COMPUTED_VALUE"""),39980)</f>
        <v>39980</v>
      </c>
      <c r="D112" s="12" t="str">
        <f ca="1">IFERROR(__xludf.DUMMYFUNCTION("""COMPUTED_VALUE"""),"MINIMES")</f>
        <v>MINIMES</v>
      </c>
      <c r="E112" s="14" t="str">
        <f ca="1">IFERROR(__xludf.DUMMYFUNCTION("""COMPUTED_VALUE"""),"COLLEGE")</f>
        <v>COLLEGE</v>
      </c>
      <c r="F112" s="1" t="str">
        <f ca="1">IFERROR(__xludf.DUMMYFUNCTION("""COMPUTED_VALUE"""),"BELLENEUVE")</f>
        <v>BELLENEUVE</v>
      </c>
      <c r="G112" s="12" t="str">
        <f ca="1">IFERROR(__xludf.DUMMYFUNCTION("""COMPUTED_VALUE"""),"BELLENEUVE")</f>
        <v>BELLENEUVE</v>
      </c>
      <c r="H112" s="12" t="str">
        <f t="shared" ca="1" si="0"/>
        <v>COLLEGE  BELLENEUVE  BELLENEUVE</v>
      </c>
      <c r="I112" s="6"/>
      <c r="J112" s="12"/>
      <c r="K112" s="12"/>
      <c r="L112" s="12" t="str">
        <f ca="1">IFERROR(__xludf.DUMMYFUNCTION("""COMPUTED_VALUE"""),"06 85 28 10 76")</f>
        <v>06 85 28 10 76</v>
      </c>
      <c r="M112" s="12" t="str">
        <f ca="1">IFERROR(__xludf.DUMMYFUNCTION("""COMPUTED_VALUE"""),"21610 FONTENELLE")</f>
        <v>21610 FONTENELLE</v>
      </c>
      <c r="N112" s="6"/>
      <c r="O112" s="6"/>
    </row>
    <row r="113" spans="1:15" ht="15.5" x14ac:dyDescent="0.35">
      <c r="A113" s="12" t="str">
        <f ca="1">IFERROR(__xludf.DUMMYFUNCTION("""COMPUTED_VALUE"""),"DELPOUX Maxence")</f>
        <v>DELPOUX Maxence</v>
      </c>
      <c r="B113" s="12" t="str">
        <f ca="1">IFERROR(__xludf.DUMMYFUNCTION("""COMPUTED_VALUE"""),"H")</f>
        <v>H</v>
      </c>
      <c r="C113" s="13">
        <f ca="1">IFERROR(__xludf.DUMMYFUNCTION("""COMPUTED_VALUE"""),40448)</f>
        <v>40448</v>
      </c>
      <c r="D113" s="12" t="str">
        <f ca="1">IFERROR(__xludf.DUMMYFUNCTION("""COMPUTED_VALUE"""),"MINIMES")</f>
        <v>MINIMES</v>
      </c>
      <c r="E113" s="14" t="str">
        <f ca="1">IFERROR(__xludf.DUMMYFUNCTION("""COMPUTED_VALUE"""),"COLLEGE")</f>
        <v>COLLEGE</v>
      </c>
      <c r="F113" s="1" t="str">
        <f ca="1">IFERROR(__xludf.DUMMYFUNCTION("""COMPUTED_VALUE"""),"BELLENEUVE")</f>
        <v>BELLENEUVE</v>
      </c>
      <c r="G113" s="12" t="str">
        <f ca="1">IFERROR(__xludf.DUMMYFUNCTION("""COMPUTED_VALUE"""),"BELLENEUVE")</f>
        <v>BELLENEUVE</v>
      </c>
      <c r="H113" s="12" t="str">
        <f t="shared" ca="1" si="0"/>
        <v>COLLEGE  BELLENEUVE  BELLENEUVE</v>
      </c>
      <c r="I113" s="6"/>
      <c r="J113" s="12"/>
      <c r="K113" s="12"/>
      <c r="L113" s="12" t="str">
        <f ca="1">IFERROR(__xludf.DUMMYFUNCTION("""COMPUTED_VALUE"""),"06 74 87 40 93")</f>
        <v>06 74 87 40 93</v>
      </c>
      <c r="M113" s="12" t="str">
        <f ca="1">IFERROR(__xludf.DUMMYFUNCTION("""COMPUTED_VALUE"""),"70120 FRETIGNEY")</f>
        <v>70120 FRETIGNEY</v>
      </c>
      <c r="N113" s="6"/>
      <c r="O113" s="6"/>
    </row>
    <row r="114" spans="1:15" ht="15.5" x14ac:dyDescent="0.35">
      <c r="A114" s="12" t="str">
        <f ca="1">IFERROR(__xludf.DUMMYFUNCTION("""COMPUTED_VALUE"""),"DONDOLINI Emy")</f>
        <v>DONDOLINI Emy</v>
      </c>
      <c r="B114" s="12" t="str">
        <f ca="1">IFERROR(__xludf.DUMMYFUNCTION("""COMPUTED_VALUE"""),"F")</f>
        <v>F</v>
      </c>
      <c r="C114" s="13">
        <f ca="1">IFERROR(__xludf.DUMMYFUNCTION("""COMPUTED_VALUE"""),39936)</f>
        <v>39936</v>
      </c>
      <c r="D114" s="12" t="str">
        <f ca="1">IFERROR(__xludf.DUMMYFUNCTION("""COMPUTED_VALUE"""),"MINIMES")</f>
        <v>MINIMES</v>
      </c>
      <c r="E114" s="14" t="str">
        <f ca="1">IFERROR(__xludf.DUMMYFUNCTION("""COMPUTED_VALUE"""),"COLLEGE")</f>
        <v>COLLEGE</v>
      </c>
      <c r="F114" s="1" t="str">
        <f ca="1">IFERROR(__xludf.DUMMYFUNCTION("""COMPUTED_VALUE"""),"BELLENEUVE")</f>
        <v>BELLENEUVE</v>
      </c>
      <c r="G114" s="12" t="str">
        <f ca="1">IFERROR(__xludf.DUMMYFUNCTION("""COMPUTED_VALUE"""),"BELLENEUVE")</f>
        <v>BELLENEUVE</v>
      </c>
      <c r="H114" s="12" t="str">
        <f t="shared" ca="1" si="0"/>
        <v>COLLEGE  BELLENEUVE  BELLENEUVE</v>
      </c>
      <c r="I114" s="6"/>
      <c r="J114" s="12"/>
      <c r="K114" s="12"/>
      <c r="L114" s="12" t="str">
        <f ca="1">IFERROR(__xludf.DUMMYFUNCTION("""COMPUTED_VALUE"""),"06 86 01 26 65")</f>
        <v>06 86 01 26 65</v>
      </c>
      <c r="M114" s="12" t="str">
        <f ca="1">IFERROR(__xludf.DUMMYFUNCTION("""COMPUTED_VALUE"""),"70200 VY LES LURE")</f>
        <v>70200 VY LES LURE</v>
      </c>
      <c r="N114" s="6"/>
      <c r="O114" s="6"/>
    </row>
    <row r="115" spans="1:15" ht="15.5" x14ac:dyDescent="0.35">
      <c r="A115" s="12" t="str">
        <f ca="1">IFERROR(__xludf.DUMMYFUNCTION("""COMPUTED_VALUE"""),"FRANTZ-GUYOT Dorian")</f>
        <v>FRANTZ-GUYOT Dorian</v>
      </c>
      <c r="B115" s="12" t="str">
        <f ca="1">IFERROR(__xludf.DUMMYFUNCTION("""COMPUTED_VALUE"""),"H")</f>
        <v>H</v>
      </c>
      <c r="C115" s="13">
        <f ca="1">IFERROR(__xludf.DUMMYFUNCTION("""COMPUTED_VALUE"""),40309)</f>
        <v>40309</v>
      </c>
      <c r="D115" s="12" t="str">
        <f ca="1">IFERROR(__xludf.DUMMYFUNCTION("""COMPUTED_VALUE"""),"MINIMES")</f>
        <v>MINIMES</v>
      </c>
      <c r="E115" s="14" t="str">
        <f ca="1">IFERROR(__xludf.DUMMYFUNCTION("""COMPUTED_VALUE"""),"COLLEGE")</f>
        <v>COLLEGE</v>
      </c>
      <c r="F115" s="1" t="str">
        <f ca="1">IFERROR(__xludf.DUMMYFUNCTION("""COMPUTED_VALUE"""),"BELLENEUVE")</f>
        <v>BELLENEUVE</v>
      </c>
      <c r="G115" s="12" t="str">
        <f ca="1">IFERROR(__xludf.DUMMYFUNCTION("""COMPUTED_VALUE"""),"BELLENEUVE")</f>
        <v>BELLENEUVE</v>
      </c>
      <c r="H115" s="12" t="str">
        <f t="shared" ca="1" si="0"/>
        <v>COLLEGE  BELLENEUVE  BELLENEUVE</v>
      </c>
      <c r="I115" s="6"/>
      <c r="J115" s="12"/>
      <c r="K115" s="12"/>
      <c r="L115" s="12" t="str">
        <f ca="1">IFERROR(__xludf.DUMMYFUNCTION("""COMPUTED_VALUE"""),"06 88 74 64 28")</f>
        <v>06 88 74 64 28</v>
      </c>
      <c r="M115" s="12" t="str">
        <f ca="1">IFERROR(__xludf.DUMMYFUNCTION("""COMPUTED_VALUE"""),"70600 CHAMPLITTE")</f>
        <v>70600 CHAMPLITTE</v>
      </c>
      <c r="N115" s="6"/>
      <c r="O115" s="6"/>
    </row>
    <row r="116" spans="1:15" ht="15.5" x14ac:dyDescent="0.35">
      <c r="A116" s="12" t="str">
        <f ca="1">IFERROR(__xludf.DUMMYFUNCTION("""COMPUTED_VALUE"""),"GAUTHIER Lisa")</f>
        <v>GAUTHIER Lisa</v>
      </c>
      <c r="B116" s="12" t="str">
        <f ca="1">IFERROR(__xludf.DUMMYFUNCTION("""COMPUTED_VALUE"""),"F")</f>
        <v>F</v>
      </c>
      <c r="C116" s="13">
        <f ca="1">IFERROR(__xludf.DUMMYFUNCTION("""COMPUTED_VALUE"""),40219)</f>
        <v>40219</v>
      </c>
      <c r="D116" s="12" t="str">
        <f ca="1">IFERROR(__xludf.DUMMYFUNCTION("""COMPUTED_VALUE"""),"MINIMES")</f>
        <v>MINIMES</v>
      </c>
      <c r="E116" s="14" t="str">
        <f ca="1">IFERROR(__xludf.DUMMYFUNCTION("""COMPUTED_VALUE"""),"COLLEGE")</f>
        <v>COLLEGE</v>
      </c>
      <c r="F116" s="1" t="str">
        <f ca="1">IFERROR(__xludf.DUMMYFUNCTION("""COMPUTED_VALUE"""),"BELLENEUVE")</f>
        <v>BELLENEUVE</v>
      </c>
      <c r="G116" s="12" t="str">
        <f ca="1">IFERROR(__xludf.DUMMYFUNCTION("""COMPUTED_VALUE"""),"BELLENEUVE")</f>
        <v>BELLENEUVE</v>
      </c>
      <c r="H116" s="12" t="str">
        <f t="shared" ca="1" si="0"/>
        <v>COLLEGE  BELLENEUVE  BELLENEUVE</v>
      </c>
      <c r="I116" s="6"/>
      <c r="J116" s="12"/>
      <c r="K116" s="12"/>
      <c r="L116" s="12" t="str">
        <f ca="1">IFERROR(__xludf.DUMMYFUNCTION("""COMPUTED_VALUE"""),"03 84 31 67 21")</f>
        <v>03 84 31 67 21</v>
      </c>
      <c r="M116" s="12" t="str">
        <f ca="1">IFERROR(__xludf.DUMMYFUNCTION("""COMPUTED_VALUE"""),"70140 VALAY")</f>
        <v>70140 VALAY</v>
      </c>
      <c r="N116" s="6"/>
      <c r="O116" s="6"/>
    </row>
    <row r="117" spans="1:15" ht="15.5" x14ac:dyDescent="0.35">
      <c r="A117" s="12" t="str">
        <f ca="1">IFERROR(__xludf.DUMMYFUNCTION("""COMPUTED_VALUE"""),"GAUTHIER Zélie")</f>
        <v>GAUTHIER Zélie</v>
      </c>
      <c r="B117" s="12" t="str">
        <f ca="1">IFERROR(__xludf.DUMMYFUNCTION("""COMPUTED_VALUE"""),"F")</f>
        <v>F</v>
      </c>
      <c r="C117" s="13">
        <f ca="1">IFERROR(__xludf.DUMMYFUNCTION("""COMPUTED_VALUE"""),40170)</f>
        <v>40170</v>
      </c>
      <c r="D117" s="12" t="str">
        <f ca="1">IFERROR(__xludf.DUMMYFUNCTION("""COMPUTED_VALUE"""),"MINIMES")</f>
        <v>MINIMES</v>
      </c>
      <c r="E117" s="14" t="str">
        <f ca="1">IFERROR(__xludf.DUMMYFUNCTION("""COMPUTED_VALUE"""),"COLLEGE")</f>
        <v>COLLEGE</v>
      </c>
      <c r="F117" s="1" t="str">
        <f ca="1">IFERROR(__xludf.DUMMYFUNCTION("""COMPUTED_VALUE"""),"BELLENEUVE")</f>
        <v>BELLENEUVE</v>
      </c>
      <c r="G117" s="12" t="str">
        <f ca="1">IFERROR(__xludf.DUMMYFUNCTION("""COMPUTED_VALUE"""),"BELLENEUVE")</f>
        <v>BELLENEUVE</v>
      </c>
      <c r="H117" s="12" t="str">
        <f t="shared" ca="1" si="0"/>
        <v>COLLEGE  BELLENEUVE  BELLENEUVE</v>
      </c>
      <c r="I117" s="6"/>
      <c r="J117" s="12"/>
      <c r="K117" s="12"/>
      <c r="L117" s="12" t="str">
        <f ca="1">IFERROR(__xludf.DUMMYFUNCTION("""COMPUTED_VALUE"""),"06 38 80 20 42")</f>
        <v>06 38 80 20 42</v>
      </c>
      <c r="M117" s="12" t="str">
        <f ca="1">IFERROR(__xludf.DUMMYFUNCTION("""COMPUTED_VALUE"""),"70100 ANCIER")</f>
        <v>70100 ANCIER</v>
      </c>
      <c r="N117" s="6"/>
      <c r="O117" s="6"/>
    </row>
    <row r="118" spans="1:15" ht="15.5" x14ac:dyDescent="0.35">
      <c r="A118" s="12" t="str">
        <f ca="1">IFERROR(__xludf.DUMMYFUNCTION("""COMPUTED_VALUE"""),"GENIN Aaron")</f>
        <v>GENIN Aaron</v>
      </c>
      <c r="B118" s="12" t="str">
        <f ca="1">IFERROR(__xludf.DUMMYFUNCTION("""COMPUTED_VALUE"""),"H")</f>
        <v>H</v>
      </c>
      <c r="C118" s="13">
        <f ca="1">IFERROR(__xludf.DUMMYFUNCTION("""COMPUTED_VALUE"""),40238)</f>
        <v>40238</v>
      </c>
      <c r="D118" s="12" t="str">
        <f ca="1">IFERROR(__xludf.DUMMYFUNCTION("""COMPUTED_VALUE"""),"MINIMES")</f>
        <v>MINIMES</v>
      </c>
      <c r="E118" s="14" t="str">
        <f ca="1">IFERROR(__xludf.DUMMYFUNCTION("""COMPUTED_VALUE"""),"COLLEGE")</f>
        <v>COLLEGE</v>
      </c>
      <c r="F118" s="1" t="str">
        <f ca="1">IFERROR(__xludf.DUMMYFUNCTION("""COMPUTED_VALUE"""),"BELLENEUVE")</f>
        <v>BELLENEUVE</v>
      </c>
      <c r="G118" s="12" t="str">
        <f ca="1">IFERROR(__xludf.DUMMYFUNCTION("""COMPUTED_VALUE"""),"BELLENEUVE")</f>
        <v>BELLENEUVE</v>
      </c>
      <c r="H118" s="12" t="str">
        <f t="shared" ca="1" si="0"/>
        <v>COLLEGE  BELLENEUVE  BELLENEUVE</v>
      </c>
      <c r="I118" s="6"/>
      <c r="J118" s="12"/>
      <c r="K118" s="12"/>
      <c r="L118" s="12" t="str">
        <f ca="1">IFERROR(__xludf.DUMMYFUNCTION("""COMPUTED_VALUE"""),"06 81 84 21 87")</f>
        <v>06 81 84 21 87</v>
      </c>
      <c r="M118" s="12" t="str">
        <f ca="1">IFERROR(__xludf.DUMMYFUNCTION("""COMPUTED_VALUE"""),"70100 ESMOULINS")</f>
        <v>70100 ESMOULINS</v>
      </c>
      <c r="N118" s="6"/>
      <c r="O118" s="6"/>
    </row>
    <row r="119" spans="1:15" ht="15.5" x14ac:dyDescent="0.35">
      <c r="A119" s="12" t="str">
        <f ca="1">IFERROR(__xludf.DUMMYFUNCTION("""COMPUTED_VALUE"""),"GRISOT Mathéo")</f>
        <v>GRISOT Mathéo</v>
      </c>
      <c r="B119" s="12" t="str">
        <f ca="1">IFERROR(__xludf.DUMMYFUNCTION("""COMPUTED_VALUE"""),"H")</f>
        <v>H</v>
      </c>
      <c r="C119" s="13">
        <f ca="1">IFERROR(__xludf.DUMMYFUNCTION("""COMPUTED_VALUE"""),40437)</f>
        <v>40437</v>
      </c>
      <c r="D119" s="12" t="str">
        <f ca="1">IFERROR(__xludf.DUMMYFUNCTION("""COMPUTED_VALUE"""),"MINIMES")</f>
        <v>MINIMES</v>
      </c>
      <c r="E119" s="14" t="str">
        <f ca="1">IFERROR(__xludf.DUMMYFUNCTION("""COMPUTED_VALUE"""),"COLLEGE")</f>
        <v>COLLEGE</v>
      </c>
      <c r="F119" s="1" t="str">
        <f ca="1">IFERROR(__xludf.DUMMYFUNCTION("""COMPUTED_VALUE"""),"BELLENEUVE")</f>
        <v>BELLENEUVE</v>
      </c>
      <c r="G119" s="12" t="str">
        <f ca="1">IFERROR(__xludf.DUMMYFUNCTION("""COMPUTED_VALUE"""),"BELLENEUVE")</f>
        <v>BELLENEUVE</v>
      </c>
      <c r="H119" s="12" t="str">
        <f t="shared" ca="1" si="0"/>
        <v>COLLEGE  BELLENEUVE  BELLENEUVE</v>
      </c>
      <c r="I119" s="6"/>
      <c r="J119" s="12"/>
      <c r="K119" s="12"/>
      <c r="L119" s="12" t="str">
        <f ca="1">IFERROR(__xludf.DUMMYFUNCTION("""COMPUTED_VALUE"""),"07 70 27 26 65")</f>
        <v>07 70 27 26 65</v>
      </c>
      <c r="M119" s="12" t="str">
        <f ca="1">IFERROR(__xludf.DUMMYFUNCTION("""COMPUTED_VALUE"""),"70100 ANCIER")</f>
        <v>70100 ANCIER</v>
      </c>
      <c r="N119" s="6"/>
      <c r="O119" s="6"/>
    </row>
    <row r="120" spans="1:15" ht="15.5" x14ac:dyDescent="0.35">
      <c r="A120" s="12" t="str">
        <f ca="1">IFERROR(__xludf.DUMMYFUNCTION("""COMPUTED_VALUE"""),"HERMELINE PRIGIONE Grégory")</f>
        <v>HERMELINE PRIGIONE Grégory</v>
      </c>
      <c r="B120" s="12" t="str">
        <f ca="1">IFERROR(__xludf.DUMMYFUNCTION("""COMPUTED_VALUE"""),"H")</f>
        <v>H</v>
      </c>
      <c r="C120" s="13">
        <f ca="1">IFERROR(__xludf.DUMMYFUNCTION("""COMPUTED_VALUE"""),39914)</f>
        <v>39914</v>
      </c>
      <c r="D120" s="12" t="str">
        <f ca="1">IFERROR(__xludf.DUMMYFUNCTION("""COMPUTED_VALUE"""),"MINIMES")</f>
        <v>MINIMES</v>
      </c>
      <c r="E120" s="14" t="str">
        <f ca="1">IFERROR(__xludf.DUMMYFUNCTION("""COMPUTED_VALUE"""),"COLLEGE")</f>
        <v>COLLEGE</v>
      </c>
      <c r="F120" s="1" t="str">
        <f ca="1">IFERROR(__xludf.DUMMYFUNCTION("""COMPUTED_VALUE"""),"BELLENEUVE")</f>
        <v>BELLENEUVE</v>
      </c>
      <c r="G120" s="12" t="str">
        <f ca="1">IFERROR(__xludf.DUMMYFUNCTION("""COMPUTED_VALUE"""),"BELLENEUVE")</f>
        <v>BELLENEUVE</v>
      </c>
      <c r="H120" s="12" t="str">
        <f t="shared" ca="1" si="0"/>
        <v>COLLEGE  BELLENEUVE  BELLENEUVE</v>
      </c>
      <c r="I120" s="6"/>
      <c r="J120" s="12"/>
      <c r="K120" s="12"/>
      <c r="L120" s="12" t="str">
        <f ca="1">IFERROR(__xludf.DUMMYFUNCTION("""COMPUTED_VALUE"""),"06 25 84 20 10")</f>
        <v>06 25 84 20 10</v>
      </c>
      <c r="M120" s="12" t="str">
        <f ca="1">IFERROR(__xludf.DUMMYFUNCTION("""COMPUTED_VALUE"""),"70100 AUVET")</f>
        <v>70100 AUVET</v>
      </c>
      <c r="N120" s="6"/>
      <c r="O120" s="6"/>
    </row>
    <row r="121" spans="1:15" ht="15.5" x14ac:dyDescent="0.35">
      <c r="A121" s="12" t="str">
        <f ca="1">IFERROR(__xludf.DUMMYFUNCTION("""COMPUTED_VALUE"""),"HORVAT Lise")</f>
        <v>HORVAT Lise</v>
      </c>
      <c r="B121" s="12" t="str">
        <f ca="1">IFERROR(__xludf.DUMMYFUNCTION("""COMPUTED_VALUE"""),"F")</f>
        <v>F</v>
      </c>
      <c r="C121" s="13">
        <f ca="1">IFERROR(__xludf.DUMMYFUNCTION("""COMPUTED_VALUE"""),40070)</f>
        <v>40070</v>
      </c>
      <c r="D121" s="12" t="str">
        <f ca="1">IFERROR(__xludf.DUMMYFUNCTION("""COMPUTED_VALUE"""),"MINIMES")</f>
        <v>MINIMES</v>
      </c>
      <c r="E121" s="14" t="str">
        <f ca="1">IFERROR(__xludf.DUMMYFUNCTION("""COMPUTED_VALUE"""),"COLLEGE")</f>
        <v>COLLEGE</v>
      </c>
      <c r="F121" s="1" t="str">
        <f ca="1">IFERROR(__xludf.DUMMYFUNCTION("""COMPUTED_VALUE"""),"BELLENEUVE")</f>
        <v>BELLENEUVE</v>
      </c>
      <c r="G121" s="12" t="str">
        <f ca="1">IFERROR(__xludf.DUMMYFUNCTION("""COMPUTED_VALUE"""),"BELLENEUVE")</f>
        <v>BELLENEUVE</v>
      </c>
      <c r="H121" s="12" t="str">
        <f t="shared" ca="1" si="0"/>
        <v>COLLEGE  BELLENEUVE  BELLENEUVE</v>
      </c>
      <c r="I121" s="6"/>
      <c r="J121" s="12"/>
      <c r="K121" s="12"/>
      <c r="L121" s="12" t="str">
        <f ca="1">IFERROR(__xludf.DUMMYFUNCTION("""COMPUTED_VALUE"""),"06 81 11 61 27")</f>
        <v>06 81 11 61 27</v>
      </c>
      <c r="M121" s="12" t="str">
        <f ca="1">IFERROR(__xludf.DUMMYFUNCTION("""COMPUTED_VALUE"""),"70100 GRAY LA VILLE")</f>
        <v>70100 GRAY LA VILLE</v>
      </c>
      <c r="N121" s="6"/>
      <c r="O121" s="6"/>
    </row>
    <row r="122" spans="1:15" ht="15.5" x14ac:dyDescent="0.35">
      <c r="A122" s="12" t="str">
        <f ca="1">IFERROR(__xludf.DUMMYFUNCTION("""COMPUTED_VALUE"""),"HUBLARD Céleste")</f>
        <v>HUBLARD Céleste</v>
      </c>
      <c r="B122" s="12" t="str">
        <f ca="1">IFERROR(__xludf.DUMMYFUNCTION("""COMPUTED_VALUE"""),"F")</f>
        <v>F</v>
      </c>
      <c r="C122" s="13">
        <f ca="1">IFERROR(__xludf.DUMMYFUNCTION("""COMPUTED_VALUE"""),40420)</f>
        <v>40420</v>
      </c>
      <c r="D122" s="12" t="str">
        <f ca="1">IFERROR(__xludf.DUMMYFUNCTION("""COMPUTED_VALUE"""),"MINIMES")</f>
        <v>MINIMES</v>
      </c>
      <c r="E122" s="14" t="str">
        <f ca="1">IFERROR(__xludf.DUMMYFUNCTION("""COMPUTED_VALUE"""),"COLLEGE")</f>
        <v>COLLEGE</v>
      </c>
      <c r="F122" s="1" t="str">
        <f ca="1">IFERROR(__xludf.DUMMYFUNCTION("""COMPUTED_VALUE"""),"BELLENEUVE")</f>
        <v>BELLENEUVE</v>
      </c>
      <c r="G122" s="12" t="str">
        <f ca="1">IFERROR(__xludf.DUMMYFUNCTION("""COMPUTED_VALUE"""),"BELLENEUVE")</f>
        <v>BELLENEUVE</v>
      </c>
      <c r="H122" s="12" t="str">
        <f t="shared" ca="1" si="0"/>
        <v>COLLEGE  BELLENEUVE  BELLENEUVE</v>
      </c>
      <c r="I122" s="6"/>
      <c r="J122" s="12"/>
      <c r="K122" s="12"/>
      <c r="L122" s="12" t="str">
        <f ca="1">IFERROR(__xludf.DUMMYFUNCTION("""COMPUTED_VALUE"""),"06 86 63 36 75")</f>
        <v>06 86 63 36 75</v>
      </c>
      <c r="M122" s="12" t="str">
        <f ca="1">IFERROR(__xludf.DUMMYFUNCTION("""COMPUTED_VALUE"""),"70100 CHARGEY LES GRAY")</f>
        <v>70100 CHARGEY LES GRAY</v>
      </c>
      <c r="N122" s="6"/>
      <c r="O122" s="6"/>
    </row>
    <row r="123" spans="1:15" ht="15.5" x14ac:dyDescent="0.35">
      <c r="A123" s="12" t="str">
        <f ca="1">IFERROR(__xludf.DUMMYFUNCTION("""COMPUTED_VALUE"""),"HUGOT Zoé")</f>
        <v>HUGOT Zoé</v>
      </c>
      <c r="B123" s="12" t="str">
        <f ca="1">IFERROR(__xludf.DUMMYFUNCTION("""COMPUTED_VALUE"""),"F")</f>
        <v>F</v>
      </c>
      <c r="C123" s="13">
        <f ca="1">IFERROR(__xludf.DUMMYFUNCTION("""COMPUTED_VALUE"""),39894)</f>
        <v>39894</v>
      </c>
      <c r="D123" s="12" t="str">
        <f ca="1">IFERROR(__xludf.DUMMYFUNCTION("""COMPUTED_VALUE"""),"MINIMES")</f>
        <v>MINIMES</v>
      </c>
      <c r="E123" s="14" t="str">
        <f ca="1">IFERROR(__xludf.DUMMYFUNCTION("""COMPUTED_VALUE"""),"COLLEGE")</f>
        <v>COLLEGE</v>
      </c>
      <c r="F123" s="1" t="str">
        <f ca="1">IFERROR(__xludf.DUMMYFUNCTION("""COMPUTED_VALUE"""),"BELLENEUVE")</f>
        <v>BELLENEUVE</v>
      </c>
      <c r="G123" s="12" t="str">
        <f ca="1">IFERROR(__xludf.DUMMYFUNCTION("""COMPUTED_VALUE"""),"BELLENEUVE")</f>
        <v>BELLENEUVE</v>
      </c>
      <c r="H123" s="12" t="str">
        <f t="shared" ca="1" si="0"/>
        <v>COLLEGE  BELLENEUVE  BELLENEUVE</v>
      </c>
      <c r="I123" s="6"/>
      <c r="J123" s="12"/>
      <c r="K123" s="12"/>
      <c r="L123" s="12" t="str">
        <f ca="1">IFERROR(__xludf.DUMMYFUNCTION("""COMPUTED_VALUE"""),"06 47 04 60 43")</f>
        <v>06 47 04 60 43</v>
      </c>
      <c r="M123" s="12" t="str">
        <f ca="1">IFERROR(__xludf.DUMMYFUNCTION("""COMPUTED_VALUE"""),"70100 GRAY")</f>
        <v>70100 GRAY</v>
      </c>
      <c r="N123" s="6"/>
      <c r="O123" s="6"/>
    </row>
    <row r="124" spans="1:15" ht="15.5" x14ac:dyDescent="0.35">
      <c r="A124" s="12" t="str">
        <f ca="1">IFERROR(__xludf.DUMMYFUNCTION("""COMPUTED_VALUE"""),"JAMINET Shanna")</f>
        <v>JAMINET Shanna</v>
      </c>
      <c r="B124" s="12" t="str">
        <f ca="1">IFERROR(__xludf.DUMMYFUNCTION("""COMPUTED_VALUE"""),"F")</f>
        <v>F</v>
      </c>
      <c r="C124" s="13">
        <f ca="1">IFERROR(__xludf.DUMMYFUNCTION("""COMPUTED_VALUE"""),39946)</f>
        <v>39946</v>
      </c>
      <c r="D124" s="12" t="str">
        <f ca="1">IFERROR(__xludf.DUMMYFUNCTION("""COMPUTED_VALUE"""),"MINIMES")</f>
        <v>MINIMES</v>
      </c>
      <c r="E124" s="14" t="str">
        <f ca="1">IFERROR(__xludf.DUMMYFUNCTION("""COMPUTED_VALUE"""),"COLLEGE")</f>
        <v>COLLEGE</v>
      </c>
      <c r="F124" s="1" t="str">
        <f ca="1">IFERROR(__xludf.DUMMYFUNCTION("""COMPUTED_VALUE"""),"BELLENEUVE")</f>
        <v>BELLENEUVE</v>
      </c>
      <c r="G124" s="12" t="str">
        <f ca="1">IFERROR(__xludf.DUMMYFUNCTION("""COMPUTED_VALUE"""),"BELLENEUVE")</f>
        <v>BELLENEUVE</v>
      </c>
      <c r="H124" s="12" t="str">
        <f t="shared" ca="1" si="0"/>
        <v>COLLEGE  BELLENEUVE  BELLENEUVE</v>
      </c>
      <c r="I124" s="6"/>
      <c r="J124" s="12"/>
      <c r="K124" s="12"/>
      <c r="L124" s="12" t="str">
        <f ca="1">IFERROR(__xludf.DUMMYFUNCTION("""COMPUTED_VALUE"""),"06 31 85 08 66")</f>
        <v>06 31 85 08 66</v>
      </c>
      <c r="M124" s="12" t="str">
        <f ca="1">IFERROR(__xludf.DUMMYFUNCTION("""COMPUTED_VALUE"""),"70100 BEAUJEU")</f>
        <v>70100 BEAUJEU</v>
      </c>
      <c r="N124" s="6"/>
      <c r="O124" s="6"/>
    </row>
    <row r="125" spans="1:15" ht="15.5" x14ac:dyDescent="0.35">
      <c r="A125" s="12" t="str">
        <f ca="1">IFERROR(__xludf.DUMMYFUNCTION("""COMPUTED_VALUE"""),"JEANNOT Marius")</f>
        <v>JEANNOT Marius</v>
      </c>
      <c r="B125" s="12" t="str">
        <f ca="1">IFERROR(__xludf.DUMMYFUNCTION("""COMPUTED_VALUE"""),"H")</f>
        <v>H</v>
      </c>
      <c r="C125" s="13">
        <f ca="1">IFERROR(__xludf.DUMMYFUNCTION("""COMPUTED_VALUE"""),40319)</f>
        <v>40319</v>
      </c>
      <c r="D125" s="12" t="str">
        <f ca="1">IFERROR(__xludf.DUMMYFUNCTION("""COMPUTED_VALUE"""),"MINIMES")</f>
        <v>MINIMES</v>
      </c>
      <c r="E125" s="14" t="str">
        <f ca="1">IFERROR(__xludf.DUMMYFUNCTION("""COMPUTED_VALUE"""),"COLLEGE")</f>
        <v>COLLEGE</v>
      </c>
      <c r="F125" s="1" t="str">
        <f ca="1">IFERROR(__xludf.DUMMYFUNCTION("""COMPUTED_VALUE"""),"BELLENEUVE")</f>
        <v>BELLENEUVE</v>
      </c>
      <c r="G125" s="12" t="str">
        <f ca="1">IFERROR(__xludf.DUMMYFUNCTION("""COMPUTED_VALUE"""),"BELLENEUVE")</f>
        <v>BELLENEUVE</v>
      </c>
      <c r="H125" s="12" t="str">
        <f t="shared" ca="1" si="0"/>
        <v>COLLEGE  BELLENEUVE  BELLENEUVE</v>
      </c>
      <c r="I125" s="6"/>
      <c r="J125" s="12"/>
      <c r="K125" s="12"/>
      <c r="L125" s="12" t="str">
        <f ca="1">IFERROR(__xludf.DUMMYFUNCTION("""COMPUTED_VALUE"""),"06 81 21 73 75")</f>
        <v>06 81 21 73 75</v>
      </c>
      <c r="M125" s="12" t="str">
        <f ca="1">IFERROR(__xludf.DUMMYFUNCTION("""COMPUTED_VALUE"""),"70100 CHARGEY LES GRAY")</f>
        <v>70100 CHARGEY LES GRAY</v>
      </c>
      <c r="N125" s="6"/>
      <c r="O125" s="6"/>
    </row>
    <row r="126" spans="1:15" ht="15.5" x14ac:dyDescent="0.35">
      <c r="A126" s="12" t="str">
        <f ca="1">IFERROR(__xludf.DUMMYFUNCTION("""COMPUTED_VALUE"""),"JULIEN Zoé")</f>
        <v>JULIEN Zoé</v>
      </c>
      <c r="B126" s="12" t="str">
        <f ca="1">IFERROR(__xludf.DUMMYFUNCTION("""COMPUTED_VALUE"""),"F")</f>
        <v>F</v>
      </c>
      <c r="C126" s="13">
        <f ca="1">IFERROR(__xludf.DUMMYFUNCTION("""COMPUTED_VALUE"""),40059)</f>
        <v>40059</v>
      </c>
      <c r="D126" s="12" t="str">
        <f ca="1">IFERROR(__xludf.DUMMYFUNCTION("""COMPUTED_VALUE"""),"MINIMES")</f>
        <v>MINIMES</v>
      </c>
      <c r="E126" s="14" t="str">
        <f ca="1">IFERROR(__xludf.DUMMYFUNCTION("""COMPUTED_VALUE"""),"COLLEGE")</f>
        <v>COLLEGE</v>
      </c>
      <c r="F126" s="1" t="str">
        <f ca="1">IFERROR(__xludf.DUMMYFUNCTION("""COMPUTED_VALUE"""),"BELLENEUVE")</f>
        <v>BELLENEUVE</v>
      </c>
      <c r="G126" s="12" t="str">
        <f ca="1">IFERROR(__xludf.DUMMYFUNCTION("""COMPUTED_VALUE"""),"BELLENEUVE")</f>
        <v>BELLENEUVE</v>
      </c>
      <c r="H126" s="12" t="str">
        <f t="shared" ca="1" si="0"/>
        <v>COLLEGE  BELLENEUVE  BELLENEUVE</v>
      </c>
      <c r="I126" s="6"/>
      <c r="J126" s="12"/>
      <c r="K126" s="12"/>
      <c r="L126" s="12" t="str">
        <f ca="1">IFERROR(__xludf.DUMMYFUNCTION("""COMPUTED_VALUE"""),"06 86 57 50 51")</f>
        <v>06 86 57 50 51</v>
      </c>
      <c r="M126" s="12" t="str">
        <f ca="1">IFERROR(__xludf.DUMMYFUNCTION("""COMPUTED_VALUE"""),"70140 MONTAGNEY")</f>
        <v>70140 MONTAGNEY</v>
      </c>
      <c r="N126" s="6"/>
      <c r="O126" s="6"/>
    </row>
    <row r="127" spans="1:15" ht="15.5" x14ac:dyDescent="0.35">
      <c r="A127" s="12" t="str">
        <f ca="1">IFERROR(__xludf.DUMMYFUNCTION("""COMPUTED_VALUE"""),"LACOMBE Benjamin")</f>
        <v>LACOMBE Benjamin</v>
      </c>
      <c r="B127" s="12" t="str">
        <f ca="1">IFERROR(__xludf.DUMMYFUNCTION("""COMPUTED_VALUE"""),"H")</f>
        <v>H</v>
      </c>
      <c r="C127" s="13">
        <f ca="1">IFERROR(__xludf.DUMMYFUNCTION("""COMPUTED_VALUE"""),39977)</f>
        <v>39977</v>
      </c>
      <c r="D127" s="12" t="str">
        <f ca="1">IFERROR(__xludf.DUMMYFUNCTION("""COMPUTED_VALUE"""),"MINIMES")</f>
        <v>MINIMES</v>
      </c>
      <c r="E127" s="14" t="str">
        <f ca="1">IFERROR(__xludf.DUMMYFUNCTION("""COMPUTED_VALUE"""),"COLLEGE")</f>
        <v>COLLEGE</v>
      </c>
      <c r="F127" s="1" t="str">
        <f ca="1">IFERROR(__xludf.DUMMYFUNCTION("""COMPUTED_VALUE"""),"BELLENEUVE")</f>
        <v>BELLENEUVE</v>
      </c>
      <c r="G127" s="12" t="str">
        <f ca="1">IFERROR(__xludf.DUMMYFUNCTION("""COMPUTED_VALUE"""),"BELLENEUVE")</f>
        <v>BELLENEUVE</v>
      </c>
      <c r="H127" s="12" t="str">
        <f t="shared" ca="1" si="0"/>
        <v>COLLEGE  BELLENEUVE  BELLENEUVE</v>
      </c>
      <c r="I127" s="6"/>
      <c r="J127" s="12"/>
      <c r="K127" s="12"/>
      <c r="L127" s="12" t="str">
        <f ca="1">IFERROR(__xludf.DUMMYFUNCTION("""COMPUTED_VALUE"""),"06 50 46 91 03")</f>
        <v>06 50 46 91 03</v>
      </c>
      <c r="M127" s="12" t="str">
        <f ca="1">IFERROR(__xludf.DUMMYFUNCTION("""COMPUTED_VALUE"""),"70600 FRAMONT")</f>
        <v>70600 FRAMONT</v>
      </c>
      <c r="N127" s="6"/>
      <c r="O127" s="6"/>
    </row>
    <row r="128" spans="1:15" ht="15.5" x14ac:dyDescent="0.35">
      <c r="A128" s="12" t="str">
        <f ca="1">IFERROR(__xludf.DUMMYFUNCTION("""COMPUTED_VALUE"""),"BIGOURDAN Thaïs")</f>
        <v>BIGOURDAN Thaïs</v>
      </c>
      <c r="B128" s="12" t="str">
        <f ca="1">IFERROR(__xludf.DUMMYFUNCTION("""COMPUTED_VALUE"""),"F")</f>
        <v>F</v>
      </c>
      <c r="C128" s="13">
        <f ca="1">IFERROR(__xludf.DUMMYFUNCTION("""COMPUTED_VALUE"""),40771)</f>
        <v>40771</v>
      </c>
      <c r="D128" s="12" t="str">
        <f ca="1">IFERROR(__xludf.DUMMYFUNCTION("""COMPUTED_VALUE"""),"BENJAMINS")</f>
        <v>BENJAMINS</v>
      </c>
      <c r="E128" s="14" t="str">
        <f ca="1">IFERROR(__xludf.DUMMYFUNCTION("""COMPUTED_VALUE"""),"COLLEGE")</f>
        <v>COLLEGE</v>
      </c>
      <c r="F128" s="1" t="str">
        <f ca="1">IFERROR(__xludf.DUMMYFUNCTION("""COMPUTED_VALUE"""),"NOTRE DAME")</f>
        <v>NOTRE DAME</v>
      </c>
      <c r="G128" s="12" t="str">
        <f ca="1">IFERROR(__xludf.DUMMYFUNCTION("""COMPUTED_VALUE"""),"BESANCON")</f>
        <v>BESANCON</v>
      </c>
      <c r="H128" s="12" t="str">
        <f t="shared" ca="1" si="0"/>
        <v>COLLEGE  NOTRE DAME  BESANCON</v>
      </c>
      <c r="I128" s="6"/>
      <c r="J128" s="12" t="str">
        <f ca="1">IFERROR(__xludf.DUMMYFUNCTION("""COMPUTED_VALUE"""),"OK")</f>
        <v>OK</v>
      </c>
      <c r="K128" s="12" t="str">
        <f ca="1">IFERROR(__xludf.DUMMYFUNCTION("""COMPUTED_VALUE"""),"peggy.bigourdan@gmail.com")</f>
        <v>peggy.bigourdan@gmail.com</v>
      </c>
      <c r="L128" s="12" t="str">
        <f ca="1">IFERROR(__xludf.DUMMYFUNCTION("""COMPUTED_VALUE"""),"06 03 38 26 48")</f>
        <v>06 03 38 26 48</v>
      </c>
      <c r="M128" s="12" t="str">
        <f ca="1">IFERROR(__xludf.DUMMYFUNCTION("""COMPUTED_VALUE"""),"25480 ECOLE-VALENTIN")</f>
        <v>25480 ECOLE-VALENTIN</v>
      </c>
      <c r="N128" s="6"/>
      <c r="O128" s="6"/>
    </row>
    <row r="129" spans="1:15" ht="15.5" x14ac:dyDescent="0.35">
      <c r="A129" s="12" t="str">
        <f ca="1">IFERROR(__xludf.DUMMYFUNCTION("""COMPUTED_VALUE"""),"SAHLER Raphaël")</f>
        <v>SAHLER Raphaël</v>
      </c>
      <c r="B129" s="12" t="str">
        <f ca="1">IFERROR(__xludf.DUMMYFUNCTION("""COMPUTED_VALUE"""),"H")</f>
        <v>H</v>
      </c>
      <c r="C129" s="13">
        <f ca="1">IFERROR(__xludf.DUMMYFUNCTION("""COMPUTED_VALUE"""),40761)</f>
        <v>40761</v>
      </c>
      <c r="D129" s="12" t="str">
        <f ca="1">IFERROR(__xludf.DUMMYFUNCTION("""COMPUTED_VALUE"""),"BENJAMINS")</f>
        <v>BENJAMINS</v>
      </c>
      <c r="E129" s="14" t="str">
        <f ca="1">IFERROR(__xludf.DUMMYFUNCTION("""COMPUTED_VALUE"""),"COLLEGE")</f>
        <v>COLLEGE</v>
      </c>
      <c r="F129" s="1" t="str">
        <f ca="1">IFERROR(__xludf.DUMMYFUNCTION("""COMPUTED_VALUE"""),"NOTRE DAME")</f>
        <v>NOTRE DAME</v>
      </c>
      <c r="G129" s="12" t="str">
        <f ca="1">IFERROR(__xludf.DUMMYFUNCTION("""COMPUTED_VALUE"""),"BESANCON")</f>
        <v>BESANCON</v>
      </c>
      <c r="H129" s="12" t="str">
        <f t="shared" ca="1" si="0"/>
        <v>COLLEGE  NOTRE DAME  BESANCON</v>
      </c>
      <c r="I129" s="6"/>
      <c r="J129" s="12" t="str">
        <f ca="1">IFERROR(__xludf.DUMMYFUNCTION("""COMPUTED_VALUE"""),"OK")</f>
        <v>OK</v>
      </c>
      <c r="K129" s="12" t="str">
        <f ca="1">IFERROR(__xludf.DUMMYFUNCTION("""COMPUTED_VALUE"""),"mimye25@yahoo.fr")</f>
        <v>mimye25@yahoo.fr</v>
      </c>
      <c r="L129" s="12" t="str">
        <f ca="1">IFERROR(__xludf.DUMMYFUNCTION("""COMPUTED_VALUE"""),"06 75 08 78 68")</f>
        <v>06 75 08 78 68</v>
      </c>
      <c r="M129" s="12" t="str">
        <f ca="1">IFERROR(__xludf.DUMMYFUNCTION("""COMPUTED_VALUE"""),"25320 MONTFERRAND LE CHÂTEAU")</f>
        <v>25320 MONTFERRAND LE CHÂTEAU</v>
      </c>
      <c r="N129" s="6"/>
      <c r="O129" s="6"/>
    </row>
    <row r="130" spans="1:15" ht="15.5" x14ac:dyDescent="0.35">
      <c r="A130" s="12" t="str">
        <f ca="1">IFERROR(__xludf.DUMMYFUNCTION("""COMPUTED_VALUE"""),"MISSIOUX-BORDAT Lilyan")</f>
        <v>MISSIOUX-BORDAT Lilyan</v>
      </c>
      <c r="B130" s="12" t="str">
        <f ca="1">IFERROR(__xludf.DUMMYFUNCTION("""COMPUTED_VALUE"""),"H")</f>
        <v>H</v>
      </c>
      <c r="C130" s="13">
        <f ca="1">IFERROR(__xludf.DUMMYFUNCTION("""COMPUTED_VALUE"""),41304)</f>
        <v>41304</v>
      </c>
      <c r="D130" s="12" t="str">
        <f ca="1">IFERROR(__xludf.DUMMYFUNCTION("""COMPUTED_VALUE"""),"POUSSINS")</f>
        <v>POUSSINS</v>
      </c>
      <c r="E130" s="14" t="str">
        <f ca="1">IFERROR(__xludf.DUMMYFUNCTION("""COMPUTED_VALUE"""),"ECOLE
")</f>
        <v xml:space="preserve">ECOLE
</v>
      </c>
      <c r="F130" s="1" t="str">
        <f ca="1">IFERROR(__xludf.DUMMYFUNCTION("""COMPUTED_VALUE"""),"JEANNE D'ARC")</f>
        <v>JEANNE D'ARC</v>
      </c>
      <c r="G130" s="12" t="str">
        <f ca="1">IFERROR(__xludf.DUMMYFUNCTION("""COMPUTED_VALUE"""),"CHAMPAGNOLE")</f>
        <v>CHAMPAGNOLE</v>
      </c>
      <c r="H130" s="12" t="str">
        <f t="shared" ca="1" si="0"/>
        <v>ECOLE
  JEANNE D'ARC  CHAMPAGNOLE</v>
      </c>
      <c r="I130" s="6"/>
      <c r="J130" s="12" t="str">
        <f ca="1">IFERROR(__xludf.DUMMYFUNCTION("""COMPUTED_VALUE"""),"OK")</f>
        <v>OK</v>
      </c>
      <c r="K130" s="12" t="str">
        <f ca="1">IFERROR(__xludf.DUMMYFUNCTION("""COMPUTED_VALUE"""),"pascallaetitia21@orange.fr")</f>
        <v>pascallaetitia21@orange.fr</v>
      </c>
      <c r="L130" s="12" t="str">
        <f ca="1">IFERROR(__xludf.DUMMYFUNCTION("""COMPUTED_VALUE"""),"06 47 60 62 71")</f>
        <v>06 47 60 62 71</v>
      </c>
      <c r="M130" s="12" t="str">
        <f ca="1">IFERROR(__xludf.DUMMYFUNCTION("""COMPUTED_VALUE"""),"21270 PONTAILLER SUR SAONE")</f>
        <v>21270 PONTAILLER SUR SAONE</v>
      </c>
      <c r="N130" s="6"/>
      <c r="O130" s="6"/>
    </row>
    <row r="131" spans="1:15" ht="15.5" x14ac:dyDescent="0.35">
      <c r="A131" s="12" t="str">
        <f ca="1">IFERROR(__xludf.DUMMYFUNCTION("""COMPUTED_VALUE"""),"MISSIOUX-BORDAT Lilyan")</f>
        <v>MISSIOUX-BORDAT Lilyan</v>
      </c>
      <c r="B131" s="12" t="str">
        <f ca="1">IFERROR(__xludf.DUMMYFUNCTION("""COMPUTED_VALUE"""),"H")</f>
        <v>H</v>
      </c>
      <c r="C131" s="13">
        <f ca="1">IFERROR(__xludf.DUMMYFUNCTION("""COMPUTED_VALUE"""),41304)</f>
        <v>41304</v>
      </c>
      <c r="D131" s="12" t="str">
        <f ca="1">IFERROR(__xludf.DUMMYFUNCTION("""COMPUTED_VALUE"""),"POUSSINS")</f>
        <v>POUSSINS</v>
      </c>
      <c r="E131" s="14" t="str">
        <f ca="1">IFERROR(__xludf.DUMMYFUNCTION("""COMPUTED_VALUE"""),"ECOLE
")</f>
        <v xml:space="preserve">ECOLE
</v>
      </c>
      <c r="F131" s="1" t="str">
        <f ca="1">IFERROR(__xludf.DUMMYFUNCTION("""COMPUTED_VALUE"""),"JEANNE D'ARC")</f>
        <v>JEANNE D'ARC</v>
      </c>
      <c r="G131" s="12" t="str">
        <f ca="1">IFERROR(__xludf.DUMMYFUNCTION("""COMPUTED_VALUE"""),"CHAMPAGNOLE")</f>
        <v>CHAMPAGNOLE</v>
      </c>
      <c r="H131" s="12" t="str">
        <f t="shared" ca="1" si="0"/>
        <v>ECOLE
  JEANNE D'ARC  CHAMPAGNOLE</v>
      </c>
      <c r="I131" s="6"/>
      <c r="J131" s="12"/>
      <c r="K131" s="12"/>
      <c r="L131" s="12" t="str">
        <f ca="1">IFERROR(__xludf.DUMMYFUNCTION("""COMPUTED_VALUE"""),"06 47 60 62 71")</f>
        <v>06 47 60 62 71</v>
      </c>
      <c r="M131" s="12" t="str">
        <f ca="1">IFERROR(__xludf.DUMMYFUNCTION("""COMPUTED_VALUE"""),"21270 PONTAILLER SUR SAONE")</f>
        <v>21270 PONTAILLER SUR SAONE</v>
      </c>
      <c r="N131" s="6"/>
      <c r="O131" s="6"/>
    </row>
    <row r="132" spans="1:15" ht="15.5" x14ac:dyDescent="0.35">
      <c r="A132" s="12" t="str">
        <f ca="1">IFERROR(__xludf.DUMMYFUNCTION("""COMPUTED_VALUE"""),"BAULARD Méline")</f>
        <v>BAULARD Méline</v>
      </c>
      <c r="B132" s="12" t="str">
        <f ca="1">IFERROR(__xludf.DUMMYFUNCTION("""COMPUTED_VALUE"""),"F")</f>
        <v>F</v>
      </c>
      <c r="C132" s="13">
        <f ca="1">IFERROR(__xludf.DUMMYFUNCTION("""COMPUTED_VALUE"""),42629)</f>
        <v>42629</v>
      </c>
      <c r="D132" s="12" t="str">
        <f ca="1">IFERROR(__xludf.DUMMYFUNCTION("""COMPUTED_VALUE"""),"EVEIL ATHLE")</f>
        <v>EVEIL ATHLE</v>
      </c>
      <c r="E132" s="14" t="str">
        <f ca="1">IFERROR(__xludf.DUMMYFUNCTION("""COMPUTED_VALUE"""),"ECOLE
")</f>
        <v xml:space="preserve">ECOLE
</v>
      </c>
      <c r="F132" s="1" t="str">
        <f ca="1">IFERROR(__xludf.DUMMYFUNCTION("""COMPUTED_VALUE"""),"CHAMPLITTE")</f>
        <v>CHAMPLITTE</v>
      </c>
      <c r="G132" s="12" t="str">
        <f ca="1">IFERROR(__xludf.DUMMYFUNCTION("""COMPUTED_VALUE"""),"CHAMPLITTE")</f>
        <v>CHAMPLITTE</v>
      </c>
      <c r="H132" s="12" t="str">
        <f t="shared" ca="1" si="0"/>
        <v>ECOLE
  CHAMPLITTE  CHAMPLITTE</v>
      </c>
      <c r="I132" s="6"/>
      <c r="J132" s="12" t="str">
        <f ca="1">IFERROR(__xludf.DUMMYFUNCTION("""COMPUTED_VALUE"""),"OK")</f>
        <v>OK</v>
      </c>
      <c r="K132" s="12" t="str">
        <f ca="1">IFERROR(__xludf.DUMMYFUNCTION("""COMPUTED_VALUE"""),"ludivine.jeannot@gmail.com")</f>
        <v>ludivine.jeannot@gmail.com</v>
      </c>
      <c r="L132" s="12" t="str">
        <f ca="1">IFERROR(__xludf.DUMMYFUNCTION("""COMPUTED_VALUE"""),"06 76 58 39 89")</f>
        <v>06 76 58 39 89</v>
      </c>
      <c r="M132" s="12" t="str">
        <f ca="1">IFERROR(__xludf.DUMMYFUNCTION("""COMPUTED_VALUE"""),"70600 MONTARLOT")</f>
        <v>70600 MONTARLOT</v>
      </c>
      <c r="N132" s="6"/>
      <c r="O132" s="6"/>
    </row>
    <row r="133" spans="1:15" ht="15.5" x14ac:dyDescent="0.35">
      <c r="A133" s="12" t="str">
        <f ca="1">IFERROR(__xludf.DUMMYFUNCTION("""COMPUTED_VALUE"""),"GRAPPOTTE Jim")</f>
        <v>GRAPPOTTE Jim</v>
      </c>
      <c r="B133" s="12" t="str">
        <f ca="1">IFERROR(__xludf.DUMMYFUNCTION("""COMPUTED_VALUE"""),"H")</f>
        <v>H</v>
      </c>
      <c r="C133" s="13">
        <f ca="1">IFERROR(__xludf.DUMMYFUNCTION("""COMPUTED_VALUE"""),42947)</f>
        <v>42947</v>
      </c>
      <c r="D133" s="12" t="str">
        <f ca="1">IFERROR(__xludf.DUMMYFUNCTION("""COMPUTED_VALUE"""),"EVEIL ATHLE")</f>
        <v>EVEIL ATHLE</v>
      </c>
      <c r="E133" s="14" t="str">
        <f ca="1">IFERROR(__xludf.DUMMYFUNCTION("""COMPUTED_VALUE"""),"ECOLE
")</f>
        <v xml:space="preserve">ECOLE
</v>
      </c>
      <c r="F133" s="1" t="str">
        <f ca="1">IFERROR(__xludf.DUMMYFUNCTION("""COMPUTED_VALUE"""),"CHAMPLITTE")</f>
        <v>CHAMPLITTE</v>
      </c>
      <c r="G133" s="12" t="str">
        <f ca="1">IFERROR(__xludf.DUMMYFUNCTION("""COMPUTED_VALUE"""),"CHAMPLITTE")</f>
        <v>CHAMPLITTE</v>
      </c>
      <c r="H133" s="12" t="str">
        <f t="shared" ca="1" si="0"/>
        <v>ECOLE
  CHAMPLITTE  CHAMPLITTE</v>
      </c>
      <c r="I133" s="6"/>
      <c r="J133" s="12" t="str">
        <f ca="1">IFERROR(__xludf.DUMMYFUNCTION("""COMPUTED_VALUE"""),"OK")</f>
        <v>OK</v>
      </c>
      <c r="K133" s="12" t="str">
        <f ca="1">IFERROR(__xludf.DUMMYFUNCTION("""COMPUTED_VALUE"""),"meullemeulle@hotmail.fr")</f>
        <v>meullemeulle@hotmail.fr</v>
      </c>
      <c r="L133" s="12" t="str">
        <f ca="1">IFERROR(__xludf.DUMMYFUNCTION("""COMPUTED_VALUE"""),"06 48 05 75 54")</f>
        <v>06 48 05 75 54</v>
      </c>
      <c r="M133" s="12" t="str">
        <f ca="1">IFERROR(__xludf.DUMMYFUNCTION("""COMPUTED_VALUE"""),"70600 CHAMPLITTE")</f>
        <v>70600 CHAMPLITTE</v>
      </c>
      <c r="N133" s="6"/>
      <c r="O133" s="6"/>
    </row>
    <row r="134" spans="1:15" ht="15.5" x14ac:dyDescent="0.35">
      <c r="A134" s="12" t="str">
        <f ca="1">IFERROR(__xludf.DUMMYFUNCTION("""COMPUTED_VALUE"""),"GRAPPOTTE Julia")</f>
        <v>GRAPPOTTE Julia</v>
      </c>
      <c r="B134" s="12" t="str">
        <f ca="1">IFERROR(__xludf.DUMMYFUNCTION("""COMPUTED_VALUE"""),"F")</f>
        <v>F</v>
      </c>
      <c r="C134" s="13">
        <f ca="1">IFERROR(__xludf.DUMMYFUNCTION("""COMPUTED_VALUE"""),42284)</f>
        <v>42284</v>
      </c>
      <c r="D134" s="12" t="str">
        <f ca="1">IFERROR(__xludf.DUMMYFUNCTION("""COMPUTED_VALUE"""),"EVEIL ATHLE")</f>
        <v>EVEIL ATHLE</v>
      </c>
      <c r="E134" s="14" t="str">
        <f ca="1">IFERROR(__xludf.DUMMYFUNCTION("""COMPUTED_VALUE"""),"ECOLE
")</f>
        <v xml:space="preserve">ECOLE
</v>
      </c>
      <c r="F134" s="1" t="str">
        <f ca="1">IFERROR(__xludf.DUMMYFUNCTION("""COMPUTED_VALUE"""),"CHAMPLITTE")</f>
        <v>CHAMPLITTE</v>
      </c>
      <c r="G134" s="12" t="str">
        <f ca="1">IFERROR(__xludf.DUMMYFUNCTION("""COMPUTED_VALUE"""),"CHAMPLITTE")</f>
        <v>CHAMPLITTE</v>
      </c>
      <c r="H134" s="12" t="str">
        <f t="shared" ca="1" si="0"/>
        <v>ECOLE
  CHAMPLITTE  CHAMPLITTE</v>
      </c>
      <c r="I134" s="6"/>
      <c r="J134" s="12" t="str">
        <f ca="1">IFERROR(__xludf.DUMMYFUNCTION("""COMPUTED_VALUE"""),"OK")</f>
        <v>OK</v>
      </c>
      <c r="K134" s="12" t="str">
        <f ca="1">IFERROR(__xludf.DUMMYFUNCTION("""COMPUTED_VALUE"""),"meullemeulle@hotmail.fr")</f>
        <v>meullemeulle@hotmail.fr</v>
      </c>
      <c r="L134" s="12" t="str">
        <f ca="1">IFERROR(__xludf.DUMMYFUNCTION("""COMPUTED_VALUE"""),"06 48 05 75 54")</f>
        <v>06 48 05 75 54</v>
      </c>
      <c r="M134" s="12" t="str">
        <f ca="1">IFERROR(__xludf.DUMMYFUNCTION("""COMPUTED_VALUE"""),"70600 CHAMPLITTE")</f>
        <v>70600 CHAMPLITTE</v>
      </c>
      <c r="N134" s="6"/>
      <c r="O134" s="6"/>
    </row>
    <row r="135" spans="1:15" ht="15.5" x14ac:dyDescent="0.35">
      <c r="A135" s="12" t="str">
        <f ca="1">IFERROR(__xludf.DUMMYFUNCTION("""COMPUTED_VALUE"""),"BAULARD Lara")</f>
        <v>BAULARD Lara</v>
      </c>
      <c r="B135" s="12" t="str">
        <f ca="1">IFERROR(__xludf.DUMMYFUNCTION("""COMPUTED_VALUE"""),"F")</f>
        <v>F</v>
      </c>
      <c r="C135" s="13">
        <f ca="1">IFERROR(__xludf.DUMMYFUNCTION("""COMPUTED_VALUE"""),41915)</f>
        <v>41915</v>
      </c>
      <c r="D135" s="12" t="str">
        <f ca="1">IFERROR(__xludf.DUMMYFUNCTION("""COMPUTED_VALUE"""),"POUSSINS")</f>
        <v>POUSSINS</v>
      </c>
      <c r="E135" s="14" t="str">
        <f ca="1">IFERROR(__xludf.DUMMYFUNCTION("""COMPUTED_VALUE"""),"ECOLE
")</f>
        <v xml:space="preserve">ECOLE
</v>
      </c>
      <c r="F135" s="1" t="str">
        <f ca="1">IFERROR(__xludf.DUMMYFUNCTION("""COMPUTED_VALUE"""),"CHAMPLITTE")</f>
        <v>CHAMPLITTE</v>
      </c>
      <c r="G135" s="12" t="str">
        <f ca="1">IFERROR(__xludf.DUMMYFUNCTION("""COMPUTED_VALUE"""),"CHAMPLITTE")</f>
        <v>CHAMPLITTE</v>
      </c>
      <c r="H135" s="12" t="str">
        <f t="shared" ca="1" si="0"/>
        <v>ECOLE
  CHAMPLITTE  CHAMPLITTE</v>
      </c>
      <c r="I135" s="6"/>
      <c r="J135" s="12" t="str">
        <f ca="1">IFERROR(__xludf.DUMMYFUNCTION("""COMPUTED_VALUE"""),"OK")</f>
        <v>OK</v>
      </c>
      <c r="K135" s="12" t="str">
        <f ca="1">IFERROR(__xludf.DUMMYFUNCTION("""COMPUTED_VALUE"""),"ludivine.jeannot@gmail.com")</f>
        <v>ludivine.jeannot@gmail.com</v>
      </c>
      <c r="L135" s="12" t="str">
        <f ca="1">IFERROR(__xludf.DUMMYFUNCTION("""COMPUTED_VALUE"""),"06 76 58 39 89")</f>
        <v>06 76 58 39 89</v>
      </c>
      <c r="M135" s="12" t="str">
        <f ca="1">IFERROR(__xludf.DUMMYFUNCTION("""COMPUTED_VALUE"""),"70600 MONTARLOT")</f>
        <v>70600 MONTARLOT</v>
      </c>
      <c r="N135" s="6"/>
      <c r="O135" s="6"/>
    </row>
    <row r="136" spans="1:15" ht="15.5" x14ac:dyDescent="0.35">
      <c r="A136" s="12" t="str">
        <f ca="1">IFERROR(__xludf.DUMMYFUNCTION("""COMPUTED_VALUE"""),"GRAPPOTTE Charlotte")</f>
        <v>GRAPPOTTE Charlotte</v>
      </c>
      <c r="B136" s="12" t="str">
        <f ca="1">IFERROR(__xludf.DUMMYFUNCTION("""COMPUTED_VALUE"""),"F")</f>
        <v>F</v>
      </c>
      <c r="C136" s="13">
        <f ca="1">IFERROR(__xludf.DUMMYFUNCTION("""COMPUTED_VALUE"""),41743)</f>
        <v>41743</v>
      </c>
      <c r="D136" s="12" t="str">
        <f ca="1">IFERROR(__xludf.DUMMYFUNCTION("""COMPUTED_VALUE"""),"POUSSINS")</f>
        <v>POUSSINS</v>
      </c>
      <c r="E136" s="14" t="str">
        <f ca="1">IFERROR(__xludf.DUMMYFUNCTION("""COMPUTED_VALUE"""),"ECOLE
")</f>
        <v xml:space="preserve">ECOLE
</v>
      </c>
      <c r="F136" s="1" t="str">
        <f ca="1">IFERROR(__xludf.DUMMYFUNCTION("""COMPUTED_VALUE"""),"CHAMPLITTE")</f>
        <v>CHAMPLITTE</v>
      </c>
      <c r="G136" s="12" t="str">
        <f ca="1">IFERROR(__xludf.DUMMYFUNCTION("""COMPUTED_VALUE"""),"CHAMPLITTE")</f>
        <v>CHAMPLITTE</v>
      </c>
      <c r="H136" s="12" t="str">
        <f t="shared" ca="1" si="0"/>
        <v>ECOLE
  CHAMPLITTE  CHAMPLITTE</v>
      </c>
      <c r="I136" s="6"/>
      <c r="J136" s="12" t="str">
        <f ca="1">IFERROR(__xludf.DUMMYFUNCTION("""COMPUTED_VALUE"""),"OK")</f>
        <v>OK</v>
      </c>
      <c r="K136" s="12" t="str">
        <f ca="1">IFERROR(__xludf.DUMMYFUNCTION("""COMPUTED_VALUE"""),"nico.grappotte@wanadoo;fr")</f>
        <v>nico.grappotte@wanadoo;fr</v>
      </c>
      <c r="L136" s="12" t="str">
        <f ca="1">IFERROR(__xludf.DUMMYFUNCTION("""COMPUTED_VALUE"""),"06 87 19 47 86")</f>
        <v>06 87 19 47 86</v>
      </c>
      <c r="M136" s="12" t="str">
        <f ca="1">IFERROR(__xludf.DUMMYFUNCTION("""COMPUTED_VALUE"""),"70600 NEUVELLE LES CHAMPLITTE")</f>
        <v>70600 NEUVELLE LES CHAMPLITTE</v>
      </c>
      <c r="N136" s="6"/>
      <c r="O136" s="6"/>
    </row>
    <row r="137" spans="1:15" ht="15.5" x14ac:dyDescent="0.35">
      <c r="A137" s="12" t="str">
        <f ca="1">IFERROR(__xludf.DUMMYFUNCTION("""COMPUTED_VALUE"""),"HAREL Capucine")</f>
        <v>HAREL Capucine</v>
      </c>
      <c r="B137" s="12" t="str">
        <f ca="1">IFERROR(__xludf.DUMMYFUNCTION("""COMPUTED_VALUE"""),"F")</f>
        <v>F</v>
      </c>
      <c r="C137" s="13">
        <f ca="1">IFERROR(__xludf.DUMMYFUNCTION("""COMPUTED_VALUE"""),41406)</f>
        <v>41406</v>
      </c>
      <c r="D137" s="12" t="str">
        <f ca="1">IFERROR(__xludf.DUMMYFUNCTION("""COMPUTED_VALUE"""),"POUSSINS")</f>
        <v>POUSSINS</v>
      </c>
      <c r="E137" s="14" t="str">
        <f ca="1">IFERROR(__xludf.DUMMYFUNCTION("""COMPUTED_VALUE"""),"ECOLE
")</f>
        <v xml:space="preserve">ECOLE
</v>
      </c>
      <c r="F137" s="1" t="str">
        <f ca="1">IFERROR(__xludf.DUMMYFUNCTION("""COMPUTED_VALUE"""),"CHAMPLITTE")</f>
        <v>CHAMPLITTE</v>
      </c>
      <c r="G137" s="12" t="str">
        <f ca="1">IFERROR(__xludf.DUMMYFUNCTION("""COMPUTED_VALUE"""),"CHAMPLITTE")</f>
        <v>CHAMPLITTE</v>
      </c>
      <c r="H137" s="12" t="str">
        <f t="shared" ca="1" si="0"/>
        <v>ECOLE
  CHAMPLITTE  CHAMPLITTE</v>
      </c>
      <c r="I137" s="6"/>
      <c r="J137" s="12" t="str">
        <f ca="1">IFERROR(__xludf.DUMMYFUNCTION("""COMPUTED_VALUE"""),"OK")</f>
        <v>OK</v>
      </c>
      <c r="K137" s="12" t="str">
        <f ca="1">IFERROR(__xludf.DUMMYFUNCTION("""COMPUTED_VALUE"""),"matt1602@hotmail.fr")</f>
        <v>matt1602@hotmail.fr</v>
      </c>
      <c r="L137" s="12" t="str">
        <f ca="1">IFERROR(__xludf.DUMMYFUNCTION("""COMPUTED_VALUE"""),"06 60 77 10 34")</f>
        <v>06 60 77 10 34</v>
      </c>
      <c r="M137" s="12" t="str">
        <f ca="1">IFERROR(__xludf.DUMMYFUNCTION("""COMPUTED_VALUE"""),"25000 BESANCON")</f>
        <v>25000 BESANCON</v>
      </c>
      <c r="N137" s="6"/>
      <c r="O137" s="6"/>
    </row>
    <row r="138" spans="1:15" ht="15.5" x14ac:dyDescent="0.35">
      <c r="A138" s="12" t="str">
        <f ca="1">IFERROR(__xludf.DUMMYFUNCTION("""COMPUTED_VALUE"""),"LACOMBE Océane")</f>
        <v>LACOMBE Océane</v>
      </c>
      <c r="B138" s="12" t="str">
        <f ca="1">IFERROR(__xludf.DUMMYFUNCTION("""COMPUTED_VALUE"""),"F")</f>
        <v>F</v>
      </c>
      <c r="C138" s="13">
        <f ca="1">IFERROR(__xludf.DUMMYFUNCTION("""COMPUTED_VALUE"""),41465)</f>
        <v>41465</v>
      </c>
      <c r="D138" s="12" t="str">
        <f ca="1">IFERROR(__xludf.DUMMYFUNCTION("""COMPUTED_VALUE"""),"POUSSINS")</f>
        <v>POUSSINS</v>
      </c>
      <c r="E138" s="14" t="str">
        <f ca="1">IFERROR(__xludf.DUMMYFUNCTION("""COMPUTED_VALUE"""),"ECOLE
")</f>
        <v xml:space="preserve">ECOLE
</v>
      </c>
      <c r="F138" s="1" t="str">
        <f ca="1">IFERROR(__xludf.DUMMYFUNCTION("""COMPUTED_VALUE"""),"CHAMPLITTE")</f>
        <v>CHAMPLITTE</v>
      </c>
      <c r="G138" s="12" t="str">
        <f ca="1">IFERROR(__xludf.DUMMYFUNCTION("""COMPUTED_VALUE"""),"CHAMPLITTE")</f>
        <v>CHAMPLITTE</v>
      </c>
      <c r="H138" s="12" t="str">
        <f t="shared" ca="1" si="0"/>
        <v>ECOLE
  CHAMPLITTE  CHAMPLITTE</v>
      </c>
      <c r="I138" s="6"/>
      <c r="J138" s="12" t="str">
        <f ca="1">IFERROR(__xludf.DUMMYFUNCTION("""COMPUTED_VALUE"""),"OK")</f>
        <v>OK</v>
      </c>
      <c r="K138" s="12" t="str">
        <f ca="1">IFERROR(__xludf.DUMMYFUNCTION("""COMPUTED_VALUE"""),"lacombeseb@icloud.com")</f>
        <v>lacombeseb@icloud.com</v>
      </c>
      <c r="L138" s="12" t="str">
        <f ca="1">IFERROR(__xludf.DUMMYFUNCTION("""COMPUTED_VALUE"""),"06 50 46 91 03")</f>
        <v>06 50 46 91 03</v>
      </c>
      <c r="M138" s="12" t="str">
        <f ca="1">IFERROR(__xludf.DUMMYFUNCTION("""COMPUTED_VALUE"""),"70600 FRAMONT")</f>
        <v>70600 FRAMONT</v>
      </c>
      <c r="N138" s="6"/>
      <c r="O138" s="6"/>
    </row>
    <row r="139" spans="1:15" ht="15.5" x14ac:dyDescent="0.35">
      <c r="A139" s="12" t="str">
        <f ca="1">IFERROR(__xludf.DUMMYFUNCTION("""COMPUTED_VALUE"""),"GRAPPOTTE Jim")</f>
        <v>GRAPPOTTE Jim</v>
      </c>
      <c r="B139" s="12" t="str">
        <f ca="1">IFERROR(__xludf.DUMMYFUNCTION("""COMPUTED_VALUE"""),"H")</f>
        <v>H</v>
      </c>
      <c r="C139" s="13">
        <f ca="1">IFERROR(__xludf.DUMMYFUNCTION("""COMPUTED_VALUE"""),42947)</f>
        <v>42947</v>
      </c>
      <c r="D139" s="12" t="str">
        <f ca="1">IFERROR(__xludf.DUMMYFUNCTION("""COMPUTED_VALUE"""),"EVEIL ATHLE")</f>
        <v>EVEIL ATHLE</v>
      </c>
      <c r="E139" s="14" t="str">
        <f ca="1">IFERROR(__xludf.DUMMYFUNCTION("""COMPUTED_VALUE"""),"ECOLE
")</f>
        <v xml:space="preserve">ECOLE
</v>
      </c>
      <c r="F139" s="1" t="str">
        <f ca="1">IFERROR(__xludf.DUMMYFUNCTION("""COMPUTED_VALUE"""),"CHAMPLITTE")</f>
        <v>CHAMPLITTE</v>
      </c>
      <c r="G139" s="12" t="str">
        <f ca="1">IFERROR(__xludf.DUMMYFUNCTION("""COMPUTED_VALUE"""),"CHAMPLITTE")</f>
        <v>CHAMPLITTE</v>
      </c>
      <c r="H139" s="12" t="str">
        <f t="shared" ca="1" si="0"/>
        <v>ECOLE
  CHAMPLITTE  CHAMPLITTE</v>
      </c>
      <c r="I139" s="6"/>
      <c r="J139" s="12"/>
      <c r="K139" s="12"/>
      <c r="L139" s="12" t="str">
        <f ca="1">IFERROR(__xludf.DUMMYFUNCTION("""COMPUTED_VALUE"""),"06 48 05 75 54")</f>
        <v>06 48 05 75 54</v>
      </c>
      <c r="M139" s="12" t="str">
        <f ca="1">IFERROR(__xludf.DUMMYFUNCTION("""COMPUTED_VALUE"""),"70600 CHAMPLITTE")</f>
        <v>70600 CHAMPLITTE</v>
      </c>
      <c r="N139" s="6"/>
      <c r="O139" s="6"/>
    </row>
    <row r="140" spans="1:15" ht="15.5" x14ac:dyDescent="0.35">
      <c r="A140" s="12" t="str">
        <f ca="1">IFERROR(__xludf.DUMMYFUNCTION("""COMPUTED_VALUE"""),"GRAPPOTTE Julia")</f>
        <v>GRAPPOTTE Julia</v>
      </c>
      <c r="B140" s="12" t="str">
        <f ca="1">IFERROR(__xludf.DUMMYFUNCTION("""COMPUTED_VALUE"""),"F")</f>
        <v>F</v>
      </c>
      <c r="C140" s="13">
        <f ca="1">IFERROR(__xludf.DUMMYFUNCTION("""COMPUTED_VALUE"""),42284)</f>
        <v>42284</v>
      </c>
      <c r="D140" s="12" t="str">
        <f ca="1">IFERROR(__xludf.DUMMYFUNCTION("""COMPUTED_VALUE"""),"EVEIL ATHLE")</f>
        <v>EVEIL ATHLE</v>
      </c>
      <c r="E140" s="14" t="str">
        <f ca="1">IFERROR(__xludf.DUMMYFUNCTION("""COMPUTED_VALUE"""),"ECOLE
")</f>
        <v xml:space="preserve">ECOLE
</v>
      </c>
      <c r="F140" s="1" t="str">
        <f ca="1">IFERROR(__xludf.DUMMYFUNCTION("""COMPUTED_VALUE"""),"CHAMPLITTE")</f>
        <v>CHAMPLITTE</v>
      </c>
      <c r="G140" s="12" t="str">
        <f ca="1">IFERROR(__xludf.DUMMYFUNCTION("""COMPUTED_VALUE"""),"CHAMPLITTE")</f>
        <v>CHAMPLITTE</v>
      </c>
      <c r="H140" s="12" t="str">
        <f t="shared" ca="1" si="0"/>
        <v>ECOLE
  CHAMPLITTE  CHAMPLITTE</v>
      </c>
      <c r="I140" s="6"/>
      <c r="J140" s="12"/>
      <c r="K140" s="12"/>
      <c r="L140" s="12" t="str">
        <f ca="1">IFERROR(__xludf.DUMMYFUNCTION("""COMPUTED_VALUE"""),"06 48 05 75 54")</f>
        <v>06 48 05 75 54</v>
      </c>
      <c r="M140" s="12" t="str">
        <f ca="1">IFERROR(__xludf.DUMMYFUNCTION("""COMPUTED_VALUE"""),"70600 CHAMPLITTE")</f>
        <v>70600 CHAMPLITTE</v>
      </c>
      <c r="N140" s="6"/>
      <c r="O140" s="6"/>
    </row>
    <row r="141" spans="1:15" ht="15.5" x14ac:dyDescent="0.35">
      <c r="A141" s="12" t="str">
        <f ca="1">IFERROR(__xludf.DUMMYFUNCTION("""COMPUTED_VALUE"""),"BAULARD Lara")</f>
        <v>BAULARD Lara</v>
      </c>
      <c r="B141" s="12" t="str">
        <f ca="1">IFERROR(__xludf.DUMMYFUNCTION("""COMPUTED_VALUE"""),"F")</f>
        <v>F</v>
      </c>
      <c r="C141" s="13">
        <f ca="1">IFERROR(__xludf.DUMMYFUNCTION("""COMPUTED_VALUE"""),41915)</f>
        <v>41915</v>
      </c>
      <c r="D141" s="12" t="str">
        <f ca="1">IFERROR(__xludf.DUMMYFUNCTION("""COMPUTED_VALUE"""),"POUSSINS")</f>
        <v>POUSSINS</v>
      </c>
      <c r="E141" s="14" t="str">
        <f ca="1">IFERROR(__xludf.DUMMYFUNCTION("""COMPUTED_VALUE"""),"ECOLE
")</f>
        <v xml:space="preserve">ECOLE
</v>
      </c>
      <c r="F141" s="1" t="str">
        <f ca="1">IFERROR(__xludf.DUMMYFUNCTION("""COMPUTED_VALUE"""),"CHAMPLITTE")</f>
        <v>CHAMPLITTE</v>
      </c>
      <c r="G141" s="12" t="str">
        <f ca="1">IFERROR(__xludf.DUMMYFUNCTION("""COMPUTED_VALUE"""),"CHAMPLITTE")</f>
        <v>CHAMPLITTE</v>
      </c>
      <c r="H141" s="12" t="str">
        <f t="shared" ca="1" si="0"/>
        <v>ECOLE
  CHAMPLITTE  CHAMPLITTE</v>
      </c>
      <c r="I141" s="6"/>
      <c r="J141" s="12"/>
      <c r="K141" s="12"/>
      <c r="L141" s="12" t="str">
        <f ca="1">IFERROR(__xludf.DUMMYFUNCTION("""COMPUTED_VALUE"""),"06 76 58 39 89")</f>
        <v>06 76 58 39 89</v>
      </c>
      <c r="M141" s="12" t="str">
        <f ca="1">IFERROR(__xludf.DUMMYFUNCTION("""COMPUTED_VALUE"""),"70600 MONTARLOT")</f>
        <v>70600 MONTARLOT</v>
      </c>
      <c r="N141" s="6"/>
      <c r="O141" s="6"/>
    </row>
    <row r="142" spans="1:15" ht="15.5" x14ac:dyDescent="0.35">
      <c r="A142" s="12" t="str">
        <f ca="1">IFERROR(__xludf.DUMMYFUNCTION("""COMPUTED_VALUE"""),"GRAPPOTTE Charlotte")</f>
        <v>GRAPPOTTE Charlotte</v>
      </c>
      <c r="B142" s="12" t="str">
        <f ca="1">IFERROR(__xludf.DUMMYFUNCTION("""COMPUTED_VALUE"""),"F")</f>
        <v>F</v>
      </c>
      <c r="C142" s="13">
        <f ca="1">IFERROR(__xludf.DUMMYFUNCTION("""COMPUTED_VALUE"""),41743)</f>
        <v>41743</v>
      </c>
      <c r="D142" s="12" t="str">
        <f ca="1">IFERROR(__xludf.DUMMYFUNCTION("""COMPUTED_VALUE"""),"POUSSINS")</f>
        <v>POUSSINS</v>
      </c>
      <c r="E142" s="14" t="str">
        <f ca="1">IFERROR(__xludf.DUMMYFUNCTION("""COMPUTED_VALUE"""),"ECOLE
")</f>
        <v xml:space="preserve">ECOLE
</v>
      </c>
      <c r="F142" s="1" t="str">
        <f ca="1">IFERROR(__xludf.DUMMYFUNCTION("""COMPUTED_VALUE"""),"CHAMPLITTE")</f>
        <v>CHAMPLITTE</v>
      </c>
      <c r="G142" s="12" t="str">
        <f ca="1">IFERROR(__xludf.DUMMYFUNCTION("""COMPUTED_VALUE"""),"CHAMPLITTE")</f>
        <v>CHAMPLITTE</v>
      </c>
      <c r="H142" s="12" t="str">
        <f t="shared" ca="1" si="0"/>
        <v>ECOLE
  CHAMPLITTE  CHAMPLITTE</v>
      </c>
      <c r="I142" s="6"/>
      <c r="J142" s="12"/>
      <c r="K142" s="12"/>
      <c r="L142" s="12" t="str">
        <f ca="1">IFERROR(__xludf.DUMMYFUNCTION("""COMPUTED_VALUE"""),"06 87 19 47 86")</f>
        <v>06 87 19 47 86</v>
      </c>
      <c r="M142" s="12" t="str">
        <f ca="1">IFERROR(__xludf.DUMMYFUNCTION("""COMPUTED_VALUE"""),"70600 NEUVELLE LES CHAMPLITTE")</f>
        <v>70600 NEUVELLE LES CHAMPLITTE</v>
      </c>
      <c r="N142" s="6"/>
      <c r="O142" s="6"/>
    </row>
    <row r="143" spans="1:15" ht="15.5" x14ac:dyDescent="0.35">
      <c r="A143" s="12" t="str">
        <f ca="1">IFERROR(__xludf.DUMMYFUNCTION("""COMPUTED_VALUE"""),"HAREL Capucine")</f>
        <v>HAREL Capucine</v>
      </c>
      <c r="B143" s="12" t="str">
        <f ca="1">IFERROR(__xludf.DUMMYFUNCTION("""COMPUTED_VALUE"""),"F")</f>
        <v>F</v>
      </c>
      <c r="C143" s="13">
        <f ca="1">IFERROR(__xludf.DUMMYFUNCTION("""COMPUTED_VALUE"""),41406)</f>
        <v>41406</v>
      </c>
      <c r="D143" s="12" t="str">
        <f ca="1">IFERROR(__xludf.DUMMYFUNCTION("""COMPUTED_VALUE"""),"POUSSINS")</f>
        <v>POUSSINS</v>
      </c>
      <c r="E143" s="14" t="str">
        <f ca="1">IFERROR(__xludf.DUMMYFUNCTION("""COMPUTED_VALUE"""),"ECOLE
")</f>
        <v xml:space="preserve">ECOLE
</v>
      </c>
      <c r="F143" s="1" t="str">
        <f ca="1">IFERROR(__xludf.DUMMYFUNCTION("""COMPUTED_VALUE"""),"CHAMPLITTE")</f>
        <v>CHAMPLITTE</v>
      </c>
      <c r="G143" s="12" t="str">
        <f ca="1">IFERROR(__xludf.DUMMYFUNCTION("""COMPUTED_VALUE"""),"CHAMPLITTE")</f>
        <v>CHAMPLITTE</v>
      </c>
      <c r="H143" s="12" t="str">
        <f t="shared" ca="1" si="0"/>
        <v>ECOLE
  CHAMPLITTE  CHAMPLITTE</v>
      </c>
      <c r="I143" s="6"/>
      <c r="J143" s="12"/>
      <c r="K143" s="12"/>
      <c r="L143" s="12" t="str">
        <f ca="1">IFERROR(__xludf.DUMMYFUNCTION("""COMPUTED_VALUE"""),"06 60 77 10 34")</f>
        <v>06 60 77 10 34</v>
      </c>
      <c r="M143" s="12" t="str">
        <f ca="1">IFERROR(__xludf.DUMMYFUNCTION("""COMPUTED_VALUE"""),"25000 BESANCON")</f>
        <v>25000 BESANCON</v>
      </c>
      <c r="N143" s="6"/>
      <c r="O143" s="6"/>
    </row>
    <row r="144" spans="1:15" ht="15.5" x14ac:dyDescent="0.35">
      <c r="A144" s="12" t="str">
        <f ca="1">IFERROR(__xludf.DUMMYFUNCTION("""COMPUTED_VALUE"""),"LACOMBE Océane")</f>
        <v>LACOMBE Océane</v>
      </c>
      <c r="B144" s="12" t="str">
        <f ca="1">IFERROR(__xludf.DUMMYFUNCTION("""COMPUTED_VALUE"""),"F")</f>
        <v>F</v>
      </c>
      <c r="C144" s="13">
        <f ca="1">IFERROR(__xludf.DUMMYFUNCTION("""COMPUTED_VALUE"""),41465)</f>
        <v>41465</v>
      </c>
      <c r="D144" s="12" t="str">
        <f ca="1">IFERROR(__xludf.DUMMYFUNCTION("""COMPUTED_VALUE"""),"POUSSINS")</f>
        <v>POUSSINS</v>
      </c>
      <c r="E144" s="14" t="str">
        <f ca="1">IFERROR(__xludf.DUMMYFUNCTION("""COMPUTED_VALUE"""),"ECOLE
")</f>
        <v xml:space="preserve">ECOLE
</v>
      </c>
      <c r="F144" s="1" t="str">
        <f ca="1">IFERROR(__xludf.DUMMYFUNCTION("""COMPUTED_VALUE"""),"CHAMPLITTE")</f>
        <v>CHAMPLITTE</v>
      </c>
      <c r="G144" s="12" t="str">
        <f ca="1">IFERROR(__xludf.DUMMYFUNCTION("""COMPUTED_VALUE"""),"CHAMPLITTE")</f>
        <v>CHAMPLITTE</v>
      </c>
      <c r="H144" s="12" t="str">
        <f t="shared" ca="1" si="0"/>
        <v>ECOLE
  CHAMPLITTE  CHAMPLITTE</v>
      </c>
      <c r="I144" s="6"/>
      <c r="J144" s="12"/>
      <c r="K144" s="12"/>
      <c r="L144" s="12" t="str">
        <f ca="1">IFERROR(__xludf.DUMMYFUNCTION("""COMPUTED_VALUE"""),"06 50 46 91 03")</f>
        <v>06 50 46 91 03</v>
      </c>
      <c r="M144" s="12" t="str">
        <f ca="1">IFERROR(__xludf.DUMMYFUNCTION("""COMPUTED_VALUE"""),"70600 FRAMONT")</f>
        <v>70600 FRAMONT</v>
      </c>
      <c r="N144" s="6"/>
      <c r="O144" s="6"/>
    </row>
    <row r="145" spans="1:15" ht="15.5" x14ac:dyDescent="0.35">
      <c r="A145" s="12" t="str">
        <f ca="1">IFERROR(__xludf.DUMMYFUNCTION("""COMPUTED_VALUE"""),"MAGNY Samuel")</f>
        <v>MAGNY Samuel</v>
      </c>
      <c r="B145" s="12" t="str">
        <f ca="1">IFERROR(__xludf.DUMMYFUNCTION("""COMPUTED_VALUE"""),"H")</f>
        <v>H</v>
      </c>
      <c r="C145" s="13">
        <f ca="1">IFERROR(__xludf.DUMMYFUNCTION("""COMPUTED_VALUE"""),43496)</f>
        <v>43496</v>
      </c>
      <c r="D145" s="12" t="str">
        <f ca="1">IFERROR(__xludf.DUMMYFUNCTION("""COMPUTED_VALUE"""),"BABY ATHLE")</f>
        <v>BABY ATHLE</v>
      </c>
      <c r="E145" s="14" t="str">
        <f ca="1">IFERROR(__xludf.DUMMYFUNCTION("""COMPUTED_VALUE"""),"ECOLE
")</f>
        <v xml:space="preserve">ECOLE
</v>
      </c>
      <c r="F145" s="1" t="str">
        <f ca="1">IFERROR(__xludf.DUMMYFUNCTION("""COMPUTED_VALUE"""),"CHARGEY LES GRAY")</f>
        <v>CHARGEY LES GRAY</v>
      </c>
      <c r="G145" s="12" t="str">
        <f ca="1">IFERROR(__xludf.DUMMYFUNCTION("""COMPUTED_VALUE"""),"CHARGEY LES GRAY")</f>
        <v>CHARGEY LES GRAY</v>
      </c>
      <c r="H145" s="12" t="str">
        <f t="shared" ca="1" si="0"/>
        <v>ECOLE
  CHARGEY LES GRAY  CHARGEY LES GRAY</v>
      </c>
      <c r="I145" s="6"/>
      <c r="J145" s="12" t="str">
        <f ca="1">IFERROR(__xludf.DUMMYFUNCTION("""COMPUTED_VALUE"""),"OK")</f>
        <v>OK</v>
      </c>
      <c r="K145" s="12" t="str">
        <f ca="1">IFERROR(__xludf.DUMMYFUNCTION("""COMPUTED_VALUE"""),"melanie702108@hotmail.fr")</f>
        <v>melanie702108@hotmail.fr</v>
      </c>
      <c r="L145" s="12" t="str">
        <f ca="1">IFERROR(__xludf.DUMMYFUNCTION("""COMPUTED_VALUE"""),"07 57 50 16 69")</f>
        <v>07 57 50 16 69</v>
      </c>
      <c r="M145" s="12" t="str">
        <f ca="1">IFERROR(__xludf.DUMMYFUNCTION("""COMPUTED_VALUE"""),"70600 VARS")</f>
        <v>70600 VARS</v>
      </c>
      <c r="N145" s="6"/>
      <c r="O145" s="6"/>
    </row>
    <row r="146" spans="1:15" ht="15.5" x14ac:dyDescent="0.35">
      <c r="A146" s="12" t="str">
        <f ca="1">IFERROR(__xludf.DUMMYFUNCTION("""COMPUTED_VALUE"""),"ROLAND Linoa")</f>
        <v>ROLAND Linoa</v>
      </c>
      <c r="B146" s="12" t="str">
        <f ca="1">IFERROR(__xludf.DUMMYFUNCTION("""COMPUTED_VALUE"""),"F")</f>
        <v>F</v>
      </c>
      <c r="C146" s="13">
        <f ca="1">IFERROR(__xludf.DUMMYFUNCTION("""COMPUTED_VALUE"""),44025)</f>
        <v>44025</v>
      </c>
      <c r="D146" s="12" t="str">
        <f ca="1">IFERROR(__xludf.DUMMYFUNCTION("""COMPUTED_VALUE"""),"BABY ATHLE")</f>
        <v>BABY ATHLE</v>
      </c>
      <c r="E146" s="14" t="str">
        <f ca="1">IFERROR(__xludf.DUMMYFUNCTION("""COMPUTED_VALUE"""),"ECOLE
")</f>
        <v xml:space="preserve">ECOLE
</v>
      </c>
      <c r="F146" s="1" t="str">
        <f ca="1">IFERROR(__xludf.DUMMYFUNCTION("""COMPUTED_VALUE"""),"CHARGEY LES GRAY")</f>
        <v>CHARGEY LES GRAY</v>
      </c>
      <c r="G146" s="12" t="str">
        <f ca="1">IFERROR(__xludf.DUMMYFUNCTION("""COMPUTED_VALUE"""),"CHARGEY LES GRAY")</f>
        <v>CHARGEY LES GRAY</v>
      </c>
      <c r="H146" s="12" t="str">
        <f t="shared" ca="1" si="0"/>
        <v>ECOLE
  CHARGEY LES GRAY  CHARGEY LES GRAY</v>
      </c>
      <c r="I146" s="6"/>
      <c r="J146" s="12" t="str">
        <f ca="1">IFERROR(__xludf.DUMMYFUNCTION("""COMPUTED_VALUE"""),"OK")</f>
        <v>OK</v>
      </c>
      <c r="K146" s="12" t="str">
        <f ca="1">IFERROR(__xludf.DUMMYFUNCTION("""COMPUTED_VALUE"""),"nonette70@hotmail.fr")</f>
        <v>nonette70@hotmail.fr</v>
      </c>
      <c r="L146" s="12" t="str">
        <f ca="1">IFERROR(__xludf.DUMMYFUNCTION("""COMPUTED_VALUE"""),"06 59 02 71 28")</f>
        <v>06 59 02 71 28</v>
      </c>
      <c r="M146" s="12" t="str">
        <f ca="1">IFERROR(__xludf.DUMMYFUNCTION("""COMPUTED_VALUE"""),"70600 OYRIERES")</f>
        <v>70600 OYRIERES</v>
      </c>
      <c r="N146" s="6"/>
      <c r="O146" s="6"/>
    </row>
    <row r="147" spans="1:15" ht="15.5" x14ac:dyDescent="0.35">
      <c r="A147" s="12" t="str">
        <f ca="1">IFERROR(__xludf.DUMMYFUNCTION("""COMPUTED_VALUE"""),"DECUGNIET-GONGET Ethan")</f>
        <v>DECUGNIET-GONGET Ethan</v>
      </c>
      <c r="B147" s="12" t="str">
        <f ca="1">IFERROR(__xludf.DUMMYFUNCTION("""COMPUTED_VALUE"""),"H")</f>
        <v>H</v>
      </c>
      <c r="C147" s="13">
        <f ca="1">IFERROR(__xludf.DUMMYFUNCTION("""COMPUTED_VALUE"""),42195)</f>
        <v>42195</v>
      </c>
      <c r="D147" s="12" t="str">
        <f ca="1">IFERROR(__xludf.DUMMYFUNCTION("""COMPUTED_VALUE"""),"EVEIL ATHLE")</f>
        <v>EVEIL ATHLE</v>
      </c>
      <c r="E147" s="14" t="str">
        <f ca="1">IFERROR(__xludf.DUMMYFUNCTION("""COMPUTED_VALUE"""),"ECOLE
")</f>
        <v xml:space="preserve">ECOLE
</v>
      </c>
      <c r="F147" s="1" t="str">
        <f ca="1">IFERROR(__xludf.DUMMYFUNCTION("""COMPUTED_VALUE"""),"CHARGEY LES GRAY")</f>
        <v>CHARGEY LES GRAY</v>
      </c>
      <c r="G147" s="12" t="str">
        <f ca="1">IFERROR(__xludf.DUMMYFUNCTION("""COMPUTED_VALUE"""),"CHARGEY LES GRAY")</f>
        <v>CHARGEY LES GRAY</v>
      </c>
      <c r="H147" s="12" t="str">
        <f t="shared" ca="1" si="0"/>
        <v>ECOLE
  CHARGEY LES GRAY  CHARGEY LES GRAY</v>
      </c>
      <c r="I147" s="6"/>
      <c r="J147" s="12" t="str">
        <f ca="1">IFERROR(__xludf.DUMMYFUNCTION("""COMPUTED_VALUE"""),"OK")</f>
        <v>OK</v>
      </c>
      <c r="K147" s="12" t="str">
        <f ca="1">IFERROR(__xludf.DUMMYFUNCTION("""COMPUTED_VALUE"""),"cindygongetàgmail.com")</f>
        <v>cindygongetàgmail.com</v>
      </c>
      <c r="L147" s="12" t="str">
        <f ca="1">IFERROR(__xludf.DUMMYFUNCTION("""COMPUTED_VALUE"""),"06 74 15 09 78")</f>
        <v>06 74 15 09 78</v>
      </c>
      <c r="M147" s="12" t="str">
        <f ca="1">IFERROR(__xludf.DUMMYFUNCTION("""COMPUTED_VALUE"""),"70600 VARS")</f>
        <v>70600 VARS</v>
      </c>
      <c r="N147" s="6"/>
      <c r="O147" s="6"/>
    </row>
    <row r="148" spans="1:15" ht="15.5" x14ac:dyDescent="0.35">
      <c r="A148" s="12" t="str">
        <f ca="1">IFERROR(__xludf.DUMMYFUNCTION("""COMPUTED_VALUE"""),"DUMONT Alice")</f>
        <v>DUMONT Alice</v>
      </c>
      <c r="B148" s="12" t="str">
        <f ca="1">IFERROR(__xludf.DUMMYFUNCTION("""COMPUTED_VALUE"""),"F")</f>
        <v>F</v>
      </c>
      <c r="C148" s="13">
        <f ca="1">IFERROR(__xludf.DUMMYFUNCTION("""COMPUTED_VALUE"""),42470)</f>
        <v>42470</v>
      </c>
      <c r="D148" s="12" t="str">
        <f ca="1">IFERROR(__xludf.DUMMYFUNCTION("""COMPUTED_VALUE"""),"EVEIL ATHLE")</f>
        <v>EVEIL ATHLE</v>
      </c>
      <c r="E148" s="14" t="str">
        <f ca="1">IFERROR(__xludf.DUMMYFUNCTION("""COMPUTED_VALUE"""),"ECOLE
")</f>
        <v xml:space="preserve">ECOLE
</v>
      </c>
      <c r="F148" s="1" t="str">
        <f ca="1">IFERROR(__xludf.DUMMYFUNCTION("""COMPUTED_VALUE"""),"CHARGEY LES GRAY")</f>
        <v>CHARGEY LES GRAY</v>
      </c>
      <c r="G148" s="12" t="str">
        <f ca="1">IFERROR(__xludf.DUMMYFUNCTION("""COMPUTED_VALUE"""),"CHARGEY LES GRAY")</f>
        <v>CHARGEY LES GRAY</v>
      </c>
      <c r="H148" s="12" t="str">
        <f t="shared" ca="1" si="0"/>
        <v>ECOLE
  CHARGEY LES GRAY  CHARGEY LES GRAY</v>
      </c>
      <c r="I148" s="6"/>
      <c r="J148" s="12" t="str">
        <f ca="1">IFERROR(__xludf.DUMMYFUNCTION("""COMPUTED_VALUE"""),"OK")</f>
        <v>OK</v>
      </c>
      <c r="K148" s="12" t="str">
        <f ca="1">IFERROR(__xludf.DUMMYFUNCTION("""COMPUTED_VALUE"""),"laurent.dumont8@orange.fr")</f>
        <v>laurent.dumont8@orange.fr</v>
      </c>
      <c r="L148" s="12" t="str">
        <f ca="1">IFERROR(__xludf.DUMMYFUNCTION("""COMPUTED_VALUE"""),"07 56 83 30 12")</f>
        <v>07 56 83 30 12</v>
      </c>
      <c r="M148" s="12" t="str">
        <f ca="1">IFERROR(__xludf.DUMMYFUNCTION("""COMPUTED_VALUE"""),"69006 LYON")</f>
        <v>69006 LYON</v>
      </c>
      <c r="N148" s="6"/>
      <c r="O148" s="6"/>
    </row>
    <row r="149" spans="1:15" ht="15.5" x14ac:dyDescent="0.35">
      <c r="A149" s="12" t="str">
        <f ca="1">IFERROR(__xludf.DUMMYFUNCTION("""COMPUTED_VALUE"""),"BLANC Prune")</f>
        <v>BLANC Prune</v>
      </c>
      <c r="B149" s="12" t="str">
        <f ca="1">IFERROR(__xludf.DUMMYFUNCTION("""COMPUTED_VALUE"""),"F")</f>
        <v>F</v>
      </c>
      <c r="C149" s="13">
        <f ca="1">IFERROR(__xludf.DUMMYFUNCTION("""COMPUTED_VALUE"""),41492)</f>
        <v>41492</v>
      </c>
      <c r="D149" s="12" t="str">
        <f ca="1">IFERROR(__xludf.DUMMYFUNCTION("""COMPUTED_VALUE"""),"POUSSINS")</f>
        <v>POUSSINS</v>
      </c>
      <c r="E149" s="14" t="str">
        <f ca="1">IFERROR(__xludf.DUMMYFUNCTION("""COMPUTED_VALUE"""),"ECOLE
")</f>
        <v xml:space="preserve">ECOLE
</v>
      </c>
      <c r="F149" s="1" t="str">
        <f ca="1">IFERROR(__xludf.DUMMYFUNCTION("""COMPUTED_VALUE"""),"CHARGEY LES GRAY")</f>
        <v>CHARGEY LES GRAY</v>
      </c>
      <c r="G149" s="12" t="str">
        <f ca="1">IFERROR(__xludf.DUMMYFUNCTION("""COMPUTED_VALUE"""),"CHARGEY LES GRAY")</f>
        <v>CHARGEY LES GRAY</v>
      </c>
      <c r="H149" s="12" t="str">
        <f t="shared" ca="1" si="0"/>
        <v>ECOLE
  CHARGEY LES GRAY  CHARGEY LES GRAY</v>
      </c>
      <c r="I149" s="6"/>
      <c r="J149" s="12" t="str">
        <f ca="1">IFERROR(__xludf.DUMMYFUNCTION("""COMPUTED_VALUE"""),"OK")</f>
        <v>OK</v>
      </c>
      <c r="K149" s="12" t="str">
        <f ca="1">IFERROR(__xludf.DUMMYFUNCTION("""COMPUTED_VALUE"""),"doud.15@hotmail.fr")</f>
        <v>doud.15@hotmail.fr</v>
      </c>
      <c r="L149" s="12" t="str">
        <f ca="1">IFERROR(__xludf.DUMMYFUNCTION("""COMPUTED_VALUE"""),"06 71 69 66 30")</f>
        <v>06 71 69 66 30</v>
      </c>
      <c r="M149" s="12" t="str">
        <f ca="1">IFERROR(__xludf.DUMMYFUNCTION("""COMPUTED_VALUE"""),"70600 OYRIERES")</f>
        <v>70600 OYRIERES</v>
      </c>
      <c r="N149" s="6"/>
      <c r="O149" s="6"/>
    </row>
    <row r="150" spans="1:15" ht="15.5" x14ac:dyDescent="0.35">
      <c r="A150" s="12" t="str">
        <f ca="1">IFERROR(__xludf.DUMMYFUNCTION("""COMPUTED_VALUE"""),"MEIER Chloé")</f>
        <v>MEIER Chloé</v>
      </c>
      <c r="B150" s="12" t="str">
        <f ca="1">IFERROR(__xludf.DUMMYFUNCTION("""COMPUTED_VALUE"""),"F")</f>
        <v>F</v>
      </c>
      <c r="C150" s="13">
        <f ca="1">IFERROR(__xludf.DUMMYFUNCTION("""COMPUTED_VALUE"""),41654)</f>
        <v>41654</v>
      </c>
      <c r="D150" s="12" t="str">
        <f ca="1">IFERROR(__xludf.DUMMYFUNCTION("""COMPUTED_VALUE"""),"POUSSINS")</f>
        <v>POUSSINS</v>
      </c>
      <c r="E150" s="14" t="str">
        <f ca="1">IFERROR(__xludf.DUMMYFUNCTION("""COMPUTED_VALUE"""),"ECOLE
")</f>
        <v xml:space="preserve">ECOLE
</v>
      </c>
      <c r="F150" s="1" t="str">
        <f ca="1">IFERROR(__xludf.DUMMYFUNCTION("""COMPUTED_VALUE"""),"CHARGEY LES GRAY")</f>
        <v>CHARGEY LES GRAY</v>
      </c>
      <c r="G150" s="12" t="str">
        <f ca="1">IFERROR(__xludf.DUMMYFUNCTION("""COMPUTED_VALUE"""),"CHARGEY LES GRAY")</f>
        <v>CHARGEY LES GRAY</v>
      </c>
      <c r="H150" s="12" t="str">
        <f t="shared" ca="1" si="0"/>
        <v>ECOLE
  CHARGEY LES GRAY  CHARGEY LES GRAY</v>
      </c>
      <c r="I150" s="6"/>
      <c r="J150" s="12" t="str">
        <f ca="1">IFERROR(__xludf.DUMMYFUNCTION("""COMPUTED_VALUE"""),"OK")</f>
        <v>OK</v>
      </c>
      <c r="K150" s="12" t="str">
        <f ca="1">IFERROR(__xludf.DUMMYFUNCTION("""COMPUTED_VALUE"""),"celine.cv@hotmail.fr")</f>
        <v>celine.cv@hotmail.fr</v>
      </c>
      <c r="L150" s="12" t="str">
        <f ca="1">IFERROR(__xludf.DUMMYFUNCTION("""COMPUTED_VALUE"""),"07 71 84 76 98")</f>
        <v>07 71 84 76 98</v>
      </c>
      <c r="M150" s="12" t="str">
        <f ca="1">IFERROR(__xludf.DUMMYFUNCTION("""COMPUTED_VALUE"""),"70100 CHARGEY LES GRAY")</f>
        <v>70100 CHARGEY LES GRAY</v>
      </c>
      <c r="N150" s="6"/>
      <c r="O150" s="6"/>
    </row>
    <row r="151" spans="1:15" ht="15.5" x14ac:dyDescent="0.35">
      <c r="A151" s="12" t="str">
        <f ca="1">IFERROR(__xludf.DUMMYFUNCTION("""COMPUTED_VALUE"""),"BLANC Prune")</f>
        <v>BLANC Prune</v>
      </c>
      <c r="B151" s="12" t="str">
        <f ca="1">IFERROR(__xludf.DUMMYFUNCTION("""COMPUTED_VALUE"""),"F")</f>
        <v>F</v>
      </c>
      <c r="C151" s="13">
        <f ca="1">IFERROR(__xludf.DUMMYFUNCTION("""COMPUTED_VALUE"""),41492)</f>
        <v>41492</v>
      </c>
      <c r="D151" s="12" t="str">
        <f ca="1">IFERROR(__xludf.DUMMYFUNCTION("""COMPUTED_VALUE"""),"POUSSINS")</f>
        <v>POUSSINS</v>
      </c>
      <c r="E151" s="14" t="str">
        <f ca="1">IFERROR(__xludf.DUMMYFUNCTION("""COMPUTED_VALUE"""),"ECOLE
")</f>
        <v xml:space="preserve">ECOLE
</v>
      </c>
      <c r="F151" s="1" t="str">
        <f ca="1">IFERROR(__xludf.DUMMYFUNCTION("""COMPUTED_VALUE"""),"CHARGEY LES GRAY")</f>
        <v>CHARGEY LES GRAY</v>
      </c>
      <c r="G151" s="12" t="str">
        <f ca="1">IFERROR(__xludf.DUMMYFUNCTION("""COMPUTED_VALUE"""),"CHARGEY LES GRAY")</f>
        <v>CHARGEY LES GRAY</v>
      </c>
      <c r="H151" s="12" t="str">
        <f t="shared" ca="1" si="0"/>
        <v>ECOLE
  CHARGEY LES GRAY  CHARGEY LES GRAY</v>
      </c>
      <c r="I151" s="6"/>
      <c r="J151" s="12"/>
      <c r="K151" s="12"/>
      <c r="L151" s="12" t="str">
        <f ca="1">IFERROR(__xludf.DUMMYFUNCTION("""COMPUTED_VALUE"""),"06 71 69 66 30")</f>
        <v>06 71 69 66 30</v>
      </c>
      <c r="M151" s="12" t="str">
        <f ca="1">IFERROR(__xludf.DUMMYFUNCTION("""COMPUTED_VALUE"""),"70600 OYRIERES")</f>
        <v>70600 OYRIERES</v>
      </c>
      <c r="N151" s="6"/>
      <c r="O151" s="6"/>
    </row>
    <row r="152" spans="1:15" ht="15.5" x14ac:dyDescent="0.35">
      <c r="A152" s="12" t="str">
        <f ca="1">IFERROR(__xludf.DUMMYFUNCTION("""COMPUTED_VALUE"""),"MEIER Chloé")</f>
        <v>MEIER Chloé</v>
      </c>
      <c r="B152" s="12" t="str">
        <f ca="1">IFERROR(__xludf.DUMMYFUNCTION("""COMPUTED_VALUE"""),"F")</f>
        <v>F</v>
      </c>
      <c r="C152" s="13">
        <f ca="1">IFERROR(__xludf.DUMMYFUNCTION("""COMPUTED_VALUE"""),41654)</f>
        <v>41654</v>
      </c>
      <c r="D152" s="12" t="str">
        <f ca="1">IFERROR(__xludf.DUMMYFUNCTION("""COMPUTED_VALUE"""),"POUSSINS")</f>
        <v>POUSSINS</v>
      </c>
      <c r="E152" s="14" t="str">
        <f ca="1">IFERROR(__xludf.DUMMYFUNCTION("""COMPUTED_VALUE"""),"ECOLE
")</f>
        <v xml:space="preserve">ECOLE
</v>
      </c>
      <c r="F152" s="1" t="str">
        <f ca="1">IFERROR(__xludf.DUMMYFUNCTION("""COMPUTED_VALUE"""),"CHARGEY LES GRAY")</f>
        <v>CHARGEY LES GRAY</v>
      </c>
      <c r="G152" s="12" t="str">
        <f ca="1">IFERROR(__xludf.DUMMYFUNCTION("""COMPUTED_VALUE"""),"CHARGEY LES GRAY")</f>
        <v>CHARGEY LES GRAY</v>
      </c>
      <c r="H152" s="12" t="str">
        <f t="shared" ca="1" si="0"/>
        <v>ECOLE
  CHARGEY LES GRAY  CHARGEY LES GRAY</v>
      </c>
      <c r="I152" s="6"/>
      <c r="J152" s="12"/>
      <c r="K152" s="12"/>
      <c r="L152" s="12" t="str">
        <f ca="1">IFERROR(__xludf.DUMMYFUNCTION("""COMPUTED_VALUE"""),"07 71 84 76 98")</f>
        <v>07 71 84 76 98</v>
      </c>
      <c r="M152" s="12" t="str">
        <f ca="1">IFERROR(__xludf.DUMMYFUNCTION("""COMPUTED_VALUE"""),"70100 CHARGEY LES GRAY")</f>
        <v>70100 CHARGEY LES GRAY</v>
      </c>
      <c r="N152" s="6"/>
      <c r="O152" s="6"/>
    </row>
    <row r="153" spans="1:15" ht="15.5" x14ac:dyDescent="0.35">
      <c r="A153" s="12" t="str">
        <f ca="1">IFERROR(__xludf.DUMMYFUNCTION("""COMPUTED_VALUE"""),"JACOT Lénaïk")</f>
        <v>JACOT Lénaïk</v>
      </c>
      <c r="B153" s="12" t="str">
        <f ca="1">IFERROR(__xludf.DUMMYFUNCTION("""COMPUTED_VALUE"""),"H")</f>
        <v>H</v>
      </c>
      <c r="C153" s="13">
        <f ca="1">IFERROR(__xludf.DUMMYFUNCTION("""COMPUTED_VALUE"""),42759)</f>
        <v>42759</v>
      </c>
      <c r="D153" s="12" t="str">
        <f ca="1">IFERROR(__xludf.DUMMYFUNCTION("""COMPUTED_VALUE"""),"EVEIL ATHLE")</f>
        <v>EVEIL ATHLE</v>
      </c>
      <c r="E153" s="14" t="str">
        <f ca="1">IFERROR(__xludf.DUMMYFUNCTION("""COMPUTED_VALUE"""),"ECOLE
")</f>
        <v xml:space="preserve">ECOLE
</v>
      </c>
      <c r="F153" s="1" t="str">
        <f ca="1">IFERROR(__xludf.DUMMYFUNCTION("""COMPUTED_VALUE"""),"MARPAIN")</f>
        <v>MARPAIN</v>
      </c>
      <c r="G153" s="12" t="str">
        <f ca="1">IFERROR(__xludf.DUMMYFUNCTION("""COMPUTED_VALUE"""),"DAMMARTIN")</f>
        <v>DAMMARTIN</v>
      </c>
      <c r="H153" s="12" t="str">
        <f t="shared" ca="1" si="0"/>
        <v>ECOLE
  MARPAIN  DAMMARTIN</v>
      </c>
      <c r="I153" s="6"/>
      <c r="J153" s="12" t="str">
        <f ca="1">IFERROR(__xludf.DUMMYFUNCTION("""COMPUTED_VALUE"""),"OK")</f>
        <v>OK</v>
      </c>
      <c r="K153" s="12" t="str">
        <f ca="1">IFERROR(__xludf.DUMMYFUNCTION("""COMPUTED_VALUE"""),"jenniferjacot26@gmail.com")</f>
        <v>jenniferjacot26@gmail.com</v>
      </c>
      <c r="L153" s="12" t="str">
        <f ca="1">IFERROR(__xludf.DUMMYFUNCTION("""COMPUTED_VALUE"""),"06 79 17 72 71")</f>
        <v>06 79 17 72 71</v>
      </c>
      <c r="M153" s="12" t="str">
        <f ca="1">IFERROR(__xludf.DUMMYFUNCTION("""COMPUTED_VALUE"""),"39290 THERVAY")</f>
        <v>39290 THERVAY</v>
      </c>
      <c r="N153" s="6"/>
      <c r="O153" s="6"/>
    </row>
    <row r="154" spans="1:15" ht="15.5" x14ac:dyDescent="0.35">
      <c r="A154" s="12" t="str">
        <f ca="1">IFERROR(__xludf.DUMMYFUNCTION("""COMPUTED_VALUE"""),"JACOT Malohé")</f>
        <v>JACOT Malohé</v>
      </c>
      <c r="B154" s="12" t="str">
        <f ca="1">IFERROR(__xludf.DUMMYFUNCTION("""COMPUTED_VALUE"""),"F")</f>
        <v>F</v>
      </c>
      <c r="C154" s="13">
        <f ca="1">IFERROR(__xludf.DUMMYFUNCTION("""COMPUTED_VALUE"""),42014)</f>
        <v>42014</v>
      </c>
      <c r="D154" s="12" t="str">
        <f ca="1">IFERROR(__xludf.DUMMYFUNCTION("""COMPUTED_VALUE"""),"EVEIL ATHLE")</f>
        <v>EVEIL ATHLE</v>
      </c>
      <c r="E154" s="14" t="str">
        <f ca="1">IFERROR(__xludf.DUMMYFUNCTION("""COMPUTED_VALUE"""),"ECOLE
")</f>
        <v xml:space="preserve">ECOLE
</v>
      </c>
      <c r="F154" s="1" t="str">
        <f ca="1">IFERROR(__xludf.DUMMYFUNCTION("""COMPUTED_VALUE"""),"MARPAIN")</f>
        <v>MARPAIN</v>
      </c>
      <c r="G154" s="12" t="str">
        <f ca="1">IFERROR(__xludf.DUMMYFUNCTION("""COMPUTED_VALUE"""),"DAMMARTIN")</f>
        <v>DAMMARTIN</v>
      </c>
      <c r="H154" s="12" t="str">
        <f t="shared" ca="1" si="0"/>
        <v>ECOLE
  MARPAIN  DAMMARTIN</v>
      </c>
      <c r="I154" s="6"/>
      <c r="J154" s="12" t="str">
        <f ca="1">IFERROR(__xludf.DUMMYFUNCTION("""COMPUTED_VALUE"""),"OK")</f>
        <v>OK</v>
      </c>
      <c r="K154" s="12" t="str">
        <f ca="1">IFERROR(__xludf.DUMMYFUNCTION("""COMPUTED_VALUE"""),"jenniferjacot26@gmail.com")</f>
        <v>jenniferjacot26@gmail.com</v>
      </c>
      <c r="L154" s="12" t="str">
        <f ca="1">IFERROR(__xludf.DUMMYFUNCTION("""COMPUTED_VALUE"""),"06 79 17 72 71")</f>
        <v>06 79 17 72 71</v>
      </c>
      <c r="M154" s="12" t="str">
        <f ca="1">IFERROR(__xludf.DUMMYFUNCTION("""COMPUTED_VALUE"""),"39290 THERVAY")</f>
        <v>39290 THERVAY</v>
      </c>
      <c r="N154" s="6"/>
      <c r="O154" s="6"/>
    </row>
    <row r="155" spans="1:15" ht="15.5" x14ac:dyDescent="0.35">
      <c r="A155" s="12" t="str">
        <f ca="1">IFERROR(__xludf.DUMMYFUNCTION("""COMPUTED_VALUE"""),"JACOT Lénaïk")</f>
        <v>JACOT Lénaïk</v>
      </c>
      <c r="B155" s="12" t="str">
        <f ca="1">IFERROR(__xludf.DUMMYFUNCTION("""COMPUTED_VALUE"""),"H")</f>
        <v>H</v>
      </c>
      <c r="C155" s="13">
        <f ca="1">IFERROR(__xludf.DUMMYFUNCTION("""COMPUTED_VALUE"""),42759)</f>
        <v>42759</v>
      </c>
      <c r="D155" s="12" t="str">
        <f ca="1">IFERROR(__xludf.DUMMYFUNCTION("""COMPUTED_VALUE"""),"EVEIL ATHLE")</f>
        <v>EVEIL ATHLE</v>
      </c>
      <c r="E155" s="14" t="str">
        <f ca="1">IFERROR(__xludf.DUMMYFUNCTION("""COMPUTED_VALUE"""),"ECOLE
")</f>
        <v xml:space="preserve">ECOLE
</v>
      </c>
      <c r="F155" s="1" t="str">
        <f ca="1">IFERROR(__xludf.DUMMYFUNCTION("""COMPUTED_VALUE"""),"MARPAIN")</f>
        <v>MARPAIN</v>
      </c>
      <c r="G155" s="12" t="str">
        <f ca="1">IFERROR(__xludf.DUMMYFUNCTION("""COMPUTED_VALUE"""),"DAMMARTIN")</f>
        <v>DAMMARTIN</v>
      </c>
      <c r="H155" s="12" t="str">
        <f t="shared" ca="1" si="0"/>
        <v>ECOLE
  MARPAIN  DAMMARTIN</v>
      </c>
      <c r="I155" s="6"/>
      <c r="J155" s="12"/>
      <c r="K155" s="12"/>
      <c r="L155" s="12" t="str">
        <f ca="1">IFERROR(__xludf.DUMMYFUNCTION("""COMPUTED_VALUE"""),"06 79 17 72 71")</f>
        <v>06 79 17 72 71</v>
      </c>
      <c r="M155" s="12" t="str">
        <f ca="1">IFERROR(__xludf.DUMMYFUNCTION("""COMPUTED_VALUE"""),"39290 THERVAY")</f>
        <v>39290 THERVAY</v>
      </c>
      <c r="N155" s="6"/>
      <c r="O155" s="6"/>
    </row>
    <row r="156" spans="1:15" ht="15.5" x14ac:dyDescent="0.35">
      <c r="A156" s="12" t="str">
        <f ca="1">IFERROR(__xludf.DUMMYFUNCTION("""COMPUTED_VALUE"""),"JACOT Malohé")</f>
        <v>JACOT Malohé</v>
      </c>
      <c r="B156" s="12" t="str">
        <f ca="1">IFERROR(__xludf.DUMMYFUNCTION("""COMPUTED_VALUE"""),"F")</f>
        <v>F</v>
      </c>
      <c r="C156" s="13">
        <f ca="1">IFERROR(__xludf.DUMMYFUNCTION("""COMPUTED_VALUE"""),42014)</f>
        <v>42014</v>
      </c>
      <c r="D156" s="12" t="str">
        <f ca="1">IFERROR(__xludf.DUMMYFUNCTION("""COMPUTED_VALUE"""),"EVEIL ATHLE")</f>
        <v>EVEIL ATHLE</v>
      </c>
      <c r="E156" s="14" t="str">
        <f ca="1">IFERROR(__xludf.DUMMYFUNCTION("""COMPUTED_VALUE"""),"ECOLE
")</f>
        <v xml:space="preserve">ECOLE
</v>
      </c>
      <c r="F156" s="1" t="str">
        <f ca="1">IFERROR(__xludf.DUMMYFUNCTION("""COMPUTED_VALUE"""),"MARPAIN")</f>
        <v>MARPAIN</v>
      </c>
      <c r="G156" s="12" t="str">
        <f ca="1">IFERROR(__xludf.DUMMYFUNCTION("""COMPUTED_VALUE"""),"DAMMARTIN")</f>
        <v>DAMMARTIN</v>
      </c>
      <c r="H156" s="12" t="str">
        <f t="shared" ca="1" si="0"/>
        <v>ECOLE
  MARPAIN  DAMMARTIN</v>
      </c>
      <c r="I156" s="6"/>
      <c r="J156" s="12"/>
      <c r="K156" s="12"/>
      <c r="L156" s="12" t="str">
        <f ca="1">IFERROR(__xludf.DUMMYFUNCTION("""COMPUTED_VALUE"""),"06 79 17 72 71")</f>
        <v>06 79 17 72 71</v>
      </c>
      <c r="M156" s="12" t="str">
        <f ca="1">IFERROR(__xludf.DUMMYFUNCTION("""COMPUTED_VALUE"""),"39290 THERVAY")</f>
        <v>39290 THERVAY</v>
      </c>
      <c r="N156" s="6"/>
      <c r="O156" s="6"/>
    </row>
    <row r="157" spans="1:15" ht="15.5" x14ac:dyDescent="0.35">
      <c r="A157" s="12" t="str">
        <f ca="1">IFERROR(__xludf.DUMMYFUNCTION("""COMPUTED_VALUE"""),"CHONE Maxime")</f>
        <v>CHONE Maxime</v>
      </c>
      <c r="B157" s="12" t="str">
        <f ca="1">IFERROR(__xludf.DUMMYFUNCTION("""COMPUTED_VALUE"""),"H")</f>
        <v>H</v>
      </c>
      <c r="C157" s="13">
        <f ca="1">IFERROR(__xludf.DUMMYFUNCTION("""COMPUTED_VALUE"""),41187)</f>
        <v>41187</v>
      </c>
      <c r="D157" s="12" t="str">
        <f ca="1">IFERROR(__xludf.DUMMYFUNCTION("""COMPUTED_VALUE"""),"BENJAMINS")</f>
        <v>BENJAMINS</v>
      </c>
      <c r="E157" s="14" t="str">
        <f ca="1">IFERROR(__xludf.DUMMYFUNCTION("""COMPUTED_VALUE"""),"COLLEGE")</f>
        <v>COLLEGE</v>
      </c>
      <c r="F157" s="1" t="str">
        <f ca="1">IFERROR(__xludf.DUMMYFUNCTION("""COMPUTED_VALUE"""),"DAMPIERRE SUR SALON")</f>
        <v>DAMPIERRE SUR SALON</v>
      </c>
      <c r="G157" s="12" t="str">
        <f ca="1">IFERROR(__xludf.DUMMYFUNCTION("""COMPUTED_VALUE"""),"DAMPIERRE SUR SALON")</f>
        <v>DAMPIERRE SUR SALON</v>
      </c>
      <c r="H157" s="12" t="str">
        <f t="shared" ca="1" si="0"/>
        <v>COLLEGE  DAMPIERRE SUR SALON  DAMPIERRE SUR SALON</v>
      </c>
      <c r="I157" s="6"/>
      <c r="J157" s="12" t="str">
        <f ca="1">IFERROR(__xludf.DUMMYFUNCTION("""COMPUTED_VALUE"""),"OK")</f>
        <v>OK</v>
      </c>
      <c r="K157" s="12" t="str">
        <f ca="1">IFERROR(__xludf.DUMMYFUNCTION("""COMPUTED_VALUE"""),"debelle70@hotmail.fr")</f>
        <v>debelle70@hotmail.fr</v>
      </c>
      <c r="L157" s="12" t="str">
        <f ca="1">IFERROR(__xludf.DUMMYFUNCTION("""COMPUTED_VALUE"""),"06 79 19 53 54")</f>
        <v>06 79 19 53 54</v>
      </c>
      <c r="M157" s="12" t="str">
        <f ca="1">IFERROR(__xludf.DUMMYFUNCTION("""COMPUTED_VALUE"""),"70180 DELAIN")</f>
        <v>70180 DELAIN</v>
      </c>
      <c r="N157" s="6"/>
      <c r="O157" s="6"/>
    </row>
    <row r="158" spans="1:15" ht="15.5" x14ac:dyDescent="0.35">
      <c r="A158" s="12" t="str">
        <f ca="1">IFERROR(__xludf.DUMMYFUNCTION("""COMPUTED_VALUE"""),"ROUSSEL Louise")</f>
        <v>ROUSSEL Louise</v>
      </c>
      <c r="B158" s="12" t="str">
        <f ca="1">IFERROR(__xludf.DUMMYFUNCTION("""COMPUTED_VALUE"""),"F")</f>
        <v>F</v>
      </c>
      <c r="C158" s="13">
        <f ca="1">IFERROR(__xludf.DUMMYFUNCTION("""COMPUTED_VALUE"""),40844)</f>
        <v>40844</v>
      </c>
      <c r="D158" s="12" t="str">
        <f ca="1">IFERROR(__xludf.DUMMYFUNCTION("""COMPUTED_VALUE"""),"BENJAMINS")</f>
        <v>BENJAMINS</v>
      </c>
      <c r="E158" s="14" t="str">
        <f ca="1">IFERROR(__xludf.DUMMYFUNCTION("""COMPUTED_VALUE"""),"COLLEGE")</f>
        <v>COLLEGE</v>
      </c>
      <c r="F158" s="1" t="str">
        <f ca="1">IFERROR(__xludf.DUMMYFUNCTION("""COMPUTED_VALUE"""),"DAMPIERRE SUR SALON")</f>
        <v>DAMPIERRE SUR SALON</v>
      </c>
      <c r="G158" s="12" t="str">
        <f ca="1">IFERROR(__xludf.DUMMYFUNCTION("""COMPUTED_VALUE"""),"DAMPIERRE SUR SALON")</f>
        <v>DAMPIERRE SUR SALON</v>
      </c>
      <c r="H158" s="12" t="str">
        <f t="shared" ca="1" si="0"/>
        <v>COLLEGE  DAMPIERRE SUR SALON  DAMPIERRE SUR SALON</v>
      </c>
      <c r="I158" s="6"/>
      <c r="J158" s="12" t="str">
        <f ca="1">IFERROR(__xludf.DUMMYFUNCTION("""COMPUTED_VALUE"""),"OK")</f>
        <v>OK</v>
      </c>
      <c r="K158" s="12" t="str">
        <f ca="1">IFERROR(__xludf.DUMMYFUNCTION("""COMPUTED_VALUE"""),"melanierpahael@hotmail.fr")</f>
        <v>melanierpahael@hotmail.fr</v>
      </c>
      <c r="L158" s="12" t="str">
        <f ca="1">IFERROR(__xludf.DUMMYFUNCTION("""COMPUTED_VALUE"""),"06 77 21 15 46")</f>
        <v>06 77 21 15 46</v>
      </c>
      <c r="M158" s="12" t="str">
        <f ca="1">IFERROR(__xludf.DUMMYFUNCTION("""COMPUTED_VALUE"""),"70130 RAY SUR SAONE")</f>
        <v>70130 RAY SUR SAONE</v>
      </c>
      <c r="N158" s="6"/>
      <c r="O158" s="6"/>
    </row>
    <row r="159" spans="1:15" ht="15.5" x14ac:dyDescent="0.35">
      <c r="A159" s="12" t="str">
        <f ca="1">IFERROR(__xludf.DUMMYFUNCTION("""COMPUTED_VALUE"""),"ZIEGLER Jorine")</f>
        <v>ZIEGLER Jorine</v>
      </c>
      <c r="B159" s="12" t="str">
        <f ca="1">IFERROR(__xludf.DUMMYFUNCTION("""COMPUTED_VALUE"""),"F")</f>
        <v>F</v>
      </c>
      <c r="C159" s="13">
        <f ca="1">IFERROR(__xludf.DUMMYFUNCTION("""COMPUTED_VALUE"""),41173)</f>
        <v>41173</v>
      </c>
      <c r="D159" s="12" t="str">
        <f ca="1">IFERROR(__xludf.DUMMYFUNCTION("""COMPUTED_VALUE"""),"BENJAMINS")</f>
        <v>BENJAMINS</v>
      </c>
      <c r="E159" s="14" t="str">
        <f ca="1">IFERROR(__xludf.DUMMYFUNCTION("""COMPUTED_VALUE"""),"COLLEGE")</f>
        <v>COLLEGE</v>
      </c>
      <c r="F159" s="1" t="str">
        <f ca="1">IFERROR(__xludf.DUMMYFUNCTION("""COMPUTED_VALUE"""),"DAMPIERRE SUR SALON")</f>
        <v>DAMPIERRE SUR SALON</v>
      </c>
      <c r="G159" s="12" t="str">
        <f ca="1">IFERROR(__xludf.DUMMYFUNCTION("""COMPUTED_VALUE"""),"DAMPIERRE SUR SALON")</f>
        <v>DAMPIERRE SUR SALON</v>
      </c>
      <c r="H159" s="12" t="str">
        <f t="shared" ca="1" si="0"/>
        <v>COLLEGE  DAMPIERRE SUR SALON  DAMPIERRE SUR SALON</v>
      </c>
      <c r="I159" s="6"/>
      <c r="J159" s="12" t="str">
        <f ca="1">IFERROR(__xludf.DUMMYFUNCTION("""COMPUTED_VALUE"""),"OK")</f>
        <v>OK</v>
      </c>
      <c r="K159" s="12" t="str">
        <f ca="1">IFERROR(__xludf.DUMMYFUNCTION("""COMPUTED_VALUE"""),"laetitia.baulard@orange.fr")</f>
        <v>laetitia.baulard@orange.fr</v>
      </c>
      <c r="L159" s="12" t="str">
        <f ca="1">IFERROR(__xludf.DUMMYFUNCTION("""COMPUTED_VALUE"""),"06 76 55 05 22")</f>
        <v>06 76 55 05 22</v>
      </c>
      <c r="M159" s="12" t="str">
        <f ca="1">IFERROR(__xludf.DUMMYFUNCTION("""COMPUTED_VALUE"""),"70600 CHAMPLITTE")</f>
        <v>70600 CHAMPLITTE</v>
      </c>
      <c r="N159" s="6"/>
      <c r="O159" s="6"/>
    </row>
    <row r="160" spans="1:15" ht="15.5" x14ac:dyDescent="0.35">
      <c r="A160" s="12" t="str">
        <f ca="1">IFERROR(__xludf.DUMMYFUNCTION("""COMPUTED_VALUE"""),"CANNAC Simon")</f>
        <v>CANNAC Simon</v>
      </c>
      <c r="B160" s="12" t="str">
        <f ca="1">IFERROR(__xludf.DUMMYFUNCTION("""COMPUTED_VALUE"""),"H")</f>
        <v>H</v>
      </c>
      <c r="C160" s="13">
        <f ca="1">IFERROR(__xludf.DUMMYFUNCTION("""COMPUTED_VALUE"""),43026)</f>
        <v>43026</v>
      </c>
      <c r="D160" s="12" t="str">
        <f ca="1">IFERROR(__xludf.DUMMYFUNCTION("""COMPUTED_VALUE"""),"EVEIL ATHLE")</f>
        <v>EVEIL ATHLE</v>
      </c>
      <c r="E160" s="14" t="str">
        <f ca="1">IFERROR(__xludf.DUMMYFUNCTION("""COMPUTED_VALUE"""),"ECOLE
")</f>
        <v xml:space="preserve">ECOLE
</v>
      </c>
      <c r="F160" s="1" t="str">
        <f ca="1">IFERROR(__xludf.DUMMYFUNCTION("""COMPUTED_VALUE"""),"DAMPIERRE SUR SALON")</f>
        <v>DAMPIERRE SUR SALON</v>
      </c>
      <c r="G160" s="12" t="str">
        <f ca="1">IFERROR(__xludf.DUMMYFUNCTION("""COMPUTED_VALUE"""),"DAMPIERRE SUR SALON")</f>
        <v>DAMPIERRE SUR SALON</v>
      </c>
      <c r="H160" s="12" t="str">
        <f t="shared" ca="1" si="0"/>
        <v>ECOLE
  DAMPIERRE SUR SALON  DAMPIERRE SUR SALON</v>
      </c>
      <c r="I160" s="6"/>
      <c r="J160" s="12" t="str">
        <f ca="1">IFERROR(__xludf.DUMMYFUNCTION("""COMPUTED_VALUE"""),"OK")</f>
        <v>OK</v>
      </c>
      <c r="K160" s="12" t="str">
        <f ca="1">IFERROR(__xludf.DUMMYFUNCTION("""COMPUTED_VALUE"""),"didier.cannac@gmail.com")</f>
        <v>didier.cannac@gmail.com</v>
      </c>
      <c r="L160" s="12" t="str">
        <f ca="1">IFERROR(__xludf.DUMMYFUNCTION("""COMPUTED_VALUE"""),"06 74 68 46 26")</f>
        <v>06 74 68 46 26</v>
      </c>
      <c r="M160" s="12" t="str">
        <f ca="1">IFERROR(__xludf.DUMMYFUNCTION("""COMPUTED_VALUE"""),"70180 DAMPIERRE SUR SALON")</f>
        <v>70180 DAMPIERRE SUR SALON</v>
      </c>
      <c r="N160" s="6"/>
      <c r="O160" s="6"/>
    </row>
    <row r="161" spans="1:15" ht="15.5" x14ac:dyDescent="0.35">
      <c r="A161" s="12" t="str">
        <f ca="1">IFERROR(__xludf.DUMMYFUNCTION("""COMPUTED_VALUE"""),"CUENOT Louise")</f>
        <v>CUENOT Louise</v>
      </c>
      <c r="B161" s="12" t="str">
        <f ca="1">IFERROR(__xludf.DUMMYFUNCTION("""COMPUTED_VALUE"""),"F")</f>
        <v>F</v>
      </c>
      <c r="C161" s="13">
        <f ca="1">IFERROR(__xludf.DUMMYFUNCTION("""COMPUTED_VALUE"""),42618)</f>
        <v>42618</v>
      </c>
      <c r="D161" s="12" t="str">
        <f ca="1">IFERROR(__xludf.DUMMYFUNCTION("""COMPUTED_VALUE"""),"EVEIL ATHLE")</f>
        <v>EVEIL ATHLE</v>
      </c>
      <c r="E161" s="14" t="str">
        <f ca="1">IFERROR(__xludf.DUMMYFUNCTION("""COMPUTED_VALUE"""),"ECOLE
")</f>
        <v xml:space="preserve">ECOLE
</v>
      </c>
      <c r="F161" s="1" t="str">
        <f ca="1">IFERROR(__xludf.DUMMYFUNCTION("""COMPUTED_VALUE"""),"DAMPIERRE SUR SALON")</f>
        <v>DAMPIERRE SUR SALON</v>
      </c>
      <c r="G161" s="12" t="str">
        <f ca="1">IFERROR(__xludf.DUMMYFUNCTION("""COMPUTED_VALUE"""),"DAMPIERRE SUR SALON")</f>
        <v>DAMPIERRE SUR SALON</v>
      </c>
      <c r="H161" s="12" t="str">
        <f t="shared" ca="1" si="0"/>
        <v>ECOLE
  DAMPIERRE SUR SALON  DAMPIERRE SUR SALON</v>
      </c>
      <c r="I161" s="6"/>
      <c r="J161" s="12" t="str">
        <f ca="1">IFERROR(__xludf.DUMMYFUNCTION("""COMPUTED_VALUE"""),"OK")</f>
        <v>OK</v>
      </c>
      <c r="K161" s="12" t="str">
        <f ca="1">IFERROR(__xludf.DUMMYFUNCTION("""COMPUTED_VALUE"""),"emilieguichardan@hotmail.fr")</f>
        <v>emilieguichardan@hotmail.fr</v>
      </c>
      <c r="L161" s="12" t="str">
        <f ca="1">IFERROR(__xludf.DUMMYFUNCTION("""COMPUTED_VALUE"""),"06 72 89 10 08")</f>
        <v>06 72 89 10 08</v>
      </c>
      <c r="M161" s="12" t="str">
        <f ca="1">IFERROR(__xludf.DUMMYFUNCTION("""COMPUTED_VALUE"""),"70180 DAMPIERRE SUR SALON")</f>
        <v>70180 DAMPIERRE SUR SALON</v>
      </c>
      <c r="N161" s="6"/>
      <c r="O161" s="6"/>
    </row>
    <row r="162" spans="1:15" ht="15.5" x14ac:dyDescent="0.35">
      <c r="A162" s="12" t="str">
        <f ca="1">IFERROR(__xludf.DUMMYFUNCTION("""COMPUTED_VALUE"""),"MARTIN Charles")</f>
        <v>MARTIN Charles</v>
      </c>
      <c r="B162" s="12" t="str">
        <f ca="1">IFERROR(__xludf.DUMMYFUNCTION("""COMPUTED_VALUE"""),"H")</f>
        <v>H</v>
      </c>
      <c r="C162" s="13">
        <f ca="1">IFERROR(__xludf.DUMMYFUNCTION("""COMPUTED_VALUE"""),42501)</f>
        <v>42501</v>
      </c>
      <c r="D162" s="12" t="str">
        <f ca="1">IFERROR(__xludf.DUMMYFUNCTION("""COMPUTED_VALUE"""),"EVEIL ATHLE")</f>
        <v>EVEIL ATHLE</v>
      </c>
      <c r="E162" s="14" t="str">
        <f ca="1">IFERROR(__xludf.DUMMYFUNCTION("""COMPUTED_VALUE"""),"ECOLE
")</f>
        <v xml:space="preserve">ECOLE
</v>
      </c>
      <c r="F162" s="1" t="str">
        <f ca="1">IFERROR(__xludf.DUMMYFUNCTION("""COMPUTED_VALUE"""),"DAMPIERRE SUR SALON")</f>
        <v>DAMPIERRE SUR SALON</v>
      </c>
      <c r="G162" s="12" t="str">
        <f ca="1">IFERROR(__xludf.DUMMYFUNCTION("""COMPUTED_VALUE"""),"DAMPIERRE SUR SALON")</f>
        <v>DAMPIERRE SUR SALON</v>
      </c>
      <c r="H162" s="12" t="str">
        <f t="shared" ca="1" si="0"/>
        <v>ECOLE
  DAMPIERRE SUR SALON  DAMPIERRE SUR SALON</v>
      </c>
      <c r="I162" s="6"/>
      <c r="J162" s="12" t="str">
        <f ca="1">IFERROR(__xludf.DUMMYFUNCTION("""COMPUTED_VALUE"""),"OK")</f>
        <v>OK</v>
      </c>
      <c r="K162" s="12" t="str">
        <f ca="1">IFERROR(__xludf.DUMMYFUNCTION("""COMPUTED_VALUE"""),"bomstud@hotmail.fr")</f>
        <v>bomstud@hotmail.fr</v>
      </c>
      <c r="L162" s="12" t="str">
        <f ca="1">IFERROR(__xludf.DUMMYFUNCTION("""COMPUTED_VALUE"""),"06 77 15 37 74")</f>
        <v>06 77 15 37 74</v>
      </c>
      <c r="M162" s="12" t="str">
        <f ca="1">IFERROR(__xludf.DUMMYFUNCTION("""COMPUTED_VALUE"""),"70180 MEMBREY")</f>
        <v>70180 MEMBREY</v>
      </c>
      <c r="N162" s="6"/>
      <c r="O162" s="6"/>
    </row>
    <row r="163" spans="1:15" ht="15.5" x14ac:dyDescent="0.35">
      <c r="A163" s="12" t="str">
        <f ca="1">IFERROR(__xludf.DUMMYFUNCTION("""COMPUTED_VALUE"""),"MARTIN Augustine")</f>
        <v>MARTIN Augustine</v>
      </c>
      <c r="B163" s="12" t="str">
        <f ca="1">IFERROR(__xludf.DUMMYFUNCTION("""COMPUTED_VALUE"""),"F")</f>
        <v>F</v>
      </c>
      <c r="C163" s="13">
        <f ca="1">IFERROR(__xludf.DUMMYFUNCTION("""COMPUTED_VALUE"""),41615)</f>
        <v>41615</v>
      </c>
      <c r="D163" s="12" t="str">
        <f ca="1">IFERROR(__xludf.DUMMYFUNCTION("""COMPUTED_VALUE"""),"POUSSINS")</f>
        <v>POUSSINS</v>
      </c>
      <c r="E163" s="14" t="str">
        <f ca="1">IFERROR(__xludf.DUMMYFUNCTION("""COMPUTED_VALUE"""),"ECOLE
")</f>
        <v xml:space="preserve">ECOLE
</v>
      </c>
      <c r="F163" s="1" t="str">
        <f ca="1">IFERROR(__xludf.DUMMYFUNCTION("""COMPUTED_VALUE"""),"DAMPIERRE SUR SALON")</f>
        <v>DAMPIERRE SUR SALON</v>
      </c>
      <c r="G163" s="12" t="str">
        <f ca="1">IFERROR(__xludf.DUMMYFUNCTION("""COMPUTED_VALUE"""),"DAMPIERRE SUR SALON")</f>
        <v>DAMPIERRE SUR SALON</v>
      </c>
      <c r="H163" s="12" t="str">
        <f t="shared" ca="1" si="0"/>
        <v>ECOLE
  DAMPIERRE SUR SALON  DAMPIERRE SUR SALON</v>
      </c>
      <c r="I163" s="6"/>
      <c r="J163" s="12" t="str">
        <f ca="1">IFERROR(__xludf.DUMMYFUNCTION("""COMPUTED_VALUE"""),"OK")</f>
        <v>OK</v>
      </c>
      <c r="K163" s="12" t="str">
        <f ca="1">IFERROR(__xludf.DUMMYFUNCTION("""COMPUTED_VALUE"""),"bomstuf@hotmail.fr")</f>
        <v>bomstuf@hotmail.fr</v>
      </c>
      <c r="L163" s="12" t="str">
        <f ca="1">IFERROR(__xludf.DUMMYFUNCTION("""COMPUTED_VALUE"""),"06 77 15 37 74")</f>
        <v>06 77 15 37 74</v>
      </c>
      <c r="M163" s="12" t="str">
        <f ca="1">IFERROR(__xludf.DUMMYFUNCTION("""COMPUTED_VALUE"""),"70180 MEMBREY")</f>
        <v>70180 MEMBREY</v>
      </c>
      <c r="N163" s="6"/>
      <c r="O163" s="6"/>
    </row>
    <row r="164" spans="1:15" ht="15.5" x14ac:dyDescent="0.35">
      <c r="A164" s="12" t="str">
        <f ca="1">IFERROR(__xludf.DUMMYFUNCTION("""COMPUTED_VALUE"""),"POITTEVIN Alicia")</f>
        <v>POITTEVIN Alicia</v>
      </c>
      <c r="B164" s="12" t="str">
        <f ca="1">IFERROR(__xludf.DUMMYFUNCTION("""COMPUTED_VALUE"""),"F")</f>
        <v>F</v>
      </c>
      <c r="C164" s="13">
        <f ca="1">IFERROR(__xludf.DUMMYFUNCTION("""COMPUTED_VALUE"""),41748)</f>
        <v>41748</v>
      </c>
      <c r="D164" s="12" t="str">
        <f ca="1">IFERROR(__xludf.DUMMYFUNCTION("""COMPUTED_VALUE"""),"POUSSINS")</f>
        <v>POUSSINS</v>
      </c>
      <c r="E164" s="14" t="str">
        <f ca="1">IFERROR(__xludf.DUMMYFUNCTION("""COMPUTED_VALUE"""),"ECOLE
")</f>
        <v xml:space="preserve">ECOLE
</v>
      </c>
      <c r="F164" s="1" t="str">
        <f ca="1">IFERROR(__xludf.DUMMYFUNCTION("""COMPUTED_VALUE"""),"DAMPIERRE SUR SALON")</f>
        <v>DAMPIERRE SUR SALON</v>
      </c>
      <c r="G164" s="12" t="str">
        <f ca="1">IFERROR(__xludf.DUMMYFUNCTION("""COMPUTED_VALUE"""),"DAMPIERRE SUR SALON")</f>
        <v>DAMPIERRE SUR SALON</v>
      </c>
      <c r="H164" s="12" t="str">
        <f t="shared" ca="1" si="0"/>
        <v>ECOLE
  DAMPIERRE SUR SALON  DAMPIERRE SUR SALON</v>
      </c>
      <c r="I164" s="6"/>
      <c r="J164" s="12" t="str">
        <f ca="1">IFERROR(__xludf.DUMMYFUNCTION("""COMPUTED_VALUE"""),"OK")</f>
        <v>OK</v>
      </c>
      <c r="K164" s="12" t="str">
        <f ca="1">IFERROR(__xludf.DUMMYFUNCTION("""COMPUTED_VALUE"""),"deichelbahrerroselyne@hotmail.fr")</f>
        <v>deichelbahrerroselyne@hotmail.fr</v>
      </c>
      <c r="L164" s="12" t="str">
        <f ca="1">IFERROR(__xludf.DUMMYFUNCTION("""COMPUTED_VALUE"""),"07 69 79 19 99")</f>
        <v>07 69 79 19 99</v>
      </c>
      <c r="M164" s="12" t="str">
        <f ca="1">IFERROR(__xludf.DUMMYFUNCTION("""COMPUTED_VALUE"""),"70180 DAMPIERRE SUR SALON")</f>
        <v>70180 DAMPIERRE SUR SALON</v>
      </c>
      <c r="N164" s="6"/>
      <c r="O164" s="6"/>
    </row>
    <row r="165" spans="1:15" ht="15.5" x14ac:dyDescent="0.35">
      <c r="A165" s="12" t="str">
        <f ca="1">IFERROR(__xludf.DUMMYFUNCTION("""COMPUTED_VALUE"""),"MARTIN Charles")</f>
        <v>MARTIN Charles</v>
      </c>
      <c r="B165" s="12" t="str">
        <f ca="1">IFERROR(__xludf.DUMMYFUNCTION("""COMPUTED_VALUE"""),"H")</f>
        <v>H</v>
      </c>
      <c r="C165" s="13">
        <f ca="1">IFERROR(__xludf.DUMMYFUNCTION("""COMPUTED_VALUE"""),42501)</f>
        <v>42501</v>
      </c>
      <c r="D165" s="12" t="str">
        <f ca="1">IFERROR(__xludf.DUMMYFUNCTION("""COMPUTED_VALUE"""),"EVEIL ATHLE")</f>
        <v>EVEIL ATHLE</v>
      </c>
      <c r="E165" s="14" t="str">
        <f ca="1">IFERROR(__xludf.DUMMYFUNCTION("""COMPUTED_VALUE"""),"ECOLE
")</f>
        <v xml:space="preserve">ECOLE
</v>
      </c>
      <c r="F165" s="1" t="str">
        <f ca="1">IFERROR(__xludf.DUMMYFUNCTION("""COMPUTED_VALUE"""),"DAMPIERRE SUR SALON")</f>
        <v>DAMPIERRE SUR SALON</v>
      </c>
      <c r="G165" s="12" t="str">
        <f ca="1">IFERROR(__xludf.DUMMYFUNCTION("""COMPUTED_VALUE"""),"DAMPIERRE SUR SALON")</f>
        <v>DAMPIERRE SUR SALON</v>
      </c>
      <c r="H165" s="12" t="str">
        <f t="shared" ca="1" si="0"/>
        <v>ECOLE
  DAMPIERRE SUR SALON  DAMPIERRE SUR SALON</v>
      </c>
      <c r="I165" s="6"/>
      <c r="J165" s="12"/>
      <c r="K165" s="12"/>
      <c r="L165" s="12" t="str">
        <f ca="1">IFERROR(__xludf.DUMMYFUNCTION("""COMPUTED_VALUE"""),"06 77 15 37 74")</f>
        <v>06 77 15 37 74</v>
      </c>
      <c r="M165" s="12" t="str">
        <f ca="1">IFERROR(__xludf.DUMMYFUNCTION("""COMPUTED_VALUE"""),"70180 MEMBREY")</f>
        <v>70180 MEMBREY</v>
      </c>
      <c r="N165" s="6"/>
      <c r="O165" s="6"/>
    </row>
    <row r="166" spans="1:15" ht="15.5" x14ac:dyDescent="0.35">
      <c r="A166" s="12" t="str">
        <f ca="1">IFERROR(__xludf.DUMMYFUNCTION("""COMPUTED_VALUE"""),"MARTIN Augustine")</f>
        <v>MARTIN Augustine</v>
      </c>
      <c r="B166" s="12" t="str">
        <f ca="1">IFERROR(__xludf.DUMMYFUNCTION("""COMPUTED_VALUE"""),"F")</f>
        <v>F</v>
      </c>
      <c r="C166" s="13">
        <f ca="1">IFERROR(__xludf.DUMMYFUNCTION("""COMPUTED_VALUE"""),41615)</f>
        <v>41615</v>
      </c>
      <c r="D166" s="12" t="str">
        <f ca="1">IFERROR(__xludf.DUMMYFUNCTION("""COMPUTED_VALUE"""),"POUSSINS")</f>
        <v>POUSSINS</v>
      </c>
      <c r="E166" s="14" t="str">
        <f ca="1">IFERROR(__xludf.DUMMYFUNCTION("""COMPUTED_VALUE"""),"ECOLE
")</f>
        <v xml:space="preserve">ECOLE
</v>
      </c>
      <c r="F166" s="1" t="str">
        <f ca="1">IFERROR(__xludf.DUMMYFUNCTION("""COMPUTED_VALUE"""),"DAMPIERRE SUR SALON")</f>
        <v>DAMPIERRE SUR SALON</v>
      </c>
      <c r="G166" s="12" t="str">
        <f ca="1">IFERROR(__xludf.DUMMYFUNCTION("""COMPUTED_VALUE"""),"DAMPIERRE SUR SALON")</f>
        <v>DAMPIERRE SUR SALON</v>
      </c>
      <c r="H166" s="12" t="str">
        <f t="shared" ca="1" si="0"/>
        <v>ECOLE
  DAMPIERRE SUR SALON  DAMPIERRE SUR SALON</v>
      </c>
      <c r="I166" s="6"/>
      <c r="J166" s="12"/>
      <c r="K166" s="12"/>
      <c r="L166" s="12" t="str">
        <f ca="1">IFERROR(__xludf.DUMMYFUNCTION("""COMPUTED_VALUE"""),"06 77 15 37 74")</f>
        <v>06 77 15 37 74</v>
      </c>
      <c r="M166" s="12" t="str">
        <f ca="1">IFERROR(__xludf.DUMMYFUNCTION("""COMPUTED_VALUE"""),"70180 MEMBREY")</f>
        <v>70180 MEMBREY</v>
      </c>
      <c r="N166" s="6"/>
      <c r="O166" s="6"/>
    </row>
    <row r="167" spans="1:15" ht="15.5" x14ac:dyDescent="0.35">
      <c r="A167" s="12" t="str">
        <f ca="1">IFERROR(__xludf.DUMMYFUNCTION("""COMPUTED_VALUE"""),"POITTEVIN Alicia")</f>
        <v>POITTEVIN Alicia</v>
      </c>
      <c r="B167" s="12" t="str">
        <f ca="1">IFERROR(__xludf.DUMMYFUNCTION("""COMPUTED_VALUE"""),"F")</f>
        <v>F</v>
      </c>
      <c r="C167" s="13">
        <f ca="1">IFERROR(__xludf.DUMMYFUNCTION("""COMPUTED_VALUE"""),41748)</f>
        <v>41748</v>
      </c>
      <c r="D167" s="12" t="str">
        <f ca="1">IFERROR(__xludf.DUMMYFUNCTION("""COMPUTED_VALUE"""),"POUSSINS")</f>
        <v>POUSSINS</v>
      </c>
      <c r="E167" s="14" t="str">
        <f ca="1">IFERROR(__xludf.DUMMYFUNCTION("""COMPUTED_VALUE"""),"ECOLE
")</f>
        <v xml:space="preserve">ECOLE
</v>
      </c>
      <c r="F167" s="1" t="str">
        <f ca="1">IFERROR(__xludf.DUMMYFUNCTION("""COMPUTED_VALUE"""),"DAMPIERRE SUR SALON")</f>
        <v>DAMPIERRE SUR SALON</v>
      </c>
      <c r="G167" s="12" t="str">
        <f ca="1">IFERROR(__xludf.DUMMYFUNCTION("""COMPUTED_VALUE"""),"DAMPIERRE SUR SALON")</f>
        <v>DAMPIERRE SUR SALON</v>
      </c>
      <c r="H167" s="12" t="str">
        <f t="shared" ca="1" si="0"/>
        <v>ECOLE
  DAMPIERRE SUR SALON  DAMPIERRE SUR SALON</v>
      </c>
      <c r="I167" s="6"/>
      <c r="J167" s="12"/>
      <c r="K167" s="12"/>
      <c r="L167" s="12" t="str">
        <f ca="1">IFERROR(__xludf.DUMMYFUNCTION("""COMPUTED_VALUE"""),"07 69 79 19 99")</f>
        <v>07 69 79 19 99</v>
      </c>
      <c r="M167" s="12" t="str">
        <f ca="1">IFERROR(__xludf.DUMMYFUNCTION("""COMPUTED_VALUE"""),"70180 DAMPIERRE SUR SALON")</f>
        <v>70180 DAMPIERRE SUR SALON</v>
      </c>
      <c r="N167" s="6"/>
      <c r="O167" s="6"/>
    </row>
    <row r="168" spans="1:15" ht="15.5" x14ac:dyDescent="0.35">
      <c r="A168" s="12" t="str">
        <f ca="1">IFERROR(__xludf.DUMMYFUNCTION("""COMPUTED_VALUE"""),"MARCEL GIL DE SOUZA Maya")</f>
        <v>MARCEL GIL DE SOUZA Maya</v>
      </c>
      <c r="B168" s="12" t="str">
        <f ca="1">IFERROR(__xludf.DUMMYFUNCTION("""COMPUTED_VALUE"""),"F")</f>
        <v>F</v>
      </c>
      <c r="C168" s="13">
        <f ca="1">IFERROR(__xludf.DUMMYFUNCTION("""COMPUTED_VALUE"""),43510)</f>
        <v>43510</v>
      </c>
      <c r="D168" s="12" t="str">
        <f ca="1">IFERROR(__xludf.DUMMYFUNCTION("""COMPUTED_VALUE"""),"BABY ATHLE")</f>
        <v>BABY ATHLE</v>
      </c>
      <c r="E168" s="14" t="str">
        <f ca="1">IFERROR(__xludf.DUMMYFUNCTION("""COMPUTED_VALUE"""),"ECOLE
")</f>
        <v xml:space="preserve">ECOLE
</v>
      </c>
      <c r="F168" s="1" t="str">
        <f ca="1">IFERROR(__xludf.DUMMYFUNCTION("""COMPUTED_VALUE"""),"EDMOND BOUR")</f>
        <v>EDMOND BOUR</v>
      </c>
      <c r="G168" s="12" t="str">
        <f ca="1">IFERROR(__xludf.DUMMYFUNCTION("""COMPUTED_VALUE"""),"GRAY")</f>
        <v>GRAY</v>
      </c>
      <c r="H168" s="12" t="str">
        <f t="shared" ca="1" si="0"/>
        <v>ECOLE
  EDMOND BOUR  GRAY</v>
      </c>
      <c r="I168" s="6"/>
      <c r="J168" s="12" t="str">
        <f ca="1">IFERROR(__xludf.DUMMYFUNCTION("""COMPUTED_VALUE"""),"OK")</f>
        <v>OK</v>
      </c>
      <c r="K168" s="12" t="str">
        <f ca="1">IFERROR(__xludf.DUMMYFUNCTION("""COMPUTED_VALUE"""),"sandrine.gildesouza@laposte.net")</f>
        <v>sandrine.gildesouza@laposte.net</v>
      </c>
      <c r="L168" s="12" t="str">
        <f ca="1">IFERROR(__xludf.DUMMYFUNCTION("""COMPUTED_VALUE"""),"06 44 73 16 37")</f>
        <v>06 44 73 16 37</v>
      </c>
      <c r="M168" s="12" t="str">
        <f ca="1">IFERROR(__xludf.DUMMYFUNCTION("""COMPUTED_VALUE"""),"70100 ESSERTENNE")</f>
        <v>70100 ESSERTENNE</v>
      </c>
      <c r="N168" s="6"/>
      <c r="O168" s="6"/>
    </row>
    <row r="169" spans="1:15" ht="15.5" x14ac:dyDescent="0.35">
      <c r="A169" s="12" t="str">
        <f ca="1">IFERROR(__xludf.DUMMYFUNCTION("""COMPUTED_VALUE"""),"ABOUDA Ahmed")</f>
        <v>ABOUDA Ahmed</v>
      </c>
      <c r="B169" s="12" t="str">
        <f ca="1">IFERROR(__xludf.DUMMYFUNCTION("""COMPUTED_VALUE"""),"H")</f>
        <v>H</v>
      </c>
      <c r="C169" s="13">
        <f ca="1">IFERROR(__xludf.DUMMYFUNCTION("""COMPUTED_VALUE"""),41120)</f>
        <v>41120</v>
      </c>
      <c r="D169" s="12" t="str">
        <f ca="1">IFERROR(__xludf.DUMMYFUNCTION("""COMPUTED_VALUE"""),"BENJAMINS")</f>
        <v>BENJAMINS</v>
      </c>
      <c r="E169" s="14" t="str">
        <f ca="1">IFERROR(__xludf.DUMMYFUNCTION("""COMPUTED_VALUE"""),"COLLEGE")</f>
        <v>COLLEGE</v>
      </c>
      <c r="F169" s="1" t="str">
        <f ca="1">IFERROR(__xludf.DUMMYFUNCTION("""COMPUTED_VALUE"""),"FONTAINE FRANCAISE")</f>
        <v>FONTAINE FRANCAISE</v>
      </c>
      <c r="G169" s="12" t="str">
        <f ca="1">IFERROR(__xludf.DUMMYFUNCTION("""COMPUTED_VALUE"""),"GRAY")</f>
        <v>GRAY</v>
      </c>
      <c r="H169" s="12" t="str">
        <f t="shared" ca="1" si="0"/>
        <v>COLLEGE  FONTAINE FRANCAISE  GRAY</v>
      </c>
      <c r="I169" s="6"/>
      <c r="J169" s="12" t="str">
        <f ca="1">IFERROR(__xludf.DUMMYFUNCTION("""COMPUTED_VALUE"""),"OK")</f>
        <v>OK</v>
      </c>
      <c r="K169" s="12" t="str">
        <f ca="1">IFERROR(__xludf.DUMMYFUNCTION("""COMPUTED_VALUE"""),"hassanabouda21@gmail.com")</f>
        <v>hassanabouda21@gmail.com</v>
      </c>
      <c r="L169" s="12" t="str">
        <f ca="1">IFERROR(__xludf.DUMMYFUNCTION("""COMPUTED_VALUE"""),"06 49 31 72 52")</f>
        <v>06 49 31 72 52</v>
      </c>
      <c r="M169" s="12" t="str">
        <f ca="1">IFERROR(__xludf.DUMMYFUNCTION("""COMPUTED_VALUE"""),"70100 GRAY")</f>
        <v>70100 GRAY</v>
      </c>
      <c r="N169" s="6"/>
      <c r="O169" s="6"/>
    </row>
    <row r="170" spans="1:15" ht="15.5" x14ac:dyDescent="0.35">
      <c r="A170" s="12" t="str">
        <f ca="1">IFERROR(__xludf.DUMMYFUNCTION("""COMPUTED_VALUE"""),"ANGUENOT Tom")</f>
        <v>ANGUENOT Tom</v>
      </c>
      <c r="B170" s="12" t="str">
        <f ca="1">IFERROR(__xludf.DUMMYFUNCTION("""COMPUTED_VALUE"""),"H")</f>
        <v>H</v>
      </c>
      <c r="C170" s="13">
        <f ca="1">IFERROR(__xludf.DUMMYFUNCTION("""COMPUTED_VALUE"""),41163)</f>
        <v>41163</v>
      </c>
      <c r="D170" s="12" t="str">
        <f ca="1">IFERROR(__xludf.DUMMYFUNCTION("""COMPUTED_VALUE"""),"BENJAMINS")</f>
        <v>BENJAMINS</v>
      </c>
      <c r="E170" s="14" t="str">
        <f ca="1">IFERROR(__xludf.DUMMYFUNCTION("""COMPUTED_VALUE"""),"COLLEGE")</f>
        <v>COLLEGE</v>
      </c>
      <c r="F170" s="1" t="str">
        <f ca="1">IFERROR(__xludf.DUMMYFUNCTION("""COMPUTED_VALUE"""),"FONTAINE FRANCAISE")</f>
        <v>FONTAINE FRANCAISE</v>
      </c>
      <c r="G170" s="12" t="str">
        <f ca="1">IFERROR(__xludf.DUMMYFUNCTION("""COMPUTED_VALUE"""),"FONTAINE FRANCAISE")</f>
        <v>FONTAINE FRANCAISE</v>
      </c>
      <c r="H170" s="12" t="str">
        <f t="shared" ca="1" si="0"/>
        <v>COLLEGE  FONTAINE FRANCAISE  FONTAINE FRANCAISE</v>
      </c>
      <c r="I170" s="6"/>
      <c r="J170" s="12" t="str">
        <f ca="1">IFERROR(__xludf.DUMMYFUNCTION("""COMPUTED_VALUE"""),"OK")</f>
        <v>OK</v>
      </c>
      <c r="K170" s="12"/>
      <c r="L170" s="12" t="str">
        <f ca="1">IFERROR(__xludf.DUMMYFUNCTION("""COMPUTED_VALUE"""),"06 40 94 95 34")</f>
        <v>06 40 94 95 34</v>
      </c>
      <c r="M170" s="12" t="str">
        <f ca="1">IFERROR(__xludf.DUMMYFUNCTION("""COMPUTED_VALUE"""),"21610 FONTAINE FRANCAISE")</f>
        <v>21610 FONTAINE FRANCAISE</v>
      </c>
      <c r="N170" s="6"/>
      <c r="O170" s="6"/>
    </row>
    <row r="171" spans="1:15" ht="15.5" x14ac:dyDescent="0.35">
      <c r="A171" s="12" t="str">
        <f ca="1">IFERROR(__xludf.DUMMYFUNCTION("""COMPUTED_VALUE"""),"BERTHE Noémie")</f>
        <v>BERTHE Noémie</v>
      </c>
      <c r="B171" s="12" t="str">
        <f ca="1">IFERROR(__xludf.DUMMYFUNCTION("""COMPUTED_VALUE"""),"F")</f>
        <v>F</v>
      </c>
      <c r="C171" s="13">
        <f ca="1">IFERROR(__xludf.DUMMYFUNCTION("""COMPUTED_VALUE"""),40690)</f>
        <v>40690</v>
      </c>
      <c r="D171" s="12" t="str">
        <f ca="1">IFERROR(__xludf.DUMMYFUNCTION("""COMPUTED_VALUE"""),"BENJAMINS")</f>
        <v>BENJAMINS</v>
      </c>
      <c r="E171" s="14" t="str">
        <f ca="1">IFERROR(__xludf.DUMMYFUNCTION("""COMPUTED_VALUE"""),"COLLEGE")</f>
        <v>COLLEGE</v>
      </c>
      <c r="F171" s="1" t="str">
        <f ca="1">IFERROR(__xludf.DUMMYFUNCTION("""COMPUTED_VALUE"""),"FONTAINE FRANCAISE")</f>
        <v>FONTAINE FRANCAISE</v>
      </c>
      <c r="G171" s="12" t="str">
        <f ca="1">IFERROR(__xludf.DUMMYFUNCTION("""COMPUTED_VALUE"""),"FONTAINE FRANCAISE")</f>
        <v>FONTAINE FRANCAISE</v>
      </c>
      <c r="H171" s="12" t="str">
        <f t="shared" ca="1" si="0"/>
        <v>COLLEGE  FONTAINE FRANCAISE  FONTAINE FRANCAISE</v>
      </c>
      <c r="I171" s="6"/>
      <c r="J171" s="12" t="str">
        <f ca="1">IFERROR(__xludf.DUMMYFUNCTION("""COMPUTED_VALUE"""),"OK")</f>
        <v>OK</v>
      </c>
      <c r="K171" s="12" t="str">
        <f ca="1">IFERROR(__xludf.DUMMYFUNCTION("""COMPUTED_VALUE"""),"delphine.lestrat@laposte.net")</f>
        <v>delphine.lestrat@laposte.net</v>
      </c>
      <c r="L171" s="12" t="str">
        <f ca="1">IFERROR(__xludf.DUMMYFUNCTION("""COMPUTED_VALUE"""),"07 81 28 79 64")</f>
        <v>07 81 28 79 64</v>
      </c>
      <c r="M171" s="12" t="str">
        <f ca="1">IFERROR(__xludf.DUMMYFUNCTION("""COMPUTED_VALUE"""),"21610 FONTAINE FRANCAISE")</f>
        <v>21610 FONTAINE FRANCAISE</v>
      </c>
      <c r="N171" s="6"/>
      <c r="O171" s="6"/>
    </row>
    <row r="172" spans="1:15" ht="15.5" x14ac:dyDescent="0.35">
      <c r="A172" s="12" t="str">
        <f ca="1">IFERROR(__xludf.DUMMYFUNCTION("""COMPUTED_VALUE"""),"CALINON Baptiste")</f>
        <v>CALINON Baptiste</v>
      </c>
      <c r="B172" s="12" t="str">
        <f ca="1">IFERROR(__xludf.DUMMYFUNCTION("""COMPUTED_VALUE"""),"H")</f>
        <v>H</v>
      </c>
      <c r="C172" s="13">
        <f ca="1">IFERROR(__xludf.DUMMYFUNCTION("""COMPUTED_VALUE"""),40600)</f>
        <v>40600</v>
      </c>
      <c r="D172" s="12" t="str">
        <f ca="1">IFERROR(__xludf.DUMMYFUNCTION("""COMPUTED_VALUE"""),"BENJAMINS")</f>
        <v>BENJAMINS</v>
      </c>
      <c r="E172" s="14" t="str">
        <f ca="1">IFERROR(__xludf.DUMMYFUNCTION("""COMPUTED_VALUE"""),"COLLEGE")</f>
        <v>COLLEGE</v>
      </c>
      <c r="F172" s="1" t="str">
        <f ca="1">IFERROR(__xludf.DUMMYFUNCTION("""COMPUTED_VALUE"""),"FONTAINE FRANCAISE")</f>
        <v>FONTAINE FRANCAISE</v>
      </c>
      <c r="G172" s="12" t="str">
        <f ca="1">IFERROR(__xludf.DUMMYFUNCTION("""COMPUTED_VALUE"""),"FONTAINE FRANCAISE")</f>
        <v>FONTAINE FRANCAISE</v>
      </c>
      <c r="H172" s="12" t="str">
        <f t="shared" ca="1" si="0"/>
        <v>COLLEGE  FONTAINE FRANCAISE  FONTAINE FRANCAISE</v>
      </c>
      <c r="I172" s="6"/>
      <c r="J172" s="12" t="str">
        <f ca="1">IFERROR(__xludf.DUMMYFUNCTION("""COMPUTED_VALUE"""),"OK")</f>
        <v>OK</v>
      </c>
      <c r="K172" s="12"/>
      <c r="L172" s="12" t="str">
        <f ca="1">IFERROR(__xludf.DUMMYFUNCTION("""COMPUTED_VALUE"""),"06 75 46 67 94")</f>
        <v>06 75 46 67 94</v>
      </c>
      <c r="M172" s="12" t="str">
        <f ca="1">IFERROR(__xludf.DUMMYFUNCTION("""COMPUTED_VALUE"""),"21610 POUILLY SUR VINGEANNE")</f>
        <v>21610 POUILLY SUR VINGEANNE</v>
      </c>
      <c r="N172" s="6"/>
      <c r="O172" s="6"/>
    </row>
    <row r="173" spans="1:15" ht="15.5" x14ac:dyDescent="0.35">
      <c r="A173" s="12" t="str">
        <f ca="1">IFERROR(__xludf.DUMMYFUNCTION("""COMPUTED_VALUE"""),"LEGER Gwenaëlle")</f>
        <v>LEGER Gwenaëlle</v>
      </c>
      <c r="B173" s="12" t="str">
        <f ca="1">IFERROR(__xludf.DUMMYFUNCTION("""COMPUTED_VALUE"""),"F")</f>
        <v>F</v>
      </c>
      <c r="C173" s="13">
        <f ca="1">IFERROR(__xludf.DUMMYFUNCTION("""COMPUTED_VALUE"""),41071)</f>
        <v>41071</v>
      </c>
      <c r="D173" s="12" t="str">
        <f ca="1">IFERROR(__xludf.DUMMYFUNCTION("""COMPUTED_VALUE"""),"BENJAMINS")</f>
        <v>BENJAMINS</v>
      </c>
      <c r="E173" s="14" t="str">
        <f ca="1">IFERROR(__xludf.DUMMYFUNCTION("""COMPUTED_VALUE"""),"COLLEGE")</f>
        <v>COLLEGE</v>
      </c>
      <c r="F173" s="1" t="str">
        <f ca="1">IFERROR(__xludf.DUMMYFUNCTION("""COMPUTED_VALUE"""),"FONTAINE FRANCAISE")</f>
        <v>FONTAINE FRANCAISE</v>
      </c>
      <c r="G173" s="12" t="str">
        <f ca="1">IFERROR(__xludf.DUMMYFUNCTION("""COMPUTED_VALUE"""),"FONTAINE FRANCAISE")</f>
        <v>FONTAINE FRANCAISE</v>
      </c>
      <c r="H173" s="12" t="str">
        <f t="shared" ca="1" si="0"/>
        <v>COLLEGE  FONTAINE FRANCAISE  FONTAINE FRANCAISE</v>
      </c>
      <c r="I173" s="6"/>
      <c r="J173" s="12" t="str">
        <f ca="1">IFERROR(__xludf.DUMMYFUNCTION("""COMPUTED_VALUE"""),"OK")</f>
        <v>OK</v>
      </c>
      <c r="K173" s="12" t="str">
        <f ca="1">IFERROR(__xludf.DUMMYFUNCTION("""COMPUTED_VALUE"""),"helene66.leger@gmail.com")</f>
        <v>helene66.leger@gmail.com</v>
      </c>
      <c r="L173" s="12" t="str">
        <f ca="1">IFERROR(__xludf.DUMMYFUNCTION("""COMPUTED_VALUE"""),"06 51 07 40 18")</f>
        <v>06 51 07 40 18</v>
      </c>
      <c r="M173" s="12" t="str">
        <f ca="1">IFERROR(__xludf.DUMMYFUNCTION("""COMPUTED_VALUE"""),"21610 SAINT SEINE SUR VINGEANNE")</f>
        <v>21610 SAINT SEINE SUR VINGEANNE</v>
      </c>
      <c r="N173" s="6"/>
      <c r="O173" s="6"/>
    </row>
    <row r="174" spans="1:15" ht="15.5" x14ac:dyDescent="0.35">
      <c r="A174" s="12" t="str">
        <f ca="1">IFERROR(__xludf.DUMMYFUNCTION("""COMPUTED_VALUE"""),"MORISOT Louane")</f>
        <v>MORISOT Louane</v>
      </c>
      <c r="B174" s="12" t="str">
        <f ca="1">IFERROR(__xludf.DUMMYFUNCTION("""COMPUTED_VALUE"""),"F")</f>
        <v>F</v>
      </c>
      <c r="C174" s="13">
        <f ca="1">IFERROR(__xludf.DUMMYFUNCTION("""COMPUTED_VALUE"""),41184)</f>
        <v>41184</v>
      </c>
      <c r="D174" s="12" t="str">
        <f ca="1">IFERROR(__xludf.DUMMYFUNCTION("""COMPUTED_VALUE"""),"BENJAMINS")</f>
        <v>BENJAMINS</v>
      </c>
      <c r="E174" s="14" t="str">
        <f ca="1">IFERROR(__xludf.DUMMYFUNCTION("""COMPUTED_VALUE"""),"COLLEGE")</f>
        <v>COLLEGE</v>
      </c>
      <c r="F174" s="1" t="str">
        <f ca="1">IFERROR(__xludf.DUMMYFUNCTION("""COMPUTED_VALUE"""),"FONTAINE FRANCAISE")</f>
        <v>FONTAINE FRANCAISE</v>
      </c>
      <c r="G174" s="12" t="str">
        <f ca="1">IFERROR(__xludf.DUMMYFUNCTION("""COMPUTED_VALUE"""),"FONTAINE FRANCAISE")</f>
        <v>FONTAINE FRANCAISE</v>
      </c>
      <c r="H174" s="12" t="str">
        <f t="shared" ca="1" si="0"/>
        <v>COLLEGE  FONTAINE FRANCAISE  FONTAINE FRANCAISE</v>
      </c>
      <c r="I174" s="6"/>
      <c r="J174" s="12" t="str">
        <f ca="1">IFERROR(__xludf.DUMMYFUNCTION("""COMPUTED_VALUE"""),"OK")</f>
        <v>OK</v>
      </c>
      <c r="K174" s="12" t="str">
        <f ca="1">IFERROR(__xludf.DUMMYFUNCTION("""COMPUTED_VALUE"""),"murielpetitt@gmail.com")</f>
        <v>murielpetitt@gmail.com</v>
      </c>
      <c r="L174" s="12" t="str">
        <f ca="1">IFERROR(__xludf.DUMMYFUNCTION("""COMPUTED_VALUE"""),"07 86 00 21 50")</f>
        <v>07 86 00 21 50</v>
      </c>
      <c r="M174" s="12" t="str">
        <f ca="1">IFERROR(__xludf.DUMMYFUNCTION("""COMPUTED_VALUE"""),"21610 FONTAINE FRANCAISE")</f>
        <v>21610 FONTAINE FRANCAISE</v>
      </c>
      <c r="N174" s="6"/>
      <c r="O174" s="6"/>
    </row>
    <row r="175" spans="1:15" ht="15.5" x14ac:dyDescent="0.35">
      <c r="A175" s="12" t="str">
        <f ca="1">IFERROR(__xludf.DUMMYFUNCTION("""COMPUTED_VALUE"""),"TASSIN Noémie")</f>
        <v>TASSIN Noémie</v>
      </c>
      <c r="B175" s="12" t="str">
        <f ca="1">IFERROR(__xludf.DUMMYFUNCTION("""COMPUTED_VALUE"""),"F")</f>
        <v>F</v>
      </c>
      <c r="C175" s="13">
        <f ca="1">IFERROR(__xludf.DUMMYFUNCTION("""COMPUTED_VALUE"""),41202)</f>
        <v>41202</v>
      </c>
      <c r="D175" s="12" t="str">
        <f ca="1">IFERROR(__xludf.DUMMYFUNCTION("""COMPUTED_VALUE"""),"BENJAMINS")</f>
        <v>BENJAMINS</v>
      </c>
      <c r="E175" s="14" t="str">
        <f ca="1">IFERROR(__xludf.DUMMYFUNCTION("""COMPUTED_VALUE"""),"COLLEGE")</f>
        <v>COLLEGE</v>
      </c>
      <c r="F175" s="1" t="str">
        <f ca="1">IFERROR(__xludf.DUMMYFUNCTION("""COMPUTED_VALUE"""),"FONTAINE FRANCAISE")</f>
        <v>FONTAINE FRANCAISE</v>
      </c>
      <c r="G175" s="12" t="str">
        <f ca="1">IFERROR(__xludf.DUMMYFUNCTION("""COMPUTED_VALUE"""),"FONTAINE FRANCAISE")</f>
        <v>FONTAINE FRANCAISE</v>
      </c>
      <c r="H175" s="12" t="str">
        <f t="shared" ca="1" si="0"/>
        <v>COLLEGE  FONTAINE FRANCAISE  FONTAINE FRANCAISE</v>
      </c>
      <c r="I175" s="6"/>
      <c r="J175" s="12" t="str">
        <f ca="1">IFERROR(__xludf.DUMMYFUNCTION("""COMPUTED_VALUE"""),"OK")</f>
        <v>OK</v>
      </c>
      <c r="K175" s="12" t="str">
        <f ca="1">IFERROR(__xludf.DUMMYFUNCTION("""COMPUTED_VALUE"""),"legnio21@gmail.com")</f>
        <v>legnio21@gmail.com</v>
      </c>
      <c r="L175" s="12" t="str">
        <f ca="1">IFERROR(__xludf.DUMMYFUNCTION("""COMPUTED_VALUE"""),"06 81 94 47 86")</f>
        <v>06 81 94 47 86</v>
      </c>
      <c r="M175" s="12" t="str">
        <f ca="1">IFERROR(__xludf.DUMMYFUNCTION("""COMPUTED_VALUE"""),"21610 FONTAINE FRANCAISE")</f>
        <v>21610 FONTAINE FRANCAISE</v>
      </c>
      <c r="N175" s="6"/>
      <c r="O175" s="6"/>
    </row>
    <row r="176" spans="1:15" ht="15.5" x14ac:dyDescent="0.35">
      <c r="A176" s="12" t="str">
        <f ca="1">IFERROR(__xludf.DUMMYFUNCTION("""COMPUTED_VALUE"""),"VILBOUX Noan")</f>
        <v>VILBOUX Noan</v>
      </c>
      <c r="B176" s="12" t="str">
        <f ca="1">IFERROR(__xludf.DUMMYFUNCTION("""COMPUTED_VALUE"""),"H")</f>
        <v>H</v>
      </c>
      <c r="C176" s="13">
        <f ca="1">IFERROR(__xludf.DUMMYFUNCTION("""COMPUTED_VALUE"""),41243)</f>
        <v>41243</v>
      </c>
      <c r="D176" s="12" t="str">
        <f ca="1">IFERROR(__xludf.DUMMYFUNCTION("""COMPUTED_VALUE"""),"BENJAMINS")</f>
        <v>BENJAMINS</v>
      </c>
      <c r="E176" s="14" t="str">
        <f ca="1">IFERROR(__xludf.DUMMYFUNCTION("""COMPUTED_VALUE"""),"COLLEGE")</f>
        <v>COLLEGE</v>
      </c>
      <c r="F176" s="1" t="str">
        <f ca="1">IFERROR(__xludf.DUMMYFUNCTION("""COMPUTED_VALUE"""),"FONTAINE FRANCAISE")</f>
        <v>FONTAINE FRANCAISE</v>
      </c>
      <c r="G176" s="12" t="str">
        <f ca="1">IFERROR(__xludf.DUMMYFUNCTION("""COMPUTED_VALUE"""),"FONTAINE FRANCAISE")</f>
        <v>FONTAINE FRANCAISE</v>
      </c>
      <c r="H176" s="12" t="str">
        <f t="shared" ca="1" si="0"/>
        <v>COLLEGE  FONTAINE FRANCAISE  FONTAINE FRANCAISE</v>
      </c>
      <c r="I176" s="6"/>
      <c r="J176" s="12" t="str">
        <f ca="1">IFERROR(__xludf.DUMMYFUNCTION("""COMPUTED_VALUE"""),"OK")</f>
        <v>OK</v>
      </c>
      <c r="K176" s="12" t="str">
        <f ca="1">IFERROR(__xludf.DUMMYFUNCTION("""COMPUTED_VALUE"""),"madeline21@gmail.com")</f>
        <v>madeline21@gmail.com</v>
      </c>
      <c r="L176" s="12" t="str">
        <f ca="1">IFERROR(__xludf.DUMMYFUNCTION("""COMPUTED_VALUE"""),"06 07 17 12 15")</f>
        <v>06 07 17 12 15</v>
      </c>
      <c r="M176" s="12" t="str">
        <f ca="1">IFERROR(__xludf.DUMMYFUNCTION("""COMPUTED_VALUE"""),"21610 FONTAINE FRANCAISE")</f>
        <v>21610 FONTAINE FRANCAISE</v>
      </c>
      <c r="N176" s="6"/>
      <c r="O176" s="6"/>
    </row>
    <row r="177" spans="1:15" ht="15.5" x14ac:dyDescent="0.35">
      <c r="A177" s="12" t="str">
        <f ca="1">IFERROR(__xludf.DUMMYFUNCTION("""COMPUTED_VALUE"""),"STEPHAN Lià")</f>
        <v>STEPHAN Lià</v>
      </c>
      <c r="B177" s="12" t="str">
        <f ca="1">IFERROR(__xludf.DUMMYFUNCTION("""COMPUTED_VALUE"""),"F")</f>
        <v>F</v>
      </c>
      <c r="C177" s="13">
        <f ca="1">IFERROR(__xludf.DUMMYFUNCTION("""COMPUTED_VALUE"""),40239)</f>
        <v>40239</v>
      </c>
      <c r="D177" s="12" t="str">
        <f ca="1">IFERROR(__xludf.DUMMYFUNCTION("""COMPUTED_VALUE"""),"MINIMES")</f>
        <v>MINIMES</v>
      </c>
      <c r="E177" s="14" t="str">
        <f ca="1">IFERROR(__xludf.DUMMYFUNCTION("""COMPUTED_VALUE"""),"COLLEGE")</f>
        <v>COLLEGE</v>
      </c>
      <c r="F177" s="1" t="str">
        <f ca="1">IFERROR(__xludf.DUMMYFUNCTION("""COMPUTED_VALUE"""),"FONTAINE FRANCAISE")</f>
        <v>FONTAINE FRANCAISE</v>
      </c>
      <c r="G177" s="12" t="str">
        <f ca="1">IFERROR(__xludf.DUMMYFUNCTION("""COMPUTED_VALUE"""),"FONTAINE FRANCAISE")</f>
        <v>FONTAINE FRANCAISE</v>
      </c>
      <c r="H177" s="12" t="str">
        <f t="shared" ca="1" si="0"/>
        <v>COLLEGE  FONTAINE FRANCAISE  FONTAINE FRANCAISE</v>
      </c>
      <c r="I177" s="6"/>
      <c r="J177" s="12"/>
      <c r="K177" s="12" t="str">
        <f ca="1">IFERROR(__xludf.DUMMYFUNCTION("""COMPUTED_VALUE"""),"gwan.stephan@gmail.com")</f>
        <v>gwan.stephan@gmail.com</v>
      </c>
      <c r="L177" s="12" t="str">
        <f ca="1">IFERROR(__xludf.DUMMYFUNCTION("""COMPUTED_VALUE"""),"03 80 75 43 12")</f>
        <v>03 80 75 43 12</v>
      </c>
      <c r="M177" s="12" t="str">
        <f ca="1">IFERROR(__xludf.DUMMYFUNCTION("""COMPUTED_VALUE"""),"21610 FONTAINE-FRANCAISE")</f>
        <v>21610 FONTAINE-FRANCAISE</v>
      </c>
      <c r="N177" s="6"/>
      <c r="O177" s="6"/>
    </row>
    <row r="178" spans="1:15" ht="15.5" x14ac:dyDescent="0.35">
      <c r="A178" s="12" t="str">
        <f ca="1">IFERROR(__xludf.DUMMYFUNCTION("""COMPUTED_VALUE"""),"CADET Manon")</f>
        <v>CADET Manon</v>
      </c>
      <c r="B178" s="12" t="str">
        <f ca="1">IFERROR(__xludf.DUMMYFUNCTION("""COMPUTED_VALUE"""),"F")</f>
        <v>F</v>
      </c>
      <c r="C178" s="13">
        <f ca="1">IFERROR(__xludf.DUMMYFUNCTION("""COMPUTED_VALUE"""),41379)</f>
        <v>41379</v>
      </c>
      <c r="D178" s="12" t="str">
        <f ca="1">IFERROR(__xludf.DUMMYFUNCTION("""COMPUTED_VALUE"""),"POUSSINS")</f>
        <v>POUSSINS</v>
      </c>
      <c r="E178" s="14" t="str">
        <f ca="1">IFERROR(__xludf.DUMMYFUNCTION("""COMPUTED_VALUE"""),"ECOLE
")</f>
        <v xml:space="preserve">ECOLE
</v>
      </c>
      <c r="F178" s="1" t="str">
        <f ca="1">IFERROR(__xludf.DUMMYFUNCTION("""COMPUTED_VALUE"""),"EDMOND BOUR")</f>
        <v>EDMOND BOUR</v>
      </c>
      <c r="G178" s="12" t="str">
        <f ca="1">IFERROR(__xludf.DUMMYFUNCTION("""COMPUTED_VALUE"""),"GRAY")</f>
        <v>GRAY</v>
      </c>
      <c r="H178" s="12" t="str">
        <f t="shared" ca="1" si="0"/>
        <v>ECOLE
  EDMOND BOUR  GRAY</v>
      </c>
      <c r="I178" s="6"/>
      <c r="J178" s="12" t="str">
        <f ca="1">IFERROR(__xludf.DUMMYFUNCTION("""COMPUTED_VALUE"""),"OK")</f>
        <v>OK</v>
      </c>
      <c r="K178" s="12" t="str">
        <f ca="1">IFERROR(__xludf.DUMMYFUNCTION("""COMPUTED_VALUE"""),"al.clement@wanadoo.fr")</f>
        <v>al.clement@wanadoo.fr</v>
      </c>
      <c r="L178" s="12" t="str">
        <f ca="1">IFERROR(__xludf.DUMMYFUNCTION("""COMPUTED_VALUE"""),"06 81 04 07 95")</f>
        <v>06 81 04 07 95</v>
      </c>
      <c r="M178" s="12" t="str">
        <f ca="1">IFERROR(__xludf.DUMMYFUNCTION("""COMPUTED_VALUE"""),"21610 FONTAINE-FRANCAISE")</f>
        <v>21610 FONTAINE-FRANCAISE</v>
      </c>
      <c r="N178" s="6"/>
      <c r="O178" s="6"/>
    </row>
    <row r="179" spans="1:15" ht="15.5" x14ac:dyDescent="0.35">
      <c r="A179" s="12" t="str">
        <f ca="1">IFERROR(__xludf.DUMMYFUNCTION("""COMPUTED_VALUE"""),"STEPHAN Lià")</f>
        <v>STEPHAN Lià</v>
      </c>
      <c r="B179" s="12" t="str">
        <f ca="1">IFERROR(__xludf.DUMMYFUNCTION("""COMPUTED_VALUE"""),"F")</f>
        <v>F</v>
      </c>
      <c r="C179" s="13">
        <f ca="1">IFERROR(__xludf.DUMMYFUNCTION("""COMPUTED_VALUE"""),40239)</f>
        <v>40239</v>
      </c>
      <c r="D179" s="12" t="str">
        <f ca="1">IFERROR(__xludf.DUMMYFUNCTION("""COMPUTED_VALUE"""),"MINIMES")</f>
        <v>MINIMES</v>
      </c>
      <c r="E179" s="14" t="str">
        <f ca="1">IFERROR(__xludf.DUMMYFUNCTION("""COMPUTED_VALUE"""),"COLLEGE")</f>
        <v>COLLEGE</v>
      </c>
      <c r="F179" s="1" t="str">
        <f ca="1">IFERROR(__xludf.DUMMYFUNCTION("""COMPUTED_VALUE"""),"FONTAINE FRANCAISE")</f>
        <v>FONTAINE FRANCAISE</v>
      </c>
      <c r="G179" s="12" t="str">
        <f ca="1">IFERROR(__xludf.DUMMYFUNCTION("""COMPUTED_VALUE"""),"FONTAINE FRANCAISE")</f>
        <v>FONTAINE FRANCAISE</v>
      </c>
      <c r="H179" s="12" t="str">
        <f t="shared" ca="1" si="0"/>
        <v>COLLEGE  FONTAINE FRANCAISE  FONTAINE FRANCAISE</v>
      </c>
      <c r="I179" s="6"/>
      <c r="J179" s="12"/>
      <c r="K179" s="12"/>
      <c r="L179" s="12" t="str">
        <f ca="1">IFERROR(__xludf.DUMMYFUNCTION("""COMPUTED_VALUE"""),"03 80 75 43 12")</f>
        <v>03 80 75 43 12</v>
      </c>
      <c r="M179" s="12" t="str">
        <f ca="1">IFERROR(__xludf.DUMMYFUNCTION("""COMPUTED_VALUE"""),"21610 FONTAINE-FRANCAISE")</f>
        <v>21610 FONTAINE-FRANCAISE</v>
      </c>
      <c r="N179" s="6"/>
      <c r="O179" s="6"/>
    </row>
    <row r="180" spans="1:15" ht="15.5" x14ac:dyDescent="0.35">
      <c r="A180" s="12" t="str">
        <f ca="1">IFERROR(__xludf.DUMMYFUNCTION("""COMPUTED_VALUE"""),"CADET Manon")</f>
        <v>CADET Manon</v>
      </c>
      <c r="B180" s="12" t="str">
        <f ca="1">IFERROR(__xludf.DUMMYFUNCTION("""COMPUTED_VALUE"""),"F")</f>
        <v>F</v>
      </c>
      <c r="C180" s="13">
        <f ca="1">IFERROR(__xludf.DUMMYFUNCTION("""COMPUTED_VALUE"""),41379)</f>
        <v>41379</v>
      </c>
      <c r="D180" s="12" t="str">
        <f ca="1">IFERROR(__xludf.DUMMYFUNCTION("""COMPUTED_VALUE"""),"POUSSINS")</f>
        <v>POUSSINS</v>
      </c>
      <c r="E180" s="14" t="str">
        <f ca="1">IFERROR(__xludf.DUMMYFUNCTION("""COMPUTED_VALUE"""),"ECOLE
")</f>
        <v xml:space="preserve">ECOLE
</v>
      </c>
      <c r="F180" s="1" t="str">
        <f ca="1">IFERROR(__xludf.DUMMYFUNCTION("""COMPUTED_VALUE"""),"FONTAINE FRANCAISE")</f>
        <v>FONTAINE FRANCAISE</v>
      </c>
      <c r="G180" s="12" t="str">
        <f ca="1">IFERROR(__xludf.DUMMYFUNCTION("""COMPUTED_VALUE"""),"FONTAINE FRANCAISE")</f>
        <v>FONTAINE FRANCAISE</v>
      </c>
      <c r="H180" s="12" t="str">
        <f t="shared" ca="1" si="0"/>
        <v>ECOLE
  FONTAINE FRANCAISE  FONTAINE FRANCAISE</v>
      </c>
      <c r="I180" s="6"/>
      <c r="J180" s="12"/>
      <c r="K180" s="12"/>
      <c r="L180" s="12" t="str">
        <f ca="1">IFERROR(__xludf.DUMMYFUNCTION("""COMPUTED_VALUE"""),"06 81 04 07 95")</f>
        <v>06 81 04 07 95</v>
      </c>
      <c r="M180" s="12" t="str">
        <f ca="1">IFERROR(__xludf.DUMMYFUNCTION("""COMPUTED_VALUE"""),"21610 FONTAINE-FRANCAISE")</f>
        <v>21610 FONTAINE-FRANCAISE</v>
      </c>
      <c r="N180" s="6"/>
      <c r="O180" s="6"/>
    </row>
    <row r="181" spans="1:15" ht="15.5" x14ac:dyDescent="0.35">
      <c r="A181" s="12" t="str">
        <f ca="1">IFERROR(__xludf.DUMMYFUNCTION("""COMPUTED_VALUE"""),"VERHILLE Simon")</f>
        <v>VERHILLE Simon</v>
      </c>
      <c r="B181" s="12" t="str">
        <f ca="1">IFERROR(__xludf.DUMMYFUNCTION("""COMPUTED_VALUE"""),"H")</f>
        <v>H</v>
      </c>
      <c r="C181" s="13">
        <f ca="1">IFERROR(__xludf.DUMMYFUNCTION("""COMPUTED_VALUE"""),43998)</f>
        <v>43998</v>
      </c>
      <c r="D181" s="12" t="str">
        <f ca="1">IFERROR(__xludf.DUMMYFUNCTION("""COMPUTED_VALUE"""),"BABY ATHLE")</f>
        <v>BABY ATHLE</v>
      </c>
      <c r="E181" s="14" t="str">
        <f ca="1">IFERROR(__xludf.DUMMYFUNCTION("""COMPUTED_VALUE"""),"ECOLE
")</f>
        <v xml:space="preserve">ECOLE
</v>
      </c>
      <c r="F181" s="1" t="str">
        <f ca="1">IFERROR(__xludf.DUMMYFUNCTION("""COMPUTED_VALUE"""),"FRASNE (25)")</f>
        <v>FRASNE (25)</v>
      </c>
      <c r="G181" s="12" t="str">
        <f ca="1">IFERROR(__xludf.DUMMYFUNCTION("""COMPUTED_VALUE"""),"FRASNE")</f>
        <v>FRASNE</v>
      </c>
      <c r="H181" s="12" t="str">
        <f t="shared" ca="1" si="0"/>
        <v>ECOLE
  FRASNE (25)  FRASNE</v>
      </c>
      <c r="I181" s="6"/>
      <c r="J181" s="12" t="str">
        <f ca="1">IFERROR(__xludf.DUMMYFUNCTION("""COMPUTED_VALUE"""),"OK")</f>
        <v>OK</v>
      </c>
      <c r="K181" s="12" t="str">
        <f ca="1">IFERROR(__xludf.DUMMYFUNCTION("""COMPUTED_VALUE"""),"florence.verhille@gmail.com")</f>
        <v>florence.verhille@gmail.com</v>
      </c>
      <c r="L181" s="12" t="str">
        <f ca="1">IFERROR(__xludf.DUMMYFUNCTION("""COMPUTED_VALUE"""),"06 51 05 23 91")</f>
        <v>06 51 05 23 91</v>
      </c>
      <c r="M181" s="12" t="str">
        <f ca="1">IFERROR(__xludf.DUMMYFUNCTION("""COMPUTED_VALUE"""),"25560 FRASNE")</f>
        <v>25560 FRASNE</v>
      </c>
      <c r="N181" s="6"/>
      <c r="O181" s="6"/>
    </row>
    <row r="182" spans="1:15" ht="15.5" x14ac:dyDescent="0.35">
      <c r="A182" s="12" t="str">
        <f ca="1">IFERROR(__xludf.DUMMYFUNCTION("""COMPUTED_VALUE"""),"BARH Adèle")</f>
        <v>BARH Adèle</v>
      </c>
      <c r="B182" s="12" t="str">
        <f ca="1">IFERROR(__xludf.DUMMYFUNCTION("""COMPUTED_VALUE"""),"F")</f>
        <v>F</v>
      </c>
      <c r="C182" s="13">
        <f ca="1">IFERROR(__xludf.DUMMYFUNCTION("""COMPUTED_VALUE"""),41216)</f>
        <v>41216</v>
      </c>
      <c r="D182" s="12" t="str">
        <f ca="1">IFERROR(__xludf.DUMMYFUNCTION("""COMPUTED_VALUE"""),"BENJAMINS")</f>
        <v>BENJAMINS</v>
      </c>
      <c r="E182" s="14" t="str">
        <f ca="1">IFERROR(__xludf.DUMMYFUNCTION("""COMPUTED_VALUE"""),"COLLEGE")</f>
        <v>COLLEGE</v>
      </c>
      <c r="F182" s="1" t="str">
        <f ca="1">IFERROR(__xludf.DUMMYFUNCTION("""COMPUTED_VALUE"""),"GENLIS")</f>
        <v>GENLIS</v>
      </c>
      <c r="G182" s="12" t="str">
        <f ca="1">IFERROR(__xludf.DUMMYFUNCTION("""COMPUTED_VALUE"""),"GENLIS")</f>
        <v>GENLIS</v>
      </c>
      <c r="H182" s="12" t="str">
        <f t="shared" ca="1" si="0"/>
        <v>COLLEGE  GENLIS  GENLIS</v>
      </c>
      <c r="I182" s="6"/>
      <c r="J182" s="12" t="str">
        <f ca="1">IFERROR(__xludf.DUMMYFUNCTION("""COMPUTED_VALUE"""),"OK")</f>
        <v>OK</v>
      </c>
      <c r="K182" s="12" t="str">
        <f ca="1">IFERROR(__xludf.DUMMYFUNCTION("""COMPUTED_VALUE"""),"nathaliebarh@gmail.com")</f>
        <v>nathaliebarh@gmail.com</v>
      </c>
      <c r="L182" s="12" t="str">
        <f ca="1">IFERROR(__xludf.DUMMYFUNCTION("""COMPUTED_VALUE"""),"06 52 14 09 41")</f>
        <v>06 52 14 09 41</v>
      </c>
      <c r="M182" s="12" t="str">
        <f ca="1">IFERROR(__xludf.DUMMYFUNCTION("""COMPUTED_VALUE"""),"70100 CHARGEY LES GRAY")</f>
        <v>70100 CHARGEY LES GRAY</v>
      </c>
      <c r="N182" s="6"/>
      <c r="O182" s="6"/>
    </row>
    <row r="183" spans="1:15" ht="15.5" x14ac:dyDescent="0.35">
      <c r="A183" s="12" t="str">
        <f ca="1">IFERROR(__xludf.DUMMYFUNCTION("""COMPUTED_VALUE"""),"BERNARD Lorenzo")</f>
        <v>BERNARD Lorenzo</v>
      </c>
      <c r="B183" s="12" t="str">
        <f ca="1">IFERROR(__xludf.DUMMYFUNCTION("""COMPUTED_VALUE"""),"H")</f>
        <v>H</v>
      </c>
      <c r="C183" s="13">
        <f ca="1">IFERROR(__xludf.DUMMYFUNCTION("""COMPUTED_VALUE"""),40749)</f>
        <v>40749</v>
      </c>
      <c r="D183" s="12" t="str">
        <f ca="1">IFERROR(__xludf.DUMMYFUNCTION("""COMPUTED_VALUE"""),"BENJAMINS")</f>
        <v>BENJAMINS</v>
      </c>
      <c r="E183" s="14" t="str">
        <f ca="1">IFERROR(__xludf.DUMMYFUNCTION("""COMPUTED_VALUE"""),"COLLEGE")</f>
        <v>COLLEGE</v>
      </c>
      <c r="F183" s="1" t="str">
        <f ca="1">IFERROR(__xludf.DUMMYFUNCTION("""COMPUTED_VALUE"""),"GENLIS")</f>
        <v>GENLIS</v>
      </c>
      <c r="G183" s="12" t="str">
        <f ca="1">IFERROR(__xludf.DUMMYFUNCTION("""COMPUTED_VALUE"""),"GENLIS")</f>
        <v>GENLIS</v>
      </c>
      <c r="H183" s="12" t="str">
        <f t="shared" ca="1" si="0"/>
        <v>COLLEGE  GENLIS  GENLIS</v>
      </c>
      <c r="I183" s="6"/>
      <c r="J183" s="12" t="str">
        <f ca="1">IFERROR(__xludf.DUMMYFUNCTION("""COMPUTED_VALUE"""),"OK")</f>
        <v>OK</v>
      </c>
      <c r="K183" s="12" t="str">
        <f ca="1">IFERROR(__xludf.DUMMYFUNCTION("""COMPUTED_VALUE"""),"erico70@hotmail.fr")</f>
        <v>erico70@hotmail.fr</v>
      </c>
      <c r="L183" s="12" t="str">
        <f ca="1">IFERROR(__xludf.DUMMYFUNCTION("""COMPUTED_VALUE"""),"06 71 78 97 14")</f>
        <v>06 71 78 97 14</v>
      </c>
      <c r="M183" s="12" t="str">
        <f ca="1">IFERROR(__xludf.DUMMYFUNCTION("""COMPUTED_VALUE"""),"70600 CHAMPLITTE")</f>
        <v>70600 CHAMPLITTE</v>
      </c>
      <c r="N183" s="6"/>
      <c r="O183" s="6"/>
    </row>
    <row r="184" spans="1:15" ht="15.5" x14ac:dyDescent="0.35">
      <c r="A184" s="12" t="str">
        <f ca="1">IFERROR(__xludf.DUMMYFUNCTION("""COMPUTED_VALUE"""),"MILLOT Alexis")</f>
        <v>MILLOT Alexis</v>
      </c>
      <c r="B184" s="12" t="str">
        <f ca="1">IFERROR(__xludf.DUMMYFUNCTION("""COMPUTED_VALUE"""),"H")</f>
        <v>H</v>
      </c>
      <c r="C184" s="13">
        <f ca="1">IFERROR(__xludf.DUMMYFUNCTION("""COMPUTED_VALUE"""),40227)</f>
        <v>40227</v>
      </c>
      <c r="D184" s="12" t="str">
        <f ca="1">IFERROR(__xludf.DUMMYFUNCTION("""COMPUTED_VALUE"""),"MINIMES")</f>
        <v>MINIMES</v>
      </c>
      <c r="E184" s="14" t="str">
        <f ca="1">IFERROR(__xludf.DUMMYFUNCTION("""COMPUTED_VALUE"""),"COLLEGE")</f>
        <v>COLLEGE</v>
      </c>
      <c r="F184" s="1" t="str">
        <f ca="1">IFERROR(__xludf.DUMMYFUNCTION("""COMPUTED_VALUE"""),"GENLIS")</f>
        <v>GENLIS</v>
      </c>
      <c r="G184" s="12" t="str">
        <f ca="1">IFERROR(__xludf.DUMMYFUNCTION("""COMPUTED_VALUE"""),"GENLIS")</f>
        <v>GENLIS</v>
      </c>
      <c r="H184" s="12" t="str">
        <f t="shared" ca="1" si="0"/>
        <v>COLLEGE  GENLIS  GENLIS</v>
      </c>
      <c r="I184" s="6"/>
      <c r="J184" s="12" t="str">
        <f ca="1">IFERROR(__xludf.DUMMYFUNCTION("""COMPUTED_VALUE"""),"OK")</f>
        <v>OK</v>
      </c>
      <c r="K184" s="12" t="str">
        <f ca="1">IFERROR(__xludf.DUMMYFUNCTION("""COMPUTED_VALUE"""),"thierrymillot@laposte.net")</f>
        <v>thierrymillot@laposte.net</v>
      </c>
      <c r="L184" s="12" t="str">
        <f ca="1">IFERROR(__xludf.DUMMYFUNCTION("""COMPUTED_VALUE"""),"06 25 95 12 15")</f>
        <v>06 25 95 12 15</v>
      </c>
      <c r="M184" s="12" t="str">
        <f ca="1">IFERROR(__xludf.DUMMYFUNCTION("""COMPUTED_VALUE"""),"21140 VARANGES")</f>
        <v>21140 VARANGES</v>
      </c>
      <c r="N184" s="6"/>
      <c r="O184" s="6"/>
    </row>
    <row r="185" spans="1:15" ht="15.5" x14ac:dyDescent="0.35">
      <c r="A185" s="12" t="str">
        <f ca="1">IFERROR(__xludf.DUMMYFUNCTION("""COMPUTED_VALUE"""),"MILLOT Alexis")</f>
        <v>MILLOT Alexis</v>
      </c>
      <c r="B185" s="12" t="str">
        <f ca="1">IFERROR(__xludf.DUMMYFUNCTION("""COMPUTED_VALUE"""),"H")</f>
        <v>H</v>
      </c>
      <c r="C185" s="13">
        <f ca="1">IFERROR(__xludf.DUMMYFUNCTION("""COMPUTED_VALUE"""),40227)</f>
        <v>40227</v>
      </c>
      <c r="D185" s="12" t="str">
        <f ca="1">IFERROR(__xludf.DUMMYFUNCTION("""COMPUTED_VALUE"""),"MINIMES")</f>
        <v>MINIMES</v>
      </c>
      <c r="E185" s="14" t="str">
        <f ca="1">IFERROR(__xludf.DUMMYFUNCTION("""COMPUTED_VALUE"""),"COLLEGE")</f>
        <v>COLLEGE</v>
      </c>
      <c r="F185" s="1" t="str">
        <f ca="1">IFERROR(__xludf.DUMMYFUNCTION("""COMPUTED_VALUE"""),"GENLIS")</f>
        <v>GENLIS</v>
      </c>
      <c r="G185" s="12" t="str">
        <f ca="1">IFERROR(__xludf.DUMMYFUNCTION("""COMPUTED_VALUE"""),"GENLIS")</f>
        <v>GENLIS</v>
      </c>
      <c r="H185" s="12" t="str">
        <f t="shared" ca="1" si="0"/>
        <v>COLLEGE  GENLIS  GENLIS</v>
      </c>
      <c r="I185" s="6"/>
      <c r="J185" s="12"/>
      <c r="K185" s="12"/>
      <c r="L185" s="12" t="str">
        <f ca="1">IFERROR(__xludf.DUMMYFUNCTION("""COMPUTED_VALUE"""),"06 25 95 12 15")</f>
        <v>06 25 95 12 15</v>
      </c>
      <c r="M185" s="12" t="str">
        <f ca="1">IFERROR(__xludf.DUMMYFUNCTION("""COMPUTED_VALUE"""),"21140 VARANGES")</f>
        <v>21140 VARANGES</v>
      </c>
      <c r="N185" s="6"/>
      <c r="O185" s="6"/>
    </row>
    <row r="186" spans="1:15" ht="15.5" x14ac:dyDescent="0.35">
      <c r="A186" s="12" t="str">
        <f ca="1">IFERROR(__xludf.DUMMYFUNCTION("""COMPUTED_VALUE"""),"DIZAMBOURG jeanne")</f>
        <v>DIZAMBOURG jeanne</v>
      </c>
      <c r="B186" s="12" t="str">
        <f ca="1">IFERROR(__xludf.DUMMYFUNCTION("""COMPUTED_VALUE"""),"F")</f>
        <v>F</v>
      </c>
      <c r="C186" s="13">
        <f ca="1">IFERROR(__xludf.DUMMYFUNCTION("""COMPUTED_VALUE"""),42615)</f>
        <v>42615</v>
      </c>
      <c r="D186" s="12" t="str">
        <f ca="1">IFERROR(__xludf.DUMMYFUNCTION("""COMPUTED_VALUE"""),"EVEIL ATHLE")</f>
        <v>EVEIL ATHLE</v>
      </c>
      <c r="E186" s="14" t="str">
        <f ca="1">IFERROR(__xludf.DUMMYFUNCTION("""COMPUTED_VALUE"""),"ECOLE
")</f>
        <v xml:space="preserve">ECOLE
</v>
      </c>
      <c r="F186" s="1" t="str">
        <f ca="1">IFERROR(__xludf.DUMMYFUNCTION("""COMPUTED_VALUE"""),"EDMOND BOUR")</f>
        <v>EDMOND BOUR</v>
      </c>
      <c r="G186" s="12" t="str">
        <f ca="1">IFERROR(__xludf.DUMMYFUNCTION("""COMPUTED_VALUE"""),"GRAY")</f>
        <v>GRAY</v>
      </c>
      <c r="H186" s="12" t="str">
        <f t="shared" ca="1" si="0"/>
        <v>ECOLE
  EDMOND BOUR  GRAY</v>
      </c>
      <c r="I186" s="6"/>
      <c r="J186" s="12" t="str">
        <f ca="1">IFERROR(__xludf.DUMMYFUNCTION("""COMPUTED_VALUE"""),"OK")</f>
        <v>OK</v>
      </c>
      <c r="K186" s="12" t="str">
        <f ca="1">IFERROR(__xludf.DUMMYFUNCTION("""COMPUTED_VALUE"""),"emmanuelle.tacnet@laposte.net")</f>
        <v>emmanuelle.tacnet@laposte.net</v>
      </c>
      <c r="L186" s="12" t="str">
        <f ca="1">IFERROR(__xludf.DUMMYFUNCTION("""COMPUTED_VALUE"""),"06 23 82 10 12")</f>
        <v>06 23 82 10 12</v>
      </c>
      <c r="M186" s="12" t="str">
        <f ca="1">IFERROR(__xludf.DUMMYFUNCTION("""COMPUTED_VALUE"""),"70100 ESMOULINS")</f>
        <v>70100 ESMOULINS</v>
      </c>
      <c r="N186" s="6"/>
      <c r="O186" s="6"/>
    </row>
    <row r="187" spans="1:15" ht="15.5" x14ac:dyDescent="0.35">
      <c r="A187" s="12" t="str">
        <f ca="1">IFERROR(__xludf.DUMMYFUNCTION("""COMPUTED_VALUE"""),"HENTINGER Anna")</f>
        <v>HENTINGER Anna</v>
      </c>
      <c r="B187" s="12" t="str">
        <f ca="1">IFERROR(__xludf.DUMMYFUNCTION("""COMPUTED_VALUE"""),"F")</f>
        <v>F</v>
      </c>
      <c r="C187" s="13">
        <f ca="1">IFERROR(__xludf.DUMMYFUNCTION("""COMPUTED_VALUE"""),42033)</f>
        <v>42033</v>
      </c>
      <c r="D187" s="12" t="str">
        <f ca="1">IFERROR(__xludf.DUMMYFUNCTION("""COMPUTED_VALUE"""),"EVEIL ATHLE")</f>
        <v>EVEIL ATHLE</v>
      </c>
      <c r="E187" s="14" t="str">
        <f ca="1">IFERROR(__xludf.DUMMYFUNCTION("""COMPUTED_VALUE"""),"ECOLE
")</f>
        <v xml:space="preserve">ECOLE
</v>
      </c>
      <c r="F187" s="1" t="str">
        <f ca="1">IFERROR(__xludf.DUMMYFUNCTION("""COMPUTED_VALUE"""),"EDMOND BOUR")</f>
        <v>EDMOND BOUR</v>
      </c>
      <c r="G187" s="12" t="str">
        <f ca="1">IFERROR(__xludf.DUMMYFUNCTION("""COMPUTED_VALUE"""),"GRAY")</f>
        <v>GRAY</v>
      </c>
      <c r="H187" s="12" t="str">
        <f t="shared" ca="1" si="0"/>
        <v>ECOLE
  EDMOND BOUR  GRAY</v>
      </c>
      <c r="I187" s="6"/>
      <c r="J187" s="12" t="str">
        <f ca="1">IFERROR(__xludf.DUMMYFUNCTION("""COMPUTED_VALUE"""),"OK")</f>
        <v>OK</v>
      </c>
      <c r="K187" s="12" t="str">
        <f ca="1">IFERROR(__xludf.DUMMYFUNCTION("""COMPUTED_VALUE"""),"huguenin.apolline@gmail.com")</f>
        <v>huguenin.apolline@gmail.com</v>
      </c>
      <c r="L187" s="12" t="str">
        <f ca="1">IFERROR(__xludf.DUMMYFUNCTION("""COMPUTED_VALUE"""),"06 45 96 66 47")</f>
        <v>06 45 96 66 47</v>
      </c>
      <c r="M187" s="12" t="str">
        <f ca="1">IFERROR(__xludf.DUMMYFUNCTION("""COMPUTED_VALUE"""),"70100 ARC LES GRAY")</f>
        <v>70100 ARC LES GRAY</v>
      </c>
      <c r="N187" s="6"/>
      <c r="O187" s="6"/>
    </row>
    <row r="188" spans="1:15" ht="15.5" x14ac:dyDescent="0.35">
      <c r="A188" s="12" t="str">
        <f ca="1">IFERROR(__xludf.DUMMYFUNCTION("""COMPUTED_VALUE"""),"HORVAT Pauline")</f>
        <v>HORVAT Pauline</v>
      </c>
      <c r="B188" s="12" t="str">
        <f ca="1">IFERROR(__xludf.DUMMYFUNCTION("""COMPUTED_VALUE"""),"F")</f>
        <v>F</v>
      </c>
      <c r="C188" s="13">
        <f ca="1">IFERROR(__xludf.DUMMYFUNCTION("""COMPUTED_VALUE"""),42307)</f>
        <v>42307</v>
      </c>
      <c r="D188" s="12" t="str">
        <f ca="1">IFERROR(__xludf.DUMMYFUNCTION("""COMPUTED_VALUE"""),"EVEIL ATHLE")</f>
        <v>EVEIL ATHLE</v>
      </c>
      <c r="E188" s="14" t="str">
        <f ca="1">IFERROR(__xludf.DUMMYFUNCTION("""COMPUTED_VALUE"""),"ECOLE
")</f>
        <v xml:space="preserve">ECOLE
</v>
      </c>
      <c r="F188" s="1" t="str">
        <f ca="1">IFERROR(__xludf.DUMMYFUNCTION("""COMPUTED_VALUE"""),"EDMOND BOUR")</f>
        <v>EDMOND BOUR</v>
      </c>
      <c r="G188" s="12" t="str">
        <f ca="1">IFERROR(__xludf.DUMMYFUNCTION("""COMPUTED_VALUE"""),"GRAY")</f>
        <v>GRAY</v>
      </c>
      <c r="H188" s="12" t="str">
        <f t="shared" ca="1" si="0"/>
        <v>ECOLE
  EDMOND BOUR  GRAY</v>
      </c>
      <c r="I188" s="6"/>
      <c r="J188" s="12" t="str">
        <f ca="1">IFERROR(__xludf.DUMMYFUNCTION("""COMPUTED_VALUE"""),"OK")</f>
        <v>OK</v>
      </c>
      <c r="K188" s="12" t="str">
        <f ca="1">IFERROR(__xludf.DUMMYFUNCTION("""COMPUTED_VALUE"""),"corinepasquier@orange.fr")</f>
        <v>corinepasquier@orange.fr</v>
      </c>
      <c r="L188" s="12" t="str">
        <f ca="1">IFERROR(__xludf.DUMMYFUNCTION("""COMPUTED_VALUE"""),"06 81 11 61 27")</f>
        <v>06 81 11 61 27</v>
      </c>
      <c r="M188" s="12" t="str">
        <f ca="1">IFERROR(__xludf.DUMMYFUNCTION("""COMPUTED_VALUE"""),"70100 GRAY LA VILLE")</f>
        <v>70100 GRAY LA VILLE</v>
      </c>
      <c r="N188" s="6"/>
      <c r="O188" s="6"/>
    </row>
    <row r="189" spans="1:15" ht="15.5" x14ac:dyDescent="0.35">
      <c r="A189" s="12" t="str">
        <f ca="1">IFERROR(__xludf.DUMMYFUNCTION("""COMPUTED_VALUE"""),"JUGNIER Tristan")</f>
        <v>JUGNIER Tristan</v>
      </c>
      <c r="B189" s="12" t="str">
        <f ca="1">IFERROR(__xludf.DUMMYFUNCTION("""COMPUTED_VALUE"""),"H")</f>
        <v>H</v>
      </c>
      <c r="C189" s="13">
        <f ca="1">IFERROR(__xludf.DUMMYFUNCTION("""COMPUTED_VALUE"""),42221)</f>
        <v>42221</v>
      </c>
      <c r="D189" s="12" t="str">
        <f ca="1">IFERROR(__xludf.DUMMYFUNCTION("""COMPUTED_VALUE"""),"EVEIL ATHLE")</f>
        <v>EVEIL ATHLE</v>
      </c>
      <c r="E189" s="14" t="str">
        <f ca="1">IFERROR(__xludf.DUMMYFUNCTION("""COMPUTED_VALUE"""),"ECOLE
")</f>
        <v xml:space="preserve">ECOLE
</v>
      </c>
      <c r="F189" s="1" t="str">
        <f ca="1">IFERROR(__xludf.DUMMYFUNCTION("""COMPUTED_VALUE"""),"EDMOND BOUR")</f>
        <v>EDMOND BOUR</v>
      </c>
      <c r="G189" s="12" t="str">
        <f ca="1">IFERROR(__xludf.DUMMYFUNCTION("""COMPUTED_VALUE"""),"GRAY")</f>
        <v>GRAY</v>
      </c>
      <c r="H189" s="12" t="str">
        <f t="shared" ca="1" si="0"/>
        <v>ECOLE
  EDMOND BOUR  GRAY</v>
      </c>
      <c r="I189" s="6"/>
      <c r="J189" s="12" t="str">
        <f ca="1">IFERROR(__xludf.DUMMYFUNCTION("""COMPUTED_VALUE"""),"OK")</f>
        <v>OK</v>
      </c>
      <c r="K189" s="12" t="str">
        <f ca="1">IFERROR(__xludf.DUMMYFUNCTION("""COMPUTED_VALUE"""),"lucas.junier@hotmail.fr")</f>
        <v>lucas.junier@hotmail.fr</v>
      </c>
      <c r="L189" s="12" t="str">
        <f ca="1">IFERROR(__xludf.DUMMYFUNCTION("""COMPUTED_VALUE"""),"06 87 17 87 15")</f>
        <v>06 87 17 87 15</v>
      </c>
      <c r="M189" s="12" t="str">
        <f ca="1">IFERROR(__xludf.DUMMYFUNCTION("""COMPUTED_VALUE"""),"70100 BATTRANS")</f>
        <v>70100 BATTRANS</v>
      </c>
      <c r="N189" s="6"/>
      <c r="O189" s="6"/>
    </row>
    <row r="190" spans="1:15" ht="15.5" x14ac:dyDescent="0.35">
      <c r="A190" s="12" t="str">
        <f ca="1">IFERROR(__xludf.DUMMYFUNCTION("""COMPUTED_VALUE"""),"SENSES Zumra")</f>
        <v>SENSES Zumra</v>
      </c>
      <c r="B190" s="12" t="str">
        <f ca="1">IFERROR(__xludf.DUMMYFUNCTION("""COMPUTED_VALUE"""),"F")</f>
        <v>F</v>
      </c>
      <c r="C190" s="12" t="str">
        <f ca="1">IFERROR(__xludf.DUMMYFUNCTION("""COMPUTED_VALUE"""),"232/02/2015")</f>
        <v>232/02/2015</v>
      </c>
      <c r="D190" s="12" t="str">
        <f ca="1">IFERROR(__xludf.DUMMYFUNCTION("""COMPUTED_VALUE"""),"EVEIL ATHLE")</f>
        <v>EVEIL ATHLE</v>
      </c>
      <c r="E190" s="14" t="str">
        <f ca="1">IFERROR(__xludf.DUMMYFUNCTION("""COMPUTED_VALUE"""),"ECOLE
")</f>
        <v xml:space="preserve">ECOLE
</v>
      </c>
      <c r="F190" s="1" t="str">
        <f ca="1">IFERROR(__xludf.DUMMYFUNCTION("""COMPUTED_VALUE"""),"EDMOND BOUR")</f>
        <v>EDMOND BOUR</v>
      </c>
      <c r="G190" s="12" t="str">
        <f ca="1">IFERROR(__xludf.DUMMYFUNCTION("""COMPUTED_VALUE"""),"GRAY")</f>
        <v>GRAY</v>
      </c>
      <c r="H190" s="12" t="str">
        <f t="shared" ca="1" si="0"/>
        <v>ECOLE
  EDMOND BOUR  GRAY</v>
      </c>
      <c r="I190" s="6"/>
      <c r="J190" s="12" t="str">
        <f ca="1">IFERROR(__xludf.DUMMYFUNCTION("""COMPUTED_VALUE"""),"OK")</f>
        <v>OK</v>
      </c>
      <c r="K190" s="12" t="str">
        <f ca="1">IFERROR(__xludf.DUMMYFUNCTION("""COMPUTED_VALUE"""),"g.senses@outlook.fr")</f>
        <v>g.senses@outlook.fr</v>
      </c>
      <c r="L190" s="12" t="str">
        <f ca="1">IFERROR(__xludf.DUMMYFUNCTION("""COMPUTED_VALUE"""),"07 67 57 39 61")</f>
        <v>07 67 57 39 61</v>
      </c>
      <c r="M190" s="12" t="str">
        <f ca="1">IFERROR(__xludf.DUMMYFUNCTION("""COMPUTED_VALUE"""),"70100 GRAY")</f>
        <v>70100 GRAY</v>
      </c>
      <c r="N190" s="6"/>
      <c r="O190" s="6"/>
    </row>
    <row r="191" spans="1:15" ht="15.5" x14ac:dyDescent="0.35">
      <c r="A191" s="12" t="str">
        <f ca="1">IFERROR(__xludf.DUMMYFUNCTION("""COMPUTED_VALUE"""),"BOUHELIER Eden")</f>
        <v>BOUHELIER Eden</v>
      </c>
      <c r="B191" s="12" t="str">
        <f ca="1">IFERROR(__xludf.DUMMYFUNCTION("""COMPUTED_VALUE"""),"H")</f>
        <v>H</v>
      </c>
      <c r="C191" s="13">
        <f ca="1">IFERROR(__xludf.DUMMYFUNCTION("""COMPUTED_VALUE"""),41941)</f>
        <v>41941</v>
      </c>
      <c r="D191" s="12" t="str">
        <f ca="1">IFERROR(__xludf.DUMMYFUNCTION("""COMPUTED_VALUE"""),"POUSSINS")</f>
        <v>POUSSINS</v>
      </c>
      <c r="E191" s="14" t="str">
        <f ca="1">IFERROR(__xludf.DUMMYFUNCTION("""COMPUTED_VALUE"""),"ECOLE
")</f>
        <v xml:space="preserve">ECOLE
</v>
      </c>
      <c r="F191" s="1" t="str">
        <f ca="1">IFERROR(__xludf.DUMMYFUNCTION("""COMPUTED_VALUE"""),"EDMOND BOUR")</f>
        <v>EDMOND BOUR</v>
      </c>
      <c r="G191" s="12" t="str">
        <f ca="1">IFERROR(__xludf.DUMMYFUNCTION("""COMPUTED_VALUE"""),"GRAY")</f>
        <v>GRAY</v>
      </c>
      <c r="H191" s="12" t="str">
        <f t="shared" ca="1" si="0"/>
        <v>ECOLE
  EDMOND BOUR  GRAY</v>
      </c>
      <c r="I191" s="6"/>
      <c r="J191" s="12" t="str">
        <f ca="1">IFERROR(__xludf.DUMMYFUNCTION("""COMPUTED_VALUE"""),"OK")</f>
        <v>OK</v>
      </c>
      <c r="K191" s="12" t="str">
        <f ca="1">IFERROR(__xludf.DUMMYFUNCTION("""COMPUTED_VALUE"""),"florinebouchasson@gmail.com")</f>
        <v>florinebouchasson@gmail.com</v>
      </c>
      <c r="L191" s="12" t="str">
        <f ca="1">IFERROR(__xludf.DUMMYFUNCTION("""COMPUTED_VALUE"""),"06 06 78 73 84")</f>
        <v>06 06 78 73 84</v>
      </c>
      <c r="M191" s="12" t="str">
        <f ca="1">IFERROR(__xludf.DUMMYFUNCTION("""COMPUTED_VALUE"""),"70100 GRAY")</f>
        <v>70100 GRAY</v>
      </c>
      <c r="N191" s="6"/>
      <c r="O191" s="6"/>
    </row>
    <row r="192" spans="1:15" ht="15.5" x14ac:dyDescent="0.35">
      <c r="A192" s="12" t="str">
        <f ca="1">IFERROR(__xludf.DUMMYFUNCTION("""COMPUTED_VALUE"""),"DESCOLLONGES Jade")</f>
        <v>DESCOLLONGES Jade</v>
      </c>
      <c r="B192" s="12" t="str">
        <f ca="1">IFERROR(__xludf.DUMMYFUNCTION("""COMPUTED_VALUE"""),"F")</f>
        <v>F</v>
      </c>
      <c r="C192" s="13">
        <f ca="1">IFERROR(__xludf.DUMMYFUNCTION("""COMPUTED_VALUE"""),41546)</f>
        <v>41546</v>
      </c>
      <c r="D192" s="12" t="str">
        <f ca="1">IFERROR(__xludf.DUMMYFUNCTION("""COMPUTED_VALUE"""),"POUSSINS")</f>
        <v>POUSSINS</v>
      </c>
      <c r="E192" s="14" t="str">
        <f ca="1">IFERROR(__xludf.DUMMYFUNCTION("""COMPUTED_VALUE"""),"ECOLE
")</f>
        <v xml:space="preserve">ECOLE
</v>
      </c>
      <c r="F192" s="1" t="str">
        <f ca="1">IFERROR(__xludf.DUMMYFUNCTION("""COMPUTED_VALUE"""),"EDMOND BOUR")</f>
        <v>EDMOND BOUR</v>
      </c>
      <c r="G192" s="12" t="str">
        <f ca="1">IFERROR(__xludf.DUMMYFUNCTION("""COMPUTED_VALUE"""),"GRAY")</f>
        <v>GRAY</v>
      </c>
      <c r="H192" s="12" t="str">
        <f t="shared" ca="1" si="0"/>
        <v>ECOLE
  EDMOND BOUR  GRAY</v>
      </c>
      <c r="I192" s="6"/>
      <c r="J192" s="12" t="str">
        <f ca="1">IFERROR(__xludf.DUMMYFUNCTION("""COMPUTED_VALUE"""),"OK")</f>
        <v>OK</v>
      </c>
      <c r="K192" s="12" t="str">
        <f ca="1">IFERROR(__xludf.DUMMYFUNCTION("""COMPUTED_VALUE"""),"marion.gauliard@laposte.fr")</f>
        <v>marion.gauliard@laposte.fr</v>
      </c>
      <c r="L192" s="12" t="str">
        <f ca="1">IFERROR(__xludf.DUMMYFUNCTION("""COMPUTED_VALUE"""),"06 33 22 78 96")</f>
        <v>06 33 22 78 96</v>
      </c>
      <c r="M192" s="12" t="str">
        <f ca="1">IFERROR(__xludf.DUMMYFUNCTION("""COMPUTED_VALUE"""),"70700 ANGIREY")</f>
        <v>70700 ANGIREY</v>
      </c>
      <c r="N192" s="6"/>
      <c r="O192" s="6"/>
    </row>
    <row r="193" spans="1:15" ht="15.5" x14ac:dyDescent="0.35">
      <c r="A193" s="12" t="str">
        <f ca="1">IFERROR(__xludf.DUMMYFUNCTION("""COMPUTED_VALUE"""),"LAMAZOUERE Eva")</f>
        <v>LAMAZOUERE Eva</v>
      </c>
      <c r="B193" s="12" t="str">
        <f ca="1">IFERROR(__xludf.DUMMYFUNCTION("""COMPUTED_VALUE"""),"F")</f>
        <v>F</v>
      </c>
      <c r="C193" s="13">
        <f ca="1">IFERROR(__xludf.DUMMYFUNCTION("""COMPUTED_VALUE"""),41707)</f>
        <v>41707</v>
      </c>
      <c r="D193" s="12" t="str">
        <f ca="1">IFERROR(__xludf.DUMMYFUNCTION("""COMPUTED_VALUE"""),"POUSSINS")</f>
        <v>POUSSINS</v>
      </c>
      <c r="E193" s="14" t="str">
        <f ca="1">IFERROR(__xludf.DUMMYFUNCTION("""COMPUTED_VALUE"""),"ECOLE
")</f>
        <v xml:space="preserve">ECOLE
</v>
      </c>
      <c r="F193" s="1" t="str">
        <f ca="1">IFERROR(__xludf.DUMMYFUNCTION("""COMPUTED_VALUE"""),"EDMOND BOUR")</f>
        <v>EDMOND BOUR</v>
      </c>
      <c r="G193" s="12" t="str">
        <f ca="1">IFERROR(__xludf.DUMMYFUNCTION("""COMPUTED_VALUE"""),"GRAY")</f>
        <v>GRAY</v>
      </c>
      <c r="H193" s="12" t="str">
        <f t="shared" ca="1" si="0"/>
        <v>ECOLE
  EDMOND BOUR  GRAY</v>
      </c>
      <c r="I193" s="6"/>
      <c r="J193" s="12" t="str">
        <f ca="1">IFERROR(__xludf.DUMMYFUNCTION("""COMPUTED_VALUE"""),"OK")</f>
        <v>OK</v>
      </c>
      <c r="K193" s="12" t="str">
        <f ca="1">IFERROR(__xludf.DUMMYFUNCTION("""COMPUTED_VALUE"""),"aline.guinet@orange.fr")</f>
        <v>aline.guinet@orange.fr</v>
      </c>
      <c r="L193" s="12" t="str">
        <f ca="1">IFERROR(__xludf.DUMMYFUNCTION("""COMPUTED_VALUE"""),"06 32 07 37 61")</f>
        <v>06 32 07 37 61</v>
      </c>
      <c r="M193" s="12" t="str">
        <f ca="1">IFERROR(__xludf.DUMMYFUNCTION("""COMPUTED_VALUE"""),"70100 GRAY")</f>
        <v>70100 GRAY</v>
      </c>
      <c r="N193" s="6"/>
      <c r="O193" s="6"/>
    </row>
    <row r="194" spans="1:15" ht="15.5" x14ac:dyDescent="0.35">
      <c r="A194" s="12" t="str">
        <f ca="1">IFERROR(__xludf.DUMMYFUNCTION("""COMPUTED_VALUE"""),"MOUGENOT Charlyne")</f>
        <v>MOUGENOT Charlyne</v>
      </c>
      <c r="B194" s="12" t="str">
        <f ca="1">IFERROR(__xludf.DUMMYFUNCTION("""COMPUTED_VALUE"""),"F")</f>
        <v>F</v>
      </c>
      <c r="C194" s="13">
        <f ca="1">IFERROR(__xludf.DUMMYFUNCTION("""COMPUTED_VALUE"""),41454)</f>
        <v>41454</v>
      </c>
      <c r="D194" s="12" t="str">
        <f ca="1">IFERROR(__xludf.DUMMYFUNCTION("""COMPUTED_VALUE"""),"POUSSINS")</f>
        <v>POUSSINS</v>
      </c>
      <c r="E194" s="14" t="str">
        <f ca="1">IFERROR(__xludf.DUMMYFUNCTION("""COMPUTED_VALUE"""),"ECOLE
")</f>
        <v xml:space="preserve">ECOLE
</v>
      </c>
      <c r="F194" s="1" t="str">
        <f ca="1">IFERROR(__xludf.DUMMYFUNCTION("""COMPUTED_VALUE"""),"EDMOND BOUR")</f>
        <v>EDMOND BOUR</v>
      </c>
      <c r="G194" s="12" t="str">
        <f ca="1">IFERROR(__xludf.DUMMYFUNCTION("""COMPUTED_VALUE"""),"GRAY")</f>
        <v>GRAY</v>
      </c>
      <c r="H194" s="12" t="str">
        <f t="shared" ca="1" si="0"/>
        <v>ECOLE
  EDMOND BOUR  GRAY</v>
      </c>
      <c r="I194" s="6"/>
      <c r="J194" s="12" t="str">
        <f ca="1">IFERROR(__xludf.DUMMYFUNCTION("""COMPUTED_VALUE"""),"OK")</f>
        <v>OK</v>
      </c>
      <c r="K194" s="12" t="str">
        <f ca="1">IFERROR(__xludf.DUMMYFUNCTION("""COMPUTED_VALUE"""),"alexandramougenot@gmail.com")</f>
        <v>alexandramougenot@gmail.com</v>
      </c>
      <c r="L194" s="12" t="str">
        <f ca="1">IFERROR(__xludf.DUMMYFUNCTION("""COMPUTED_VALUE"""),"06 50 96 80 08")</f>
        <v>06 50 96 80 08</v>
      </c>
      <c r="M194" s="12" t="str">
        <f ca="1">IFERROR(__xludf.DUMMYFUNCTION("""COMPUTED_VALUE"""),"70100 GRAY")</f>
        <v>70100 GRAY</v>
      </c>
      <c r="N194" s="6"/>
      <c r="O194" s="6"/>
    </row>
    <row r="195" spans="1:15" ht="15.5" x14ac:dyDescent="0.35">
      <c r="A195" s="12" t="str">
        <f ca="1">IFERROR(__xludf.DUMMYFUNCTION("""COMPUTED_VALUE"""),"PELTRET Nathan")</f>
        <v>PELTRET Nathan</v>
      </c>
      <c r="B195" s="12" t="str">
        <f ca="1">IFERROR(__xludf.DUMMYFUNCTION("""COMPUTED_VALUE"""),"H")</f>
        <v>H</v>
      </c>
      <c r="C195" s="13">
        <f ca="1">IFERROR(__xludf.DUMMYFUNCTION("""COMPUTED_VALUE"""),41971)</f>
        <v>41971</v>
      </c>
      <c r="D195" s="12" t="str">
        <f ca="1">IFERROR(__xludf.DUMMYFUNCTION("""COMPUTED_VALUE"""),"POUSSINS")</f>
        <v>POUSSINS</v>
      </c>
      <c r="E195" s="14" t="str">
        <f ca="1">IFERROR(__xludf.DUMMYFUNCTION("""COMPUTED_VALUE"""),"ECOLE
")</f>
        <v xml:space="preserve">ECOLE
</v>
      </c>
      <c r="F195" s="1" t="str">
        <f ca="1">IFERROR(__xludf.DUMMYFUNCTION("""COMPUTED_VALUE"""),"EDMOND BOUR")</f>
        <v>EDMOND BOUR</v>
      </c>
      <c r="G195" s="12" t="str">
        <f ca="1">IFERROR(__xludf.DUMMYFUNCTION("""COMPUTED_VALUE"""),"GRAY")</f>
        <v>GRAY</v>
      </c>
      <c r="H195" s="12" t="str">
        <f t="shared" ca="1" si="0"/>
        <v>ECOLE
  EDMOND BOUR  GRAY</v>
      </c>
      <c r="I195" s="6"/>
      <c r="J195" s="12" t="str">
        <f ca="1">IFERROR(__xludf.DUMMYFUNCTION("""COMPUTED_VALUE"""),"OK")</f>
        <v>OK</v>
      </c>
      <c r="K195" s="12" t="str">
        <f ca="1">IFERROR(__xludf.DUMMYFUNCTION("""COMPUTED_VALUE"""),"aurore didelot lucie@gmail.com")</f>
        <v>aurore didelot lucie@gmail.com</v>
      </c>
      <c r="L195" s="12" t="str">
        <f ca="1">IFERROR(__xludf.DUMMYFUNCTION("""COMPUTED_VALUE"""),"06 31 89 15 85")</f>
        <v>06 31 89 15 85</v>
      </c>
      <c r="M195" s="12" t="str">
        <f ca="1">IFERROR(__xludf.DUMMYFUNCTION("""COMPUTED_VALUE"""),"70100 CHARGEY LES GRAY")</f>
        <v>70100 CHARGEY LES GRAY</v>
      </c>
      <c r="N195" s="6"/>
      <c r="O195" s="6"/>
    </row>
    <row r="196" spans="1:15" ht="15.5" x14ac:dyDescent="0.35">
      <c r="A196" s="12" t="str">
        <f ca="1">IFERROR(__xludf.DUMMYFUNCTION("""COMPUTED_VALUE"""),"SENECAL Pharell")</f>
        <v>SENECAL Pharell</v>
      </c>
      <c r="B196" s="12" t="str">
        <f ca="1">IFERROR(__xludf.DUMMYFUNCTION("""COMPUTED_VALUE"""),"H")</f>
        <v>H</v>
      </c>
      <c r="C196" s="13">
        <f ca="1">IFERROR(__xludf.DUMMYFUNCTION("""COMPUTED_VALUE"""),41285)</f>
        <v>41285</v>
      </c>
      <c r="D196" s="12" t="str">
        <f ca="1">IFERROR(__xludf.DUMMYFUNCTION("""COMPUTED_VALUE"""),"POUSSINS")</f>
        <v>POUSSINS</v>
      </c>
      <c r="E196" s="14" t="str">
        <f ca="1">IFERROR(__xludf.DUMMYFUNCTION("""COMPUTED_VALUE"""),"ECOLE
")</f>
        <v xml:space="preserve">ECOLE
</v>
      </c>
      <c r="F196" s="1" t="str">
        <f ca="1">IFERROR(__xludf.DUMMYFUNCTION("""COMPUTED_VALUE"""),"EDMOND BOUR")</f>
        <v>EDMOND BOUR</v>
      </c>
      <c r="G196" s="12" t="str">
        <f ca="1">IFERROR(__xludf.DUMMYFUNCTION("""COMPUTED_VALUE"""),"GRAY")</f>
        <v>GRAY</v>
      </c>
      <c r="H196" s="12" t="str">
        <f t="shared" ca="1" si="0"/>
        <v>ECOLE
  EDMOND BOUR  GRAY</v>
      </c>
      <c r="I196" s="6"/>
      <c r="J196" s="12" t="str">
        <f ca="1">IFERROR(__xludf.DUMMYFUNCTION("""COMPUTED_VALUE"""),"OK")</f>
        <v>OK</v>
      </c>
      <c r="K196" s="12" t="str">
        <f ca="1">IFERROR(__xludf.DUMMYFUNCTION("""COMPUTED_VALUE"""),"e-somoke.shap@outlook.fr")</f>
        <v>e-somoke.shap@outlook.fr</v>
      </c>
      <c r="L196" s="12" t="str">
        <f ca="1">IFERROR(__xludf.DUMMYFUNCTION("""COMPUTED_VALUE"""),"07 67 89 45 76")</f>
        <v>07 67 89 45 76</v>
      </c>
      <c r="M196" s="12" t="str">
        <f ca="1">IFERROR(__xludf.DUMMYFUNCTION("""COMPUTED_VALUE"""),"70100 GRAY")</f>
        <v>70100 GRAY</v>
      </c>
      <c r="N196" s="6"/>
      <c r="O196" s="6"/>
    </row>
    <row r="197" spans="1:15" ht="15.5" x14ac:dyDescent="0.35">
      <c r="A197" s="12" t="str">
        <f ca="1">IFERROR(__xludf.DUMMYFUNCTION("""COMPUTED_VALUE"""),"HENTINGER Anna")</f>
        <v>HENTINGER Anna</v>
      </c>
      <c r="B197" s="12" t="str">
        <f ca="1">IFERROR(__xludf.DUMMYFUNCTION("""COMPUTED_VALUE"""),"F")</f>
        <v>F</v>
      </c>
      <c r="C197" s="13">
        <f ca="1">IFERROR(__xludf.DUMMYFUNCTION("""COMPUTED_VALUE"""),42033)</f>
        <v>42033</v>
      </c>
      <c r="D197" s="12" t="str">
        <f ca="1">IFERROR(__xludf.DUMMYFUNCTION("""COMPUTED_VALUE"""),"EVEIL ATHLE")</f>
        <v>EVEIL ATHLE</v>
      </c>
      <c r="E197" s="14" t="str">
        <f ca="1">IFERROR(__xludf.DUMMYFUNCTION("""COMPUTED_VALUE"""),"ECOLE
")</f>
        <v xml:space="preserve">ECOLE
</v>
      </c>
      <c r="F197" s="1" t="str">
        <f ca="1">IFERROR(__xludf.DUMMYFUNCTION("""COMPUTED_VALUE"""),"EDMOND BOUR")</f>
        <v>EDMOND BOUR</v>
      </c>
      <c r="G197" s="12" t="str">
        <f ca="1">IFERROR(__xludf.DUMMYFUNCTION("""COMPUTED_VALUE"""),"GRAY")</f>
        <v>GRAY</v>
      </c>
      <c r="H197" s="12" t="str">
        <f t="shared" ca="1" si="0"/>
        <v>ECOLE
  EDMOND BOUR  GRAY</v>
      </c>
      <c r="I197" s="6"/>
      <c r="J197" s="12"/>
      <c r="K197" s="12"/>
      <c r="L197" s="12" t="str">
        <f ca="1">IFERROR(__xludf.DUMMYFUNCTION("""COMPUTED_VALUE"""),"06 45 96 66 47")</f>
        <v>06 45 96 66 47</v>
      </c>
      <c r="M197" s="12" t="str">
        <f ca="1">IFERROR(__xludf.DUMMYFUNCTION("""COMPUTED_VALUE"""),"70100 ARC LES GRAY")</f>
        <v>70100 ARC LES GRAY</v>
      </c>
      <c r="N197" s="6"/>
      <c r="O197" s="6"/>
    </row>
    <row r="198" spans="1:15" ht="15.5" x14ac:dyDescent="0.35">
      <c r="A198" s="12" t="str">
        <f ca="1">IFERROR(__xludf.DUMMYFUNCTION("""COMPUTED_VALUE"""),"HORVAT Pauline")</f>
        <v>HORVAT Pauline</v>
      </c>
      <c r="B198" s="12" t="str">
        <f ca="1">IFERROR(__xludf.DUMMYFUNCTION("""COMPUTED_VALUE"""),"F")</f>
        <v>F</v>
      </c>
      <c r="C198" s="13">
        <f ca="1">IFERROR(__xludf.DUMMYFUNCTION("""COMPUTED_VALUE"""),42307)</f>
        <v>42307</v>
      </c>
      <c r="D198" s="12" t="str">
        <f ca="1">IFERROR(__xludf.DUMMYFUNCTION("""COMPUTED_VALUE"""),"EVEIL ATHLE")</f>
        <v>EVEIL ATHLE</v>
      </c>
      <c r="E198" s="14" t="str">
        <f ca="1">IFERROR(__xludf.DUMMYFUNCTION("""COMPUTED_VALUE"""),"ECOLE
")</f>
        <v xml:space="preserve">ECOLE
</v>
      </c>
      <c r="F198" s="1" t="str">
        <f ca="1">IFERROR(__xludf.DUMMYFUNCTION("""COMPUTED_VALUE"""),"EDMOND BOUR")</f>
        <v>EDMOND BOUR</v>
      </c>
      <c r="G198" s="12" t="str">
        <f ca="1">IFERROR(__xludf.DUMMYFUNCTION("""COMPUTED_VALUE"""),"GRAY")</f>
        <v>GRAY</v>
      </c>
      <c r="H198" s="12" t="str">
        <f t="shared" ca="1" si="0"/>
        <v>ECOLE
  EDMOND BOUR  GRAY</v>
      </c>
      <c r="I198" s="6"/>
      <c r="J198" s="12"/>
      <c r="K198" s="12"/>
      <c r="L198" s="12" t="str">
        <f ca="1">IFERROR(__xludf.DUMMYFUNCTION("""COMPUTED_VALUE"""),"06 81 11 61 27")</f>
        <v>06 81 11 61 27</v>
      </c>
      <c r="M198" s="12" t="str">
        <f ca="1">IFERROR(__xludf.DUMMYFUNCTION("""COMPUTED_VALUE"""),"70100 GRAY LA VILLE")</f>
        <v>70100 GRAY LA VILLE</v>
      </c>
      <c r="N198" s="6"/>
      <c r="O198" s="6"/>
    </row>
    <row r="199" spans="1:15" ht="15.5" x14ac:dyDescent="0.35">
      <c r="A199" s="12" t="str">
        <f ca="1">IFERROR(__xludf.DUMMYFUNCTION("""COMPUTED_VALUE"""),"JUGNIER Tristan")</f>
        <v>JUGNIER Tristan</v>
      </c>
      <c r="B199" s="12" t="str">
        <f ca="1">IFERROR(__xludf.DUMMYFUNCTION("""COMPUTED_VALUE"""),"H")</f>
        <v>H</v>
      </c>
      <c r="C199" s="13">
        <f ca="1">IFERROR(__xludf.DUMMYFUNCTION("""COMPUTED_VALUE"""),42221)</f>
        <v>42221</v>
      </c>
      <c r="D199" s="12" t="str">
        <f ca="1">IFERROR(__xludf.DUMMYFUNCTION("""COMPUTED_VALUE"""),"EVEIL ATHLE")</f>
        <v>EVEIL ATHLE</v>
      </c>
      <c r="E199" s="14" t="str">
        <f ca="1">IFERROR(__xludf.DUMMYFUNCTION("""COMPUTED_VALUE"""),"ECOLE
")</f>
        <v xml:space="preserve">ECOLE
</v>
      </c>
      <c r="F199" s="1" t="str">
        <f ca="1">IFERROR(__xludf.DUMMYFUNCTION("""COMPUTED_VALUE"""),"EDMOND BOUR")</f>
        <v>EDMOND BOUR</v>
      </c>
      <c r="G199" s="12" t="str">
        <f ca="1">IFERROR(__xludf.DUMMYFUNCTION("""COMPUTED_VALUE"""),"GRAY")</f>
        <v>GRAY</v>
      </c>
      <c r="H199" s="12" t="str">
        <f t="shared" ca="1" si="0"/>
        <v>ECOLE
  EDMOND BOUR  GRAY</v>
      </c>
      <c r="I199" s="6"/>
      <c r="J199" s="12"/>
      <c r="K199" s="12"/>
      <c r="L199" s="12" t="str">
        <f ca="1">IFERROR(__xludf.DUMMYFUNCTION("""COMPUTED_VALUE"""),"06 87 17 87 15")</f>
        <v>06 87 17 87 15</v>
      </c>
      <c r="M199" s="12" t="str">
        <f ca="1">IFERROR(__xludf.DUMMYFUNCTION("""COMPUTED_VALUE"""),"70100 BATTRANS")</f>
        <v>70100 BATTRANS</v>
      </c>
      <c r="N199" s="6"/>
      <c r="O199" s="6"/>
    </row>
    <row r="200" spans="1:15" ht="15.5" x14ac:dyDescent="0.35">
      <c r="A200" s="12" t="str">
        <f ca="1">IFERROR(__xludf.DUMMYFUNCTION("""COMPUTED_VALUE"""),"SENSES Zumra")</f>
        <v>SENSES Zumra</v>
      </c>
      <c r="B200" s="12" t="str">
        <f ca="1">IFERROR(__xludf.DUMMYFUNCTION("""COMPUTED_VALUE"""),"F")</f>
        <v>F</v>
      </c>
      <c r="C200" s="12" t="str">
        <f ca="1">IFERROR(__xludf.DUMMYFUNCTION("""COMPUTED_VALUE"""),"232/02/2015")</f>
        <v>232/02/2015</v>
      </c>
      <c r="D200" s="12" t="str">
        <f ca="1">IFERROR(__xludf.DUMMYFUNCTION("""COMPUTED_VALUE"""),"EVEIL ATHLE")</f>
        <v>EVEIL ATHLE</v>
      </c>
      <c r="E200" s="14" t="str">
        <f ca="1">IFERROR(__xludf.DUMMYFUNCTION("""COMPUTED_VALUE"""),"ECOLE
")</f>
        <v xml:space="preserve">ECOLE
</v>
      </c>
      <c r="F200" s="1" t="str">
        <f ca="1">IFERROR(__xludf.DUMMYFUNCTION("""COMPUTED_VALUE"""),"EDMOND BOUR")</f>
        <v>EDMOND BOUR</v>
      </c>
      <c r="G200" s="12" t="str">
        <f ca="1">IFERROR(__xludf.DUMMYFUNCTION("""COMPUTED_VALUE"""),"GRAY")</f>
        <v>GRAY</v>
      </c>
      <c r="H200" s="12" t="str">
        <f t="shared" ca="1" si="0"/>
        <v>ECOLE
  EDMOND BOUR  GRAY</v>
      </c>
      <c r="I200" s="6"/>
      <c r="J200" s="12"/>
      <c r="K200" s="12"/>
      <c r="L200" s="12" t="str">
        <f ca="1">IFERROR(__xludf.DUMMYFUNCTION("""COMPUTED_VALUE"""),"07 67 57 39 61")</f>
        <v>07 67 57 39 61</v>
      </c>
      <c r="M200" s="12" t="str">
        <f ca="1">IFERROR(__xludf.DUMMYFUNCTION("""COMPUTED_VALUE"""),"70100 GRAY")</f>
        <v>70100 GRAY</v>
      </c>
      <c r="N200" s="6"/>
      <c r="O200" s="6"/>
    </row>
    <row r="201" spans="1:15" ht="15.5" x14ac:dyDescent="0.35">
      <c r="A201" s="12" t="str">
        <f ca="1">IFERROR(__xludf.DUMMYFUNCTION("""COMPUTED_VALUE"""),"BOUHELIER Eden")</f>
        <v>BOUHELIER Eden</v>
      </c>
      <c r="B201" s="12" t="str">
        <f ca="1">IFERROR(__xludf.DUMMYFUNCTION("""COMPUTED_VALUE"""),"H")</f>
        <v>H</v>
      </c>
      <c r="C201" s="13">
        <f ca="1">IFERROR(__xludf.DUMMYFUNCTION("""COMPUTED_VALUE"""),41941)</f>
        <v>41941</v>
      </c>
      <c r="D201" s="12" t="str">
        <f ca="1">IFERROR(__xludf.DUMMYFUNCTION("""COMPUTED_VALUE"""),"POUSSINS")</f>
        <v>POUSSINS</v>
      </c>
      <c r="E201" s="14" t="str">
        <f ca="1">IFERROR(__xludf.DUMMYFUNCTION("""COMPUTED_VALUE"""),"ECOLE
")</f>
        <v xml:space="preserve">ECOLE
</v>
      </c>
      <c r="F201" s="1" t="str">
        <f ca="1">IFERROR(__xludf.DUMMYFUNCTION("""COMPUTED_VALUE"""),"EDMOND BOUR")</f>
        <v>EDMOND BOUR</v>
      </c>
      <c r="G201" s="12" t="str">
        <f ca="1">IFERROR(__xludf.DUMMYFUNCTION("""COMPUTED_VALUE"""),"GRAY")</f>
        <v>GRAY</v>
      </c>
      <c r="H201" s="12" t="str">
        <f t="shared" ca="1" si="0"/>
        <v>ECOLE
  EDMOND BOUR  GRAY</v>
      </c>
      <c r="I201" s="6"/>
      <c r="J201" s="12"/>
      <c r="K201" s="12"/>
      <c r="L201" s="12" t="str">
        <f ca="1">IFERROR(__xludf.DUMMYFUNCTION("""COMPUTED_VALUE"""),"06 06 78 73 84")</f>
        <v>06 06 78 73 84</v>
      </c>
      <c r="M201" s="12" t="str">
        <f ca="1">IFERROR(__xludf.DUMMYFUNCTION("""COMPUTED_VALUE"""),"70100 GRAY")</f>
        <v>70100 GRAY</v>
      </c>
      <c r="N201" s="6"/>
      <c r="O201" s="6"/>
    </row>
    <row r="202" spans="1:15" ht="15.5" x14ac:dyDescent="0.35">
      <c r="A202" s="12" t="str">
        <f ca="1">IFERROR(__xludf.DUMMYFUNCTION("""COMPUTED_VALUE"""),"DESCOLLONGES Jade")</f>
        <v>DESCOLLONGES Jade</v>
      </c>
      <c r="B202" s="12" t="str">
        <f ca="1">IFERROR(__xludf.DUMMYFUNCTION("""COMPUTED_VALUE"""),"F")</f>
        <v>F</v>
      </c>
      <c r="C202" s="13">
        <f ca="1">IFERROR(__xludf.DUMMYFUNCTION("""COMPUTED_VALUE"""),41546)</f>
        <v>41546</v>
      </c>
      <c r="D202" s="12" t="str">
        <f ca="1">IFERROR(__xludf.DUMMYFUNCTION("""COMPUTED_VALUE"""),"POUSSINS")</f>
        <v>POUSSINS</v>
      </c>
      <c r="E202" s="14" t="str">
        <f ca="1">IFERROR(__xludf.DUMMYFUNCTION("""COMPUTED_VALUE"""),"ECOLE
")</f>
        <v xml:space="preserve">ECOLE
</v>
      </c>
      <c r="F202" s="1" t="str">
        <f ca="1">IFERROR(__xludf.DUMMYFUNCTION("""COMPUTED_VALUE"""),"EDMOND BOUR")</f>
        <v>EDMOND BOUR</v>
      </c>
      <c r="G202" s="12" t="str">
        <f ca="1">IFERROR(__xludf.DUMMYFUNCTION("""COMPUTED_VALUE"""),"GRAY")</f>
        <v>GRAY</v>
      </c>
      <c r="H202" s="12" t="str">
        <f t="shared" ca="1" si="0"/>
        <v>ECOLE
  EDMOND BOUR  GRAY</v>
      </c>
      <c r="I202" s="6"/>
      <c r="J202" s="12"/>
      <c r="K202" s="12"/>
      <c r="L202" s="12" t="str">
        <f ca="1">IFERROR(__xludf.DUMMYFUNCTION("""COMPUTED_VALUE"""),"06 33 22 78 96")</f>
        <v>06 33 22 78 96</v>
      </c>
      <c r="M202" s="12" t="str">
        <f ca="1">IFERROR(__xludf.DUMMYFUNCTION("""COMPUTED_VALUE"""),"70700 ANGIREY")</f>
        <v>70700 ANGIREY</v>
      </c>
      <c r="N202" s="6"/>
      <c r="O202" s="6"/>
    </row>
    <row r="203" spans="1:15" ht="15.5" x14ac:dyDescent="0.35">
      <c r="A203" s="12" t="str">
        <f ca="1">IFERROR(__xludf.DUMMYFUNCTION("""COMPUTED_VALUE"""),"LAMAZOUERE Eva")</f>
        <v>LAMAZOUERE Eva</v>
      </c>
      <c r="B203" s="12" t="str">
        <f ca="1">IFERROR(__xludf.DUMMYFUNCTION("""COMPUTED_VALUE"""),"F")</f>
        <v>F</v>
      </c>
      <c r="C203" s="13">
        <f ca="1">IFERROR(__xludf.DUMMYFUNCTION("""COMPUTED_VALUE"""),41707)</f>
        <v>41707</v>
      </c>
      <c r="D203" s="12" t="str">
        <f ca="1">IFERROR(__xludf.DUMMYFUNCTION("""COMPUTED_VALUE"""),"POUSSINS")</f>
        <v>POUSSINS</v>
      </c>
      <c r="E203" s="14" t="str">
        <f ca="1">IFERROR(__xludf.DUMMYFUNCTION("""COMPUTED_VALUE"""),"ECOLE
")</f>
        <v xml:space="preserve">ECOLE
</v>
      </c>
      <c r="F203" s="1" t="str">
        <f ca="1">IFERROR(__xludf.DUMMYFUNCTION("""COMPUTED_VALUE"""),"EDMOND BOUR")</f>
        <v>EDMOND BOUR</v>
      </c>
      <c r="G203" s="12" t="str">
        <f ca="1">IFERROR(__xludf.DUMMYFUNCTION("""COMPUTED_VALUE"""),"GRAY")</f>
        <v>GRAY</v>
      </c>
      <c r="H203" s="12" t="str">
        <f t="shared" ca="1" si="0"/>
        <v>ECOLE
  EDMOND BOUR  GRAY</v>
      </c>
      <c r="I203" s="6"/>
      <c r="J203" s="12"/>
      <c r="K203" s="12"/>
      <c r="L203" s="12" t="str">
        <f ca="1">IFERROR(__xludf.DUMMYFUNCTION("""COMPUTED_VALUE"""),"06 32 07 37 61")</f>
        <v>06 32 07 37 61</v>
      </c>
      <c r="M203" s="12" t="str">
        <f ca="1">IFERROR(__xludf.DUMMYFUNCTION("""COMPUTED_VALUE"""),"70100 GRAY")</f>
        <v>70100 GRAY</v>
      </c>
      <c r="N203" s="6"/>
      <c r="O203" s="6"/>
    </row>
    <row r="204" spans="1:15" ht="15.5" x14ac:dyDescent="0.35">
      <c r="A204" s="12" t="str">
        <f ca="1">IFERROR(__xludf.DUMMYFUNCTION("""COMPUTED_VALUE"""),"MOUGENOT Charlyne")</f>
        <v>MOUGENOT Charlyne</v>
      </c>
      <c r="B204" s="12" t="str">
        <f ca="1">IFERROR(__xludf.DUMMYFUNCTION("""COMPUTED_VALUE"""),"F")</f>
        <v>F</v>
      </c>
      <c r="C204" s="13">
        <f ca="1">IFERROR(__xludf.DUMMYFUNCTION("""COMPUTED_VALUE"""),41454)</f>
        <v>41454</v>
      </c>
      <c r="D204" s="12" t="str">
        <f ca="1">IFERROR(__xludf.DUMMYFUNCTION("""COMPUTED_VALUE"""),"POUSSINS")</f>
        <v>POUSSINS</v>
      </c>
      <c r="E204" s="14" t="str">
        <f ca="1">IFERROR(__xludf.DUMMYFUNCTION("""COMPUTED_VALUE"""),"ECOLE
")</f>
        <v xml:space="preserve">ECOLE
</v>
      </c>
      <c r="F204" s="1" t="str">
        <f ca="1">IFERROR(__xludf.DUMMYFUNCTION("""COMPUTED_VALUE"""),"EDMOND BOUR")</f>
        <v>EDMOND BOUR</v>
      </c>
      <c r="G204" s="12" t="str">
        <f ca="1">IFERROR(__xludf.DUMMYFUNCTION("""COMPUTED_VALUE"""),"GRAY")</f>
        <v>GRAY</v>
      </c>
      <c r="H204" s="12" t="str">
        <f t="shared" ca="1" si="0"/>
        <v>ECOLE
  EDMOND BOUR  GRAY</v>
      </c>
      <c r="I204" s="6"/>
      <c r="J204" s="12"/>
      <c r="K204" s="12"/>
      <c r="L204" s="12" t="str">
        <f ca="1">IFERROR(__xludf.DUMMYFUNCTION("""COMPUTED_VALUE"""),"06 50 96 80 08")</f>
        <v>06 50 96 80 08</v>
      </c>
      <c r="M204" s="12" t="str">
        <f ca="1">IFERROR(__xludf.DUMMYFUNCTION("""COMPUTED_VALUE"""),"70100 GRAY")</f>
        <v>70100 GRAY</v>
      </c>
      <c r="N204" s="6"/>
      <c r="O204" s="6"/>
    </row>
    <row r="205" spans="1:15" ht="15.5" x14ac:dyDescent="0.35">
      <c r="A205" s="12" t="str">
        <f ca="1">IFERROR(__xludf.DUMMYFUNCTION("""COMPUTED_VALUE"""),"PELTRET Nathan")</f>
        <v>PELTRET Nathan</v>
      </c>
      <c r="B205" s="12" t="str">
        <f ca="1">IFERROR(__xludf.DUMMYFUNCTION("""COMPUTED_VALUE"""),"H")</f>
        <v>H</v>
      </c>
      <c r="C205" s="13">
        <f ca="1">IFERROR(__xludf.DUMMYFUNCTION("""COMPUTED_VALUE"""),41971)</f>
        <v>41971</v>
      </c>
      <c r="D205" s="12" t="str">
        <f ca="1">IFERROR(__xludf.DUMMYFUNCTION("""COMPUTED_VALUE"""),"POUSSINS")</f>
        <v>POUSSINS</v>
      </c>
      <c r="E205" s="14" t="str">
        <f ca="1">IFERROR(__xludf.DUMMYFUNCTION("""COMPUTED_VALUE"""),"ECOLE
")</f>
        <v xml:space="preserve">ECOLE
</v>
      </c>
      <c r="F205" s="1" t="str">
        <f ca="1">IFERROR(__xludf.DUMMYFUNCTION("""COMPUTED_VALUE"""),"EDMOND BOUR")</f>
        <v>EDMOND BOUR</v>
      </c>
      <c r="G205" s="12" t="str">
        <f ca="1">IFERROR(__xludf.DUMMYFUNCTION("""COMPUTED_VALUE"""),"GRAY")</f>
        <v>GRAY</v>
      </c>
      <c r="H205" s="12" t="str">
        <f t="shared" ca="1" si="0"/>
        <v>ECOLE
  EDMOND BOUR  GRAY</v>
      </c>
      <c r="I205" s="6"/>
      <c r="J205" s="12"/>
      <c r="K205" s="12"/>
      <c r="L205" s="12" t="str">
        <f ca="1">IFERROR(__xludf.DUMMYFUNCTION("""COMPUTED_VALUE"""),"06 31 89 15 85")</f>
        <v>06 31 89 15 85</v>
      </c>
      <c r="M205" s="12" t="str">
        <f ca="1">IFERROR(__xludf.DUMMYFUNCTION("""COMPUTED_VALUE"""),"70100 CHARGEY LES GRAY")</f>
        <v>70100 CHARGEY LES GRAY</v>
      </c>
      <c r="N205" s="6"/>
      <c r="O205" s="6"/>
    </row>
    <row r="206" spans="1:15" ht="15.5" x14ac:dyDescent="0.35">
      <c r="A206" s="12" t="str">
        <f ca="1">IFERROR(__xludf.DUMMYFUNCTION("""COMPUTED_VALUE"""),"SENECAL Pharell")</f>
        <v>SENECAL Pharell</v>
      </c>
      <c r="B206" s="12" t="str">
        <f ca="1">IFERROR(__xludf.DUMMYFUNCTION("""COMPUTED_VALUE"""),"H")</f>
        <v>H</v>
      </c>
      <c r="C206" s="13">
        <f ca="1">IFERROR(__xludf.DUMMYFUNCTION("""COMPUTED_VALUE"""),41285)</f>
        <v>41285</v>
      </c>
      <c r="D206" s="12" t="str">
        <f ca="1">IFERROR(__xludf.DUMMYFUNCTION("""COMPUTED_VALUE"""),"POUSSINS")</f>
        <v>POUSSINS</v>
      </c>
      <c r="E206" s="14" t="str">
        <f ca="1">IFERROR(__xludf.DUMMYFUNCTION("""COMPUTED_VALUE"""),"ECOLE
")</f>
        <v xml:space="preserve">ECOLE
</v>
      </c>
      <c r="F206" s="1" t="str">
        <f ca="1">IFERROR(__xludf.DUMMYFUNCTION("""COMPUTED_VALUE"""),"EDMOND BOUR")</f>
        <v>EDMOND BOUR</v>
      </c>
      <c r="G206" s="12" t="str">
        <f ca="1">IFERROR(__xludf.DUMMYFUNCTION("""COMPUTED_VALUE"""),"GRAY")</f>
        <v>GRAY</v>
      </c>
      <c r="H206" s="12" t="str">
        <f t="shared" ca="1" si="0"/>
        <v>ECOLE
  EDMOND BOUR  GRAY</v>
      </c>
      <c r="I206" s="6"/>
      <c r="J206" s="12"/>
      <c r="K206" s="12"/>
      <c r="L206" s="12" t="str">
        <f ca="1">IFERROR(__xludf.DUMMYFUNCTION("""COMPUTED_VALUE"""),"07 67 89 45 76")</f>
        <v>07 67 89 45 76</v>
      </c>
      <c r="M206" s="12" t="str">
        <f ca="1">IFERROR(__xludf.DUMMYFUNCTION("""COMPUTED_VALUE"""),"70100 GRAY")</f>
        <v>70100 GRAY</v>
      </c>
      <c r="N206" s="6"/>
      <c r="O206" s="6"/>
    </row>
    <row r="207" spans="1:15" ht="15.5" x14ac:dyDescent="0.35">
      <c r="A207" s="12" t="str">
        <f ca="1">IFERROR(__xludf.DUMMYFUNCTION("""COMPUTED_VALUE"""),"PILLOT Mélissa")</f>
        <v>PILLOT Mélissa</v>
      </c>
      <c r="B207" s="12" t="str">
        <f ca="1">IFERROR(__xludf.DUMMYFUNCTION("""COMPUTED_VALUE"""),"F")</f>
        <v>F</v>
      </c>
      <c r="C207" s="13">
        <f ca="1">IFERROR(__xludf.DUMMYFUNCTION("""COMPUTED_VALUE"""),43593)</f>
        <v>43593</v>
      </c>
      <c r="D207" s="12" t="str">
        <f ca="1">IFERROR(__xludf.DUMMYFUNCTION("""COMPUTED_VALUE"""),"BABY ATHLE")</f>
        <v>BABY ATHLE</v>
      </c>
      <c r="E207" s="14" t="str">
        <f ca="1">IFERROR(__xludf.DUMMYFUNCTION("""COMPUTED_VALUE"""),"ECOLE
")</f>
        <v xml:space="preserve">ECOLE
</v>
      </c>
      <c r="F207" s="1" t="str">
        <f ca="1">IFERROR(__xludf.DUMMYFUNCTION("""COMPUTED_VALUE"""),"MOISE LEVY")</f>
        <v>MOISE LEVY</v>
      </c>
      <c r="G207" s="12" t="str">
        <f ca="1">IFERROR(__xludf.DUMMYFUNCTION("""COMPUTED_VALUE"""),"GRAY")</f>
        <v>GRAY</v>
      </c>
      <c r="H207" s="12" t="str">
        <f t="shared" ca="1" si="0"/>
        <v>ECOLE
  MOISE LEVY  GRAY</v>
      </c>
      <c r="I207" s="6"/>
      <c r="J207" s="12" t="str">
        <f ca="1">IFERROR(__xludf.DUMMYFUNCTION("""COMPUTED_VALUE"""),"OK")</f>
        <v>OK</v>
      </c>
      <c r="K207" s="12" t="str">
        <f ca="1">IFERROR(__xludf.DUMMYFUNCTION("""COMPUTED_VALUE"""),"bernadettesimonin@yahoo.fr")</f>
        <v>bernadettesimonin@yahoo.fr</v>
      </c>
      <c r="L207" s="12" t="str">
        <f ca="1">IFERROR(__xludf.DUMMYFUNCTION("""COMPUTED_VALUE"""),"06 30 05 68 79")</f>
        <v>06 30 05 68 79</v>
      </c>
      <c r="M207" s="12" t="str">
        <f ca="1">IFERROR(__xludf.DUMMYFUNCTION("""COMPUTED_VALUE"""),"70100 GRAY")</f>
        <v>70100 GRAY</v>
      </c>
      <c r="N207" s="6"/>
      <c r="O207" s="6"/>
    </row>
    <row r="208" spans="1:15" ht="15.5" x14ac:dyDescent="0.35">
      <c r="A208" s="12" t="str">
        <f ca="1">IFERROR(__xludf.DUMMYFUNCTION("""COMPUTED_VALUE"""),"ALAHMAD Ahmad")</f>
        <v>ALAHMAD Ahmad</v>
      </c>
      <c r="B208" s="12" t="str">
        <f ca="1">IFERROR(__xludf.DUMMYFUNCTION("""COMPUTED_VALUE"""),"H")</f>
        <v>H</v>
      </c>
      <c r="C208" s="13">
        <f ca="1">IFERROR(__xludf.DUMMYFUNCTION("""COMPUTED_VALUE"""),42005)</f>
        <v>42005</v>
      </c>
      <c r="D208" s="12" t="str">
        <f ca="1">IFERROR(__xludf.DUMMYFUNCTION("""COMPUTED_VALUE"""),"EVEIL ATHLE")</f>
        <v>EVEIL ATHLE</v>
      </c>
      <c r="E208" s="14" t="str">
        <f ca="1">IFERROR(__xludf.DUMMYFUNCTION("""COMPUTED_VALUE"""),"ECOLE
")</f>
        <v xml:space="preserve">ECOLE
</v>
      </c>
      <c r="F208" s="1" t="str">
        <f ca="1">IFERROR(__xludf.DUMMYFUNCTION("""COMPUTED_VALUE"""),"MOISE LEVY")</f>
        <v>MOISE LEVY</v>
      </c>
      <c r="G208" s="12" t="str">
        <f ca="1">IFERROR(__xludf.DUMMYFUNCTION("""COMPUTED_VALUE"""),"GRAY")</f>
        <v>GRAY</v>
      </c>
      <c r="H208" s="12" t="str">
        <f t="shared" ca="1" si="0"/>
        <v>ECOLE
  MOISE LEVY  GRAY</v>
      </c>
      <c r="I208" s="6"/>
      <c r="J208" s="12" t="str">
        <f ca="1">IFERROR(__xludf.DUMMYFUNCTION("""COMPUTED_VALUE"""),"OK")</f>
        <v>OK</v>
      </c>
      <c r="K208" s="12" t="str">
        <f ca="1">IFERROR(__xludf.DUMMYFUNCTION("""COMPUTED_VALUE"""),"alahmadabdulwahb06@gmail.com")</f>
        <v>alahmadabdulwahb06@gmail.com</v>
      </c>
      <c r="L208" s="12" t="str">
        <f ca="1">IFERROR(__xludf.DUMMYFUNCTION("""COMPUTED_VALUE"""),"07 67 03 09 15")</f>
        <v>07 67 03 09 15</v>
      </c>
      <c r="M208" s="12" t="str">
        <f ca="1">IFERROR(__xludf.DUMMYFUNCTION("""COMPUTED_VALUE"""),"70100 GRAY")</f>
        <v>70100 GRAY</v>
      </c>
      <c r="N208" s="6"/>
      <c r="O208" s="6"/>
    </row>
    <row r="209" spans="1:15" ht="15.5" x14ac:dyDescent="0.35">
      <c r="A209" s="12" t="str">
        <f ca="1">IFERROR(__xludf.DUMMYFUNCTION("""COMPUTED_VALUE"""),"ALAHMAD Layan")</f>
        <v>ALAHMAD Layan</v>
      </c>
      <c r="B209" s="12" t="str">
        <f ca="1">IFERROR(__xludf.DUMMYFUNCTION("""COMPUTED_VALUE"""),"F")</f>
        <v>F</v>
      </c>
      <c r="C209" s="13">
        <f ca="1">IFERROR(__xludf.DUMMYFUNCTION("""COMPUTED_VALUE"""),42562)</f>
        <v>42562</v>
      </c>
      <c r="D209" s="12" t="str">
        <f ca="1">IFERROR(__xludf.DUMMYFUNCTION("""COMPUTED_VALUE"""),"EVEIL ATHLE")</f>
        <v>EVEIL ATHLE</v>
      </c>
      <c r="E209" s="14" t="str">
        <f ca="1">IFERROR(__xludf.DUMMYFUNCTION("""COMPUTED_VALUE"""),"ECOLE
")</f>
        <v xml:space="preserve">ECOLE
</v>
      </c>
      <c r="F209" s="1" t="str">
        <f ca="1">IFERROR(__xludf.DUMMYFUNCTION("""COMPUTED_VALUE"""),"MOISE LEVY")</f>
        <v>MOISE LEVY</v>
      </c>
      <c r="G209" s="12" t="str">
        <f ca="1">IFERROR(__xludf.DUMMYFUNCTION("""COMPUTED_VALUE"""),"GRAY")</f>
        <v>GRAY</v>
      </c>
      <c r="H209" s="12" t="str">
        <f t="shared" ca="1" si="0"/>
        <v>ECOLE
  MOISE LEVY  GRAY</v>
      </c>
      <c r="I209" s="6"/>
      <c r="J209" s="12" t="str">
        <f ca="1">IFERROR(__xludf.DUMMYFUNCTION("""COMPUTED_VALUE"""),"OK")</f>
        <v>OK</v>
      </c>
      <c r="K209" s="12" t="str">
        <f ca="1">IFERROR(__xludf.DUMMYFUNCTION("""COMPUTED_VALUE"""),"alahmadabdulwahb06@gmail.com")</f>
        <v>alahmadabdulwahb06@gmail.com</v>
      </c>
      <c r="L209" s="12" t="str">
        <f ca="1">IFERROR(__xludf.DUMMYFUNCTION("""COMPUTED_VALUE"""),"07 67 03 09 15")</f>
        <v>07 67 03 09 15</v>
      </c>
      <c r="M209" s="12" t="str">
        <f ca="1">IFERROR(__xludf.DUMMYFUNCTION("""COMPUTED_VALUE"""),"70100 GRAY")</f>
        <v>70100 GRAY</v>
      </c>
      <c r="N209" s="6"/>
      <c r="O209" s="6"/>
    </row>
    <row r="210" spans="1:15" ht="15.5" x14ac:dyDescent="0.35">
      <c r="A210" s="12" t="str">
        <f ca="1">IFERROR(__xludf.DUMMYFUNCTION("""COMPUTED_VALUE"""),"CHANTEPIE Loris")</f>
        <v>CHANTEPIE Loris</v>
      </c>
      <c r="B210" s="12" t="str">
        <f ca="1">IFERROR(__xludf.DUMMYFUNCTION("""COMPUTED_VALUE"""),"H")</f>
        <v>H</v>
      </c>
      <c r="C210" s="13">
        <f ca="1">IFERROR(__xludf.DUMMYFUNCTION("""COMPUTED_VALUE"""),42253)</f>
        <v>42253</v>
      </c>
      <c r="D210" s="12" t="str">
        <f ca="1">IFERROR(__xludf.DUMMYFUNCTION("""COMPUTED_VALUE"""),"EVEIL ATHLE")</f>
        <v>EVEIL ATHLE</v>
      </c>
      <c r="E210" s="14" t="str">
        <f ca="1">IFERROR(__xludf.DUMMYFUNCTION("""COMPUTED_VALUE"""),"ECOLE
")</f>
        <v xml:space="preserve">ECOLE
</v>
      </c>
      <c r="F210" s="1" t="str">
        <f ca="1">IFERROR(__xludf.DUMMYFUNCTION("""COMPUTED_VALUE"""),"MOISE LEVY")</f>
        <v>MOISE LEVY</v>
      </c>
      <c r="G210" s="12" t="str">
        <f ca="1">IFERROR(__xludf.DUMMYFUNCTION("""COMPUTED_VALUE"""),"GRAY")</f>
        <v>GRAY</v>
      </c>
      <c r="H210" s="12" t="str">
        <f t="shared" ca="1" si="0"/>
        <v>ECOLE
  MOISE LEVY  GRAY</v>
      </c>
      <c r="I210" s="6"/>
      <c r="J210" s="12" t="str">
        <f ca="1">IFERROR(__xludf.DUMMYFUNCTION("""COMPUTED_VALUE"""),"OK")</f>
        <v>OK</v>
      </c>
      <c r="K210" s="12" t="str">
        <f ca="1">IFERROR(__xludf.DUMMYFUNCTION("""COMPUTED_VALUE"""),"melanie11988@hotmail.fr")</f>
        <v>melanie11988@hotmail.fr</v>
      </c>
      <c r="L210" s="12" t="str">
        <f ca="1">IFERROR(__xludf.DUMMYFUNCTION("""COMPUTED_VALUE"""),"06 86 22 11 18")</f>
        <v>06 86 22 11 18</v>
      </c>
      <c r="M210" s="12" t="str">
        <f ca="1">IFERROR(__xludf.DUMMYFUNCTION("""COMPUTED_VALUE"""),"70100 VENERE")</f>
        <v>70100 VENERE</v>
      </c>
      <c r="N210" s="6"/>
      <c r="O210" s="6"/>
    </row>
    <row r="211" spans="1:15" ht="15.5" x14ac:dyDescent="0.35">
      <c r="A211" s="12" t="str">
        <f ca="1">IFERROR(__xludf.DUMMYFUNCTION("""COMPUTED_VALUE"""),"SHAMS Shabnam")</f>
        <v>SHAMS Shabnam</v>
      </c>
      <c r="B211" s="12" t="str">
        <f ca="1">IFERROR(__xludf.DUMMYFUNCTION("""COMPUTED_VALUE"""),"F")</f>
        <v>F</v>
      </c>
      <c r="C211" s="13">
        <f ca="1">IFERROR(__xludf.DUMMYFUNCTION("""COMPUTED_VALUE"""),42263)</f>
        <v>42263</v>
      </c>
      <c r="D211" s="12" t="str">
        <f ca="1">IFERROR(__xludf.DUMMYFUNCTION("""COMPUTED_VALUE"""),"EVEIL ATHLE")</f>
        <v>EVEIL ATHLE</v>
      </c>
      <c r="E211" s="14" t="str">
        <f ca="1">IFERROR(__xludf.DUMMYFUNCTION("""COMPUTED_VALUE"""),"ECOLE
")</f>
        <v xml:space="preserve">ECOLE
</v>
      </c>
      <c r="F211" s="1" t="str">
        <f ca="1">IFERROR(__xludf.DUMMYFUNCTION("""COMPUTED_VALUE"""),"MOISE LEVY")</f>
        <v>MOISE LEVY</v>
      </c>
      <c r="G211" s="12" t="str">
        <f ca="1">IFERROR(__xludf.DUMMYFUNCTION("""COMPUTED_VALUE"""),"GRAY")</f>
        <v>GRAY</v>
      </c>
      <c r="H211" s="12" t="str">
        <f t="shared" ca="1" si="0"/>
        <v>ECOLE
  MOISE LEVY  GRAY</v>
      </c>
      <c r="I211" s="6"/>
      <c r="J211" s="12" t="str">
        <f ca="1">IFERROR(__xludf.DUMMYFUNCTION("""COMPUTED_VALUE"""),"OK")</f>
        <v>OK</v>
      </c>
      <c r="K211" s="12" t="str">
        <f ca="1">IFERROR(__xludf.DUMMYFUNCTION("""COMPUTED_VALUE"""),"shamsghulamnabi0@gmail.com")</f>
        <v>shamsghulamnabi0@gmail.com</v>
      </c>
      <c r="L211" s="12" t="str">
        <f ca="1">IFERROR(__xludf.DUMMYFUNCTION("""COMPUTED_VALUE"""),"07 51 29 79 88")</f>
        <v>07 51 29 79 88</v>
      </c>
      <c r="M211" s="12" t="str">
        <f ca="1">IFERROR(__xludf.DUMMYFUNCTION("""COMPUTED_VALUE"""),"70100 GRAY")</f>
        <v>70100 GRAY</v>
      </c>
      <c r="N211" s="6"/>
      <c r="O211" s="6"/>
    </row>
    <row r="212" spans="1:15" ht="15.5" x14ac:dyDescent="0.35">
      <c r="A212" s="12" t="str">
        <f ca="1">IFERROR(__xludf.DUMMYFUNCTION("""COMPUTED_VALUE"""),"BOSCH Pascaline")</f>
        <v>BOSCH Pascaline</v>
      </c>
      <c r="B212" s="12" t="str">
        <f ca="1">IFERROR(__xludf.DUMMYFUNCTION("""COMPUTED_VALUE"""),"F")</f>
        <v>F</v>
      </c>
      <c r="C212" s="12" t="str">
        <f ca="1">IFERROR(__xludf.DUMMYFUNCTION("""COMPUTED_VALUE"""),"28/102014")</f>
        <v>28/102014</v>
      </c>
      <c r="D212" s="12" t="str">
        <f ca="1">IFERROR(__xludf.DUMMYFUNCTION("""COMPUTED_VALUE"""),"POUSSINS")</f>
        <v>POUSSINS</v>
      </c>
      <c r="E212" s="14" t="str">
        <f ca="1">IFERROR(__xludf.DUMMYFUNCTION("""COMPUTED_VALUE"""),"ECOLE
")</f>
        <v xml:space="preserve">ECOLE
</v>
      </c>
      <c r="F212" s="1" t="str">
        <f ca="1">IFERROR(__xludf.DUMMYFUNCTION("""COMPUTED_VALUE"""),"MOISE LEVY")</f>
        <v>MOISE LEVY</v>
      </c>
      <c r="G212" s="12" t="str">
        <f ca="1">IFERROR(__xludf.DUMMYFUNCTION("""COMPUTED_VALUE"""),"GRAY")</f>
        <v>GRAY</v>
      </c>
      <c r="H212" s="12" t="str">
        <f t="shared" ca="1" si="0"/>
        <v>ECOLE
  MOISE LEVY  GRAY</v>
      </c>
      <c r="I212" s="6"/>
      <c r="J212" s="12" t="str">
        <f ca="1">IFERROR(__xludf.DUMMYFUNCTION("""COMPUTED_VALUE"""),"OK")</f>
        <v>OK</v>
      </c>
      <c r="K212" s="12" t="str">
        <f ca="1">IFERROR(__xludf.DUMMYFUNCTION("""COMPUTED_VALUE"""),"mwa_x@laposte.net")</f>
        <v>mwa_x@laposte.net</v>
      </c>
      <c r="L212" s="12" t="str">
        <f ca="1">IFERROR(__xludf.DUMMYFUNCTION("""COMPUTED_VALUE"""),"07 69 69 91 84")</f>
        <v>07 69 69 91 84</v>
      </c>
      <c r="M212" s="12" t="str">
        <f ca="1">IFERROR(__xludf.DUMMYFUNCTION("""COMPUTED_VALUE"""),"70100 GRAY")</f>
        <v>70100 GRAY</v>
      </c>
      <c r="N212" s="6"/>
      <c r="O212" s="6"/>
    </row>
    <row r="213" spans="1:15" ht="15.5" x14ac:dyDescent="0.35">
      <c r="A213" s="12" t="str">
        <f ca="1">IFERROR(__xludf.DUMMYFUNCTION("""COMPUTED_VALUE"""),"LAROCHERIE Tristan")</f>
        <v>LAROCHERIE Tristan</v>
      </c>
      <c r="B213" s="12" t="str">
        <f ca="1">IFERROR(__xludf.DUMMYFUNCTION("""COMPUTED_VALUE"""),"H")</f>
        <v>H</v>
      </c>
      <c r="C213" s="13">
        <f ca="1">IFERROR(__xludf.DUMMYFUNCTION("""COMPUTED_VALUE"""),41647)</f>
        <v>41647</v>
      </c>
      <c r="D213" s="12" t="str">
        <f ca="1">IFERROR(__xludf.DUMMYFUNCTION("""COMPUTED_VALUE"""),"POUSSINS")</f>
        <v>POUSSINS</v>
      </c>
      <c r="E213" s="14" t="str">
        <f ca="1">IFERROR(__xludf.DUMMYFUNCTION("""COMPUTED_VALUE"""),"ECOLE
")</f>
        <v xml:space="preserve">ECOLE
</v>
      </c>
      <c r="F213" s="1" t="str">
        <f ca="1">IFERROR(__xludf.DUMMYFUNCTION("""COMPUTED_VALUE"""),"MOISE LEVY")</f>
        <v>MOISE LEVY</v>
      </c>
      <c r="G213" s="12" t="str">
        <f ca="1">IFERROR(__xludf.DUMMYFUNCTION("""COMPUTED_VALUE"""),"GRAY")</f>
        <v>GRAY</v>
      </c>
      <c r="H213" s="12" t="str">
        <f t="shared" ca="1" si="0"/>
        <v>ECOLE
  MOISE LEVY  GRAY</v>
      </c>
      <c r="I213" s="6"/>
      <c r="J213" s="12" t="str">
        <f ca="1">IFERROR(__xludf.DUMMYFUNCTION("""COMPUTED_VALUE"""),"OK")</f>
        <v>OK</v>
      </c>
      <c r="K213" s="12" t="str">
        <f ca="1">IFERROR(__xludf.DUMMYFUNCTION("""COMPUTED_VALUE"""),"cegreffier@laposte.net")</f>
        <v>cegreffier@laposte.net</v>
      </c>
      <c r="L213" s="12" t="str">
        <f ca="1">IFERROR(__xludf.DUMMYFUNCTION("""COMPUTED_VALUE"""),"06 81 94 45 14")</f>
        <v>06 81 94 45 14</v>
      </c>
      <c r="M213" s="12" t="str">
        <f ca="1">IFERROR(__xludf.DUMMYFUNCTION("""COMPUTED_VALUE"""),"70700 BUCEY LES GY")</f>
        <v>70700 BUCEY LES GY</v>
      </c>
      <c r="N213" s="6"/>
      <c r="O213" s="6"/>
    </row>
    <row r="214" spans="1:15" ht="15.5" x14ac:dyDescent="0.35">
      <c r="A214" s="12" t="str">
        <f ca="1">IFERROR(__xludf.DUMMYFUNCTION("""COMPUTED_VALUE"""),"LEBRAS Mathis")</f>
        <v>LEBRAS Mathis</v>
      </c>
      <c r="B214" s="12" t="str">
        <f ca="1">IFERROR(__xludf.DUMMYFUNCTION("""COMPUTED_VALUE"""),"H")</f>
        <v>H</v>
      </c>
      <c r="C214" s="13">
        <f ca="1">IFERROR(__xludf.DUMMYFUNCTION("""COMPUTED_VALUE"""),41795)</f>
        <v>41795</v>
      </c>
      <c r="D214" s="12" t="str">
        <f ca="1">IFERROR(__xludf.DUMMYFUNCTION("""COMPUTED_VALUE"""),"POUSSINS")</f>
        <v>POUSSINS</v>
      </c>
      <c r="E214" s="14" t="str">
        <f ca="1">IFERROR(__xludf.DUMMYFUNCTION("""COMPUTED_VALUE"""),"ECOLE
")</f>
        <v xml:space="preserve">ECOLE
</v>
      </c>
      <c r="F214" s="1" t="str">
        <f ca="1">IFERROR(__xludf.DUMMYFUNCTION("""COMPUTED_VALUE"""),"MOISE LEVY")</f>
        <v>MOISE LEVY</v>
      </c>
      <c r="G214" s="12" t="str">
        <f ca="1">IFERROR(__xludf.DUMMYFUNCTION("""COMPUTED_VALUE"""),"GRAY")</f>
        <v>GRAY</v>
      </c>
      <c r="H214" s="12" t="str">
        <f t="shared" ca="1" si="0"/>
        <v>ECOLE
  MOISE LEVY  GRAY</v>
      </c>
      <c r="I214" s="6"/>
      <c r="J214" s="12" t="str">
        <f ca="1">IFERROR(__xludf.DUMMYFUNCTION("""COMPUTED_VALUE"""),"OK")</f>
        <v>OK</v>
      </c>
      <c r="K214" s="12" t="str">
        <f ca="1">IFERROR(__xludf.DUMMYFUNCTION("""COMPUTED_VALUE"""),"sabronalebras9@gmail.com")</f>
        <v>sabronalebras9@gmail.com</v>
      </c>
      <c r="L214" s="12" t="str">
        <f ca="1">IFERROR(__xludf.DUMMYFUNCTION("""COMPUTED_VALUE"""),"06 77 03 68 41")</f>
        <v>06 77 03 68 41</v>
      </c>
      <c r="M214" s="12" t="str">
        <f ca="1">IFERROR(__xludf.DUMMYFUNCTION("""COMPUTED_VALUE"""),"70100 GRAY")</f>
        <v>70100 GRAY</v>
      </c>
      <c r="N214" s="6"/>
      <c r="O214" s="6"/>
    </row>
    <row r="215" spans="1:15" ht="15.5" x14ac:dyDescent="0.35">
      <c r="A215" s="12" t="str">
        <f ca="1">IFERROR(__xludf.DUMMYFUNCTION("""COMPUTED_VALUE"""),"LEBRAS Théo")</f>
        <v>LEBRAS Théo</v>
      </c>
      <c r="B215" s="12" t="str">
        <f ca="1">IFERROR(__xludf.DUMMYFUNCTION("""COMPUTED_VALUE"""),"H")</f>
        <v>H</v>
      </c>
      <c r="C215" s="13">
        <f ca="1">IFERROR(__xludf.DUMMYFUNCTION("""COMPUTED_VALUE"""),41795)</f>
        <v>41795</v>
      </c>
      <c r="D215" s="12" t="str">
        <f ca="1">IFERROR(__xludf.DUMMYFUNCTION("""COMPUTED_VALUE"""),"POUSSINS")</f>
        <v>POUSSINS</v>
      </c>
      <c r="E215" s="14" t="str">
        <f ca="1">IFERROR(__xludf.DUMMYFUNCTION("""COMPUTED_VALUE"""),"ECOLE
")</f>
        <v xml:space="preserve">ECOLE
</v>
      </c>
      <c r="F215" s="1" t="str">
        <f ca="1">IFERROR(__xludf.DUMMYFUNCTION("""COMPUTED_VALUE"""),"MOISE LEVY")</f>
        <v>MOISE LEVY</v>
      </c>
      <c r="G215" s="12" t="str">
        <f ca="1">IFERROR(__xludf.DUMMYFUNCTION("""COMPUTED_VALUE"""),"GRAY")</f>
        <v>GRAY</v>
      </c>
      <c r="H215" s="12" t="str">
        <f t="shared" ca="1" si="0"/>
        <v>ECOLE
  MOISE LEVY  GRAY</v>
      </c>
      <c r="I215" s="6"/>
      <c r="J215" s="12" t="str">
        <f ca="1">IFERROR(__xludf.DUMMYFUNCTION("""COMPUTED_VALUE"""),"OK")</f>
        <v>OK</v>
      </c>
      <c r="K215" s="12" t="str">
        <f ca="1">IFERROR(__xludf.DUMMYFUNCTION("""COMPUTED_VALUE"""),"sabronalebras9@gmail.com")</f>
        <v>sabronalebras9@gmail.com</v>
      </c>
      <c r="L215" s="12" t="str">
        <f ca="1">IFERROR(__xludf.DUMMYFUNCTION("""COMPUTED_VALUE"""),"06 77 03 68 41")</f>
        <v>06 77 03 68 41</v>
      </c>
      <c r="M215" s="12" t="str">
        <f ca="1">IFERROR(__xludf.DUMMYFUNCTION("""COMPUTED_VALUE"""),"70100 GRAY")</f>
        <v>70100 GRAY</v>
      </c>
      <c r="N215" s="6"/>
      <c r="O215" s="6"/>
    </row>
    <row r="216" spans="1:15" ht="15.5" x14ac:dyDescent="0.35">
      <c r="A216" s="12" t="str">
        <f ca="1">IFERROR(__xludf.DUMMYFUNCTION("""COMPUTED_VALUE"""),"SHAMS Shabnam")</f>
        <v>SHAMS Shabnam</v>
      </c>
      <c r="B216" s="12" t="str">
        <f ca="1">IFERROR(__xludf.DUMMYFUNCTION("""COMPUTED_VALUE"""),"F")</f>
        <v>F</v>
      </c>
      <c r="C216" s="13">
        <f ca="1">IFERROR(__xludf.DUMMYFUNCTION("""COMPUTED_VALUE"""),42263)</f>
        <v>42263</v>
      </c>
      <c r="D216" s="12" t="str">
        <f ca="1">IFERROR(__xludf.DUMMYFUNCTION("""COMPUTED_VALUE"""),"EVEIL ATHLE")</f>
        <v>EVEIL ATHLE</v>
      </c>
      <c r="E216" s="14" t="str">
        <f ca="1">IFERROR(__xludf.DUMMYFUNCTION("""COMPUTED_VALUE"""),"ECOLE
")</f>
        <v xml:space="preserve">ECOLE
</v>
      </c>
      <c r="F216" s="1" t="str">
        <f ca="1">IFERROR(__xludf.DUMMYFUNCTION("""COMPUTED_VALUE"""),"MOISE LEVY")</f>
        <v>MOISE LEVY</v>
      </c>
      <c r="G216" s="12" t="str">
        <f ca="1">IFERROR(__xludf.DUMMYFUNCTION("""COMPUTED_VALUE"""),"GRAY")</f>
        <v>GRAY</v>
      </c>
      <c r="H216" s="12" t="str">
        <f t="shared" ca="1" si="0"/>
        <v>ECOLE
  MOISE LEVY  GRAY</v>
      </c>
      <c r="I216" s="6"/>
      <c r="J216" s="12"/>
      <c r="K216" s="12"/>
      <c r="L216" s="12" t="str">
        <f ca="1">IFERROR(__xludf.DUMMYFUNCTION("""COMPUTED_VALUE"""),"07 51 29 79 88")</f>
        <v>07 51 29 79 88</v>
      </c>
      <c r="M216" s="12" t="str">
        <f ca="1">IFERROR(__xludf.DUMMYFUNCTION("""COMPUTED_VALUE"""),"70100 GRAY")</f>
        <v>70100 GRAY</v>
      </c>
      <c r="N216" s="6"/>
      <c r="O216" s="6"/>
    </row>
    <row r="217" spans="1:15" ht="15.5" x14ac:dyDescent="0.35">
      <c r="A217" s="12" t="str">
        <f ca="1">IFERROR(__xludf.DUMMYFUNCTION("""COMPUTED_VALUE"""),"BOSCH Pascaline")</f>
        <v>BOSCH Pascaline</v>
      </c>
      <c r="B217" s="12" t="str">
        <f ca="1">IFERROR(__xludf.DUMMYFUNCTION("""COMPUTED_VALUE"""),"F")</f>
        <v>F</v>
      </c>
      <c r="C217" s="12" t="str">
        <f ca="1">IFERROR(__xludf.DUMMYFUNCTION("""COMPUTED_VALUE"""),"28/102014")</f>
        <v>28/102014</v>
      </c>
      <c r="D217" s="12" t="str">
        <f ca="1">IFERROR(__xludf.DUMMYFUNCTION("""COMPUTED_VALUE"""),"POUSSINS")</f>
        <v>POUSSINS</v>
      </c>
      <c r="E217" s="14" t="str">
        <f ca="1">IFERROR(__xludf.DUMMYFUNCTION("""COMPUTED_VALUE"""),"ECOLE
")</f>
        <v xml:space="preserve">ECOLE
</v>
      </c>
      <c r="F217" s="1" t="str">
        <f ca="1">IFERROR(__xludf.DUMMYFUNCTION("""COMPUTED_VALUE"""),"MOISE LEVY")</f>
        <v>MOISE LEVY</v>
      </c>
      <c r="G217" s="12" t="str">
        <f ca="1">IFERROR(__xludf.DUMMYFUNCTION("""COMPUTED_VALUE"""),"GRAY")</f>
        <v>GRAY</v>
      </c>
      <c r="H217" s="12" t="str">
        <f t="shared" ca="1" si="0"/>
        <v>ECOLE
  MOISE LEVY  GRAY</v>
      </c>
      <c r="I217" s="6"/>
      <c r="J217" s="12"/>
      <c r="K217" s="12"/>
      <c r="L217" s="12" t="str">
        <f ca="1">IFERROR(__xludf.DUMMYFUNCTION("""COMPUTED_VALUE"""),"07 69 69 91 84")</f>
        <v>07 69 69 91 84</v>
      </c>
      <c r="M217" s="12" t="str">
        <f ca="1">IFERROR(__xludf.DUMMYFUNCTION("""COMPUTED_VALUE"""),"70100 GRAY")</f>
        <v>70100 GRAY</v>
      </c>
      <c r="N217" s="6"/>
      <c r="O217" s="6"/>
    </row>
    <row r="218" spans="1:15" ht="15.5" x14ac:dyDescent="0.35">
      <c r="A218" s="12" t="str">
        <f ca="1">IFERROR(__xludf.DUMMYFUNCTION("""COMPUTED_VALUE"""),"LAROCHERIE Tristan")</f>
        <v>LAROCHERIE Tristan</v>
      </c>
      <c r="B218" s="12" t="str">
        <f ca="1">IFERROR(__xludf.DUMMYFUNCTION("""COMPUTED_VALUE"""),"H")</f>
        <v>H</v>
      </c>
      <c r="C218" s="13">
        <f ca="1">IFERROR(__xludf.DUMMYFUNCTION("""COMPUTED_VALUE"""),41647)</f>
        <v>41647</v>
      </c>
      <c r="D218" s="12" t="str">
        <f ca="1">IFERROR(__xludf.DUMMYFUNCTION("""COMPUTED_VALUE"""),"POUSSINS")</f>
        <v>POUSSINS</v>
      </c>
      <c r="E218" s="14" t="str">
        <f ca="1">IFERROR(__xludf.DUMMYFUNCTION("""COMPUTED_VALUE"""),"ECOLE
")</f>
        <v xml:space="preserve">ECOLE
</v>
      </c>
      <c r="F218" s="1" t="str">
        <f ca="1">IFERROR(__xludf.DUMMYFUNCTION("""COMPUTED_VALUE"""),"MOISE LEVY")</f>
        <v>MOISE LEVY</v>
      </c>
      <c r="G218" s="12" t="str">
        <f ca="1">IFERROR(__xludf.DUMMYFUNCTION("""COMPUTED_VALUE"""),"GRAY")</f>
        <v>GRAY</v>
      </c>
      <c r="H218" s="12" t="str">
        <f t="shared" ca="1" si="0"/>
        <v>ECOLE
  MOISE LEVY  GRAY</v>
      </c>
      <c r="I218" s="6"/>
      <c r="J218" s="12"/>
      <c r="K218" s="12"/>
      <c r="L218" s="12" t="str">
        <f ca="1">IFERROR(__xludf.DUMMYFUNCTION("""COMPUTED_VALUE"""),"06 81 94 45 14")</f>
        <v>06 81 94 45 14</v>
      </c>
      <c r="M218" s="12" t="str">
        <f ca="1">IFERROR(__xludf.DUMMYFUNCTION("""COMPUTED_VALUE"""),"70700 BUCEY LES GY")</f>
        <v>70700 BUCEY LES GY</v>
      </c>
      <c r="N218" s="6"/>
      <c r="O218" s="6"/>
    </row>
    <row r="219" spans="1:15" ht="15.5" x14ac:dyDescent="0.35">
      <c r="A219" s="12" t="str">
        <f ca="1">IFERROR(__xludf.DUMMYFUNCTION("""COMPUTED_VALUE"""),"LEBRAS Mathis")</f>
        <v>LEBRAS Mathis</v>
      </c>
      <c r="B219" s="12" t="str">
        <f ca="1">IFERROR(__xludf.DUMMYFUNCTION("""COMPUTED_VALUE"""),"H")</f>
        <v>H</v>
      </c>
      <c r="C219" s="13">
        <f ca="1">IFERROR(__xludf.DUMMYFUNCTION("""COMPUTED_VALUE"""),41795)</f>
        <v>41795</v>
      </c>
      <c r="D219" s="12" t="str">
        <f ca="1">IFERROR(__xludf.DUMMYFUNCTION("""COMPUTED_VALUE"""),"POUSSINS")</f>
        <v>POUSSINS</v>
      </c>
      <c r="E219" s="14" t="str">
        <f ca="1">IFERROR(__xludf.DUMMYFUNCTION("""COMPUTED_VALUE"""),"ECOLE
")</f>
        <v xml:space="preserve">ECOLE
</v>
      </c>
      <c r="F219" s="1" t="str">
        <f ca="1">IFERROR(__xludf.DUMMYFUNCTION("""COMPUTED_VALUE"""),"MOISE LEVY")</f>
        <v>MOISE LEVY</v>
      </c>
      <c r="G219" s="12" t="str">
        <f ca="1">IFERROR(__xludf.DUMMYFUNCTION("""COMPUTED_VALUE"""),"GRAY")</f>
        <v>GRAY</v>
      </c>
      <c r="H219" s="12" t="str">
        <f t="shared" ca="1" si="0"/>
        <v>ECOLE
  MOISE LEVY  GRAY</v>
      </c>
      <c r="I219" s="6"/>
      <c r="J219" s="12"/>
      <c r="K219" s="12"/>
      <c r="L219" s="12" t="str">
        <f ca="1">IFERROR(__xludf.DUMMYFUNCTION("""COMPUTED_VALUE"""),"06 77 03 68 41")</f>
        <v>06 77 03 68 41</v>
      </c>
      <c r="M219" s="12" t="str">
        <f ca="1">IFERROR(__xludf.DUMMYFUNCTION("""COMPUTED_VALUE"""),"70100 GRAY")</f>
        <v>70100 GRAY</v>
      </c>
      <c r="N219" s="6"/>
      <c r="O219" s="6"/>
    </row>
    <row r="220" spans="1:15" ht="15.5" x14ac:dyDescent="0.35">
      <c r="A220" s="12" t="str">
        <f ca="1">IFERROR(__xludf.DUMMYFUNCTION("""COMPUTED_VALUE"""),"LEBRAS Théo")</f>
        <v>LEBRAS Théo</v>
      </c>
      <c r="B220" s="12" t="str">
        <f ca="1">IFERROR(__xludf.DUMMYFUNCTION("""COMPUTED_VALUE"""),"H")</f>
        <v>H</v>
      </c>
      <c r="C220" s="13">
        <f ca="1">IFERROR(__xludf.DUMMYFUNCTION("""COMPUTED_VALUE"""),41795)</f>
        <v>41795</v>
      </c>
      <c r="D220" s="12" t="str">
        <f ca="1">IFERROR(__xludf.DUMMYFUNCTION("""COMPUTED_VALUE"""),"POUSSINS")</f>
        <v>POUSSINS</v>
      </c>
      <c r="E220" s="14" t="str">
        <f ca="1">IFERROR(__xludf.DUMMYFUNCTION("""COMPUTED_VALUE"""),"ECOLE
")</f>
        <v xml:space="preserve">ECOLE
</v>
      </c>
      <c r="F220" s="1" t="str">
        <f ca="1">IFERROR(__xludf.DUMMYFUNCTION("""COMPUTED_VALUE"""),"MOISE LEVY")</f>
        <v>MOISE LEVY</v>
      </c>
      <c r="G220" s="12" t="str">
        <f ca="1">IFERROR(__xludf.DUMMYFUNCTION("""COMPUTED_VALUE"""),"GRAY")</f>
        <v>GRAY</v>
      </c>
      <c r="H220" s="12" t="str">
        <f t="shared" ca="1" si="0"/>
        <v>ECOLE
  MOISE LEVY  GRAY</v>
      </c>
      <c r="I220" s="6"/>
      <c r="J220" s="12"/>
      <c r="K220" s="12"/>
      <c r="L220" s="12" t="str">
        <f ca="1">IFERROR(__xludf.DUMMYFUNCTION("""COMPUTED_VALUE"""),"06 77 03 68 41")</f>
        <v>06 77 03 68 41</v>
      </c>
      <c r="M220" s="12" t="str">
        <f ca="1">IFERROR(__xludf.DUMMYFUNCTION("""COMPUTED_VALUE"""),"70100 GRAY")</f>
        <v>70100 GRAY</v>
      </c>
      <c r="N220" s="6"/>
      <c r="O220" s="6"/>
    </row>
    <row r="221" spans="1:15" ht="15.5" x14ac:dyDescent="0.35">
      <c r="A221" s="12" t="str">
        <f ca="1">IFERROR(__xludf.DUMMYFUNCTION("""COMPUTED_VALUE"""),"LOMBARD Laïna")</f>
        <v>LOMBARD Laïna</v>
      </c>
      <c r="B221" s="12" t="str">
        <f ca="1">IFERROR(__xludf.DUMMYFUNCTION("""COMPUTED_VALUE"""),"F")</f>
        <v>F</v>
      </c>
      <c r="C221" s="13">
        <f ca="1">IFERROR(__xludf.DUMMYFUNCTION("""COMPUTED_VALUE"""),42911)</f>
        <v>42911</v>
      </c>
      <c r="D221" s="12" t="str">
        <f ca="1">IFERROR(__xludf.DUMMYFUNCTION("""COMPUTED_VALUE"""),"BABY ATHLE")</f>
        <v>BABY ATHLE</v>
      </c>
      <c r="E221" s="14" t="str">
        <f ca="1">IFERROR(__xludf.DUMMYFUNCTION("""COMPUTED_VALUE"""),"ECOLE
")</f>
        <v xml:space="preserve">ECOLE
</v>
      </c>
      <c r="F221" s="1" t="str">
        <f ca="1">IFERROR(__xludf.DUMMYFUNCTION("""COMPUTED_VALUE"""),"SAINT PIERRE FOURIER")</f>
        <v>SAINT PIERRE FOURIER</v>
      </c>
      <c r="G221" s="12" t="str">
        <f ca="1">IFERROR(__xludf.DUMMYFUNCTION("""COMPUTED_VALUE"""),"GRAY")</f>
        <v>GRAY</v>
      </c>
      <c r="H221" s="12" t="str">
        <f t="shared" ca="1" si="0"/>
        <v>ECOLE
  SAINT PIERRE FOURIER  GRAY</v>
      </c>
      <c r="I221" s="6"/>
      <c r="J221" s="12" t="str">
        <f ca="1">IFERROR(__xludf.DUMMYFUNCTION("""COMPUTED_VALUE"""),"OK")</f>
        <v>OK</v>
      </c>
      <c r="K221" s="12" t="str">
        <f ca="1">IFERROR(__xludf.DUMMYFUNCTION("""COMPUTED_VALUE"""),"irenelazhar@gmail.com")</f>
        <v>irenelazhar@gmail.com</v>
      </c>
      <c r="L221" s="12" t="str">
        <f ca="1">IFERROR(__xludf.DUMMYFUNCTION("""COMPUTED_VALUE"""),"06 48 72 64 11")</f>
        <v>06 48 72 64 11</v>
      </c>
      <c r="M221" s="12" t="str">
        <f ca="1">IFERROR(__xludf.DUMMYFUNCTION("""COMPUTED_VALUE"""),"70600 FRAMONT")</f>
        <v>70600 FRAMONT</v>
      </c>
      <c r="N221" s="6"/>
      <c r="O221" s="6"/>
    </row>
    <row r="222" spans="1:15" ht="15.5" x14ac:dyDescent="0.35">
      <c r="A222" s="12" t="str">
        <f ca="1">IFERROR(__xludf.DUMMYFUNCTION("""COMPUTED_VALUE"""),"SCOLAN Candice")</f>
        <v>SCOLAN Candice</v>
      </c>
      <c r="B222" s="12" t="str">
        <f ca="1">IFERROR(__xludf.DUMMYFUNCTION("""COMPUTED_VALUE"""),"F")</f>
        <v>F</v>
      </c>
      <c r="C222" s="13">
        <f ca="1">IFERROR(__xludf.DUMMYFUNCTION("""COMPUTED_VALUE"""),43080)</f>
        <v>43080</v>
      </c>
      <c r="D222" s="12" t="str">
        <f ca="1">IFERROR(__xludf.DUMMYFUNCTION("""COMPUTED_VALUE"""),"EVEIL ATHLE")</f>
        <v>EVEIL ATHLE</v>
      </c>
      <c r="E222" s="14" t="str">
        <f ca="1">IFERROR(__xludf.DUMMYFUNCTION("""COMPUTED_VALUE"""),"ECOLE
")</f>
        <v xml:space="preserve">ECOLE
</v>
      </c>
      <c r="F222" s="1" t="str">
        <f ca="1">IFERROR(__xludf.DUMMYFUNCTION("""COMPUTED_VALUE"""),"SAINT PIERRE FOURIER")</f>
        <v>SAINT PIERRE FOURIER</v>
      </c>
      <c r="G222" s="12" t="str">
        <f ca="1">IFERROR(__xludf.DUMMYFUNCTION("""COMPUTED_VALUE"""),"GRAY")</f>
        <v>GRAY</v>
      </c>
      <c r="H222" s="12" t="str">
        <f t="shared" ca="1" si="0"/>
        <v>ECOLE
  SAINT PIERRE FOURIER  GRAY</v>
      </c>
      <c r="I222" s="6"/>
      <c r="J222" s="12" t="str">
        <f ca="1">IFERROR(__xludf.DUMMYFUNCTION("""COMPUTED_VALUE"""),"OK")</f>
        <v>OK</v>
      </c>
      <c r="K222" s="12" t="str">
        <f ca="1">IFERROR(__xludf.DUMMYFUNCTION("""COMPUTED_VALUE"""),"ninitango@gmail.com")</f>
        <v>ninitango@gmail.com</v>
      </c>
      <c r="L222" s="12" t="str">
        <f ca="1">IFERROR(__xludf.DUMMYFUNCTION("""COMPUTED_VALUE"""),"09 75 25 13 48")</f>
        <v>09 75 25 13 48</v>
      </c>
      <c r="M222" s="12" t="str">
        <f ca="1">IFERROR(__xludf.DUMMYFUNCTION("""COMPUTED_VALUE"""),"70180 MEMBREY")</f>
        <v>70180 MEMBREY</v>
      </c>
      <c r="N222" s="6"/>
      <c r="O222" s="6"/>
    </row>
    <row r="223" spans="1:15" ht="15.5" x14ac:dyDescent="0.35">
      <c r="A223" s="12" t="str">
        <f ca="1">IFERROR(__xludf.DUMMYFUNCTION("""COMPUTED_VALUE"""),"SCOLAN Joshua")</f>
        <v>SCOLAN Joshua</v>
      </c>
      <c r="B223" s="12" t="str">
        <f ca="1">IFERROR(__xludf.DUMMYFUNCTION("""COMPUTED_VALUE"""),"H")</f>
        <v>H</v>
      </c>
      <c r="C223" s="13">
        <f ca="1">IFERROR(__xludf.DUMMYFUNCTION("""COMPUTED_VALUE"""),42716)</f>
        <v>42716</v>
      </c>
      <c r="D223" s="12" t="str">
        <f ca="1">IFERROR(__xludf.DUMMYFUNCTION("""COMPUTED_VALUE"""),"EVEIL ATHLE")</f>
        <v>EVEIL ATHLE</v>
      </c>
      <c r="E223" s="14" t="str">
        <f ca="1">IFERROR(__xludf.DUMMYFUNCTION("""COMPUTED_VALUE"""),"ECOLE
")</f>
        <v xml:space="preserve">ECOLE
</v>
      </c>
      <c r="F223" s="1" t="str">
        <f ca="1">IFERROR(__xludf.DUMMYFUNCTION("""COMPUTED_VALUE"""),"SAINT PIERRE FOURIER")</f>
        <v>SAINT PIERRE FOURIER</v>
      </c>
      <c r="G223" s="12" t="str">
        <f ca="1">IFERROR(__xludf.DUMMYFUNCTION("""COMPUTED_VALUE"""),"GRAY")</f>
        <v>GRAY</v>
      </c>
      <c r="H223" s="12" t="str">
        <f t="shared" ca="1" si="0"/>
        <v>ECOLE
  SAINT PIERRE FOURIER  GRAY</v>
      </c>
      <c r="I223" s="6"/>
      <c r="J223" s="12" t="str">
        <f ca="1">IFERROR(__xludf.DUMMYFUNCTION("""COMPUTED_VALUE"""),"OK")</f>
        <v>OK</v>
      </c>
      <c r="K223" s="12" t="str">
        <f ca="1">IFERROR(__xludf.DUMMYFUNCTION("""COMPUTED_VALUE"""),"ninitango@gmail.com")</f>
        <v>ninitango@gmail.com</v>
      </c>
      <c r="L223" s="12" t="str">
        <f ca="1">IFERROR(__xludf.DUMMYFUNCTION("""COMPUTED_VALUE"""),"09 75 25 13 48")</f>
        <v>09 75 25 13 48</v>
      </c>
      <c r="M223" s="12" t="str">
        <f ca="1">IFERROR(__xludf.DUMMYFUNCTION("""COMPUTED_VALUE"""),"70180 MEMBREY")</f>
        <v>70180 MEMBREY</v>
      </c>
      <c r="N223" s="6"/>
      <c r="O223" s="6"/>
    </row>
    <row r="224" spans="1:15" ht="15.5" x14ac:dyDescent="0.35">
      <c r="A224" s="12" t="str">
        <f ca="1">IFERROR(__xludf.DUMMYFUNCTION("""COMPUTED_VALUE"""),"LAFOSSE Timéo")</f>
        <v>LAFOSSE Timéo</v>
      </c>
      <c r="B224" s="12" t="str">
        <f ca="1">IFERROR(__xludf.DUMMYFUNCTION("""COMPUTED_VALUE"""),"F")</f>
        <v>F</v>
      </c>
      <c r="C224" s="13">
        <f ca="1">IFERROR(__xludf.DUMMYFUNCTION("""COMPUTED_VALUE"""),41916)</f>
        <v>41916</v>
      </c>
      <c r="D224" s="12" t="str">
        <f ca="1">IFERROR(__xludf.DUMMYFUNCTION("""COMPUTED_VALUE"""),"POUSSINS")</f>
        <v>POUSSINS</v>
      </c>
      <c r="E224" s="14" t="str">
        <f ca="1">IFERROR(__xludf.DUMMYFUNCTION("""COMPUTED_VALUE"""),"ECOLE
")</f>
        <v xml:space="preserve">ECOLE
</v>
      </c>
      <c r="F224" s="1" t="str">
        <f ca="1">IFERROR(__xludf.DUMMYFUNCTION("""COMPUTED_VALUE"""),"SAINT PIERRE FOURIER")</f>
        <v>SAINT PIERRE FOURIER</v>
      </c>
      <c r="G224" s="12" t="str">
        <f ca="1">IFERROR(__xludf.DUMMYFUNCTION("""COMPUTED_VALUE"""),"GRAY")</f>
        <v>GRAY</v>
      </c>
      <c r="H224" s="12" t="str">
        <f t="shared" ca="1" si="0"/>
        <v>ECOLE
  SAINT PIERRE FOURIER  GRAY</v>
      </c>
      <c r="I224" s="6"/>
      <c r="J224" s="12" t="str">
        <f ca="1">IFERROR(__xludf.DUMMYFUNCTION("""COMPUTED_VALUE"""),"OK")</f>
        <v>OK</v>
      </c>
      <c r="K224" s="12" t="str">
        <f ca="1">IFERROR(__xludf.DUMMYFUNCTION("""COMPUTED_VALUE"""),"davylafosse70@gmail.com")</f>
        <v>davylafosse70@gmail.com</v>
      </c>
      <c r="L224" s="12" t="str">
        <f ca="1">IFERROR(__xludf.DUMMYFUNCTION("""COMPUTED_VALUE"""),"06 42 70 12 81")</f>
        <v>06 42 70 12 81</v>
      </c>
      <c r="M224" s="12" t="str">
        <f ca="1">IFERROR(__xludf.DUMMYFUNCTION("""COMPUTED_VALUE"""),"70100 GRAY")</f>
        <v>70100 GRAY</v>
      </c>
      <c r="N224" s="6"/>
      <c r="O224" s="6"/>
    </row>
    <row r="225" spans="1:15" ht="15.5" x14ac:dyDescent="0.35">
      <c r="A225" s="12" t="str">
        <f ca="1">IFERROR(__xludf.DUMMYFUNCTION("""COMPUTED_VALUE"""),"SCOLAN Candice")</f>
        <v>SCOLAN Candice</v>
      </c>
      <c r="B225" s="12" t="str">
        <f ca="1">IFERROR(__xludf.DUMMYFUNCTION("""COMPUTED_VALUE"""),"F")</f>
        <v>F</v>
      </c>
      <c r="C225" s="13">
        <f ca="1">IFERROR(__xludf.DUMMYFUNCTION("""COMPUTED_VALUE"""),43080)</f>
        <v>43080</v>
      </c>
      <c r="D225" s="12" t="str">
        <f ca="1">IFERROR(__xludf.DUMMYFUNCTION("""COMPUTED_VALUE"""),"EVEIL ATHLE")</f>
        <v>EVEIL ATHLE</v>
      </c>
      <c r="E225" s="14" t="str">
        <f ca="1">IFERROR(__xludf.DUMMYFUNCTION("""COMPUTED_VALUE"""),"ECOLE
")</f>
        <v xml:space="preserve">ECOLE
</v>
      </c>
      <c r="F225" s="1" t="str">
        <f ca="1">IFERROR(__xludf.DUMMYFUNCTION("""COMPUTED_VALUE"""),"SAINT PIERRE FOURIER")</f>
        <v>SAINT PIERRE FOURIER</v>
      </c>
      <c r="G225" s="12" t="str">
        <f ca="1">IFERROR(__xludf.DUMMYFUNCTION("""COMPUTED_VALUE"""),"GRAY")</f>
        <v>GRAY</v>
      </c>
      <c r="H225" s="12" t="str">
        <f t="shared" ca="1" si="0"/>
        <v>ECOLE
  SAINT PIERRE FOURIER  GRAY</v>
      </c>
      <c r="I225" s="6"/>
      <c r="J225" s="12"/>
      <c r="K225" s="12"/>
      <c r="L225" s="12" t="str">
        <f ca="1">IFERROR(__xludf.DUMMYFUNCTION("""COMPUTED_VALUE"""),"09 75 25 13 48")</f>
        <v>09 75 25 13 48</v>
      </c>
      <c r="M225" s="12" t="str">
        <f ca="1">IFERROR(__xludf.DUMMYFUNCTION("""COMPUTED_VALUE"""),"70180 MEMBREY")</f>
        <v>70180 MEMBREY</v>
      </c>
      <c r="N225" s="6"/>
      <c r="O225" s="6"/>
    </row>
    <row r="226" spans="1:15" ht="15.5" x14ac:dyDescent="0.35">
      <c r="A226" s="12" t="str">
        <f ca="1">IFERROR(__xludf.DUMMYFUNCTION("""COMPUTED_VALUE"""),"SCOLAN Joshua")</f>
        <v>SCOLAN Joshua</v>
      </c>
      <c r="B226" s="12" t="str">
        <f ca="1">IFERROR(__xludf.DUMMYFUNCTION("""COMPUTED_VALUE"""),"H")</f>
        <v>H</v>
      </c>
      <c r="C226" s="13">
        <f ca="1">IFERROR(__xludf.DUMMYFUNCTION("""COMPUTED_VALUE"""),42716)</f>
        <v>42716</v>
      </c>
      <c r="D226" s="12" t="str">
        <f ca="1">IFERROR(__xludf.DUMMYFUNCTION("""COMPUTED_VALUE"""),"EVEIL ATHLE")</f>
        <v>EVEIL ATHLE</v>
      </c>
      <c r="E226" s="14" t="str">
        <f ca="1">IFERROR(__xludf.DUMMYFUNCTION("""COMPUTED_VALUE"""),"ECOLE
")</f>
        <v xml:space="preserve">ECOLE
</v>
      </c>
      <c r="F226" s="1" t="str">
        <f ca="1">IFERROR(__xludf.DUMMYFUNCTION("""COMPUTED_VALUE"""),"SAINT PIERRE FOURIER")</f>
        <v>SAINT PIERRE FOURIER</v>
      </c>
      <c r="G226" s="12" t="str">
        <f ca="1">IFERROR(__xludf.DUMMYFUNCTION("""COMPUTED_VALUE"""),"GRAY")</f>
        <v>GRAY</v>
      </c>
      <c r="H226" s="12" t="str">
        <f t="shared" ca="1" si="0"/>
        <v>ECOLE
  SAINT PIERRE FOURIER  GRAY</v>
      </c>
      <c r="I226" s="6"/>
      <c r="J226" s="12"/>
      <c r="K226" s="12"/>
      <c r="L226" s="12" t="str">
        <f ca="1">IFERROR(__xludf.DUMMYFUNCTION("""COMPUTED_VALUE"""),"09 75 25 13 48")</f>
        <v>09 75 25 13 48</v>
      </c>
      <c r="M226" s="12" t="str">
        <f ca="1">IFERROR(__xludf.DUMMYFUNCTION("""COMPUTED_VALUE"""),"70180 MEMBREY")</f>
        <v>70180 MEMBREY</v>
      </c>
      <c r="N226" s="6"/>
      <c r="O226" s="6"/>
    </row>
    <row r="227" spans="1:15" ht="15.5" x14ac:dyDescent="0.35">
      <c r="A227" s="12" t="str">
        <f ca="1">IFERROR(__xludf.DUMMYFUNCTION("""COMPUTED_VALUE"""),"LAFOSSE Timéo")</f>
        <v>LAFOSSE Timéo</v>
      </c>
      <c r="B227" s="12" t="str">
        <f ca="1">IFERROR(__xludf.DUMMYFUNCTION("""COMPUTED_VALUE"""),"F")</f>
        <v>F</v>
      </c>
      <c r="C227" s="13">
        <f ca="1">IFERROR(__xludf.DUMMYFUNCTION("""COMPUTED_VALUE"""),41916)</f>
        <v>41916</v>
      </c>
      <c r="D227" s="12" t="str">
        <f ca="1">IFERROR(__xludf.DUMMYFUNCTION("""COMPUTED_VALUE"""),"POUSSINS")</f>
        <v>POUSSINS</v>
      </c>
      <c r="E227" s="14" t="str">
        <f ca="1">IFERROR(__xludf.DUMMYFUNCTION("""COMPUTED_VALUE"""),"ECOLE
")</f>
        <v xml:space="preserve">ECOLE
</v>
      </c>
      <c r="F227" s="1" t="str">
        <f ca="1">IFERROR(__xludf.DUMMYFUNCTION("""COMPUTED_VALUE"""),"SAINT PIERRE FOURIER")</f>
        <v>SAINT PIERRE FOURIER</v>
      </c>
      <c r="G227" s="12" t="str">
        <f ca="1">IFERROR(__xludf.DUMMYFUNCTION("""COMPUTED_VALUE"""),"GRAY")</f>
        <v>GRAY</v>
      </c>
      <c r="H227" s="12" t="str">
        <f t="shared" ca="1" si="0"/>
        <v>ECOLE
  SAINT PIERRE FOURIER  GRAY</v>
      </c>
      <c r="I227" s="6"/>
      <c r="J227" s="12"/>
      <c r="K227" s="12"/>
      <c r="L227" s="12" t="str">
        <f ca="1">IFERROR(__xludf.DUMMYFUNCTION("""COMPUTED_VALUE"""),"06 42 70 12 81")</f>
        <v>06 42 70 12 81</v>
      </c>
      <c r="M227" s="12" t="str">
        <f ca="1">IFERROR(__xludf.DUMMYFUNCTION("""COMPUTED_VALUE"""),"70100 GRAY")</f>
        <v>70100 GRAY</v>
      </c>
      <c r="N227" s="6"/>
      <c r="O227" s="6"/>
    </row>
    <row r="228" spans="1:15" ht="15.5" x14ac:dyDescent="0.35">
      <c r="A228" s="12" t="str">
        <f ca="1">IFERROR(__xludf.DUMMYFUNCTION("""COMPUTED_VALUE"""),"AHOVI Maëlle")</f>
        <v>AHOVI Maëlle</v>
      </c>
      <c r="B228" s="12" t="str">
        <f ca="1">IFERROR(__xludf.DUMMYFUNCTION("""COMPUTED_VALUE"""),"F")</f>
        <v>F</v>
      </c>
      <c r="C228" s="13">
        <f ca="1">IFERROR(__xludf.DUMMYFUNCTION("""COMPUTED_VALUE"""),40782)</f>
        <v>40782</v>
      </c>
      <c r="D228" s="12" t="str">
        <f ca="1">IFERROR(__xludf.DUMMYFUNCTION("""COMPUTED_VALUE"""),"BENJAMINS")</f>
        <v>BENJAMINS</v>
      </c>
      <c r="E228" s="14" t="str">
        <f ca="1">IFERROR(__xludf.DUMMYFUNCTION("""COMPUTED_VALUE"""),"COLLEGE")</f>
        <v>COLLEGE</v>
      </c>
      <c r="F228" s="1" t="str">
        <f ca="1">IFERROR(__xludf.DUMMYFUNCTION("""COMPUTED_VALUE"""),"DELAUNAY")</f>
        <v>DELAUNAY</v>
      </c>
      <c r="G228" s="12" t="str">
        <f ca="1">IFERROR(__xludf.DUMMYFUNCTION("""COMPUTED_VALUE"""),"GRAY")</f>
        <v>GRAY</v>
      </c>
      <c r="H228" s="12" t="str">
        <f t="shared" ca="1" si="0"/>
        <v>COLLEGE  DELAUNAY  GRAY</v>
      </c>
      <c r="I228" s="6"/>
      <c r="J228" s="12" t="str">
        <f ca="1">IFERROR(__xludf.DUMMYFUNCTION("""COMPUTED_VALUE"""),"oK")</f>
        <v>oK</v>
      </c>
      <c r="K228" s="12" t="str">
        <f ca="1">IFERROR(__xludf.DUMMYFUNCTION("""COMPUTED_VALUE"""),"clemencelemercier25@gmail.com")</f>
        <v>clemencelemercier25@gmail.com</v>
      </c>
      <c r="L228" s="12" t="str">
        <f ca="1">IFERROR(__xludf.DUMMYFUNCTION("""COMPUTED_VALUE"""),"07 88 15 91 96")</f>
        <v>07 88 15 91 96</v>
      </c>
      <c r="M228" s="12" t="str">
        <f ca="1">IFERROR(__xludf.DUMMYFUNCTION("""COMPUTED_VALUE"""),"70100 GRAY LA VILLE")</f>
        <v>70100 GRAY LA VILLE</v>
      </c>
      <c r="N228" s="6"/>
      <c r="O228" s="6"/>
    </row>
    <row r="229" spans="1:15" ht="15.5" x14ac:dyDescent="0.35">
      <c r="A229" s="12" t="str">
        <f ca="1">IFERROR(__xludf.DUMMYFUNCTION("""COMPUTED_VALUE"""),"ALMEIDA Lina")</f>
        <v>ALMEIDA Lina</v>
      </c>
      <c r="B229" s="12" t="str">
        <f ca="1">IFERROR(__xludf.DUMMYFUNCTION("""COMPUTED_VALUE"""),"F")</f>
        <v>F</v>
      </c>
      <c r="C229" s="13">
        <f ca="1">IFERROR(__xludf.DUMMYFUNCTION("""COMPUTED_VALUE"""),41005)</f>
        <v>41005</v>
      </c>
      <c r="D229" s="12" t="str">
        <f ca="1">IFERROR(__xludf.DUMMYFUNCTION("""COMPUTED_VALUE"""),"BENJAMINS")</f>
        <v>BENJAMINS</v>
      </c>
      <c r="E229" s="14" t="str">
        <f ca="1">IFERROR(__xludf.DUMMYFUNCTION("""COMPUTED_VALUE"""),"COLLEGE")</f>
        <v>COLLEGE</v>
      </c>
      <c r="F229" s="1" t="str">
        <f ca="1">IFERROR(__xludf.DUMMYFUNCTION("""COMPUTED_VALUE"""),"DELAUNAY")</f>
        <v>DELAUNAY</v>
      </c>
      <c r="G229" s="12" t="str">
        <f ca="1">IFERROR(__xludf.DUMMYFUNCTION("""COMPUTED_VALUE"""),"GRAY")</f>
        <v>GRAY</v>
      </c>
      <c r="H229" s="12" t="str">
        <f t="shared" ca="1" si="0"/>
        <v>COLLEGE  DELAUNAY  GRAY</v>
      </c>
      <c r="I229" s="6"/>
      <c r="J229" s="12" t="str">
        <f ca="1">IFERROR(__xludf.DUMMYFUNCTION("""COMPUTED_VALUE"""),"OK")</f>
        <v>OK</v>
      </c>
      <c r="K229" s="12" t="str">
        <f ca="1">IFERROR(__xludf.DUMMYFUNCTION("""COMPUTED_VALUE"""),"magaliecoiffe@yahoo.fr")</f>
        <v>magaliecoiffe@yahoo.fr</v>
      </c>
      <c r="L229" s="12" t="str">
        <f ca="1">IFERROR(__xludf.DUMMYFUNCTION("""COMPUTED_VALUE"""),"07 71 05 83 87")</f>
        <v>07 71 05 83 87</v>
      </c>
      <c r="M229" s="12" t="str">
        <f ca="1">IFERROR(__xludf.DUMMYFUNCTION("""COMPUTED_VALUE"""),"70100 MANTOCHE")</f>
        <v>70100 MANTOCHE</v>
      </c>
      <c r="N229" s="6"/>
      <c r="O229" s="6"/>
    </row>
    <row r="230" spans="1:15" ht="15.5" x14ac:dyDescent="0.35">
      <c r="A230" s="12" t="str">
        <f ca="1">IFERROR(__xludf.DUMMYFUNCTION("""COMPUTED_VALUE"""),"BILLION Agathe")</f>
        <v>BILLION Agathe</v>
      </c>
      <c r="B230" s="12" t="str">
        <f ca="1">IFERROR(__xludf.DUMMYFUNCTION("""COMPUTED_VALUE"""),"F")</f>
        <v>F</v>
      </c>
      <c r="C230" s="13">
        <f ca="1">IFERROR(__xludf.DUMMYFUNCTION("""COMPUTED_VALUE"""),40980)</f>
        <v>40980</v>
      </c>
      <c r="D230" s="12" t="str">
        <f ca="1">IFERROR(__xludf.DUMMYFUNCTION("""COMPUTED_VALUE"""),"BENJAMINS")</f>
        <v>BENJAMINS</v>
      </c>
      <c r="E230" s="14" t="str">
        <f ca="1">IFERROR(__xludf.DUMMYFUNCTION("""COMPUTED_VALUE"""),"COLLEGE")</f>
        <v>COLLEGE</v>
      </c>
      <c r="F230" s="1" t="str">
        <f ca="1">IFERROR(__xludf.DUMMYFUNCTION("""COMPUTED_VALUE"""),"DELAUNAY")</f>
        <v>DELAUNAY</v>
      </c>
      <c r="G230" s="12" t="str">
        <f ca="1">IFERROR(__xludf.DUMMYFUNCTION("""COMPUTED_VALUE"""),"GRAY")</f>
        <v>GRAY</v>
      </c>
      <c r="H230" s="12" t="str">
        <f t="shared" ca="1" si="0"/>
        <v>COLLEGE  DELAUNAY  GRAY</v>
      </c>
      <c r="I230" s="6"/>
      <c r="J230" s="12" t="str">
        <f ca="1">IFERROR(__xludf.DUMMYFUNCTION("""COMPUTED_VALUE"""),"OK")</f>
        <v>OK</v>
      </c>
      <c r="K230" s="12" t="str">
        <f ca="1">IFERROR(__xludf.DUMMYFUNCTION("""COMPUTED_VALUE"""),"lucas.billion@wanadoo.fr")</f>
        <v>lucas.billion@wanadoo.fr</v>
      </c>
      <c r="L230" s="12" t="str">
        <f ca="1">IFERROR(__xludf.DUMMYFUNCTION("""COMPUTED_VALUE"""),"06 87 36 07 08")</f>
        <v>06 87 36 07 08</v>
      </c>
      <c r="M230" s="12" t="str">
        <f ca="1">IFERROR(__xludf.DUMMYFUNCTION("""COMPUTED_VALUE"""),"70100 GRAY LA VILLE")</f>
        <v>70100 GRAY LA VILLE</v>
      </c>
      <c r="N230" s="6"/>
      <c r="O230" s="6"/>
    </row>
    <row r="231" spans="1:15" ht="15.5" x14ac:dyDescent="0.35">
      <c r="A231" s="12" t="str">
        <f ca="1">IFERROR(__xludf.DUMMYFUNCTION("""COMPUTED_VALUE"""),"BLONDEAU Renan")</f>
        <v>BLONDEAU Renan</v>
      </c>
      <c r="B231" s="12" t="str">
        <f ca="1">IFERROR(__xludf.DUMMYFUNCTION("""COMPUTED_VALUE"""),"H")</f>
        <v>H</v>
      </c>
      <c r="C231" s="13">
        <f ca="1">IFERROR(__xludf.DUMMYFUNCTION("""COMPUTED_VALUE"""),40612)</f>
        <v>40612</v>
      </c>
      <c r="D231" s="12" t="str">
        <f ca="1">IFERROR(__xludf.DUMMYFUNCTION("""COMPUTED_VALUE"""),"BENJAMINS")</f>
        <v>BENJAMINS</v>
      </c>
      <c r="E231" s="14" t="str">
        <f ca="1">IFERROR(__xludf.DUMMYFUNCTION("""COMPUTED_VALUE"""),"COLLEGE")</f>
        <v>COLLEGE</v>
      </c>
      <c r="F231" s="1" t="str">
        <f ca="1">IFERROR(__xludf.DUMMYFUNCTION("""COMPUTED_VALUE"""),"DELAUNAY")</f>
        <v>DELAUNAY</v>
      </c>
      <c r="G231" s="12" t="str">
        <f ca="1">IFERROR(__xludf.DUMMYFUNCTION("""COMPUTED_VALUE"""),"GRAY")</f>
        <v>GRAY</v>
      </c>
      <c r="H231" s="12" t="str">
        <f t="shared" ca="1" si="0"/>
        <v>COLLEGE  DELAUNAY  GRAY</v>
      </c>
      <c r="I231" s="6"/>
      <c r="J231" s="12" t="str">
        <f ca="1">IFERROR(__xludf.DUMMYFUNCTION("""COMPUTED_VALUE"""),"OK")</f>
        <v>OK</v>
      </c>
      <c r="K231" s="12" t="str">
        <f ca="1">IFERROR(__xludf.DUMMYFUNCTION("""COMPUTED_VALUE"""),"helenelaplanche@hotmail.com")</f>
        <v>helenelaplanche@hotmail.com</v>
      </c>
      <c r="L231" s="12" t="str">
        <f ca="1">IFERROR(__xludf.DUMMYFUNCTION("""COMPUTED_VALUE"""),"06 37 17 69 22")</f>
        <v>06 37 17 69 22</v>
      </c>
      <c r="M231" s="12" t="str">
        <f ca="1">IFERROR(__xludf.DUMMYFUNCTION("""COMPUTED_VALUE"""),"70100 RIGNY")</f>
        <v>70100 RIGNY</v>
      </c>
      <c r="N231" s="6"/>
      <c r="O231" s="6"/>
    </row>
    <row r="232" spans="1:15" ht="15.5" x14ac:dyDescent="0.35">
      <c r="A232" s="12" t="str">
        <f ca="1">IFERROR(__xludf.DUMMYFUNCTION("""COMPUTED_VALUE"""),"BOCKSTAHLER Ethan")</f>
        <v>BOCKSTAHLER Ethan</v>
      </c>
      <c r="B232" s="12" t="str">
        <f ca="1">IFERROR(__xludf.DUMMYFUNCTION("""COMPUTED_VALUE"""),"H")</f>
        <v>H</v>
      </c>
      <c r="C232" s="13">
        <f ca="1">IFERROR(__xludf.DUMMYFUNCTION("""COMPUTED_VALUE"""),40996)</f>
        <v>40996</v>
      </c>
      <c r="D232" s="12" t="str">
        <f ca="1">IFERROR(__xludf.DUMMYFUNCTION("""COMPUTED_VALUE"""),"BENJAMINS")</f>
        <v>BENJAMINS</v>
      </c>
      <c r="E232" s="14" t="str">
        <f ca="1">IFERROR(__xludf.DUMMYFUNCTION("""COMPUTED_VALUE"""),"COLLEGE")</f>
        <v>COLLEGE</v>
      </c>
      <c r="F232" s="1" t="str">
        <f ca="1">IFERROR(__xludf.DUMMYFUNCTION("""COMPUTED_VALUE"""),"DELAUNAY")</f>
        <v>DELAUNAY</v>
      </c>
      <c r="G232" s="12" t="str">
        <f ca="1">IFERROR(__xludf.DUMMYFUNCTION("""COMPUTED_VALUE"""),"GRAY")</f>
        <v>GRAY</v>
      </c>
      <c r="H232" s="12" t="str">
        <f t="shared" ca="1" si="0"/>
        <v>COLLEGE  DELAUNAY  GRAY</v>
      </c>
      <c r="I232" s="6"/>
      <c r="J232" s="12" t="str">
        <f ca="1">IFERROR(__xludf.DUMMYFUNCTION("""COMPUTED_VALUE"""),"OK")</f>
        <v>OK</v>
      </c>
      <c r="K232" s="12" t="str">
        <f ca="1">IFERROR(__xludf.DUMMYFUNCTION("""COMPUTED_VALUE"""),"bockstahler.stephane@orange.fr")</f>
        <v>bockstahler.stephane@orange.fr</v>
      </c>
      <c r="L232" s="12" t="str">
        <f ca="1">IFERROR(__xludf.DUMMYFUNCTION("""COMPUTED_VALUE"""),"06 87 35 00 34")</f>
        <v>06 87 35 00 34</v>
      </c>
      <c r="M232" s="12" t="str">
        <f ca="1">IFERROR(__xludf.DUMMYFUNCTION("""COMPUTED_VALUE"""),"70100 AUTREY LES GRAY")</f>
        <v>70100 AUTREY LES GRAY</v>
      </c>
      <c r="N232" s="6"/>
      <c r="O232" s="6"/>
    </row>
    <row r="233" spans="1:15" ht="15.5" x14ac:dyDescent="0.35">
      <c r="A233" s="12" t="str">
        <f ca="1">IFERROR(__xludf.DUMMYFUNCTION("""COMPUTED_VALUE"""),"BONNAVENTURE Lucien")</f>
        <v>BONNAVENTURE Lucien</v>
      </c>
      <c r="B233" s="12" t="str">
        <f ca="1">IFERROR(__xludf.DUMMYFUNCTION("""COMPUTED_VALUE"""),"H")</f>
        <v>H</v>
      </c>
      <c r="C233" s="13">
        <f ca="1">IFERROR(__xludf.DUMMYFUNCTION("""COMPUTED_VALUE"""),41113)</f>
        <v>41113</v>
      </c>
      <c r="D233" s="12" t="str">
        <f ca="1">IFERROR(__xludf.DUMMYFUNCTION("""COMPUTED_VALUE"""),"BENJAMINS")</f>
        <v>BENJAMINS</v>
      </c>
      <c r="E233" s="14" t="str">
        <f ca="1">IFERROR(__xludf.DUMMYFUNCTION("""COMPUTED_VALUE"""),"COLLEGE")</f>
        <v>COLLEGE</v>
      </c>
      <c r="F233" s="1" t="str">
        <f ca="1">IFERROR(__xludf.DUMMYFUNCTION("""COMPUTED_VALUE"""),"DELAUNAY")</f>
        <v>DELAUNAY</v>
      </c>
      <c r="G233" s="12" t="str">
        <f ca="1">IFERROR(__xludf.DUMMYFUNCTION("""COMPUTED_VALUE"""),"GRAY")</f>
        <v>GRAY</v>
      </c>
      <c r="H233" s="12" t="str">
        <f t="shared" ca="1" si="0"/>
        <v>COLLEGE  DELAUNAY  GRAY</v>
      </c>
      <c r="I233" s="6"/>
      <c r="J233" s="12" t="str">
        <f ca="1">IFERROR(__xludf.DUMMYFUNCTION("""COMPUTED_VALUE"""),"OK")</f>
        <v>OK</v>
      </c>
      <c r="K233" s="12" t="str">
        <f ca="1">IFERROR(__xludf.DUMMYFUNCTION("""COMPUTED_VALUE"""),"sbonnaventure@yahoo.fr")</f>
        <v>sbonnaventure@yahoo.fr</v>
      </c>
      <c r="L233" s="12" t="str">
        <f ca="1">IFERROR(__xludf.DUMMYFUNCTION("""COMPUTED_VALUE"""),"06 07 55 54 37")</f>
        <v>06 07 55 54 37</v>
      </c>
      <c r="M233" s="12" t="str">
        <f ca="1">IFERROR(__xludf.DUMMYFUNCTION("""COMPUTED_VALUE"""),"70100 GRAY LA VILLE")</f>
        <v>70100 GRAY LA VILLE</v>
      </c>
      <c r="N233" s="6"/>
      <c r="O233" s="6"/>
    </row>
    <row r="234" spans="1:15" ht="15.5" x14ac:dyDescent="0.35">
      <c r="A234" s="12" t="str">
        <f ca="1">IFERROR(__xludf.DUMMYFUNCTION("""COMPUTED_VALUE"""),"CHAUVELOT Emma")</f>
        <v>CHAUVELOT Emma</v>
      </c>
      <c r="B234" s="12" t="str">
        <f ca="1">IFERROR(__xludf.DUMMYFUNCTION("""COMPUTED_VALUE"""),"F")</f>
        <v>F</v>
      </c>
      <c r="C234" s="13">
        <f ca="1">IFERROR(__xludf.DUMMYFUNCTION("""COMPUTED_VALUE"""),40714)</f>
        <v>40714</v>
      </c>
      <c r="D234" s="12" t="str">
        <f ca="1">IFERROR(__xludf.DUMMYFUNCTION("""COMPUTED_VALUE"""),"BENJAMINS")</f>
        <v>BENJAMINS</v>
      </c>
      <c r="E234" s="14" t="str">
        <f ca="1">IFERROR(__xludf.DUMMYFUNCTION("""COMPUTED_VALUE"""),"COLLEGE")</f>
        <v>COLLEGE</v>
      </c>
      <c r="F234" s="1" t="str">
        <f ca="1">IFERROR(__xludf.DUMMYFUNCTION("""COMPUTED_VALUE"""),"DELAUNAY")</f>
        <v>DELAUNAY</v>
      </c>
      <c r="G234" s="12" t="str">
        <f ca="1">IFERROR(__xludf.DUMMYFUNCTION("""COMPUTED_VALUE"""),"GRAY")</f>
        <v>GRAY</v>
      </c>
      <c r="H234" s="12" t="str">
        <f t="shared" ca="1" si="0"/>
        <v>COLLEGE  DELAUNAY  GRAY</v>
      </c>
      <c r="I234" s="6"/>
      <c r="J234" s="12" t="str">
        <f ca="1">IFERROR(__xludf.DUMMYFUNCTION("""COMPUTED_VALUE"""),"OK")</f>
        <v>OK</v>
      </c>
      <c r="K234" s="12" t="str">
        <f ca="1">IFERROR(__xludf.DUMMYFUNCTION("""COMPUTED_VALUE"""),"sandrine.jacquet@orange.fr")</f>
        <v>sandrine.jacquet@orange.fr</v>
      </c>
      <c r="L234" s="12" t="str">
        <f ca="1">IFERROR(__xludf.DUMMYFUNCTION("""COMPUTED_VALUE"""),"06 77 41 29 41")</f>
        <v>06 77 41 29 41</v>
      </c>
      <c r="M234" s="12" t="str">
        <f ca="1">IFERROR(__xludf.DUMMYFUNCTION("""COMPUTED_VALUE"""),"70100 CHARGEY LES GRAY")</f>
        <v>70100 CHARGEY LES GRAY</v>
      </c>
      <c r="N234" s="6"/>
      <c r="O234" s="6"/>
    </row>
    <row r="235" spans="1:15" ht="15.5" x14ac:dyDescent="0.35">
      <c r="A235" s="12" t="str">
        <f ca="1">IFERROR(__xludf.DUMMYFUNCTION("""COMPUTED_VALUE"""),"COLLINET Mahé")</f>
        <v>COLLINET Mahé</v>
      </c>
      <c r="B235" s="12" t="str">
        <f ca="1">IFERROR(__xludf.DUMMYFUNCTION("""COMPUTED_VALUE"""),"H")</f>
        <v>H</v>
      </c>
      <c r="C235" s="13">
        <f ca="1">IFERROR(__xludf.DUMMYFUNCTION("""COMPUTED_VALUE"""),40718)</f>
        <v>40718</v>
      </c>
      <c r="D235" s="12" t="str">
        <f ca="1">IFERROR(__xludf.DUMMYFUNCTION("""COMPUTED_VALUE"""),"BENJAMINS")</f>
        <v>BENJAMINS</v>
      </c>
      <c r="E235" s="14" t="str">
        <f ca="1">IFERROR(__xludf.DUMMYFUNCTION("""COMPUTED_VALUE"""),"COLLEGE")</f>
        <v>COLLEGE</v>
      </c>
      <c r="F235" s="1" t="str">
        <f ca="1">IFERROR(__xludf.DUMMYFUNCTION("""COMPUTED_VALUE"""),"DELAUNAY")</f>
        <v>DELAUNAY</v>
      </c>
      <c r="G235" s="12" t="str">
        <f ca="1">IFERROR(__xludf.DUMMYFUNCTION("""COMPUTED_VALUE"""),"GRAY")</f>
        <v>GRAY</v>
      </c>
      <c r="H235" s="12" t="str">
        <f t="shared" ca="1" si="0"/>
        <v>COLLEGE  DELAUNAY  GRAY</v>
      </c>
      <c r="I235" s="6"/>
      <c r="J235" s="12" t="str">
        <f ca="1">IFERROR(__xludf.DUMMYFUNCTION("""COMPUTED_VALUE"""),"OK")</f>
        <v>OK</v>
      </c>
      <c r="K235" s="12" t="str">
        <f ca="1">IFERROR(__xludf.DUMMYFUNCTION("""COMPUTED_VALUE"""),"arvinie2@hotmail.fr")</f>
        <v>arvinie2@hotmail.fr</v>
      </c>
      <c r="L235" s="12" t="str">
        <f ca="1">IFERROR(__xludf.DUMMYFUNCTION("""COMPUTED_VALUE"""),"06 22 04 73 45")</f>
        <v>06 22 04 73 45</v>
      </c>
      <c r="M235" s="12" t="str">
        <f ca="1">IFERROR(__xludf.DUMMYFUNCTION("""COMPUTED_VALUE"""),"70100 BROYE LES LOUPS")</f>
        <v>70100 BROYE LES LOUPS</v>
      </c>
      <c r="N235" s="6"/>
      <c r="O235" s="6"/>
    </row>
    <row r="236" spans="1:15" ht="15.5" x14ac:dyDescent="0.35">
      <c r="A236" s="12" t="str">
        <f ca="1">IFERROR(__xludf.DUMMYFUNCTION("""COMPUTED_VALUE"""),"DROUOT Arthur")</f>
        <v>DROUOT Arthur</v>
      </c>
      <c r="B236" s="12" t="str">
        <f ca="1">IFERROR(__xludf.DUMMYFUNCTION("""COMPUTED_VALUE"""),"H")</f>
        <v>H</v>
      </c>
      <c r="C236" s="13">
        <f ca="1">IFERROR(__xludf.DUMMYFUNCTION("""COMPUTED_VALUE"""),41217)</f>
        <v>41217</v>
      </c>
      <c r="D236" s="12" t="str">
        <f ca="1">IFERROR(__xludf.DUMMYFUNCTION("""COMPUTED_VALUE"""),"BENJAMINS")</f>
        <v>BENJAMINS</v>
      </c>
      <c r="E236" s="14" t="str">
        <f ca="1">IFERROR(__xludf.DUMMYFUNCTION("""COMPUTED_VALUE"""),"COLLEGE")</f>
        <v>COLLEGE</v>
      </c>
      <c r="F236" s="1" t="str">
        <f ca="1">IFERROR(__xludf.DUMMYFUNCTION("""COMPUTED_VALUE"""),"DELAUNAY")</f>
        <v>DELAUNAY</v>
      </c>
      <c r="G236" s="12" t="str">
        <f ca="1">IFERROR(__xludf.DUMMYFUNCTION("""COMPUTED_VALUE"""),"GRAY")</f>
        <v>GRAY</v>
      </c>
      <c r="H236" s="12" t="str">
        <f t="shared" ca="1" si="0"/>
        <v>COLLEGE  DELAUNAY  GRAY</v>
      </c>
      <c r="I236" s="6"/>
      <c r="J236" s="12" t="str">
        <f ca="1">IFERROR(__xludf.DUMMYFUNCTION("""COMPUTED_VALUE"""),"OK")</f>
        <v>OK</v>
      </c>
      <c r="K236" s="12" t="str">
        <f ca="1">IFERROR(__xludf.DUMMYFUNCTION("""COMPUTED_VALUE"""),"mathieu.drouot@outlook.fr")</f>
        <v>mathieu.drouot@outlook.fr</v>
      </c>
      <c r="L236" s="12" t="str">
        <f ca="1">IFERROR(__xludf.DUMMYFUNCTION("""COMPUTED_VALUE"""),"06 51 70 54 45")</f>
        <v>06 51 70 54 45</v>
      </c>
      <c r="M236" s="12" t="str">
        <f ca="1">IFERROR(__xludf.DUMMYFUNCTION("""COMPUTED_VALUE"""),"70100 ARC LES GRAY")</f>
        <v>70100 ARC LES GRAY</v>
      </c>
      <c r="N236" s="6"/>
      <c r="O236" s="6"/>
    </row>
    <row r="237" spans="1:15" ht="15.5" x14ac:dyDescent="0.35">
      <c r="A237" s="12" t="str">
        <f ca="1">IFERROR(__xludf.DUMMYFUNCTION("""COMPUTED_VALUE"""),"ETTAOUSSI Dina")</f>
        <v>ETTAOUSSI Dina</v>
      </c>
      <c r="B237" s="12" t="str">
        <f ca="1">IFERROR(__xludf.DUMMYFUNCTION("""COMPUTED_VALUE"""),"F")</f>
        <v>F</v>
      </c>
      <c r="C237" s="13">
        <f ca="1">IFERROR(__xludf.DUMMYFUNCTION("""COMPUTED_VALUE"""),40949)</f>
        <v>40949</v>
      </c>
      <c r="D237" s="12" t="str">
        <f ca="1">IFERROR(__xludf.DUMMYFUNCTION("""COMPUTED_VALUE"""),"BENJAMINS")</f>
        <v>BENJAMINS</v>
      </c>
      <c r="E237" s="14" t="str">
        <f ca="1">IFERROR(__xludf.DUMMYFUNCTION("""COMPUTED_VALUE"""),"COLLEGE")</f>
        <v>COLLEGE</v>
      </c>
      <c r="F237" s="1" t="str">
        <f ca="1">IFERROR(__xludf.DUMMYFUNCTION("""COMPUTED_VALUE"""),"DELAUNAY")</f>
        <v>DELAUNAY</v>
      </c>
      <c r="G237" s="12" t="str">
        <f ca="1">IFERROR(__xludf.DUMMYFUNCTION("""COMPUTED_VALUE"""),"GRAY")</f>
        <v>GRAY</v>
      </c>
      <c r="H237" s="12" t="str">
        <f t="shared" ca="1" si="0"/>
        <v>COLLEGE  DELAUNAY  GRAY</v>
      </c>
      <c r="I237" s="6"/>
      <c r="J237" s="12" t="str">
        <f ca="1">IFERROR(__xludf.DUMMYFUNCTION("""COMPUTED_VALUE"""),"OK")</f>
        <v>OK</v>
      </c>
      <c r="K237" s="12" t="str">
        <f ca="1">IFERROR(__xludf.DUMMYFUNCTION("""COMPUTED_VALUE"""),"hinham28@hotmail.com")</f>
        <v>hinham28@hotmail.com</v>
      </c>
      <c r="L237" s="12" t="str">
        <f ca="1">IFERROR(__xludf.DUMMYFUNCTION("""COMPUTED_VALUE"""),"06 63 42 61 84")</f>
        <v>06 63 42 61 84</v>
      </c>
      <c r="M237" s="12" t="str">
        <f ca="1">IFERROR(__xludf.DUMMYFUNCTION("""COMPUTED_VALUE"""),"70100 ARC LES GRAY")</f>
        <v>70100 ARC LES GRAY</v>
      </c>
      <c r="N237" s="6"/>
      <c r="O237" s="6"/>
    </row>
    <row r="238" spans="1:15" ht="15.5" x14ac:dyDescent="0.35">
      <c r="A238" s="12" t="str">
        <f ca="1">IFERROR(__xludf.DUMMYFUNCTION("""COMPUTED_VALUE"""),"GIROUX Louis")</f>
        <v>GIROUX Louis</v>
      </c>
      <c r="B238" s="12" t="str">
        <f ca="1">IFERROR(__xludf.DUMMYFUNCTION("""COMPUTED_VALUE"""),"H")</f>
        <v>H</v>
      </c>
      <c r="C238" s="13">
        <f ca="1">IFERROR(__xludf.DUMMYFUNCTION("""COMPUTED_VALUE"""),41001)</f>
        <v>41001</v>
      </c>
      <c r="D238" s="12" t="str">
        <f ca="1">IFERROR(__xludf.DUMMYFUNCTION("""COMPUTED_VALUE"""),"BENJAMINS")</f>
        <v>BENJAMINS</v>
      </c>
      <c r="E238" s="14" t="str">
        <f ca="1">IFERROR(__xludf.DUMMYFUNCTION("""COMPUTED_VALUE"""),"COLLEGE")</f>
        <v>COLLEGE</v>
      </c>
      <c r="F238" s="1" t="str">
        <f ca="1">IFERROR(__xludf.DUMMYFUNCTION("""COMPUTED_VALUE"""),"DELAUNAY")</f>
        <v>DELAUNAY</v>
      </c>
      <c r="G238" s="12" t="str">
        <f ca="1">IFERROR(__xludf.DUMMYFUNCTION("""COMPUTED_VALUE"""),"GRAY")</f>
        <v>GRAY</v>
      </c>
      <c r="H238" s="12" t="str">
        <f t="shared" ca="1" si="0"/>
        <v>COLLEGE  DELAUNAY  GRAY</v>
      </c>
      <c r="I238" s="6"/>
      <c r="J238" s="12" t="str">
        <f ca="1">IFERROR(__xludf.DUMMYFUNCTION("""COMPUTED_VALUE"""),"OK")</f>
        <v>OK</v>
      </c>
      <c r="K238" s="12" t="str">
        <f ca="1">IFERROR(__xludf.DUMMYFUNCTION("""COMPUTED_VALUE"""),"gael.giroux@orange.fr")</f>
        <v>gael.giroux@orange.fr</v>
      </c>
      <c r="L238" s="12" t="str">
        <f ca="1">IFERROR(__xludf.DUMMYFUNCTION("""COMPUTED_VALUE"""),"06 62 28 74 30")</f>
        <v>06 62 28 74 30</v>
      </c>
      <c r="M238" s="12" t="str">
        <f ca="1">IFERROR(__xludf.DUMMYFUNCTION("""COMPUTED_VALUE"""),"70600 OYRIERES")</f>
        <v>70600 OYRIERES</v>
      </c>
      <c r="N238" s="6"/>
      <c r="O238" s="6"/>
    </row>
    <row r="239" spans="1:15" ht="15.5" x14ac:dyDescent="0.35">
      <c r="A239" s="12" t="str">
        <f ca="1">IFERROR(__xludf.DUMMYFUNCTION("""COMPUTED_VALUE"""),"HULIN Louane")</f>
        <v>HULIN Louane</v>
      </c>
      <c r="B239" s="12" t="str">
        <f ca="1">IFERROR(__xludf.DUMMYFUNCTION("""COMPUTED_VALUE"""),"F")</f>
        <v>F</v>
      </c>
      <c r="C239" s="13">
        <f ca="1">IFERROR(__xludf.DUMMYFUNCTION("""COMPUTED_VALUE"""),40657)</f>
        <v>40657</v>
      </c>
      <c r="D239" s="12" t="str">
        <f ca="1">IFERROR(__xludf.DUMMYFUNCTION("""COMPUTED_VALUE"""),"BENJAMINS")</f>
        <v>BENJAMINS</v>
      </c>
      <c r="E239" s="14" t="str">
        <f ca="1">IFERROR(__xludf.DUMMYFUNCTION("""COMPUTED_VALUE"""),"COLLEGE")</f>
        <v>COLLEGE</v>
      </c>
      <c r="F239" s="1" t="str">
        <f ca="1">IFERROR(__xludf.DUMMYFUNCTION("""COMPUTED_VALUE"""),"DELAUNAY")</f>
        <v>DELAUNAY</v>
      </c>
      <c r="G239" s="12" t="str">
        <f ca="1">IFERROR(__xludf.DUMMYFUNCTION("""COMPUTED_VALUE"""),"GRAY")</f>
        <v>GRAY</v>
      </c>
      <c r="H239" s="12" t="str">
        <f t="shared" ca="1" si="0"/>
        <v>COLLEGE  DELAUNAY  GRAY</v>
      </c>
      <c r="I239" s="6"/>
      <c r="J239" s="12" t="str">
        <f ca="1">IFERROR(__xludf.DUMMYFUNCTION("""COMPUTED_VALUE"""),"OK")</f>
        <v>OK</v>
      </c>
      <c r="K239" s="12" t="str">
        <f ca="1">IFERROR(__xludf.DUMMYFUNCTION("""COMPUTED_VALUE"""),"guillaumehulin@yahoo.fr")</f>
        <v>guillaumehulin@yahoo.fr</v>
      </c>
      <c r="L239" s="12" t="str">
        <f ca="1">IFERROR(__xludf.DUMMYFUNCTION("""COMPUTED_VALUE"""),"07 57 43 63 38")</f>
        <v>07 57 43 63 38</v>
      </c>
      <c r="M239" s="12" t="str">
        <f ca="1">IFERROR(__xludf.DUMMYFUNCTION("""COMPUTED_VALUE"""),"70100 GRAY")</f>
        <v>70100 GRAY</v>
      </c>
      <c r="N239" s="6"/>
      <c r="O239" s="6"/>
    </row>
    <row r="240" spans="1:15" ht="15.5" x14ac:dyDescent="0.35">
      <c r="A240" s="12" t="str">
        <f ca="1">IFERROR(__xludf.DUMMYFUNCTION("""COMPUTED_VALUE"""),"JEANNOT Célestine")</f>
        <v>JEANNOT Célestine</v>
      </c>
      <c r="B240" s="12" t="str">
        <f ca="1">IFERROR(__xludf.DUMMYFUNCTION("""COMPUTED_VALUE"""),"F")</f>
        <v>F</v>
      </c>
      <c r="C240" s="13">
        <f ca="1">IFERROR(__xludf.DUMMYFUNCTION("""COMPUTED_VALUE"""),41001)</f>
        <v>41001</v>
      </c>
      <c r="D240" s="12" t="str">
        <f ca="1">IFERROR(__xludf.DUMMYFUNCTION("""COMPUTED_VALUE"""),"BENJAMINS")</f>
        <v>BENJAMINS</v>
      </c>
      <c r="E240" s="14" t="str">
        <f ca="1">IFERROR(__xludf.DUMMYFUNCTION("""COMPUTED_VALUE"""),"COLLEGE")</f>
        <v>COLLEGE</v>
      </c>
      <c r="F240" s="1" t="str">
        <f ca="1">IFERROR(__xludf.DUMMYFUNCTION("""COMPUTED_VALUE"""),"DELAUNAY")</f>
        <v>DELAUNAY</v>
      </c>
      <c r="G240" s="12" t="str">
        <f ca="1">IFERROR(__xludf.DUMMYFUNCTION("""COMPUTED_VALUE"""),"GRAY")</f>
        <v>GRAY</v>
      </c>
      <c r="H240" s="12" t="str">
        <f t="shared" ca="1" si="0"/>
        <v>COLLEGE  DELAUNAY  GRAY</v>
      </c>
      <c r="I240" s="6"/>
      <c r="J240" s="12" t="str">
        <f ca="1">IFERROR(__xludf.DUMMYFUNCTION("""COMPUTED_VALUE"""),"OK")</f>
        <v>OK</v>
      </c>
      <c r="K240" s="12" t="str">
        <f ca="1">IFERROR(__xludf.DUMMYFUNCTION("""COMPUTED_VALUE"""),"melanie.jeannot1@gmail.com")</f>
        <v>melanie.jeannot1@gmail.com</v>
      </c>
      <c r="L240" s="12" t="str">
        <f ca="1">IFERROR(__xludf.DUMMYFUNCTION("""COMPUTED_VALUE"""),"06 81 21 73 75")</f>
        <v>06 81 21 73 75</v>
      </c>
      <c r="M240" s="12" t="str">
        <f ca="1">IFERROR(__xludf.DUMMYFUNCTION("""COMPUTED_VALUE"""),"70100 CHARGEY LES GRAY")</f>
        <v>70100 CHARGEY LES GRAY</v>
      </c>
      <c r="N240" s="6"/>
      <c r="O240" s="6"/>
    </row>
    <row r="241" spans="1:15" ht="15.5" x14ac:dyDescent="0.35">
      <c r="A241" s="12" t="str">
        <f ca="1">IFERROR(__xludf.DUMMYFUNCTION("""COMPUTED_VALUE"""),"JEAN-PIERRE Gabriel")</f>
        <v>JEAN-PIERRE Gabriel</v>
      </c>
      <c r="B241" s="12" t="str">
        <f ca="1">IFERROR(__xludf.DUMMYFUNCTION("""COMPUTED_VALUE"""),"H")</f>
        <v>H</v>
      </c>
      <c r="C241" s="13">
        <f ca="1">IFERROR(__xludf.DUMMYFUNCTION("""COMPUTED_VALUE"""),41205)</f>
        <v>41205</v>
      </c>
      <c r="D241" s="12" t="str">
        <f ca="1">IFERROR(__xludf.DUMMYFUNCTION("""COMPUTED_VALUE"""),"BENJAMINS")</f>
        <v>BENJAMINS</v>
      </c>
      <c r="E241" s="14" t="str">
        <f ca="1">IFERROR(__xludf.DUMMYFUNCTION("""COMPUTED_VALUE"""),"COLLEGE")</f>
        <v>COLLEGE</v>
      </c>
      <c r="F241" s="1" t="str">
        <f ca="1">IFERROR(__xludf.DUMMYFUNCTION("""COMPUTED_VALUE"""),"DELAUNAY")</f>
        <v>DELAUNAY</v>
      </c>
      <c r="G241" s="12" t="str">
        <f ca="1">IFERROR(__xludf.DUMMYFUNCTION("""COMPUTED_VALUE"""),"GRAY")</f>
        <v>GRAY</v>
      </c>
      <c r="H241" s="12" t="str">
        <f t="shared" ca="1" si="0"/>
        <v>COLLEGE  DELAUNAY  GRAY</v>
      </c>
      <c r="I241" s="6"/>
      <c r="J241" s="12" t="str">
        <f ca="1">IFERROR(__xludf.DUMMYFUNCTION("""COMPUTED_VALUE"""),"OK")</f>
        <v>OK</v>
      </c>
      <c r="K241" s="12" t="str">
        <f ca="1">IFERROR(__xludf.DUMMYFUNCTION("""COMPUTED_VALUE"""),"annierevoy@hotmail.fr")</f>
        <v>annierevoy@hotmail.fr</v>
      </c>
      <c r="L241" s="12" t="str">
        <f ca="1">IFERROR(__xludf.DUMMYFUNCTION("""COMPUTED_VALUE"""),"06 86 44 56 08")</f>
        <v>06 86 44 56 08</v>
      </c>
      <c r="M241" s="12" t="str">
        <f ca="1">IFERROR(__xludf.DUMMYFUNCTION("""COMPUTED_VALUE"""),"70100 CHARGEY LES GRAY")</f>
        <v>70100 CHARGEY LES GRAY</v>
      </c>
      <c r="N241" s="6"/>
      <c r="O241" s="6"/>
    </row>
    <row r="242" spans="1:15" ht="15.5" x14ac:dyDescent="0.35">
      <c r="A242" s="12" t="str">
        <f ca="1">IFERROR(__xludf.DUMMYFUNCTION("""COMPUTED_VALUE"""),"LAMARCHE Dimitri")</f>
        <v>LAMARCHE Dimitri</v>
      </c>
      <c r="B242" s="12" t="str">
        <f ca="1">IFERROR(__xludf.DUMMYFUNCTION("""COMPUTED_VALUE"""),"H")</f>
        <v>H</v>
      </c>
      <c r="C242" s="13">
        <f ca="1">IFERROR(__xludf.DUMMYFUNCTION("""COMPUTED_VALUE"""),40931)</f>
        <v>40931</v>
      </c>
      <c r="D242" s="12" t="str">
        <f ca="1">IFERROR(__xludf.DUMMYFUNCTION("""COMPUTED_VALUE"""),"BENJAMINS")</f>
        <v>BENJAMINS</v>
      </c>
      <c r="E242" s="14" t="str">
        <f ca="1">IFERROR(__xludf.DUMMYFUNCTION("""COMPUTED_VALUE"""),"COLLEGE")</f>
        <v>COLLEGE</v>
      </c>
      <c r="F242" s="1" t="str">
        <f ca="1">IFERROR(__xludf.DUMMYFUNCTION("""COMPUTED_VALUE"""),"DELAUNAY")</f>
        <v>DELAUNAY</v>
      </c>
      <c r="G242" s="12" t="str">
        <f ca="1">IFERROR(__xludf.DUMMYFUNCTION("""COMPUTED_VALUE"""),"GRAY")</f>
        <v>GRAY</v>
      </c>
      <c r="H242" s="12" t="str">
        <f t="shared" ca="1" si="0"/>
        <v>COLLEGE  DELAUNAY  GRAY</v>
      </c>
      <c r="I242" s="6"/>
      <c r="J242" s="12" t="str">
        <f ca="1">IFERROR(__xludf.DUMMYFUNCTION("""COMPUTED_VALUE"""),"OK")</f>
        <v>OK</v>
      </c>
      <c r="K242" s="12" t="str">
        <f ca="1">IFERROR(__xludf.DUMMYFUNCTION("""COMPUTED_VALUE"""),"lamarcheolga@orange.fr")</f>
        <v>lamarcheolga@orange.fr</v>
      </c>
      <c r="L242" s="12"/>
      <c r="M242" s="12" t="str">
        <f ca="1">IFERROR(__xludf.DUMMYFUNCTION("""COMPUTED_VALUE"""),"70100 ARC LES GRAY")</f>
        <v>70100 ARC LES GRAY</v>
      </c>
      <c r="N242" s="6"/>
      <c r="O242" s="6"/>
    </row>
    <row r="243" spans="1:15" ht="15.5" x14ac:dyDescent="0.35">
      <c r="A243" s="12" t="str">
        <f ca="1">IFERROR(__xludf.DUMMYFUNCTION("""COMPUTED_VALUE"""),"LAMBERT Paul")</f>
        <v>LAMBERT Paul</v>
      </c>
      <c r="B243" s="12" t="str">
        <f ca="1">IFERROR(__xludf.DUMMYFUNCTION("""COMPUTED_VALUE"""),"H")</f>
        <v>H</v>
      </c>
      <c r="C243" s="13">
        <f ca="1">IFERROR(__xludf.DUMMYFUNCTION("""COMPUTED_VALUE"""),41101)</f>
        <v>41101</v>
      </c>
      <c r="D243" s="12" t="str">
        <f ca="1">IFERROR(__xludf.DUMMYFUNCTION("""COMPUTED_VALUE"""),"BENJAMINS")</f>
        <v>BENJAMINS</v>
      </c>
      <c r="E243" s="14" t="str">
        <f ca="1">IFERROR(__xludf.DUMMYFUNCTION("""COMPUTED_VALUE"""),"COLLEGE")</f>
        <v>COLLEGE</v>
      </c>
      <c r="F243" s="1" t="str">
        <f ca="1">IFERROR(__xludf.DUMMYFUNCTION("""COMPUTED_VALUE"""),"DELAUNAY")</f>
        <v>DELAUNAY</v>
      </c>
      <c r="G243" s="12" t="str">
        <f ca="1">IFERROR(__xludf.DUMMYFUNCTION("""COMPUTED_VALUE"""),"GRAY")</f>
        <v>GRAY</v>
      </c>
      <c r="H243" s="12" t="str">
        <f t="shared" ca="1" si="0"/>
        <v>COLLEGE  DELAUNAY  GRAY</v>
      </c>
      <c r="I243" s="6"/>
      <c r="J243" s="12" t="str">
        <f ca="1">IFERROR(__xludf.DUMMYFUNCTION("""COMPUTED_VALUE"""),"OK")</f>
        <v>OK</v>
      </c>
      <c r="K243" s="12" t="str">
        <f ca="1">IFERROR(__xludf.DUMMYFUNCTION("""COMPUTED_VALUE"""),"lambertangelique70@gmail.com")</f>
        <v>lambertangelique70@gmail.com</v>
      </c>
      <c r="L243" s="12" t="str">
        <f ca="1">IFERROR(__xludf.DUMMYFUNCTION("""COMPUTED_VALUE"""),"06 89 03 23 73")</f>
        <v>06 89 03 23 73</v>
      </c>
      <c r="M243" s="12" t="str">
        <f ca="1">IFERROR(__xludf.DUMMYFUNCTION("""COMPUTED_VALUE"""),"70100 ARC LES GRAY")</f>
        <v>70100 ARC LES GRAY</v>
      </c>
      <c r="N243" s="6"/>
      <c r="O243" s="6"/>
    </row>
    <row r="244" spans="1:15" ht="15.5" x14ac:dyDescent="0.35">
      <c r="A244" s="12" t="str">
        <f ca="1">IFERROR(__xludf.DUMMYFUNCTION("""COMPUTED_VALUE"""),"MAIRET Lisa")</f>
        <v>MAIRET Lisa</v>
      </c>
      <c r="B244" s="12" t="str">
        <f ca="1">IFERROR(__xludf.DUMMYFUNCTION("""COMPUTED_VALUE"""),"F")</f>
        <v>F</v>
      </c>
      <c r="C244" s="13">
        <f ca="1">IFERROR(__xludf.DUMMYFUNCTION("""COMPUTED_VALUE"""),40605)</f>
        <v>40605</v>
      </c>
      <c r="D244" s="12" t="str">
        <f ca="1">IFERROR(__xludf.DUMMYFUNCTION("""COMPUTED_VALUE"""),"BENJAMINS")</f>
        <v>BENJAMINS</v>
      </c>
      <c r="E244" s="14" t="str">
        <f ca="1">IFERROR(__xludf.DUMMYFUNCTION("""COMPUTED_VALUE"""),"COLLEGE")</f>
        <v>COLLEGE</v>
      </c>
      <c r="F244" s="1" t="str">
        <f ca="1">IFERROR(__xludf.DUMMYFUNCTION("""COMPUTED_VALUE"""),"DELAUNAY")</f>
        <v>DELAUNAY</v>
      </c>
      <c r="G244" s="12" t="str">
        <f ca="1">IFERROR(__xludf.DUMMYFUNCTION("""COMPUTED_VALUE"""),"GRAY")</f>
        <v>GRAY</v>
      </c>
      <c r="H244" s="12" t="str">
        <f t="shared" ca="1" si="0"/>
        <v>COLLEGE  DELAUNAY  GRAY</v>
      </c>
      <c r="I244" s="6"/>
      <c r="J244" s="12" t="str">
        <f ca="1">IFERROR(__xludf.DUMMYFUNCTION("""COMPUTED_VALUE"""),"OK")</f>
        <v>OK</v>
      </c>
      <c r="K244" s="12" t="str">
        <f ca="1">IFERROR(__xludf.DUMMYFUNCTION("""COMPUTED_VALUE"""),"guylainehugot@hotmail.fr")</f>
        <v>guylainehugot@hotmail.fr</v>
      </c>
      <c r="L244" s="12" t="str">
        <f ca="1">IFERROR(__xludf.DUMMYFUNCTION("""COMPUTED_VALUE"""),"06 47 97 23 89")</f>
        <v>06 47 97 23 89</v>
      </c>
      <c r="M244" s="12" t="str">
        <f ca="1">IFERROR(__xludf.DUMMYFUNCTION("""COMPUTED_VALUE"""),"70100 BEAUJEU")</f>
        <v>70100 BEAUJEU</v>
      </c>
      <c r="N244" s="6"/>
      <c r="O244" s="6"/>
    </row>
    <row r="245" spans="1:15" ht="15.5" x14ac:dyDescent="0.35">
      <c r="A245" s="12" t="str">
        <f ca="1">IFERROR(__xludf.DUMMYFUNCTION("""COMPUTED_VALUE"""),"MARTIN Maël")</f>
        <v>MARTIN Maël</v>
      </c>
      <c r="B245" s="12" t="str">
        <f ca="1">IFERROR(__xludf.DUMMYFUNCTION("""COMPUTED_VALUE"""),"H")</f>
        <v>H</v>
      </c>
      <c r="C245" s="13">
        <f ca="1">IFERROR(__xludf.DUMMYFUNCTION("""COMPUTED_VALUE"""),40877)</f>
        <v>40877</v>
      </c>
      <c r="D245" s="12" t="str">
        <f ca="1">IFERROR(__xludf.DUMMYFUNCTION("""COMPUTED_VALUE"""),"BENJAMINS")</f>
        <v>BENJAMINS</v>
      </c>
      <c r="E245" s="14" t="str">
        <f ca="1">IFERROR(__xludf.DUMMYFUNCTION("""COMPUTED_VALUE"""),"COLLEGE")</f>
        <v>COLLEGE</v>
      </c>
      <c r="F245" s="1" t="str">
        <f ca="1">IFERROR(__xludf.DUMMYFUNCTION("""COMPUTED_VALUE"""),"DELAUNAY")</f>
        <v>DELAUNAY</v>
      </c>
      <c r="G245" s="12" t="str">
        <f ca="1">IFERROR(__xludf.DUMMYFUNCTION("""COMPUTED_VALUE"""),"GRAY")</f>
        <v>GRAY</v>
      </c>
      <c r="H245" s="12" t="str">
        <f t="shared" ca="1" si="0"/>
        <v>COLLEGE  DELAUNAY  GRAY</v>
      </c>
      <c r="I245" s="6"/>
      <c r="J245" s="12" t="str">
        <f ca="1">IFERROR(__xludf.DUMMYFUNCTION("""COMPUTED_VALUE"""),"OK")</f>
        <v>OK</v>
      </c>
      <c r="K245" s="12" t="str">
        <f ca="1">IFERROR(__xludf.DUMMYFUNCTION("""COMPUTED_VALUE"""),"m.tolle@hotmail.fr")</f>
        <v>m.tolle@hotmail.fr</v>
      </c>
      <c r="L245" s="12" t="str">
        <f ca="1">IFERROR(__xludf.DUMMYFUNCTION("""COMPUTED_VALUE"""),"06 74 51 36 43")</f>
        <v>06 74 51 36 43</v>
      </c>
      <c r="M245" s="12" t="str">
        <f ca="1">IFERROR(__xludf.DUMMYFUNCTION("""COMPUTED_VALUE"""),"70100 ARC LES GRAY")</f>
        <v>70100 ARC LES GRAY</v>
      </c>
      <c r="N245" s="6"/>
      <c r="O245" s="6"/>
    </row>
    <row r="246" spans="1:15" ht="15.5" x14ac:dyDescent="0.35">
      <c r="A246" s="12" t="str">
        <f ca="1">IFERROR(__xludf.DUMMYFUNCTION("""COMPUTED_VALUE"""),"MARTINOTY Fauve")</f>
        <v>MARTINOTY Fauve</v>
      </c>
      <c r="B246" s="12" t="str">
        <f ca="1">IFERROR(__xludf.DUMMYFUNCTION("""COMPUTED_VALUE"""),"F")</f>
        <v>F</v>
      </c>
      <c r="C246" s="13">
        <f ca="1">IFERROR(__xludf.DUMMYFUNCTION("""COMPUTED_VALUE"""),40937)</f>
        <v>40937</v>
      </c>
      <c r="D246" s="12" t="str">
        <f ca="1">IFERROR(__xludf.DUMMYFUNCTION("""COMPUTED_VALUE"""),"BENJAMINS")</f>
        <v>BENJAMINS</v>
      </c>
      <c r="E246" s="14" t="str">
        <f ca="1">IFERROR(__xludf.DUMMYFUNCTION("""COMPUTED_VALUE"""),"COLLEGE")</f>
        <v>COLLEGE</v>
      </c>
      <c r="F246" s="1" t="str">
        <f ca="1">IFERROR(__xludf.DUMMYFUNCTION("""COMPUTED_VALUE"""),"DELAUNAY")</f>
        <v>DELAUNAY</v>
      </c>
      <c r="G246" s="12" t="str">
        <f ca="1">IFERROR(__xludf.DUMMYFUNCTION("""COMPUTED_VALUE"""),"GRAY")</f>
        <v>GRAY</v>
      </c>
      <c r="H246" s="12" t="str">
        <f t="shared" ca="1" si="0"/>
        <v>COLLEGE  DELAUNAY  GRAY</v>
      </c>
      <c r="I246" s="6"/>
      <c r="J246" s="12" t="str">
        <f ca="1">IFERROR(__xludf.DUMMYFUNCTION("""COMPUTED_VALUE"""),"OK")</f>
        <v>OK</v>
      </c>
      <c r="K246" s="12" t="str">
        <f ca="1">IFERROR(__xludf.DUMMYFUNCTION("""COMPUTED_VALUE"""),"melomartinoty@gmail.com")</f>
        <v>melomartinoty@gmail.com</v>
      </c>
      <c r="L246" s="12" t="str">
        <f ca="1">IFERROR(__xludf.DUMMYFUNCTION("""COMPUTED_VALUE"""),"06 88 49 92 17")</f>
        <v>06 88 49 92 17</v>
      </c>
      <c r="M246" s="12" t="str">
        <f ca="1">IFERROR(__xludf.DUMMYFUNCTION("""COMPUTED_VALUE"""),"70100 RIGNY")</f>
        <v>70100 RIGNY</v>
      </c>
      <c r="N246" s="6"/>
      <c r="O246" s="6"/>
    </row>
    <row r="247" spans="1:15" ht="15.5" x14ac:dyDescent="0.35">
      <c r="A247" s="12" t="str">
        <f ca="1">IFERROR(__xludf.DUMMYFUNCTION("""COMPUTED_VALUE"""),"MAUCLAIR LAMBERT Faustine")</f>
        <v>MAUCLAIR LAMBERT Faustine</v>
      </c>
      <c r="B247" s="12" t="str">
        <f ca="1">IFERROR(__xludf.DUMMYFUNCTION("""COMPUTED_VALUE"""),"F")</f>
        <v>F</v>
      </c>
      <c r="C247" s="13">
        <f ca="1">IFERROR(__xludf.DUMMYFUNCTION("""COMPUTED_VALUE"""),41197)</f>
        <v>41197</v>
      </c>
      <c r="D247" s="12" t="str">
        <f ca="1">IFERROR(__xludf.DUMMYFUNCTION("""COMPUTED_VALUE"""),"BENJAMINS")</f>
        <v>BENJAMINS</v>
      </c>
      <c r="E247" s="14" t="str">
        <f ca="1">IFERROR(__xludf.DUMMYFUNCTION("""COMPUTED_VALUE"""),"COLLEGE")</f>
        <v>COLLEGE</v>
      </c>
      <c r="F247" s="1" t="str">
        <f ca="1">IFERROR(__xludf.DUMMYFUNCTION("""COMPUTED_VALUE"""),"DELAUNAY")</f>
        <v>DELAUNAY</v>
      </c>
      <c r="G247" s="12" t="str">
        <f ca="1">IFERROR(__xludf.DUMMYFUNCTION("""COMPUTED_VALUE"""),"GRAY")</f>
        <v>GRAY</v>
      </c>
      <c r="H247" s="12" t="str">
        <f t="shared" ca="1" si="0"/>
        <v>COLLEGE  DELAUNAY  GRAY</v>
      </c>
      <c r="I247" s="6"/>
      <c r="J247" s="12" t="str">
        <f ca="1">IFERROR(__xludf.DUMMYFUNCTION("""COMPUTED_VALUE"""),"OK")</f>
        <v>OK</v>
      </c>
      <c r="K247" s="12" t="str">
        <f ca="1">IFERROR(__xludf.DUMMYFUNCTION("""COMPUTED_VALUE"""),"frederic.mauclair@wanadoo.fr")</f>
        <v>frederic.mauclair@wanadoo.fr</v>
      </c>
      <c r="L247" s="12" t="str">
        <f ca="1">IFERROR(__xludf.DUMMYFUNCTION("""COMPUTED_VALUE"""),"06 07 56 45 21")</f>
        <v>06 07 56 45 21</v>
      </c>
      <c r="M247" s="12" t="str">
        <f ca="1">IFERROR(__xludf.DUMMYFUNCTION("""COMPUTED_VALUE"""),"70180 DAMPIERRE SUR SALON")</f>
        <v>70180 DAMPIERRE SUR SALON</v>
      </c>
      <c r="N247" s="6"/>
      <c r="O247" s="6"/>
    </row>
    <row r="248" spans="1:15" ht="15.5" x14ac:dyDescent="0.35">
      <c r="A248" s="12" t="str">
        <f ca="1">IFERROR(__xludf.DUMMYFUNCTION("""COMPUTED_VALUE"""),"MILLARDET Lisa")</f>
        <v>MILLARDET Lisa</v>
      </c>
      <c r="B248" s="12" t="str">
        <f ca="1">IFERROR(__xludf.DUMMYFUNCTION("""COMPUTED_VALUE"""),"F")</f>
        <v>F</v>
      </c>
      <c r="C248" s="13">
        <f ca="1">IFERROR(__xludf.DUMMYFUNCTION("""COMPUTED_VALUE"""),41246)</f>
        <v>41246</v>
      </c>
      <c r="D248" s="12" t="str">
        <f ca="1">IFERROR(__xludf.DUMMYFUNCTION("""COMPUTED_VALUE"""),"BENJAMINS")</f>
        <v>BENJAMINS</v>
      </c>
      <c r="E248" s="14" t="str">
        <f ca="1">IFERROR(__xludf.DUMMYFUNCTION("""COMPUTED_VALUE"""),"COLLEGE")</f>
        <v>COLLEGE</v>
      </c>
      <c r="F248" s="1" t="str">
        <f ca="1">IFERROR(__xludf.DUMMYFUNCTION("""COMPUTED_VALUE"""),"DELAUNAY")</f>
        <v>DELAUNAY</v>
      </c>
      <c r="G248" s="12" t="str">
        <f ca="1">IFERROR(__xludf.DUMMYFUNCTION("""COMPUTED_VALUE"""),"GRAY")</f>
        <v>GRAY</v>
      </c>
      <c r="H248" s="12" t="str">
        <f t="shared" ca="1" si="0"/>
        <v>COLLEGE  DELAUNAY  GRAY</v>
      </c>
      <c r="I248" s="6"/>
      <c r="J248" s="12" t="str">
        <f ca="1">IFERROR(__xludf.DUMMYFUNCTION("""COMPUTED_VALUE"""),"OK")</f>
        <v>OK</v>
      </c>
      <c r="K248" s="12" t="str">
        <f ca="1">IFERROR(__xludf.DUMMYFUNCTION("""COMPUTED_VALUE"""),"c.soittoux@outlook.fr")</f>
        <v>c.soittoux@outlook.fr</v>
      </c>
      <c r="L248" s="12" t="str">
        <f ca="1">IFERROR(__xludf.DUMMYFUNCTION("""COMPUTED_VALUE"""),"06 43 36 62 03")</f>
        <v>06 43 36 62 03</v>
      </c>
      <c r="M248" s="12" t="str">
        <f ca="1">IFERROR(__xludf.DUMMYFUNCTION("""COMPUTED_VALUE"""),"70600 ECUELLE")</f>
        <v>70600 ECUELLE</v>
      </c>
      <c r="N248" s="6"/>
      <c r="O248" s="6"/>
    </row>
    <row r="249" spans="1:15" ht="15.5" x14ac:dyDescent="0.35">
      <c r="A249" s="12" t="str">
        <f ca="1">IFERROR(__xludf.DUMMYFUNCTION("""COMPUTED_VALUE"""),"MINY Clémence")</f>
        <v>MINY Clémence</v>
      </c>
      <c r="B249" s="12" t="str">
        <f ca="1">IFERROR(__xludf.DUMMYFUNCTION("""COMPUTED_VALUE"""),"F")</f>
        <v>F</v>
      </c>
      <c r="C249" s="13">
        <f ca="1">IFERROR(__xludf.DUMMYFUNCTION("""COMPUTED_VALUE"""),41204)</f>
        <v>41204</v>
      </c>
      <c r="D249" s="12" t="str">
        <f ca="1">IFERROR(__xludf.DUMMYFUNCTION("""COMPUTED_VALUE"""),"BENJAMINS")</f>
        <v>BENJAMINS</v>
      </c>
      <c r="E249" s="14" t="str">
        <f ca="1">IFERROR(__xludf.DUMMYFUNCTION("""COMPUTED_VALUE"""),"COLLEGE")</f>
        <v>COLLEGE</v>
      </c>
      <c r="F249" s="1" t="str">
        <f ca="1">IFERROR(__xludf.DUMMYFUNCTION("""COMPUTED_VALUE"""),"DELAUNAY")</f>
        <v>DELAUNAY</v>
      </c>
      <c r="G249" s="12" t="str">
        <f ca="1">IFERROR(__xludf.DUMMYFUNCTION("""COMPUTED_VALUE"""),"GRAY")</f>
        <v>GRAY</v>
      </c>
      <c r="H249" s="12" t="str">
        <f t="shared" ca="1" si="0"/>
        <v>COLLEGE  DELAUNAY  GRAY</v>
      </c>
      <c r="I249" s="6"/>
      <c r="J249" s="12" t="str">
        <f ca="1">IFERROR(__xludf.DUMMYFUNCTION("""COMPUTED_VALUE"""),"OK")</f>
        <v>OK</v>
      </c>
      <c r="K249" s="12" t="str">
        <f ca="1">IFERROR(__xludf.DUMMYFUNCTION("""COMPUTED_VALUE"""),"sebastien.miny@sfr.fr")</f>
        <v>sebastien.miny@sfr.fr</v>
      </c>
      <c r="L249" s="12" t="str">
        <f ca="1">IFERROR(__xludf.DUMMYFUNCTION("""COMPUTED_VALUE"""),"03 84 65 02 28")</f>
        <v>03 84 65 02 28</v>
      </c>
      <c r="M249" s="12" t="str">
        <f ca="1">IFERROR(__xludf.DUMMYFUNCTION("""COMPUTED_VALUE"""),"70100 AUVET")</f>
        <v>70100 AUVET</v>
      </c>
      <c r="N249" s="6"/>
      <c r="O249" s="6"/>
    </row>
    <row r="250" spans="1:15" ht="15.5" x14ac:dyDescent="0.35">
      <c r="A250" s="12" t="str">
        <f ca="1">IFERROR(__xludf.DUMMYFUNCTION("""COMPUTED_VALUE"""),"PINEAULT Zoé")</f>
        <v>PINEAULT Zoé</v>
      </c>
      <c r="B250" s="12" t="str">
        <f ca="1">IFERROR(__xludf.DUMMYFUNCTION("""COMPUTED_VALUE"""),"F")</f>
        <v>F</v>
      </c>
      <c r="C250" s="13">
        <f ca="1">IFERROR(__xludf.DUMMYFUNCTION("""COMPUTED_VALUE"""),41254)</f>
        <v>41254</v>
      </c>
      <c r="D250" s="12" t="str">
        <f ca="1">IFERROR(__xludf.DUMMYFUNCTION("""COMPUTED_VALUE"""),"BENJAMINS")</f>
        <v>BENJAMINS</v>
      </c>
      <c r="E250" s="14" t="str">
        <f ca="1">IFERROR(__xludf.DUMMYFUNCTION("""COMPUTED_VALUE"""),"COLLEGE")</f>
        <v>COLLEGE</v>
      </c>
      <c r="F250" s="1" t="str">
        <f ca="1">IFERROR(__xludf.DUMMYFUNCTION("""COMPUTED_VALUE"""),"DELAUNAY")</f>
        <v>DELAUNAY</v>
      </c>
      <c r="G250" s="12" t="str">
        <f ca="1">IFERROR(__xludf.DUMMYFUNCTION("""COMPUTED_VALUE"""),"GRAY")</f>
        <v>GRAY</v>
      </c>
      <c r="H250" s="12" t="str">
        <f t="shared" ca="1" si="0"/>
        <v>COLLEGE  DELAUNAY  GRAY</v>
      </c>
      <c r="I250" s="6"/>
      <c r="J250" s="12" t="str">
        <f ca="1">IFERROR(__xludf.DUMMYFUNCTION("""COMPUTED_VALUE"""),"OK")</f>
        <v>OK</v>
      </c>
      <c r="K250" s="12" t="str">
        <f ca="1">IFERROR(__xludf.DUMMYFUNCTION("""COMPUTED_VALUE"""),"magetsteph@sfr.fr")</f>
        <v>magetsteph@sfr.fr</v>
      </c>
      <c r="L250" s="12" t="str">
        <f ca="1">IFERROR(__xludf.DUMMYFUNCTION("""COMPUTED_VALUE"""),"06 18 48 13 56")</f>
        <v>06 18 48 13 56</v>
      </c>
      <c r="M250" s="12" t="str">
        <f ca="1">IFERROR(__xludf.DUMMYFUNCTION("""COMPUTED_VALUE"""),"70100 CHARGEY LES GRAY")</f>
        <v>70100 CHARGEY LES GRAY</v>
      </c>
      <c r="N250" s="6"/>
      <c r="O250" s="6"/>
    </row>
    <row r="251" spans="1:15" ht="15.5" x14ac:dyDescent="0.35">
      <c r="A251" s="12" t="str">
        <f ca="1">IFERROR(__xludf.DUMMYFUNCTION("""COMPUTED_VALUE"""),"PROENCA Klémens")</f>
        <v>PROENCA Klémens</v>
      </c>
      <c r="B251" s="12" t="str">
        <f ca="1">IFERROR(__xludf.DUMMYFUNCTION("""COMPUTED_VALUE"""),"H")</f>
        <v>H</v>
      </c>
      <c r="C251" s="13">
        <f ca="1">IFERROR(__xludf.DUMMYFUNCTION("""COMPUTED_VALUE"""),40756)</f>
        <v>40756</v>
      </c>
      <c r="D251" s="12" t="str">
        <f ca="1">IFERROR(__xludf.DUMMYFUNCTION("""COMPUTED_VALUE"""),"BENJAMINS")</f>
        <v>BENJAMINS</v>
      </c>
      <c r="E251" s="14" t="str">
        <f ca="1">IFERROR(__xludf.DUMMYFUNCTION("""COMPUTED_VALUE"""),"COLLEGE")</f>
        <v>COLLEGE</v>
      </c>
      <c r="F251" s="1" t="str">
        <f ca="1">IFERROR(__xludf.DUMMYFUNCTION("""COMPUTED_VALUE"""),"DELAUNAY")</f>
        <v>DELAUNAY</v>
      </c>
      <c r="G251" s="12" t="str">
        <f ca="1">IFERROR(__xludf.DUMMYFUNCTION("""COMPUTED_VALUE"""),"GRAY")</f>
        <v>GRAY</v>
      </c>
      <c r="H251" s="12" t="str">
        <f t="shared" ca="1" si="0"/>
        <v>COLLEGE  DELAUNAY  GRAY</v>
      </c>
      <c r="I251" s="6"/>
      <c r="J251" s="12" t="str">
        <f ca="1">IFERROR(__xludf.DUMMYFUNCTION("""COMPUTED_VALUE"""),"OK")</f>
        <v>OK</v>
      </c>
      <c r="K251" s="12" t="str">
        <f ca="1">IFERROR(__xludf.DUMMYFUNCTION("""COMPUTED_VALUE"""),"cedric.proenca7@orange.fr")</f>
        <v>cedric.proenca7@orange.fr</v>
      </c>
      <c r="L251" s="12" t="str">
        <f ca="1">IFERROR(__xludf.DUMMYFUNCTION("""COMPUTED_VALUE"""),"06 14 45 07 38")</f>
        <v>06 14 45 07 38</v>
      </c>
      <c r="M251" s="12" t="str">
        <f ca="1">IFERROR(__xludf.DUMMYFUNCTION("""COMPUTED_VALUE"""),"70100 MANTOCHE")</f>
        <v>70100 MANTOCHE</v>
      </c>
      <c r="N251" s="6"/>
      <c r="O251" s="6"/>
    </row>
    <row r="252" spans="1:15" ht="15.5" x14ac:dyDescent="0.35">
      <c r="A252" s="12" t="str">
        <f ca="1">IFERROR(__xludf.DUMMYFUNCTION("""COMPUTED_VALUE"""),"REVOY Lylou")</f>
        <v>REVOY Lylou</v>
      </c>
      <c r="B252" s="12" t="str">
        <f ca="1">IFERROR(__xludf.DUMMYFUNCTION("""COMPUTED_VALUE"""),"F")</f>
        <v>F</v>
      </c>
      <c r="C252" s="13">
        <f ca="1">IFERROR(__xludf.DUMMYFUNCTION("""COMPUTED_VALUE"""),40717)</f>
        <v>40717</v>
      </c>
      <c r="D252" s="12" t="str">
        <f ca="1">IFERROR(__xludf.DUMMYFUNCTION("""COMPUTED_VALUE"""),"BENJAMINS")</f>
        <v>BENJAMINS</v>
      </c>
      <c r="E252" s="14" t="str">
        <f ca="1">IFERROR(__xludf.DUMMYFUNCTION("""COMPUTED_VALUE"""),"COLLEGE")</f>
        <v>COLLEGE</v>
      </c>
      <c r="F252" s="1" t="str">
        <f ca="1">IFERROR(__xludf.DUMMYFUNCTION("""COMPUTED_VALUE"""),"DELAUNAY")</f>
        <v>DELAUNAY</v>
      </c>
      <c r="G252" s="12" t="str">
        <f ca="1">IFERROR(__xludf.DUMMYFUNCTION("""COMPUTED_VALUE"""),"GRAY")</f>
        <v>GRAY</v>
      </c>
      <c r="H252" s="12" t="str">
        <f t="shared" ca="1" si="0"/>
        <v>COLLEGE  DELAUNAY  GRAY</v>
      </c>
      <c r="I252" s="6"/>
      <c r="J252" s="12" t="str">
        <f ca="1">IFERROR(__xludf.DUMMYFUNCTION("""COMPUTED_VALUE"""),"OK")</f>
        <v>OK</v>
      </c>
      <c r="K252" s="12" t="str">
        <f ca="1">IFERROR(__xludf.DUMMYFUNCTION("""COMPUTED_VALUE"""),"laurence-j@orange.fr")</f>
        <v>laurence-j@orange.fr</v>
      </c>
      <c r="L252" s="12" t="str">
        <f ca="1">IFERROR(__xludf.DUMMYFUNCTION("""COMPUTED_VALUE"""),"06 33 23 35 79")</f>
        <v>06 33 23 35 79</v>
      </c>
      <c r="M252" s="12" t="str">
        <f ca="1">IFERROR(__xludf.DUMMYFUNCTION("""COMPUTED_VALUE"""),"70100 ARC LES GRAY")</f>
        <v>70100 ARC LES GRAY</v>
      </c>
      <c r="N252" s="6"/>
      <c r="O252" s="6"/>
    </row>
    <row r="253" spans="1:15" ht="15.5" x14ac:dyDescent="0.35">
      <c r="A253" s="12" t="str">
        <f ca="1">IFERROR(__xludf.DUMMYFUNCTION("""COMPUTED_VALUE"""),"SCHOLLER Jules")</f>
        <v>SCHOLLER Jules</v>
      </c>
      <c r="B253" s="12" t="str">
        <f ca="1">IFERROR(__xludf.DUMMYFUNCTION("""COMPUTED_VALUE"""),"H")</f>
        <v>H</v>
      </c>
      <c r="C253" s="13">
        <f ca="1">IFERROR(__xludf.DUMMYFUNCTION("""COMPUTED_VALUE"""),41094)</f>
        <v>41094</v>
      </c>
      <c r="D253" s="12" t="str">
        <f ca="1">IFERROR(__xludf.DUMMYFUNCTION("""COMPUTED_VALUE"""),"BENJAMINS")</f>
        <v>BENJAMINS</v>
      </c>
      <c r="E253" s="14" t="str">
        <f ca="1">IFERROR(__xludf.DUMMYFUNCTION("""COMPUTED_VALUE"""),"COLLEGE")</f>
        <v>COLLEGE</v>
      </c>
      <c r="F253" s="1" t="str">
        <f ca="1">IFERROR(__xludf.DUMMYFUNCTION("""COMPUTED_VALUE"""),"DELAUNAY")</f>
        <v>DELAUNAY</v>
      </c>
      <c r="G253" s="12" t="str">
        <f ca="1">IFERROR(__xludf.DUMMYFUNCTION("""COMPUTED_VALUE"""),"GRAY")</f>
        <v>GRAY</v>
      </c>
      <c r="H253" s="12" t="str">
        <f t="shared" ca="1" si="0"/>
        <v>COLLEGE  DELAUNAY  GRAY</v>
      </c>
      <c r="I253" s="6"/>
      <c r="J253" s="12" t="str">
        <f ca="1">IFERROR(__xludf.DUMMYFUNCTION("""COMPUTED_VALUE"""),"OK")</f>
        <v>OK</v>
      </c>
      <c r="K253" s="12" t="str">
        <f ca="1">IFERROR(__xludf.DUMMYFUNCTION("""COMPUTED_VALUE"""),"audreyschollerhulin@gmail.com")</f>
        <v>audreyschollerhulin@gmail.com</v>
      </c>
      <c r="L253" s="12" t="str">
        <f ca="1">IFERROR(__xludf.DUMMYFUNCTION("""COMPUTED_VALUE"""),"06 31 83 92 36")</f>
        <v>06 31 83 92 36</v>
      </c>
      <c r="M253" s="12" t="str">
        <f ca="1">IFERROR(__xludf.DUMMYFUNCTION("""COMPUTED_VALUE"""),"70600 OYRIERES")</f>
        <v>70600 OYRIERES</v>
      </c>
      <c r="N253" s="6"/>
      <c r="O253" s="6"/>
    </row>
    <row r="254" spans="1:15" ht="15.5" x14ac:dyDescent="0.35">
      <c r="A254" s="12" t="str">
        <f ca="1">IFERROR(__xludf.DUMMYFUNCTION("""COMPUTED_VALUE"""),"SEGATTI Kelya")</f>
        <v>SEGATTI Kelya</v>
      </c>
      <c r="B254" s="12" t="str">
        <f ca="1">IFERROR(__xludf.DUMMYFUNCTION("""COMPUTED_VALUE"""),"F")</f>
        <v>F</v>
      </c>
      <c r="C254" s="13">
        <f ca="1">IFERROR(__xludf.DUMMYFUNCTION("""COMPUTED_VALUE"""),40581)</f>
        <v>40581</v>
      </c>
      <c r="D254" s="12" t="str">
        <f ca="1">IFERROR(__xludf.DUMMYFUNCTION("""COMPUTED_VALUE"""),"BENJAMINS")</f>
        <v>BENJAMINS</v>
      </c>
      <c r="E254" s="14" t="str">
        <f ca="1">IFERROR(__xludf.DUMMYFUNCTION("""COMPUTED_VALUE"""),"COLLEGE")</f>
        <v>COLLEGE</v>
      </c>
      <c r="F254" s="1" t="str">
        <f ca="1">IFERROR(__xludf.DUMMYFUNCTION("""COMPUTED_VALUE"""),"DELAUNAY")</f>
        <v>DELAUNAY</v>
      </c>
      <c r="G254" s="12" t="str">
        <f ca="1">IFERROR(__xludf.DUMMYFUNCTION("""COMPUTED_VALUE"""),"GRAY")</f>
        <v>GRAY</v>
      </c>
      <c r="H254" s="12" t="str">
        <f t="shared" ca="1" si="0"/>
        <v>COLLEGE  DELAUNAY  GRAY</v>
      </c>
      <c r="I254" s="6"/>
      <c r="J254" s="12" t="str">
        <f ca="1">IFERROR(__xludf.DUMMYFUNCTION("""COMPUTED_VALUE"""),"OK")</f>
        <v>OK</v>
      </c>
      <c r="K254" s="12" t="str">
        <f ca="1">IFERROR(__xludf.DUMMYFUNCTION("""COMPUTED_VALUE"""),"kelya.segatti@icloud.com")</f>
        <v>kelya.segatti@icloud.com</v>
      </c>
      <c r="L254" s="12" t="str">
        <f ca="1">IFERROR(__xludf.DUMMYFUNCTION("""COMPUTED_VALUE"""),"06 26 15 59 86")</f>
        <v>06 26 15 59 86</v>
      </c>
      <c r="M254" s="12" t="str">
        <f ca="1">IFERROR(__xludf.DUMMYFUNCTION("""COMPUTED_VALUE"""),"70100 ESSERTENNE")</f>
        <v>70100 ESSERTENNE</v>
      </c>
      <c r="N254" s="6"/>
      <c r="O254" s="6"/>
    </row>
    <row r="255" spans="1:15" ht="15.5" x14ac:dyDescent="0.35">
      <c r="A255" s="12" t="str">
        <f ca="1">IFERROR(__xludf.DUMMYFUNCTION("""COMPUTED_VALUE"""),"SEMYSHKUR Mariia")</f>
        <v>SEMYSHKUR Mariia</v>
      </c>
      <c r="B255" s="12" t="str">
        <f ca="1">IFERROR(__xludf.DUMMYFUNCTION("""COMPUTED_VALUE"""),"F")</f>
        <v>F</v>
      </c>
      <c r="C255" s="13">
        <f ca="1">IFERROR(__xludf.DUMMYFUNCTION("""COMPUTED_VALUE"""),41038)</f>
        <v>41038</v>
      </c>
      <c r="D255" s="12" t="str">
        <f ca="1">IFERROR(__xludf.DUMMYFUNCTION("""COMPUTED_VALUE"""),"BENJAMINS")</f>
        <v>BENJAMINS</v>
      </c>
      <c r="E255" s="14" t="str">
        <f ca="1">IFERROR(__xludf.DUMMYFUNCTION("""COMPUTED_VALUE"""),"COLLEGE")</f>
        <v>COLLEGE</v>
      </c>
      <c r="F255" s="1" t="str">
        <f ca="1">IFERROR(__xludf.DUMMYFUNCTION("""COMPUTED_VALUE"""),"DELAUNAY")</f>
        <v>DELAUNAY</v>
      </c>
      <c r="G255" s="12" t="str">
        <f ca="1">IFERROR(__xludf.DUMMYFUNCTION("""COMPUTED_VALUE"""),"GRAY")</f>
        <v>GRAY</v>
      </c>
      <c r="H255" s="12" t="str">
        <f t="shared" ca="1" si="0"/>
        <v>COLLEGE  DELAUNAY  GRAY</v>
      </c>
      <c r="I255" s="6"/>
      <c r="J255" s="12" t="str">
        <f ca="1">IFERROR(__xludf.DUMMYFUNCTION("""COMPUTED_VALUE"""),"OK")</f>
        <v>OK</v>
      </c>
      <c r="K255" s="12" t="str">
        <f ca="1">IFERROR(__xludf.DUMMYFUNCTION("""COMPUTED_VALUE"""),"tutifu43@gmail.com")</f>
        <v>tutifu43@gmail.com</v>
      </c>
      <c r="L255" s="12" t="str">
        <f ca="1">IFERROR(__xludf.DUMMYFUNCTION("""COMPUTED_VALUE"""),"06 79 70 50 28")</f>
        <v>06 79 70 50 28</v>
      </c>
      <c r="M255" s="12" t="str">
        <f ca="1">IFERROR(__xludf.DUMMYFUNCTION("""COMPUTED_VALUE"""),"70100 GRAY")</f>
        <v>70100 GRAY</v>
      </c>
      <c r="N255" s="6"/>
      <c r="O255" s="6"/>
    </row>
    <row r="256" spans="1:15" ht="15.5" x14ac:dyDescent="0.35">
      <c r="A256" s="12" t="str">
        <f ca="1">IFERROR(__xludf.DUMMYFUNCTION("""COMPUTED_VALUE"""),"TORRES Ethan")</f>
        <v>TORRES Ethan</v>
      </c>
      <c r="B256" s="12" t="str">
        <f ca="1">IFERROR(__xludf.DUMMYFUNCTION("""COMPUTED_VALUE"""),"H")</f>
        <v>H</v>
      </c>
      <c r="C256" s="12" t="str">
        <f ca="1">IFERROR(__xludf.DUMMYFUNCTION("""COMPUTED_VALUE"""),"185/03/2011")</f>
        <v>185/03/2011</v>
      </c>
      <c r="D256" s="12" t="str">
        <f ca="1">IFERROR(__xludf.DUMMYFUNCTION("""COMPUTED_VALUE"""),"BENJAMINS")</f>
        <v>BENJAMINS</v>
      </c>
      <c r="E256" s="14" t="str">
        <f ca="1">IFERROR(__xludf.DUMMYFUNCTION("""COMPUTED_VALUE"""),"COLLEGE")</f>
        <v>COLLEGE</v>
      </c>
      <c r="F256" s="1" t="str">
        <f ca="1">IFERROR(__xludf.DUMMYFUNCTION("""COMPUTED_VALUE"""),"DELAUNAY")</f>
        <v>DELAUNAY</v>
      </c>
      <c r="G256" s="12" t="str">
        <f ca="1">IFERROR(__xludf.DUMMYFUNCTION("""COMPUTED_VALUE"""),"GRAY")</f>
        <v>GRAY</v>
      </c>
      <c r="H256" s="12" t="str">
        <f t="shared" ca="1" si="0"/>
        <v>COLLEGE  DELAUNAY  GRAY</v>
      </c>
      <c r="I256" s="6"/>
      <c r="J256" s="12" t="str">
        <f ca="1">IFERROR(__xludf.DUMMYFUNCTION("""COMPUTED_VALUE"""),"OK")</f>
        <v>OK</v>
      </c>
      <c r="K256" s="12" t="str">
        <f ca="1">IFERROR(__xludf.DUMMYFUNCTION("""COMPUTED_VALUE"""),"rachel.castioni@hotmail.com")</f>
        <v>rachel.castioni@hotmail.com</v>
      </c>
      <c r="L256" s="12" t="str">
        <f ca="1">IFERROR(__xludf.DUMMYFUNCTION("""COMPUTED_VALUE"""),"06 86 82 50 88")</f>
        <v>06 86 82 50 88</v>
      </c>
      <c r="M256" s="12" t="str">
        <f ca="1">IFERROR(__xludf.DUMMYFUNCTION("""COMPUTED_VALUE"""),"70600 OYRIERES")</f>
        <v>70600 OYRIERES</v>
      </c>
      <c r="N256" s="6"/>
      <c r="O256" s="6"/>
    </row>
    <row r="257" spans="1:15" ht="15.5" x14ac:dyDescent="0.35">
      <c r="A257" s="12" t="str">
        <f ca="1">IFERROR(__xludf.DUMMYFUNCTION("""COMPUTED_VALUE"""),"LACROIX Thomas")</f>
        <v>LACROIX Thomas</v>
      </c>
      <c r="B257" s="12" t="str">
        <f ca="1">IFERROR(__xludf.DUMMYFUNCTION("""COMPUTED_VALUE"""),"F")</f>
        <v>F</v>
      </c>
      <c r="C257" s="13">
        <f ca="1">IFERROR(__xludf.DUMMYFUNCTION("""COMPUTED_VALUE"""),40304)</f>
        <v>40304</v>
      </c>
      <c r="D257" s="12" t="str">
        <f ca="1">IFERROR(__xludf.DUMMYFUNCTION("""COMPUTED_VALUE"""),"MINIMES")</f>
        <v>MINIMES</v>
      </c>
      <c r="E257" s="14" t="str">
        <f ca="1">IFERROR(__xludf.DUMMYFUNCTION("""COMPUTED_VALUE"""),"COLLEGE")</f>
        <v>COLLEGE</v>
      </c>
      <c r="F257" s="1" t="str">
        <f ca="1">IFERROR(__xludf.DUMMYFUNCTION("""COMPUTED_VALUE"""),"DELAUNAY")</f>
        <v>DELAUNAY</v>
      </c>
      <c r="G257" s="12" t="str">
        <f ca="1">IFERROR(__xludf.DUMMYFUNCTION("""COMPUTED_VALUE"""),"GRAY")</f>
        <v>GRAY</v>
      </c>
      <c r="H257" s="12" t="str">
        <f t="shared" ref="H257:H511" ca="1" si="1">(E257&amp;"  "&amp;F257&amp;"  "&amp;G257)</f>
        <v>COLLEGE  DELAUNAY  GRAY</v>
      </c>
      <c r="I257" s="6"/>
      <c r="J257" s="12" t="str">
        <f ca="1">IFERROR(__xludf.DUMMYFUNCTION("""COMPUTED_VALUE"""),"OK")</f>
        <v>OK</v>
      </c>
      <c r="K257" s="12" t="str">
        <f ca="1">IFERROR(__xludf.DUMMYFUNCTION("""COMPUTED_VALUE"""),"mercelcs@yahoo.fr")</f>
        <v>mercelcs@yahoo.fr</v>
      </c>
      <c r="L257" s="12"/>
      <c r="M257" s="12" t="str">
        <f ca="1">IFERROR(__xludf.DUMMYFUNCTION("""COMPUTED_VALUE"""),"70100 ARC LES GRAY")</f>
        <v>70100 ARC LES GRAY</v>
      </c>
      <c r="N257" s="6"/>
      <c r="O257" s="6"/>
    </row>
    <row r="258" spans="1:15" ht="15.5" x14ac:dyDescent="0.35">
      <c r="A258" s="12" t="str">
        <f ca="1">IFERROR(__xludf.DUMMYFUNCTION("""COMPUTED_VALUE"""),"MINY Thibaud")</f>
        <v>MINY Thibaud</v>
      </c>
      <c r="B258" s="12" t="str">
        <f ca="1">IFERROR(__xludf.DUMMYFUNCTION("""COMPUTED_VALUE"""),"H")</f>
        <v>H</v>
      </c>
      <c r="C258" s="13">
        <f ca="1">IFERROR(__xludf.DUMMYFUNCTION("""COMPUTED_VALUE"""),40088)</f>
        <v>40088</v>
      </c>
      <c r="D258" s="12" t="str">
        <f ca="1">IFERROR(__xludf.DUMMYFUNCTION("""COMPUTED_VALUE"""),"MINIMES")</f>
        <v>MINIMES</v>
      </c>
      <c r="E258" s="14" t="str">
        <f ca="1">IFERROR(__xludf.DUMMYFUNCTION("""COMPUTED_VALUE"""),"COLLEGE")</f>
        <v>COLLEGE</v>
      </c>
      <c r="F258" s="1" t="str">
        <f ca="1">IFERROR(__xludf.DUMMYFUNCTION("""COMPUTED_VALUE"""),"DELAUNAY")</f>
        <v>DELAUNAY</v>
      </c>
      <c r="G258" s="12" t="str">
        <f ca="1">IFERROR(__xludf.DUMMYFUNCTION("""COMPUTED_VALUE"""),"GRAY")</f>
        <v>GRAY</v>
      </c>
      <c r="H258" s="12" t="str">
        <f t="shared" ca="1" si="1"/>
        <v>COLLEGE  DELAUNAY  GRAY</v>
      </c>
      <c r="I258" s="6"/>
      <c r="J258" s="12" t="str">
        <f ca="1">IFERROR(__xludf.DUMMYFUNCTION("""COMPUTED_VALUE"""),"OK")</f>
        <v>OK</v>
      </c>
      <c r="K258" s="12" t="str">
        <f ca="1">IFERROR(__xludf.DUMMYFUNCTION("""COMPUTED_VALUE"""),"sebastien.miny@sfr.fr")</f>
        <v>sebastien.miny@sfr.fr</v>
      </c>
      <c r="L258" s="12" t="str">
        <f ca="1">IFERROR(__xludf.DUMMYFUNCTION("""COMPUTED_VALUE"""),"03 84 65 02 28")</f>
        <v>03 84 65 02 28</v>
      </c>
      <c r="M258" s="12" t="str">
        <f ca="1">IFERROR(__xludf.DUMMYFUNCTION("""COMPUTED_VALUE"""),"70100 AUVET")</f>
        <v>70100 AUVET</v>
      </c>
      <c r="N258" s="6"/>
      <c r="O258" s="6"/>
    </row>
    <row r="259" spans="1:15" ht="15.5" x14ac:dyDescent="0.35">
      <c r="A259" s="12" t="str">
        <f ca="1">IFERROR(__xludf.DUMMYFUNCTION("""COMPUTED_VALUE"""),"POINCENOT Gabin")</f>
        <v>POINCENOT Gabin</v>
      </c>
      <c r="B259" s="12" t="str">
        <f ca="1">IFERROR(__xludf.DUMMYFUNCTION("""COMPUTED_VALUE"""),"H")</f>
        <v>H</v>
      </c>
      <c r="C259" s="12" t="str">
        <f ca="1">IFERROR(__xludf.DUMMYFUNCTION("""COMPUTED_VALUE"""),"20/17/2009")</f>
        <v>20/17/2009</v>
      </c>
      <c r="D259" s="12" t="str">
        <f ca="1">IFERROR(__xludf.DUMMYFUNCTION("""COMPUTED_VALUE"""),"MINIMES")</f>
        <v>MINIMES</v>
      </c>
      <c r="E259" s="14" t="str">
        <f ca="1">IFERROR(__xludf.DUMMYFUNCTION("""COMPUTED_VALUE"""),"COLLEGE")</f>
        <v>COLLEGE</v>
      </c>
      <c r="F259" s="1" t="str">
        <f ca="1">IFERROR(__xludf.DUMMYFUNCTION("""COMPUTED_VALUE"""),"DELAUNAY")</f>
        <v>DELAUNAY</v>
      </c>
      <c r="G259" s="12" t="str">
        <f ca="1">IFERROR(__xludf.DUMMYFUNCTION("""COMPUTED_VALUE"""),"GRAY")</f>
        <v>GRAY</v>
      </c>
      <c r="H259" s="12" t="str">
        <f t="shared" ca="1" si="1"/>
        <v>COLLEGE  DELAUNAY  GRAY</v>
      </c>
      <c r="I259" s="6"/>
      <c r="J259" s="12" t="str">
        <f ca="1">IFERROR(__xludf.DUMMYFUNCTION("""COMPUTED_VALUE"""),"OK")</f>
        <v>OK</v>
      </c>
      <c r="K259" s="12" t="str">
        <f ca="1">IFERROR(__xludf.DUMMYFUNCTION("""COMPUTED_VALUE"""),"tripot.marie@orange.fr")</f>
        <v>tripot.marie@orange.fr</v>
      </c>
      <c r="L259" s="12" t="str">
        <f ca="1">IFERROR(__xludf.DUMMYFUNCTION("""COMPUTED_VALUE"""),"06 84 30 81 67")</f>
        <v>06 84 30 81 67</v>
      </c>
      <c r="M259" s="12" t="str">
        <f ca="1">IFERROR(__xludf.DUMMYFUNCTION("""COMPUTED_VALUE"""),"70100 CHARGEY LES GRAY")</f>
        <v>70100 CHARGEY LES GRAY</v>
      </c>
      <c r="N259" s="6"/>
      <c r="O259" s="6"/>
    </row>
    <row r="260" spans="1:15" ht="15.5" x14ac:dyDescent="0.35">
      <c r="A260" s="12" t="str">
        <f ca="1">IFERROR(__xludf.DUMMYFUNCTION("""COMPUTED_VALUE"""),"ROLAND Rayen")</f>
        <v>ROLAND Rayen</v>
      </c>
      <c r="B260" s="12" t="str">
        <f ca="1">IFERROR(__xludf.DUMMYFUNCTION("""COMPUTED_VALUE"""),"H")</f>
        <v>H</v>
      </c>
      <c r="C260" s="13">
        <f ca="1">IFERROR(__xludf.DUMMYFUNCTION("""COMPUTED_VALUE"""),40484)</f>
        <v>40484</v>
      </c>
      <c r="D260" s="12" t="str">
        <f ca="1">IFERROR(__xludf.DUMMYFUNCTION("""COMPUTED_VALUE"""),"MINIMES")</f>
        <v>MINIMES</v>
      </c>
      <c r="E260" s="14" t="str">
        <f ca="1">IFERROR(__xludf.DUMMYFUNCTION("""COMPUTED_VALUE"""),"COLLEGE")</f>
        <v>COLLEGE</v>
      </c>
      <c r="F260" s="1" t="str">
        <f ca="1">IFERROR(__xludf.DUMMYFUNCTION("""COMPUTED_VALUE"""),"DELAUNAY")</f>
        <v>DELAUNAY</v>
      </c>
      <c r="G260" s="12" t="str">
        <f ca="1">IFERROR(__xludf.DUMMYFUNCTION("""COMPUTED_VALUE"""),"GRAY")</f>
        <v>GRAY</v>
      </c>
      <c r="H260" s="12" t="str">
        <f t="shared" ca="1" si="1"/>
        <v>COLLEGE  DELAUNAY  GRAY</v>
      </c>
      <c r="I260" s="6"/>
      <c r="J260" s="12" t="str">
        <f ca="1">IFERROR(__xludf.DUMMYFUNCTION("""COMPUTED_VALUE"""),"OK")</f>
        <v>OK</v>
      </c>
      <c r="K260" s="12" t="str">
        <f ca="1">IFERROR(__xludf.DUMMYFUNCTION("""COMPUTED_VALUE"""),"nonette70@hotmail.fr")</f>
        <v>nonette70@hotmail.fr</v>
      </c>
      <c r="L260" s="12" t="str">
        <f ca="1">IFERROR(__xludf.DUMMYFUNCTION("""COMPUTED_VALUE"""),"06 59 02 71 28")</f>
        <v>06 59 02 71 28</v>
      </c>
      <c r="M260" s="12" t="str">
        <f ca="1">IFERROR(__xludf.DUMMYFUNCTION("""COMPUTED_VALUE"""),"70600 OYRIERES")</f>
        <v>70600 OYRIERES</v>
      </c>
      <c r="N260" s="6"/>
      <c r="O260" s="6"/>
    </row>
    <row r="261" spans="1:15" ht="15.5" x14ac:dyDescent="0.35">
      <c r="A261" s="12" t="str">
        <f ca="1">IFERROR(__xludf.DUMMYFUNCTION("""COMPUTED_VALUE"""),"TOURNERET Loïs")</f>
        <v>TOURNERET Loïs</v>
      </c>
      <c r="B261" s="12" t="str">
        <f ca="1">IFERROR(__xludf.DUMMYFUNCTION("""COMPUTED_VALUE"""),"H")</f>
        <v>H</v>
      </c>
      <c r="C261" s="13">
        <f ca="1">IFERROR(__xludf.DUMMYFUNCTION("""COMPUTED_VALUE"""),40512)</f>
        <v>40512</v>
      </c>
      <c r="D261" s="12" t="str">
        <f ca="1">IFERROR(__xludf.DUMMYFUNCTION("""COMPUTED_VALUE"""),"MINIMES")</f>
        <v>MINIMES</v>
      </c>
      <c r="E261" s="14" t="str">
        <f ca="1">IFERROR(__xludf.DUMMYFUNCTION("""COMPUTED_VALUE"""),"COLLEGE")</f>
        <v>COLLEGE</v>
      </c>
      <c r="F261" s="1" t="str">
        <f ca="1">IFERROR(__xludf.DUMMYFUNCTION("""COMPUTED_VALUE"""),"DELAUNAY")</f>
        <v>DELAUNAY</v>
      </c>
      <c r="G261" s="12" t="str">
        <f ca="1">IFERROR(__xludf.DUMMYFUNCTION("""COMPUTED_VALUE"""),"GRAY")</f>
        <v>GRAY</v>
      </c>
      <c r="H261" s="12" t="str">
        <f t="shared" ca="1" si="1"/>
        <v>COLLEGE  DELAUNAY  GRAY</v>
      </c>
      <c r="I261" s="6"/>
      <c r="J261" s="12" t="str">
        <f ca="1">IFERROR(__xludf.DUMMYFUNCTION("""COMPUTED_VALUE"""),"OK")</f>
        <v>OK</v>
      </c>
      <c r="K261" s="12" t="str">
        <f ca="1">IFERROR(__xludf.DUMMYFUNCTION("""COMPUTED_VALUE"""),"severine.gaverini@orange.fr")</f>
        <v>severine.gaverini@orange.fr</v>
      </c>
      <c r="L261" s="12" t="str">
        <f ca="1">IFERROR(__xludf.DUMMYFUNCTION("""COMPUTED_VALUE"""),"06 32 84 41 40")</f>
        <v>06 32 84 41 40</v>
      </c>
      <c r="M261" s="12" t="str">
        <f ca="1">IFERROR(__xludf.DUMMYFUNCTION("""COMPUTED_VALUE"""),"70100 CHARGEY LES GRAY")</f>
        <v>70100 CHARGEY LES GRAY</v>
      </c>
      <c r="N261" s="6"/>
      <c r="O261" s="6"/>
    </row>
    <row r="262" spans="1:15" ht="15.5" x14ac:dyDescent="0.35">
      <c r="A262" s="12" t="str">
        <f ca="1">IFERROR(__xludf.DUMMYFUNCTION("""COMPUTED_VALUE"""),"LACROIX Thomas")</f>
        <v>LACROIX Thomas</v>
      </c>
      <c r="B262" s="12" t="str">
        <f ca="1">IFERROR(__xludf.DUMMYFUNCTION("""COMPUTED_VALUE"""),"F")</f>
        <v>F</v>
      </c>
      <c r="C262" s="13">
        <f ca="1">IFERROR(__xludf.DUMMYFUNCTION("""COMPUTED_VALUE"""),40304)</f>
        <v>40304</v>
      </c>
      <c r="D262" s="12" t="str">
        <f ca="1">IFERROR(__xludf.DUMMYFUNCTION("""COMPUTED_VALUE"""),"MINIMES")</f>
        <v>MINIMES</v>
      </c>
      <c r="E262" s="14" t="str">
        <f ca="1">IFERROR(__xludf.DUMMYFUNCTION("""COMPUTED_VALUE"""),"COLLEGE")</f>
        <v>COLLEGE</v>
      </c>
      <c r="F262" s="1" t="str">
        <f ca="1">IFERROR(__xludf.DUMMYFUNCTION("""COMPUTED_VALUE"""),"DELAUNAY")</f>
        <v>DELAUNAY</v>
      </c>
      <c r="G262" s="12" t="str">
        <f ca="1">IFERROR(__xludf.DUMMYFUNCTION("""COMPUTED_VALUE"""),"GRAY")</f>
        <v>GRAY</v>
      </c>
      <c r="H262" s="12" t="str">
        <f t="shared" ca="1" si="1"/>
        <v>COLLEGE  DELAUNAY  GRAY</v>
      </c>
      <c r="I262" s="6"/>
      <c r="J262" s="12"/>
      <c r="K262" s="12"/>
      <c r="L262" s="12"/>
      <c r="M262" s="12" t="str">
        <f ca="1">IFERROR(__xludf.DUMMYFUNCTION("""COMPUTED_VALUE"""),"70100 ARC LES GRAY")</f>
        <v>70100 ARC LES GRAY</v>
      </c>
      <c r="N262" s="6"/>
      <c r="O262" s="6"/>
    </row>
    <row r="263" spans="1:15" ht="15.5" x14ac:dyDescent="0.35">
      <c r="A263" s="12" t="str">
        <f ca="1">IFERROR(__xludf.DUMMYFUNCTION("""COMPUTED_VALUE"""),"MINY Thibaud")</f>
        <v>MINY Thibaud</v>
      </c>
      <c r="B263" s="12" t="str">
        <f ca="1">IFERROR(__xludf.DUMMYFUNCTION("""COMPUTED_VALUE"""),"H")</f>
        <v>H</v>
      </c>
      <c r="C263" s="13">
        <f ca="1">IFERROR(__xludf.DUMMYFUNCTION("""COMPUTED_VALUE"""),40088)</f>
        <v>40088</v>
      </c>
      <c r="D263" s="12" t="str">
        <f ca="1">IFERROR(__xludf.DUMMYFUNCTION("""COMPUTED_VALUE"""),"MINIMES")</f>
        <v>MINIMES</v>
      </c>
      <c r="E263" s="14" t="str">
        <f ca="1">IFERROR(__xludf.DUMMYFUNCTION("""COMPUTED_VALUE"""),"COLLEGE")</f>
        <v>COLLEGE</v>
      </c>
      <c r="F263" s="1" t="str">
        <f ca="1">IFERROR(__xludf.DUMMYFUNCTION("""COMPUTED_VALUE"""),"DELAUNAY")</f>
        <v>DELAUNAY</v>
      </c>
      <c r="G263" s="12" t="str">
        <f ca="1">IFERROR(__xludf.DUMMYFUNCTION("""COMPUTED_VALUE"""),"GRAY")</f>
        <v>GRAY</v>
      </c>
      <c r="H263" s="12" t="str">
        <f t="shared" ca="1" si="1"/>
        <v>COLLEGE  DELAUNAY  GRAY</v>
      </c>
      <c r="I263" s="6"/>
      <c r="J263" s="12"/>
      <c r="K263" s="12"/>
      <c r="L263" s="12" t="str">
        <f ca="1">IFERROR(__xludf.DUMMYFUNCTION("""COMPUTED_VALUE"""),"03 84 65 02 28")</f>
        <v>03 84 65 02 28</v>
      </c>
      <c r="M263" s="12" t="str">
        <f ca="1">IFERROR(__xludf.DUMMYFUNCTION("""COMPUTED_VALUE"""),"70100 AUVET")</f>
        <v>70100 AUVET</v>
      </c>
      <c r="N263" s="6"/>
      <c r="O263" s="6"/>
    </row>
    <row r="264" spans="1:15" ht="15.5" x14ac:dyDescent="0.35">
      <c r="A264" s="12" t="str">
        <f ca="1">IFERROR(__xludf.DUMMYFUNCTION("""COMPUTED_VALUE"""),"POINCENOT Gabin")</f>
        <v>POINCENOT Gabin</v>
      </c>
      <c r="B264" s="12" t="str">
        <f ca="1">IFERROR(__xludf.DUMMYFUNCTION("""COMPUTED_VALUE"""),"H")</f>
        <v>H</v>
      </c>
      <c r="C264" s="12" t="str">
        <f ca="1">IFERROR(__xludf.DUMMYFUNCTION("""COMPUTED_VALUE"""),"20/17/2009")</f>
        <v>20/17/2009</v>
      </c>
      <c r="D264" s="12" t="str">
        <f ca="1">IFERROR(__xludf.DUMMYFUNCTION("""COMPUTED_VALUE"""),"MINIMES")</f>
        <v>MINIMES</v>
      </c>
      <c r="E264" s="14" t="str">
        <f ca="1">IFERROR(__xludf.DUMMYFUNCTION("""COMPUTED_VALUE"""),"COLLEGE")</f>
        <v>COLLEGE</v>
      </c>
      <c r="F264" s="1" t="str">
        <f ca="1">IFERROR(__xludf.DUMMYFUNCTION("""COMPUTED_VALUE"""),"DELAUNAY")</f>
        <v>DELAUNAY</v>
      </c>
      <c r="G264" s="12" t="str">
        <f ca="1">IFERROR(__xludf.DUMMYFUNCTION("""COMPUTED_VALUE"""),"GRAY")</f>
        <v>GRAY</v>
      </c>
      <c r="H264" s="12" t="str">
        <f t="shared" ca="1" si="1"/>
        <v>COLLEGE  DELAUNAY  GRAY</v>
      </c>
      <c r="I264" s="6"/>
      <c r="J264" s="12"/>
      <c r="K264" s="12"/>
      <c r="L264" s="12" t="str">
        <f ca="1">IFERROR(__xludf.DUMMYFUNCTION("""COMPUTED_VALUE"""),"06 84 30 81 67")</f>
        <v>06 84 30 81 67</v>
      </c>
      <c r="M264" s="12" t="str">
        <f ca="1">IFERROR(__xludf.DUMMYFUNCTION("""COMPUTED_VALUE"""),"70100 CHARGEY LES GRAY")</f>
        <v>70100 CHARGEY LES GRAY</v>
      </c>
      <c r="N264" s="6"/>
      <c r="O264" s="6"/>
    </row>
    <row r="265" spans="1:15" ht="15.5" x14ac:dyDescent="0.35">
      <c r="A265" s="12" t="str">
        <f ca="1">IFERROR(__xludf.DUMMYFUNCTION("""COMPUTED_VALUE"""),"ROLAND Rayen")</f>
        <v>ROLAND Rayen</v>
      </c>
      <c r="B265" s="12" t="str">
        <f ca="1">IFERROR(__xludf.DUMMYFUNCTION("""COMPUTED_VALUE"""),"H")</f>
        <v>H</v>
      </c>
      <c r="C265" s="13">
        <f ca="1">IFERROR(__xludf.DUMMYFUNCTION("""COMPUTED_VALUE"""),40484)</f>
        <v>40484</v>
      </c>
      <c r="D265" s="12" t="str">
        <f ca="1">IFERROR(__xludf.DUMMYFUNCTION("""COMPUTED_VALUE"""),"MINIMES")</f>
        <v>MINIMES</v>
      </c>
      <c r="E265" s="14" t="str">
        <f ca="1">IFERROR(__xludf.DUMMYFUNCTION("""COMPUTED_VALUE"""),"COLLEGE")</f>
        <v>COLLEGE</v>
      </c>
      <c r="F265" s="1" t="str">
        <f ca="1">IFERROR(__xludf.DUMMYFUNCTION("""COMPUTED_VALUE"""),"DELAUNAY")</f>
        <v>DELAUNAY</v>
      </c>
      <c r="G265" s="12" t="str">
        <f ca="1">IFERROR(__xludf.DUMMYFUNCTION("""COMPUTED_VALUE"""),"GRAY")</f>
        <v>GRAY</v>
      </c>
      <c r="H265" s="12" t="str">
        <f t="shared" ca="1" si="1"/>
        <v>COLLEGE  DELAUNAY  GRAY</v>
      </c>
      <c r="I265" s="6"/>
      <c r="J265" s="12"/>
      <c r="K265" s="12"/>
      <c r="L265" s="12" t="str">
        <f ca="1">IFERROR(__xludf.DUMMYFUNCTION("""COMPUTED_VALUE"""),"06 59 02 71 28")</f>
        <v>06 59 02 71 28</v>
      </c>
      <c r="M265" s="12" t="str">
        <f ca="1">IFERROR(__xludf.DUMMYFUNCTION("""COMPUTED_VALUE"""),"70600 OYRIERES")</f>
        <v>70600 OYRIERES</v>
      </c>
      <c r="N265" s="6"/>
      <c r="O265" s="6"/>
    </row>
    <row r="266" spans="1:15" ht="15.5" x14ac:dyDescent="0.35">
      <c r="A266" s="12" t="str">
        <f ca="1">IFERROR(__xludf.DUMMYFUNCTION("""COMPUTED_VALUE"""),"TOURNERET Loïs")</f>
        <v>TOURNERET Loïs</v>
      </c>
      <c r="B266" s="12" t="str">
        <f ca="1">IFERROR(__xludf.DUMMYFUNCTION("""COMPUTED_VALUE"""),"H")</f>
        <v>H</v>
      </c>
      <c r="C266" s="13">
        <f ca="1">IFERROR(__xludf.DUMMYFUNCTION("""COMPUTED_VALUE"""),40512)</f>
        <v>40512</v>
      </c>
      <c r="D266" s="12" t="str">
        <f ca="1">IFERROR(__xludf.DUMMYFUNCTION("""COMPUTED_VALUE"""),"MINIMES")</f>
        <v>MINIMES</v>
      </c>
      <c r="E266" s="14" t="str">
        <f ca="1">IFERROR(__xludf.DUMMYFUNCTION("""COMPUTED_VALUE"""),"COLLEGE")</f>
        <v>COLLEGE</v>
      </c>
      <c r="F266" s="1" t="str">
        <f ca="1">IFERROR(__xludf.DUMMYFUNCTION("""COMPUTED_VALUE"""),"DELAUNAY")</f>
        <v>DELAUNAY</v>
      </c>
      <c r="G266" s="12" t="str">
        <f ca="1">IFERROR(__xludf.DUMMYFUNCTION("""COMPUTED_VALUE"""),"GRAY")</f>
        <v>GRAY</v>
      </c>
      <c r="H266" s="12" t="str">
        <f t="shared" ca="1" si="1"/>
        <v>COLLEGE  DELAUNAY  GRAY</v>
      </c>
      <c r="I266" s="6"/>
      <c r="J266" s="12"/>
      <c r="K266" s="12"/>
      <c r="L266" s="12" t="str">
        <f ca="1">IFERROR(__xludf.DUMMYFUNCTION("""COMPUTED_VALUE"""),"06 32 84 41 40")</f>
        <v>06 32 84 41 40</v>
      </c>
      <c r="M266" s="12" t="str">
        <f ca="1">IFERROR(__xludf.DUMMYFUNCTION("""COMPUTED_VALUE"""),"70100 CHARGEY LES GRAY")</f>
        <v>70100 CHARGEY LES GRAY</v>
      </c>
      <c r="N266" s="6"/>
      <c r="O266" s="6"/>
    </row>
    <row r="267" spans="1:15" ht="15.5" x14ac:dyDescent="0.35">
      <c r="A267" s="12" t="str">
        <f ca="1">IFERROR(__xludf.DUMMYFUNCTION("""COMPUTED_VALUE"""),"ALAHMAD Noura")</f>
        <v>ALAHMAD Noura</v>
      </c>
      <c r="B267" s="12" t="str">
        <f ca="1">IFERROR(__xludf.DUMMYFUNCTION("""COMPUTED_VALUE"""),"F")</f>
        <v>F</v>
      </c>
      <c r="C267" s="13">
        <f ca="1">IFERROR(__xludf.DUMMYFUNCTION("""COMPUTED_VALUE"""),41142)</f>
        <v>41142</v>
      </c>
      <c r="D267" s="12" t="str">
        <f ca="1">IFERROR(__xludf.DUMMYFUNCTION("""COMPUTED_VALUE"""),"BENJAMINS")</f>
        <v>BENJAMINS</v>
      </c>
      <c r="E267" s="14" t="str">
        <f ca="1">IFERROR(__xludf.DUMMYFUNCTION("""COMPUTED_VALUE"""),"COLLEGE")</f>
        <v>COLLEGE</v>
      </c>
      <c r="F267" s="1" t="str">
        <f ca="1">IFERROR(__xludf.DUMMYFUNCTION("""COMPUTED_VALUE"""),"ROME DE L'ISLE")</f>
        <v>ROME DE L'ISLE</v>
      </c>
      <c r="G267" s="12" t="str">
        <f ca="1">IFERROR(__xludf.DUMMYFUNCTION("""COMPUTED_VALUE"""),"GRAY")</f>
        <v>GRAY</v>
      </c>
      <c r="H267" s="12" t="str">
        <f t="shared" ca="1" si="1"/>
        <v>COLLEGE  ROME DE L'ISLE  GRAY</v>
      </c>
      <c r="I267" s="6"/>
      <c r="J267" s="12" t="str">
        <f ca="1">IFERROR(__xludf.DUMMYFUNCTION("""COMPUTED_VALUE"""),"OK")</f>
        <v>OK</v>
      </c>
      <c r="K267" s="12" t="str">
        <f ca="1">IFERROR(__xludf.DUMMYFUNCTION("""COMPUTED_VALUE"""),"alahmadabdulwahab06@gmail.com")</f>
        <v>alahmadabdulwahab06@gmail.com</v>
      </c>
      <c r="L267" s="12" t="str">
        <f ca="1">IFERROR(__xludf.DUMMYFUNCTION("""COMPUTED_VALUE"""),"0 7 67 03 09 15")</f>
        <v>0 7 67 03 09 15</v>
      </c>
      <c r="M267" s="12" t="str">
        <f ca="1">IFERROR(__xludf.DUMMYFUNCTION("""COMPUTED_VALUE"""),"70100 GRAY")</f>
        <v>70100 GRAY</v>
      </c>
      <c r="N267" s="6"/>
      <c r="O267" s="6"/>
    </row>
    <row r="268" spans="1:15" ht="15.5" x14ac:dyDescent="0.35">
      <c r="A268" s="12" t="str">
        <f ca="1">IFERROR(__xludf.DUMMYFUNCTION("""COMPUTED_VALUE"""),"CHAIN Ambre")</f>
        <v>CHAIN Ambre</v>
      </c>
      <c r="B268" s="12" t="str">
        <f ca="1">IFERROR(__xludf.DUMMYFUNCTION("""COMPUTED_VALUE"""),"F")</f>
        <v>F</v>
      </c>
      <c r="C268" s="13">
        <f ca="1">IFERROR(__xludf.DUMMYFUNCTION("""COMPUTED_VALUE"""),41149)</f>
        <v>41149</v>
      </c>
      <c r="D268" s="12" t="str">
        <f ca="1">IFERROR(__xludf.DUMMYFUNCTION("""COMPUTED_VALUE"""),"BENJAMINS")</f>
        <v>BENJAMINS</v>
      </c>
      <c r="E268" s="14" t="str">
        <f ca="1">IFERROR(__xludf.DUMMYFUNCTION("""COMPUTED_VALUE"""),"COLLEGE")</f>
        <v>COLLEGE</v>
      </c>
      <c r="F268" s="1" t="str">
        <f ca="1">IFERROR(__xludf.DUMMYFUNCTION("""COMPUTED_VALUE"""),"ROME DE L'ISLE")</f>
        <v>ROME DE L'ISLE</v>
      </c>
      <c r="G268" s="12" t="str">
        <f ca="1">IFERROR(__xludf.DUMMYFUNCTION("""COMPUTED_VALUE"""),"GRAY")</f>
        <v>GRAY</v>
      </c>
      <c r="H268" s="12" t="str">
        <f t="shared" ca="1" si="1"/>
        <v>COLLEGE  ROME DE L'ISLE  GRAY</v>
      </c>
      <c r="I268" s="6"/>
      <c r="J268" s="12" t="str">
        <f ca="1">IFERROR(__xludf.DUMMYFUNCTION("""COMPUTED_VALUE"""),"OK")</f>
        <v>OK</v>
      </c>
      <c r="K268" s="12" t="str">
        <f ca="1">IFERROR(__xludf.DUMMYFUNCTION("""COMPUTED_VALUE"""),"valerie.chain1981@yahoo.com")</f>
        <v>valerie.chain1981@yahoo.com</v>
      </c>
      <c r="L268" s="12" t="str">
        <f ca="1">IFERROR(__xludf.DUMMYFUNCTION("""COMPUTED_VALUE"""),"06 83 24 52 18")</f>
        <v>06 83 24 52 18</v>
      </c>
      <c r="M268" s="12" t="str">
        <f ca="1">IFERROR(__xludf.DUMMYFUNCTION("""COMPUTED_VALUE"""),"70100 ECHEVANNE")</f>
        <v>70100 ECHEVANNE</v>
      </c>
      <c r="N268" s="6"/>
      <c r="O268" s="6"/>
    </row>
    <row r="269" spans="1:15" ht="15.5" x14ac:dyDescent="0.35">
      <c r="A269" s="12" t="str">
        <f ca="1">IFERROR(__xludf.DUMMYFUNCTION("""COMPUTED_VALUE"""),"CONSLIN VOUILLOT Marley")</f>
        <v>CONSLIN VOUILLOT Marley</v>
      </c>
      <c r="B269" s="12" t="str">
        <f ca="1">IFERROR(__xludf.DUMMYFUNCTION("""COMPUTED_VALUE"""),"H")</f>
        <v>H</v>
      </c>
      <c r="C269" s="13">
        <f ca="1">IFERROR(__xludf.DUMMYFUNCTION("""COMPUTED_VALUE"""),41052)</f>
        <v>41052</v>
      </c>
      <c r="D269" s="12" t="str">
        <f ca="1">IFERROR(__xludf.DUMMYFUNCTION("""COMPUTED_VALUE"""),"BENJAMINS")</f>
        <v>BENJAMINS</v>
      </c>
      <c r="E269" s="14" t="str">
        <f ca="1">IFERROR(__xludf.DUMMYFUNCTION("""COMPUTED_VALUE"""),"COLLEGE")</f>
        <v>COLLEGE</v>
      </c>
      <c r="F269" s="1" t="str">
        <f ca="1">IFERROR(__xludf.DUMMYFUNCTION("""COMPUTED_VALUE"""),"ROME DE L'ISLE")</f>
        <v>ROME DE L'ISLE</v>
      </c>
      <c r="G269" s="12" t="str">
        <f ca="1">IFERROR(__xludf.DUMMYFUNCTION("""COMPUTED_VALUE"""),"GRAY")</f>
        <v>GRAY</v>
      </c>
      <c r="H269" s="12" t="str">
        <f t="shared" ca="1" si="1"/>
        <v>COLLEGE  ROME DE L'ISLE  GRAY</v>
      </c>
      <c r="I269" s="6"/>
      <c r="J269" s="12" t="str">
        <f ca="1">IFERROR(__xludf.DUMMYFUNCTION("""COMPUTED_VALUE"""),"OK")</f>
        <v>OK</v>
      </c>
      <c r="K269" s="12" t="str">
        <f ca="1">IFERROR(__xludf.DUMMYFUNCTION("""COMPUTED_VALUE"""),"vouillotesther@gmail.com")</f>
        <v>vouillotesther@gmail.com</v>
      </c>
      <c r="L269" s="12" t="str">
        <f ca="1">IFERROR(__xludf.DUMMYFUNCTION("""COMPUTED_VALUE"""),"06 01 42 35 78")</f>
        <v>06 01 42 35 78</v>
      </c>
      <c r="M269" s="12" t="str">
        <f ca="1">IFERROR(__xludf.DUMMYFUNCTION("""COMPUTED_VALUE"""),"70100 CHAMPTONNAY")</f>
        <v>70100 CHAMPTONNAY</v>
      </c>
      <c r="N269" s="6"/>
      <c r="O269" s="6"/>
    </row>
    <row r="270" spans="1:15" ht="15.5" x14ac:dyDescent="0.35">
      <c r="A270" s="12" t="str">
        <f ca="1">IFERROR(__xludf.DUMMYFUNCTION("""COMPUTED_VALUE"""),"COURBEY-GONY Maël")</f>
        <v>COURBEY-GONY Maël</v>
      </c>
      <c r="B270" s="12" t="str">
        <f ca="1">IFERROR(__xludf.DUMMYFUNCTION("""COMPUTED_VALUE"""),"H")</f>
        <v>H</v>
      </c>
      <c r="C270" s="13">
        <f ca="1">IFERROR(__xludf.DUMMYFUNCTION("""COMPUTED_VALUE"""),40695)</f>
        <v>40695</v>
      </c>
      <c r="D270" s="12" t="str">
        <f ca="1">IFERROR(__xludf.DUMMYFUNCTION("""COMPUTED_VALUE"""),"BENJAMINS")</f>
        <v>BENJAMINS</v>
      </c>
      <c r="E270" s="14" t="str">
        <f ca="1">IFERROR(__xludf.DUMMYFUNCTION("""COMPUTED_VALUE"""),"COLLEGE")</f>
        <v>COLLEGE</v>
      </c>
      <c r="F270" s="1" t="str">
        <f ca="1">IFERROR(__xludf.DUMMYFUNCTION("""COMPUTED_VALUE"""),"ROME DE L'ISLE")</f>
        <v>ROME DE L'ISLE</v>
      </c>
      <c r="G270" s="12" t="str">
        <f ca="1">IFERROR(__xludf.DUMMYFUNCTION("""COMPUTED_VALUE"""),"GRAY")</f>
        <v>GRAY</v>
      </c>
      <c r="H270" s="12" t="str">
        <f t="shared" ca="1" si="1"/>
        <v>COLLEGE  ROME DE L'ISLE  GRAY</v>
      </c>
      <c r="I270" s="6"/>
      <c r="J270" s="12" t="str">
        <f ca="1">IFERROR(__xludf.DUMMYFUNCTION("""COMPUTED_VALUE"""),"OK")</f>
        <v>OK</v>
      </c>
      <c r="K270" s="12" t="str">
        <f ca="1">IFERROR(__xludf.DUMMYFUNCTION("""COMPUTED_VALUE"""),"courbey.mikael@orange.fr")</f>
        <v>courbey.mikael@orange.fr</v>
      </c>
      <c r="L270" s="12" t="str">
        <f ca="1">IFERROR(__xludf.DUMMYFUNCTION("""COMPUTED_VALUE"""),"06 84 15 37 42")</f>
        <v>06 84 15 37 42</v>
      </c>
      <c r="M270" s="12" t="str">
        <f ca="1">IFERROR(__xludf.DUMMYFUNCTION("""COMPUTED_VALUE"""),"70100 ESMOULINS")</f>
        <v>70100 ESMOULINS</v>
      </c>
      <c r="N270" s="6"/>
      <c r="O270" s="6"/>
    </row>
    <row r="271" spans="1:15" ht="15.5" x14ac:dyDescent="0.35">
      <c r="A271" s="12" t="str">
        <f ca="1">IFERROR(__xludf.DUMMYFUNCTION("""COMPUTED_VALUE"""),"KESSLER Laurine")</f>
        <v>KESSLER Laurine</v>
      </c>
      <c r="B271" s="12" t="str">
        <f ca="1">IFERROR(__xludf.DUMMYFUNCTION("""COMPUTED_VALUE"""),"F")</f>
        <v>F</v>
      </c>
      <c r="C271" s="13">
        <f ca="1">IFERROR(__xludf.DUMMYFUNCTION("""COMPUTED_VALUE"""),40593)</f>
        <v>40593</v>
      </c>
      <c r="D271" s="12" t="str">
        <f ca="1">IFERROR(__xludf.DUMMYFUNCTION("""COMPUTED_VALUE"""),"BENJAMINS")</f>
        <v>BENJAMINS</v>
      </c>
      <c r="E271" s="14" t="str">
        <f ca="1">IFERROR(__xludf.DUMMYFUNCTION("""COMPUTED_VALUE"""),"COLLEGE")</f>
        <v>COLLEGE</v>
      </c>
      <c r="F271" s="1" t="str">
        <f ca="1">IFERROR(__xludf.DUMMYFUNCTION("""COMPUTED_VALUE"""),"ROME DE L'ISLE")</f>
        <v>ROME DE L'ISLE</v>
      </c>
      <c r="G271" s="12" t="str">
        <f ca="1">IFERROR(__xludf.DUMMYFUNCTION("""COMPUTED_VALUE"""),"GRAY")</f>
        <v>GRAY</v>
      </c>
      <c r="H271" s="12" t="str">
        <f t="shared" ca="1" si="1"/>
        <v>COLLEGE  ROME DE L'ISLE  GRAY</v>
      </c>
      <c r="I271" s="6"/>
      <c r="J271" s="12"/>
      <c r="K271" s="12"/>
      <c r="L271" s="12" t="str">
        <f ca="1">IFERROR(__xludf.DUMMYFUNCTION("""COMPUTED_VALUE"""),"06 33 17 96 58")</f>
        <v>06 33 17 96 58</v>
      </c>
      <c r="M271" s="12" t="str">
        <f ca="1">IFERROR(__xludf.DUMMYFUNCTION("""COMPUTED_VALUE"""),"70100 MANTOCHE")</f>
        <v>70100 MANTOCHE</v>
      </c>
      <c r="N271" s="6"/>
      <c r="O271" s="6"/>
    </row>
    <row r="272" spans="1:15" ht="15.5" x14ac:dyDescent="0.35">
      <c r="A272" s="12" t="str">
        <f ca="1">IFERROR(__xludf.DUMMYFUNCTION("""COMPUTED_VALUE"""),"LAMARCHE LECOQ Livia")</f>
        <v>LAMARCHE LECOQ Livia</v>
      </c>
      <c r="B272" s="12" t="str">
        <f ca="1">IFERROR(__xludf.DUMMYFUNCTION("""COMPUTED_VALUE"""),"F")</f>
        <v>F</v>
      </c>
      <c r="C272" s="13">
        <f ca="1">IFERROR(__xludf.DUMMYFUNCTION("""COMPUTED_VALUE"""),40801)</f>
        <v>40801</v>
      </c>
      <c r="D272" s="12" t="str">
        <f ca="1">IFERROR(__xludf.DUMMYFUNCTION("""COMPUTED_VALUE"""),"BENJAMINS")</f>
        <v>BENJAMINS</v>
      </c>
      <c r="E272" s="14" t="str">
        <f ca="1">IFERROR(__xludf.DUMMYFUNCTION("""COMPUTED_VALUE"""),"COLLEGE")</f>
        <v>COLLEGE</v>
      </c>
      <c r="F272" s="1" t="str">
        <f ca="1">IFERROR(__xludf.DUMMYFUNCTION("""COMPUTED_VALUE"""),"ROME DE L'ISLE")</f>
        <v>ROME DE L'ISLE</v>
      </c>
      <c r="G272" s="12" t="str">
        <f ca="1">IFERROR(__xludf.DUMMYFUNCTION("""COMPUTED_VALUE"""),"GRAY")</f>
        <v>GRAY</v>
      </c>
      <c r="H272" s="12" t="str">
        <f t="shared" ca="1" si="1"/>
        <v>COLLEGE  ROME DE L'ISLE  GRAY</v>
      </c>
      <c r="I272" s="6"/>
      <c r="J272" s="12" t="str">
        <f ca="1">IFERROR(__xludf.DUMMYFUNCTION("""COMPUTED_VALUE"""),"OK")</f>
        <v>OK</v>
      </c>
      <c r="K272" s="12" t="str">
        <f ca="1">IFERROR(__xludf.DUMMYFUNCTION("""COMPUTED_VALUE"""),"laurent.lamarche@orange.fr")</f>
        <v>laurent.lamarche@orange.fr</v>
      </c>
      <c r="L272" s="12" t="str">
        <f ca="1">IFERROR(__xludf.DUMMYFUNCTION("""COMPUTED_VALUE"""),"06 75 47 56 28")</f>
        <v>06 75 47 56 28</v>
      </c>
      <c r="M272" s="12" t="str">
        <f ca="1">IFERROR(__xludf.DUMMYFUNCTION("""COMPUTED_VALUE"""),"70100 GRAY")</f>
        <v>70100 GRAY</v>
      </c>
      <c r="N272" s="6"/>
      <c r="O272" s="6"/>
    </row>
    <row r="273" spans="1:15" ht="15.5" x14ac:dyDescent="0.35">
      <c r="A273" s="12" t="str">
        <f ca="1">IFERROR(__xludf.DUMMYFUNCTION("""COMPUTED_VALUE"""),"MAITREJEAN Anaël")</f>
        <v>MAITREJEAN Anaël</v>
      </c>
      <c r="B273" s="12" t="str">
        <f ca="1">IFERROR(__xludf.DUMMYFUNCTION("""COMPUTED_VALUE"""),"H")</f>
        <v>H</v>
      </c>
      <c r="C273" s="13">
        <f ca="1">IFERROR(__xludf.DUMMYFUNCTION("""COMPUTED_VALUE"""),40802)</f>
        <v>40802</v>
      </c>
      <c r="D273" s="12" t="str">
        <f ca="1">IFERROR(__xludf.DUMMYFUNCTION("""COMPUTED_VALUE"""),"BENJAMINS")</f>
        <v>BENJAMINS</v>
      </c>
      <c r="E273" s="14" t="str">
        <f ca="1">IFERROR(__xludf.DUMMYFUNCTION("""COMPUTED_VALUE"""),"COLLEGE")</f>
        <v>COLLEGE</v>
      </c>
      <c r="F273" s="1" t="str">
        <f ca="1">IFERROR(__xludf.DUMMYFUNCTION("""COMPUTED_VALUE"""),"ROME DE L'ISLE")</f>
        <v>ROME DE L'ISLE</v>
      </c>
      <c r="G273" s="12" t="str">
        <f ca="1">IFERROR(__xludf.DUMMYFUNCTION("""COMPUTED_VALUE"""),"GRAY")</f>
        <v>GRAY</v>
      </c>
      <c r="H273" s="12" t="str">
        <f t="shared" ca="1" si="1"/>
        <v>COLLEGE  ROME DE L'ISLE  GRAY</v>
      </c>
      <c r="I273" s="6"/>
      <c r="J273" s="12" t="str">
        <f ca="1">IFERROR(__xludf.DUMMYFUNCTION("""COMPUTED_VALUE"""),"OK")</f>
        <v>OK</v>
      </c>
      <c r="K273" s="12" t="str">
        <f ca="1">IFERROR(__xludf.DUMMYFUNCTION("""COMPUTED_VALUE"""),"nini_morel38@hotmail.fr")</f>
        <v>nini_morel38@hotmail.fr</v>
      </c>
      <c r="L273" s="12" t="str">
        <f ca="1">IFERROR(__xludf.DUMMYFUNCTION("""COMPUTED_VALUE"""),"06 38 66 32 36")</f>
        <v>06 38 66 32 36</v>
      </c>
      <c r="M273" s="12" t="str">
        <f ca="1">IFERROR(__xludf.DUMMYFUNCTION("""COMPUTED_VALUE"""),"70100 GRAY")</f>
        <v>70100 GRAY</v>
      </c>
      <c r="N273" s="6"/>
      <c r="O273" s="6"/>
    </row>
    <row r="274" spans="1:15" ht="15.5" x14ac:dyDescent="0.35">
      <c r="A274" s="12" t="str">
        <f ca="1">IFERROR(__xludf.DUMMYFUNCTION("""COMPUTED_VALUE"""),"PILLOT Léon")</f>
        <v>PILLOT Léon</v>
      </c>
      <c r="B274" s="12" t="str">
        <f ca="1">IFERROR(__xludf.DUMMYFUNCTION("""COMPUTED_VALUE"""),"H")</f>
        <v>H</v>
      </c>
      <c r="C274" s="13">
        <f ca="1">IFERROR(__xludf.DUMMYFUNCTION("""COMPUTED_VALUE"""),41265)</f>
        <v>41265</v>
      </c>
      <c r="D274" s="12" t="str">
        <f ca="1">IFERROR(__xludf.DUMMYFUNCTION("""COMPUTED_VALUE"""),"BENJAMINS")</f>
        <v>BENJAMINS</v>
      </c>
      <c r="E274" s="14" t="str">
        <f ca="1">IFERROR(__xludf.DUMMYFUNCTION("""COMPUTED_VALUE"""),"COLLEGE")</f>
        <v>COLLEGE</v>
      </c>
      <c r="F274" s="1" t="str">
        <f ca="1">IFERROR(__xludf.DUMMYFUNCTION("""COMPUTED_VALUE"""),"ROME DE L'ISLE")</f>
        <v>ROME DE L'ISLE</v>
      </c>
      <c r="G274" s="12" t="str">
        <f ca="1">IFERROR(__xludf.DUMMYFUNCTION("""COMPUTED_VALUE"""),"GRAY")</f>
        <v>GRAY</v>
      </c>
      <c r="H274" s="12" t="str">
        <f t="shared" ca="1" si="1"/>
        <v>COLLEGE  ROME DE L'ISLE  GRAY</v>
      </c>
      <c r="I274" s="6"/>
      <c r="J274" s="12" t="str">
        <f ca="1">IFERROR(__xludf.DUMMYFUNCTION("""COMPUTED_VALUE"""),"OK")</f>
        <v>OK</v>
      </c>
      <c r="K274" s="12" t="str">
        <f ca="1">IFERROR(__xludf.DUMMYFUNCTION("""COMPUTED_VALUE"""),"bernadettesimonin@yahoo.fr")</f>
        <v>bernadettesimonin@yahoo.fr</v>
      </c>
      <c r="L274" s="12" t="str">
        <f ca="1">IFERROR(__xludf.DUMMYFUNCTION("""COMPUTED_VALUE"""),"06 30 05 68 79")</f>
        <v>06 30 05 68 79</v>
      </c>
      <c r="M274" s="12" t="str">
        <f ca="1">IFERROR(__xludf.DUMMYFUNCTION("""COMPUTED_VALUE"""),"70100 GRAY")</f>
        <v>70100 GRAY</v>
      </c>
      <c r="N274" s="6"/>
      <c r="O274" s="6"/>
    </row>
    <row r="275" spans="1:15" ht="15.5" x14ac:dyDescent="0.35">
      <c r="A275" s="12" t="str">
        <f ca="1">IFERROR(__xludf.DUMMYFUNCTION("""COMPUTED_VALUE"""),"ROMERO Lana")</f>
        <v>ROMERO Lana</v>
      </c>
      <c r="B275" s="12" t="str">
        <f ca="1">IFERROR(__xludf.DUMMYFUNCTION("""COMPUTED_VALUE"""),"F")</f>
        <v>F</v>
      </c>
      <c r="C275" s="13">
        <f ca="1">IFERROR(__xludf.DUMMYFUNCTION("""COMPUTED_VALUE"""),41094)</f>
        <v>41094</v>
      </c>
      <c r="D275" s="12" t="str">
        <f ca="1">IFERROR(__xludf.DUMMYFUNCTION("""COMPUTED_VALUE"""),"BENJAMINS")</f>
        <v>BENJAMINS</v>
      </c>
      <c r="E275" s="14" t="str">
        <f ca="1">IFERROR(__xludf.DUMMYFUNCTION("""COMPUTED_VALUE"""),"COLLEGE")</f>
        <v>COLLEGE</v>
      </c>
      <c r="F275" s="1" t="str">
        <f ca="1">IFERROR(__xludf.DUMMYFUNCTION("""COMPUTED_VALUE"""),"ROME DE L'ISLE")</f>
        <v>ROME DE L'ISLE</v>
      </c>
      <c r="G275" s="12" t="str">
        <f ca="1">IFERROR(__xludf.DUMMYFUNCTION("""COMPUTED_VALUE"""),"GRAY")</f>
        <v>GRAY</v>
      </c>
      <c r="H275" s="12" t="str">
        <f t="shared" ca="1" si="1"/>
        <v>COLLEGE  ROME DE L'ISLE  GRAY</v>
      </c>
      <c r="I275" s="6"/>
      <c r="J275" s="12" t="str">
        <f ca="1">IFERROR(__xludf.DUMMYFUNCTION("""COMPUTED_VALUE"""),"OK")</f>
        <v>OK</v>
      </c>
      <c r="K275" s="12" t="str">
        <f ca="1">IFERROR(__xludf.DUMMYFUNCTION("""COMPUTED_VALUE"""),"cannard.anais@laposte.net")</f>
        <v>cannard.anais@laposte.net</v>
      </c>
      <c r="L275" s="12" t="str">
        <f ca="1">IFERROR(__xludf.DUMMYFUNCTION("""COMPUTED_VALUE"""),"06 40 24 87 88")</f>
        <v>06 40 24 87 88</v>
      </c>
      <c r="M275" s="12" t="str">
        <f ca="1">IFERROR(__xludf.DUMMYFUNCTION("""COMPUTED_VALUE"""),"70100 APREMONT")</f>
        <v>70100 APREMONT</v>
      </c>
      <c r="N275" s="6"/>
      <c r="O275" s="6"/>
    </row>
    <row r="276" spans="1:15" ht="15.5" x14ac:dyDescent="0.35">
      <c r="A276" s="12" t="str">
        <f ca="1">IFERROR(__xludf.DUMMYFUNCTION("""COMPUTED_VALUE"""),"RUFFY Louane")</f>
        <v>RUFFY Louane</v>
      </c>
      <c r="B276" s="12" t="str">
        <f ca="1">IFERROR(__xludf.DUMMYFUNCTION("""COMPUTED_VALUE"""),"F")</f>
        <v>F</v>
      </c>
      <c r="C276" s="13">
        <f ca="1">IFERROR(__xludf.DUMMYFUNCTION("""COMPUTED_VALUE"""),40802)</f>
        <v>40802</v>
      </c>
      <c r="D276" s="12" t="str">
        <f ca="1">IFERROR(__xludf.DUMMYFUNCTION("""COMPUTED_VALUE"""),"BENJAMINS")</f>
        <v>BENJAMINS</v>
      </c>
      <c r="E276" s="14" t="str">
        <f ca="1">IFERROR(__xludf.DUMMYFUNCTION("""COMPUTED_VALUE"""),"COLLEGE")</f>
        <v>COLLEGE</v>
      </c>
      <c r="F276" s="1" t="str">
        <f ca="1">IFERROR(__xludf.DUMMYFUNCTION("""COMPUTED_VALUE"""),"ROME DE L'ISLE")</f>
        <v>ROME DE L'ISLE</v>
      </c>
      <c r="G276" s="12" t="str">
        <f ca="1">IFERROR(__xludf.DUMMYFUNCTION("""COMPUTED_VALUE"""),"GRAY")</f>
        <v>GRAY</v>
      </c>
      <c r="H276" s="12" t="str">
        <f t="shared" ca="1" si="1"/>
        <v>COLLEGE  ROME DE L'ISLE  GRAY</v>
      </c>
      <c r="I276" s="6"/>
      <c r="J276" s="12" t="str">
        <f ca="1">IFERROR(__xludf.DUMMYFUNCTION("""COMPUTED_VALUE"""),"OK")</f>
        <v>OK</v>
      </c>
      <c r="K276" s="12" t="str">
        <f ca="1">IFERROR(__xludf.DUMMYFUNCTION("""COMPUTED_VALUE"""),"cortique1212@gmail.com")</f>
        <v>cortique1212@gmail.com</v>
      </c>
      <c r="L276" s="12" t="str">
        <f ca="1">IFERROR(__xludf.DUMMYFUNCTION("""COMPUTED_VALUE"""),"06 38 72 06 92")</f>
        <v>06 38 72 06 92</v>
      </c>
      <c r="M276" s="12" t="str">
        <f ca="1">IFERROR(__xludf.DUMMYFUNCTION("""COMPUTED_VALUE"""),"70100 BATTRANS")</f>
        <v>70100 BATTRANS</v>
      </c>
      <c r="N276" s="6"/>
      <c r="O276" s="6"/>
    </row>
    <row r="277" spans="1:15" ht="15.5" x14ac:dyDescent="0.35">
      <c r="A277" s="12" t="str">
        <f ca="1">IFERROR(__xludf.DUMMYFUNCTION("""COMPUTED_VALUE"""),"TACLET Nathan")</f>
        <v>TACLET Nathan</v>
      </c>
      <c r="B277" s="12" t="str">
        <f ca="1">IFERROR(__xludf.DUMMYFUNCTION("""COMPUTED_VALUE"""),"H")</f>
        <v>H</v>
      </c>
      <c r="C277" s="13">
        <f ca="1">IFERROR(__xludf.DUMMYFUNCTION("""COMPUTED_VALUE"""),40842)</f>
        <v>40842</v>
      </c>
      <c r="D277" s="12" t="str">
        <f ca="1">IFERROR(__xludf.DUMMYFUNCTION("""COMPUTED_VALUE"""),"BENJAMINS")</f>
        <v>BENJAMINS</v>
      </c>
      <c r="E277" s="14" t="str">
        <f ca="1">IFERROR(__xludf.DUMMYFUNCTION("""COMPUTED_VALUE"""),"COLLEGE")</f>
        <v>COLLEGE</v>
      </c>
      <c r="F277" s="1" t="str">
        <f ca="1">IFERROR(__xludf.DUMMYFUNCTION("""COMPUTED_VALUE"""),"ROME DE L'ISLE")</f>
        <v>ROME DE L'ISLE</v>
      </c>
      <c r="G277" s="12" t="str">
        <f ca="1">IFERROR(__xludf.DUMMYFUNCTION("""COMPUTED_VALUE"""),"GRAY")</f>
        <v>GRAY</v>
      </c>
      <c r="H277" s="12" t="str">
        <f t="shared" ca="1" si="1"/>
        <v>COLLEGE  ROME DE L'ISLE  GRAY</v>
      </c>
      <c r="I277" s="6"/>
      <c r="J277" s="12" t="str">
        <f ca="1">IFERROR(__xludf.DUMMYFUNCTION("""COMPUTED_VALUE"""),"OK")</f>
        <v>OK</v>
      </c>
      <c r="K277" s="12" t="str">
        <f ca="1">IFERROR(__xludf.DUMMYFUNCTION("""COMPUTED_VALUE"""),"millot_nathalie@orange.fr")</f>
        <v>millot_nathalie@orange.fr</v>
      </c>
      <c r="L277" s="12" t="str">
        <f ca="1">IFERROR(__xludf.DUMMYFUNCTION("""COMPUTED_VALUE"""),"06 47 98 35 15")</f>
        <v>06 47 98 35 15</v>
      </c>
      <c r="M277" s="12" t="str">
        <f ca="1">IFERROR(__xludf.DUMMYFUNCTION("""COMPUTED_VALUE"""),"70100 VELET")</f>
        <v>70100 VELET</v>
      </c>
      <c r="N277" s="6"/>
      <c r="O277" s="6"/>
    </row>
    <row r="278" spans="1:15" ht="15.5" x14ac:dyDescent="0.35">
      <c r="A278" s="12" t="str">
        <f ca="1">IFERROR(__xludf.DUMMYFUNCTION("""COMPUTED_VALUE"""),"PASCAUD Nathan")</f>
        <v>PASCAUD Nathan</v>
      </c>
      <c r="B278" s="12" t="str">
        <f ca="1">IFERROR(__xludf.DUMMYFUNCTION("""COMPUTED_VALUE"""),"F")</f>
        <v>F</v>
      </c>
      <c r="C278" s="13">
        <f ca="1">IFERROR(__xludf.DUMMYFUNCTION("""COMPUTED_VALUE"""),40364)</f>
        <v>40364</v>
      </c>
      <c r="D278" s="12" t="str">
        <f ca="1">IFERROR(__xludf.DUMMYFUNCTION("""COMPUTED_VALUE"""),"MINIMES")</f>
        <v>MINIMES</v>
      </c>
      <c r="E278" s="14" t="str">
        <f ca="1">IFERROR(__xludf.DUMMYFUNCTION("""COMPUTED_VALUE"""),"COLLEGE")</f>
        <v>COLLEGE</v>
      </c>
      <c r="F278" s="1" t="str">
        <f ca="1">IFERROR(__xludf.DUMMYFUNCTION("""COMPUTED_VALUE"""),"ROME DE L'ISLE")</f>
        <v>ROME DE L'ISLE</v>
      </c>
      <c r="G278" s="12" t="str">
        <f ca="1">IFERROR(__xludf.DUMMYFUNCTION("""COMPUTED_VALUE"""),"GRAY")</f>
        <v>GRAY</v>
      </c>
      <c r="H278" s="12" t="str">
        <f t="shared" ca="1" si="1"/>
        <v>COLLEGE  ROME DE L'ISLE  GRAY</v>
      </c>
      <c r="I278" s="6"/>
      <c r="J278" s="12" t="str">
        <f ca="1">IFERROR(__xludf.DUMMYFUNCTION("""COMPUTED_VALUE"""),"OK")</f>
        <v>OK</v>
      </c>
      <c r="K278" s="12" t="str">
        <f ca="1">IFERROR(__xludf.DUMMYFUNCTION("""COMPUTED_VALUE"""),"christophepascaud7@gmail.com")</f>
        <v>christophepascaud7@gmail.com</v>
      </c>
      <c r="L278" s="12" t="str">
        <f ca="1">IFERROR(__xludf.DUMMYFUNCTION("""COMPUTED_VALUE"""),"07 83 09 76 08")</f>
        <v>07 83 09 76 08</v>
      </c>
      <c r="M278" s="12" t="str">
        <f ca="1">IFERROR(__xludf.DUMMYFUNCTION("""COMPUTED_VALUE"""),"70100 SAINT BROING")</f>
        <v>70100 SAINT BROING</v>
      </c>
      <c r="N278" s="6"/>
      <c r="O278" s="6"/>
    </row>
    <row r="279" spans="1:15" ht="15.5" x14ac:dyDescent="0.35">
      <c r="A279" s="12" t="str">
        <f ca="1">IFERROR(__xludf.DUMMYFUNCTION("""COMPUTED_VALUE"""),"PASCAUD Nathan")</f>
        <v>PASCAUD Nathan</v>
      </c>
      <c r="B279" s="12" t="str">
        <f ca="1">IFERROR(__xludf.DUMMYFUNCTION("""COMPUTED_VALUE"""),"F")</f>
        <v>F</v>
      </c>
      <c r="C279" s="13">
        <f ca="1">IFERROR(__xludf.DUMMYFUNCTION("""COMPUTED_VALUE"""),40364)</f>
        <v>40364</v>
      </c>
      <c r="D279" s="12" t="str">
        <f ca="1">IFERROR(__xludf.DUMMYFUNCTION("""COMPUTED_VALUE"""),"MINIMES")</f>
        <v>MINIMES</v>
      </c>
      <c r="E279" s="14" t="str">
        <f ca="1">IFERROR(__xludf.DUMMYFUNCTION("""COMPUTED_VALUE"""),"COLLEGE")</f>
        <v>COLLEGE</v>
      </c>
      <c r="F279" s="1" t="str">
        <f ca="1">IFERROR(__xludf.DUMMYFUNCTION("""COMPUTED_VALUE"""),"ROME DE L'ISLE")</f>
        <v>ROME DE L'ISLE</v>
      </c>
      <c r="G279" s="12" t="str">
        <f ca="1">IFERROR(__xludf.DUMMYFUNCTION("""COMPUTED_VALUE"""),"GRAY")</f>
        <v>GRAY</v>
      </c>
      <c r="H279" s="12" t="str">
        <f t="shared" ca="1" si="1"/>
        <v>COLLEGE  ROME DE L'ISLE  GRAY</v>
      </c>
      <c r="I279" s="6"/>
      <c r="J279" s="12"/>
      <c r="K279" s="12"/>
      <c r="L279" s="12" t="str">
        <f ca="1">IFERROR(__xludf.DUMMYFUNCTION("""COMPUTED_VALUE"""),"07 83 09 76 08")</f>
        <v>07 83 09 76 08</v>
      </c>
      <c r="M279" s="12" t="str">
        <f ca="1">IFERROR(__xludf.DUMMYFUNCTION("""COMPUTED_VALUE"""),"70100 SAINT BROING")</f>
        <v>70100 SAINT BROING</v>
      </c>
      <c r="N279" s="6"/>
      <c r="O279" s="6"/>
    </row>
    <row r="280" spans="1:15" ht="15.5" x14ac:dyDescent="0.35">
      <c r="A280" s="12" t="str">
        <f ca="1">IFERROR(__xludf.DUMMYFUNCTION("""COMPUTED_VALUE"""),"BOISSON Gabriel")</f>
        <v>BOISSON Gabriel</v>
      </c>
      <c r="B280" s="12" t="str">
        <f ca="1">IFERROR(__xludf.DUMMYFUNCTION("""COMPUTED_VALUE"""),"H")</f>
        <v>H</v>
      </c>
      <c r="C280" s="13">
        <f ca="1">IFERROR(__xludf.DUMMYFUNCTION("""COMPUTED_VALUE"""),41261)</f>
        <v>41261</v>
      </c>
      <c r="D280" s="12" t="str">
        <f ca="1">IFERROR(__xludf.DUMMYFUNCTION("""COMPUTED_VALUE"""),"BENJAMINS")</f>
        <v>BENJAMINS</v>
      </c>
      <c r="E280" s="14" t="str">
        <f ca="1">IFERROR(__xludf.DUMMYFUNCTION("""COMPUTED_VALUE"""),"COLLEGE")</f>
        <v>COLLEGE</v>
      </c>
      <c r="F280" s="1" t="str">
        <f ca="1">IFERROR(__xludf.DUMMYFUNCTION("""COMPUTED_VALUE"""),"GY")</f>
        <v>GY</v>
      </c>
      <c r="G280" s="12" t="str">
        <f ca="1">IFERROR(__xludf.DUMMYFUNCTION("""COMPUTED_VALUE"""),"GY")</f>
        <v>GY</v>
      </c>
      <c r="H280" s="12" t="str">
        <f t="shared" ca="1" si="1"/>
        <v>COLLEGE  GY  GY</v>
      </c>
      <c r="I280" s="6"/>
      <c r="J280" s="12" t="str">
        <f ca="1">IFERROR(__xludf.DUMMYFUNCTION("""COMPUTED_VALUE"""),"OK")</f>
        <v>OK</v>
      </c>
      <c r="K280" s="12" t="str">
        <f ca="1">IFERROR(__xludf.DUMMYFUNCTION("""COMPUTED_VALUE"""),"carolineboisson86@gmail.com")</f>
        <v>carolineboisson86@gmail.com</v>
      </c>
      <c r="L280" s="12" t="str">
        <f ca="1">IFERROR(__xludf.DUMMYFUNCTION("""COMPUTED_VALUE"""),"06 07 50 24 22")</f>
        <v>06 07 50 24 22</v>
      </c>
      <c r="M280" s="12" t="str">
        <f ca="1">IFERROR(__xludf.DUMMYFUNCTION("""COMPUTED_VALUE"""),"70140 VALAY")</f>
        <v>70140 VALAY</v>
      </c>
      <c r="N280" s="6"/>
      <c r="O280" s="6"/>
    </row>
    <row r="281" spans="1:15" ht="15.5" x14ac:dyDescent="0.35">
      <c r="A281" s="12" t="str">
        <f ca="1">IFERROR(__xludf.DUMMYFUNCTION("""COMPUTED_VALUE"""),"BOLLET Kilian")</f>
        <v>BOLLET Kilian</v>
      </c>
      <c r="B281" s="12" t="str">
        <f ca="1">IFERROR(__xludf.DUMMYFUNCTION("""COMPUTED_VALUE"""),"H")</f>
        <v>H</v>
      </c>
      <c r="C281" s="13">
        <f ca="1">IFERROR(__xludf.DUMMYFUNCTION("""COMPUTED_VALUE"""),40639)</f>
        <v>40639</v>
      </c>
      <c r="D281" s="12" t="str">
        <f ca="1">IFERROR(__xludf.DUMMYFUNCTION("""COMPUTED_VALUE"""),"BENJAMINS")</f>
        <v>BENJAMINS</v>
      </c>
      <c r="E281" s="14" t="str">
        <f ca="1">IFERROR(__xludf.DUMMYFUNCTION("""COMPUTED_VALUE"""),"COLLEGE")</f>
        <v>COLLEGE</v>
      </c>
      <c r="F281" s="1" t="str">
        <f ca="1">IFERROR(__xludf.DUMMYFUNCTION("""COMPUTED_VALUE"""),"GY")</f>
        <v>GY</v>
      </c>
      <c r="G281" s="12" t="str">
        <f ca="1">IFERROR(__xludf.DUMMYFUNCTION("""COMPUTED_VALUE"""),"GY")</f>
        <v>GY</v>
      </c>
      <c r="H281" s="12" t="str">
        <f t="shared" ca="1" si="1"/>
        <v>COLLEGE  GY  GY</v>
      </c>
      <c r="I281" s="6"/>
      <c r="J281" s="12" t="str">
        <f ca="1">IFERROR(__xludf.DUMMYFUNCTION("""COMPUTED_VALUE"""),"OK")</f>
        <v>OK</v>
      </c>
      <c r="K281" s="12" t="str">
        <f ca="1">IFERROR(__xludf.DUMMYFUNCTION("""COMPUTED_VALUE"""),"sonia.bollet.70@gmail.com")</f>
        <v>sonia.bollet.70@gmail.com</v>
      </c>
      <c r="L281" s="12" t="str">
        <f ca="1">IFERROR(__xludf.DUMMYFUNCTION("""COMPUTED_VALUE"""),"06 31 50 43 57")</f>
        <v>06 31 50 43 57</v>
      </c>
      <c r="M281" s="12" t="str">
        <f ca="1">IFERROR(__xludf.DUMMYFUNCTION("""COMPUTED_VALUE"""),"70700 ANGIREY")</f>
        <v>70700 ANGIREY</v>
      </c>
      <c r="N281" s="6"/>
      <c r="O281" s="6"/>
    </row>
    <row r="282" spans="1:15" ht="15.5" x14ac:dyDescent="0.35">
      <c r="A282" s="12" t="str">
        <f ca="1">IFERROR(__xludf.DUMMYFUNCTION("""COMPUTED_VALUE"""),"BOUTTEMY Marcel")</f>
        <v>BOUTTEMY Marcel</v>
      </c>
      <c r="B282" s="12" t="str">
        <f ca="1">IFERROR(__xludf.DUMMYFUNCTION("""COMPUTED_VALUE"""),"H")</f>
        <v>H</v>
      </c>
      <c r="C282" s="13">
        <f ca="1">IFERROR(__xludf.DUMMYFUNCTION("""COMPUTED_VALUE"""),40770)</f>
        <v>40770</v>
      </c>
      <c r="D282" s="12" t="str">
        <f ca="1">IFERROR(__xludf.DUMMYFUNCTION("""COMPUTED_VALUE"""),"BENJAMINS")</f>
        <v>BENJAMINS</v>
      </c>
      <c r="E282" s="14" t="str">
        <f ca="1">IFERROR(__xludf.DUMMYFUNCTION("""COMPUTED_VALUE"""),"COLLEGE")</f>
        <v>COLLEGE</v>
      </c>
      <c r="F282" s="1" t="str">
        <f ca="1">IFERROR(__xludf.DUMMYFUNCTION("""COMPUTED_VALUE"""),"GY")</f>
        <v>GY</v>
      </c>
      <c r="G282" s="12" t="str">
        <f ca="1">IFERROR(__xludf.DUMMYFUNCTION("""COMPUTED_VALUE"""),"GY")</f>
        <v>GY</v>
      </c>
      <c r="H282" s="12" t="str">
        <f t="shared" ca="1" si="1"/>
        <v>COLLEGE  GY  GY</v>
      </c>
      <c r="I282" s="6"/>
      <c r="J282" s="12" t="str">
        <f ca="1">IFERROR(__xludf.DUMMYFUNCTION("""COMPUTED_VALUE"""),"OK")</f>
        <v>OK</v>
      </c>
      <c r="K282" s="12" t="str">
        <f ca="1">IFERROR(__xludf.DUMMYFUNCTION("""COMPUTED_VALUE"""),"guillaume.bouttemy@orange.fr")</f>
        <v>guillaume.bouttemy@orange.fr</v>
      </c>
      <c r="L282" s="12" t="str">
        <f ca="1">IFERROR(__xludf.DUMMYFUNCTION("""COMPUTED_VALUE"""),"06 95 84 28 82")</f>
        <v>06 95 84 28 82</v>
      </c>
      <c r="M282" s="12" t="str">
        <f ca="1">IFERROR(__xludf.DUMMYFUNCTION("""COMPUTED_VALUE"""),"70700 CHOYE")</f>
        <v>70700 CHOYE</v>
      </c>
      <c r="N282" s="6"/>
      <c r="O282" s="6"/>
    </row>
    <row r="283" spans="1:15" ht="15.5" x14ac:dyDescent="0.35">
      <c r="A283" s="12" t="str">
        <f ca="1">IFERROR(__xludf.DUMMYFUNCTION("""COMPUTED_VALUE"""),"GRILLOT Lucien")</f>
        <v>GRILLOT Lucien</v>
      </c>
      <c r="B283" s="12" t="str">
        <f ca="1">IFERROR(__xludf.DUMMYFUNCTION("""COMPUTED_VALUE"""),"H")</f>
        <v>H</v>
      </c>
      <c r="C283" s="13">
        <f ca="1">IFERROR(__xludf.DUMMYFUNCTION("""COMPUTED_VALUE"""),40913)</f>
        <v>40913</v>
      </c>
      <c r="D283" s="12" t="str">
        <f ca="1">IFERROR(__xludf.DUMMYFUNCTION("""COMPUTED_VALUE"""),"BENJAMINS")</f>
        <v>BENJAMINS</v>
      </c>
      <c r="E283" s="14" t="str">
        <f ca="1">IFERROR(__xludf.DUMMYFUNCTION("""COMPUTED_VALUE"""),"COLLEGE")</f>
        <v>COLLEGE</v>
      </c>
      <c r="F283" s="1" t="str">
        <f ca="1">IFERROR(__xludf.DUMMYFUNCTION("""COMPUTED_VALUE"""),"GY")</f>
        <v>GY</v>
      </c>
      <c r="G283" s="12" t="str">
        <f ca="1">IFERROR(__xludf.DUMMYFUNCTION("""COMPUTED_VALUE"""),"GY")</f>
        <v>GY</v>
      </c>
      <c r="H283" s="12" t="str">
        <f t="shared" ca="1" si="1"/>
        <v>COLLEGE  GY  GY</v>
      </c>
      <c r="I283" s="6"/>
      <c r="J283" s="12" t="str">
        <f ca="1">IFERROR(__xludf.DUMMYFUNCTION("""COMPUTED_VALUE"""),"OK")</f>
        <v>OK</v>
      </c>
      <c r="K283" s="12" t="str">
        <f ca="1">IFERROR(__xludf.DUMMYFUNCTION("""COMPUTED_VALUE"""),"grillot.em@gmail.com")</f>
        <v>grillot.em@gmail.com</v>
      </c>
      <c r="L283" s="12" t="str">
        <f ca="1">IFERROR(__xludf.DUMMYFUNCTION("""COMPUTED_VALUE"""),"06 79 60 30 22")</f>
        <v>06 79 60 30 22</v>
      </c>
      <c r="M283" s="12" t="str">
        <f ca="1">IFERROR(__xludf.DUMMYFUNCTION("""COMPUTED_VALUE"""),"70130 LA VERNOTTE")</f>
        <v>70130 LA VERNOTTE</v>
      </c>
      <c r="N283" s="6"/>
      <c r="O283" s="6"/>
    </row>
    <row r="284" spans="1:15" ht="15.5" x14ac:dyDescent="0.35">
      <c r="A284" s="12" t="str">
        <f ca="1">IFERROR(__xludf.DUMMYFUNCTION("""COMPUTED_VALUE"""),"LASSARTESSE Maxime")</f>
        <v>LASSARTESSE Maxime</v>
      </c>
      <c r="B284" s="12" t="str">
        <f ca="1">IFERROR(__xludf.DUMMYFUNCTION("""COMPUTED_VALUE"""),"H")</f>
        <v>H</v>
      </c>
      <c r="C284" s="13">
        <f ca="1">IFERROR(__xludf.DUMMYFUNCTION("""COMPUTED_VALUE"""),40727)</f>
        <v>40727</v>
      </c>
      <c r="D284" s="12" t="str">
        <f ca="1">IFERROR(__xludf.DUMMYFUNCTION("""COMPUTED_VALUE"""),"BENJAMINS")</f>
        <v>BENJAMINS</v>
      </c>
      <c r="E284" s="14" t="str">
        <f ca="1">IFERROR(__xludf.DUMMYFUNCTION("""COMPUTED_VALUE"""),"COLLEGE")</f>
        <v>COLLEGE</v>
      </c>
      <c r="F284" s="1" t="str">
        <f ca="1">IFERROR(__xludf.DUMMYFUNCTION("""COMPUTED_VALUE"""),"GY")</f>
        <v>GY</v>
      </c>
      <c r="G284" s="12" t="str">
        <f ca="1">IFERROR(__xludf.DUMMYFUNCTION("""COMPUTED_VALUE"""),"GY")</f>
        <v>GY</v>
      </c>
      <c r="H284" s="12" t="str">
        <f t="shared" ca="1" si="1"/>
        <v>COLLEGE  GY  GY</v>
      </c>
      <c r="I284" s="6"/>
      <c r="J284" s="12" t="str">
        <f ca="1">IFERROR(__xludf.DUMMYFUNCTION("""COMPUTED_VALUE"""),"OK")</f>
        <v>OK</v>
      </c>
      <c r="K284" s="12" t="str">
        <f ca="1">IFERROR(__xludf.DUMMYFUNCTION("""COMPUTED_VALUE"""),"cedric.lassartesse@gmail.com")</f>
        <v>cedric.lassartesse@gmail.com</v>
      </c>
      <c r="L284" s="12" t="str">
        <f ca="1">IFERROR(__xludf.DUMMYFUNCTION("""COMPUTED_VALUE"""),"06 58 42 69 00")</f>
        <v>06 58 42 69 00</v>
      </c>
      <c r="M284" s="12" t="str">
        <f ca="1">IFERROR(__xludf.DUMMYFUNCTION("""COMPUTED_VALUE"""),"70700 CHOYE")</f>
        <v>70700 CHOYE</v>
      </c>
      <c r="N284" s="6"/>
      <c r="O284" s="6"/>
    </row>
    <row r="285" spans="1:15" ht="15.5" x14ac:dyDescent="0.35">
      <c r="A285" s="12" t="str">
        <f ca="1">IFERROR(__xludf.DUMMYFUNCTION("""COMPUTED_VALUE"""),"LAROCHERIE Esteban")</f>
        <v>LAROCHERIE Esteban</v>
      </c>
      <c r="B285" s="12" t="str">
        <f ca="1">IFERROR(__xludf.DUMMYFUNCTION("""COMPUTED_VALUE"""),"H")</f>
        <v>H</v>
      </c>
      <c r="C285" s="13">
        <f ca="1">IFERROR(__xludf.DUMMYFUNCTION("""COMPUTED_VALUE"""),39904)</f>
        <v>39904</v>
      </c>
      <c r="D285" s="12" t="str">
        <f ca="1">IFERROR(__xludf.DUMMYFUNCTION("""COMPUTED_VALUE"""),"MINIMES")</f>
        <v>MINIMES</v>
      </c>
      <c r="E285" s="14" t="str">
        <f ca="1">IFERROR(__xludf.DUMMYFUNCTION("""COMPUTED_VALUE"""),"COLLEGE")</f>
        <v>COLLEGE</v>
      </c>
      <c r="F285" s="1" t="str">
        <f ca="1">IFERROR(__xludf.DUMMYFUNCTION("""COMPUTED_VALUE"""),"GY")</f>
        <v>GY</v>
      </c>
      <c r="G285" s="12" t="str">
        <f ca="1">IFERROR(__xludf.DUMMYFUNCTION("""COMPUTED_VALUE"""),"GY")</f>
        <v>GY</v>
      </c>
      <c r="H285" s="12" t="str">
        <f t="shared" ca="1" si="1"/>
        <v>COLLEGE  GY  GY</v>
      </c>
      <c r="I285" s="6"/>
      <c r="J285" s="12" t="str">
        <f ca="1">IFERROR(__xludf.DUMMYFUNCTION("""COMPUTED_VALUE"""),"OK")</f>
        <v>OK</v>
      </c>
      <c r="K285" s="12" t="str">
        <f ca="1">IFERROR(__xludf.DUMMYFUNCTION("""COMPUTED_VALUE"""),"cegreffier@laposte.net")</f>
        <v>cegreffier@laposte.net</v>
      </c>
      <c r="L285" s="12" t="str">
        <f ca="1">IFERROR(__xludf.DUMMYFUNCTION("""COMPUTED_VALUE"""),"06 81 94 45 14")</f>
        <v>06 81 94 45 14</v>
      </c>
      <c r="M285" s="12" t="str">
        <f ca="1">IFERROR(__xludf.DUMMYFUNCTION("""COMPUTED_VALUE"""),"70700 BUCEY LES GY")</f>
        <v>70700 BUCEY LES GY</v>
      </c>
      <c r="N285" s="6"/>
      <c r="O285" s="6"/>
    </row>
    <row r="286" spans="1:15" ht="15.5" x14ac:dyDescent="0.35">
      <c r="A286" s="12" t="str">
        <f ca="1">IFERROR(__xludf.DUMMYFUNCTION("""COMPUTED_VALUE"""),"REVEVRET Clélia")</f>
        <v>REVEVRET Clélia</v>
      </c>
      <c r="B286" s="12" t="str">
        <f ca="1">IFERROR(__xludf.DUMMYFUNCTION("""COMPUTED_VALUE"""),"F")</f>
        <v>F</v>
      </c>
      <c r="C286" s="13">
        <f ca="1">IFERROR(__xludf.DUMMYFUNCTION("""COMPUTED_VALUE"""),40019)</f>
        <v>40019</v>
      </c>
      <c r="D286" s="12" t="str">
        <f ca="1">IFERROR(__xludf.DUMMYFUNCTION("""COMPUTED_VALUE"""),"MINIMES")</f>
        <v>MINIMES</v>
      </c>
      <c r="E286" s="14" t="str">
        <f ca="1">IFERROR(__xludf.DUMMYFUNCTION("""COMPUTED_VALUE"""),"COLLEGE")</f>
        <v>COLLEGE</v>
      </c>
      <c r="F286" s="1" t="str">
        <f ca="1">IFERROR(__xludf.DUMMYFUNCTION("""COMPUTED_VALUE"""),"GY")</f>
        <v>GY</v>
      </c>
      <c r="G286" s="12" t="str">
        <f ca="1">IFERROR(__xludf.DUMMYFUNCTION("""COMPUTED_VALUE"""),"GY")</f>
        <v>GY</v>
      </c>
      <c r="H286" s="12" t="str">
        <f t="shared" ca="1" si="1"/>
        <v>COLLEGE  GY  GY</v>
      </c>
      <c r="I286" s="6"/>
      <c r="J286" s="12" t="str">
        <f ca="1">IFERROR(__xludf.DUMMYFUNCTION("""COMPUTED_VALUE"""),"OK")</f>
        <v>OK</v>
      </c>
      <c r="K286" s="12" t="str">
        <f ca="1">IFERROR(__xludf.DUMMYFUNCTION("""COMPUTED_VALUE"""),"emeline_garnier@yahoo.fr")</f>
        <v>emeline_garnier@yahoo.fr</v>
      </c>
      <c r="L286" s="12" t="str">
        <f ca="1">IFERROR(__xludf.DUMMYFUNCTION("""COMPUTED_VALUE"""),"06 85 34 85 06")</f>
        <v>06 85 34 85 06</v>
      </c>
      <c r="M286" s="12" t="str">
        <f ca="1">IFERROR(__xludf.DUMMYFUNCTION("""COMPUTED_VALUE"""),"70700 CUGNEY")</f>
        <v>70700 CUGNEY</v>
      </c>
      <c r="N286" s="6"/>
      <c r="O286" s="6"/>
    </row>
    <row r="287" spans="1:15" ht="15.5" x14ac:dyDescent="0.35">
      <c r="A287" s="12" t="str">
        <f ca="1">IFERROR(__xludf.DUMMYFUNCTION("""COMPUTED_VALUE"""),"LAROCHERIE Esteban")</f>
        <v>LAROCHERIE Esteban</v>
      </c>
      <c r="B287" s="12" t="str">
        <f ca="1">IFERROR(__xludf.DUMMYFUNCTION("""COMPUTED_VALUE"""),"H")</f>
        <v>H</v>
      </c>
      <c r="C287" s="13">
        <f ca="1">IFERROR(__xludf.DUMMYFUNCTION("""COMPUTED_VALUE"""),39904)</f>
        <v>39904</v>
      </c>
      <c r="D287" s="12" t="str">
        <f ca="1">IFERROR(__xludf.DUMMYFUNCTION("""COMPUTED_VALUE"""),"MINIMES")</f>
        <v>MINIMES</v>
      </c>
      <c r="E287" s="14" t="str">
        <f ca="1">IFERROR(__xludf.DUMMYFUNCTION("""COMPUTED_VALUE"""),"COLLEGE")</f>
        <v>COLLEGE</v>
      </c>
      <c r="F287" s="1" t="str">
        <f ca="1">IFERROR(__xludf.DUMMYFUNCTION("""COMPUTED_VALUE"""),"GY")</f>
        <v>GY</v>
      </c>
      <c r="G287" s="12" t="str">
        <f ca="1">IFERROR(__xludf.DUMMYFUNCTION("""COMPUTED_VALUE"""),"GY")</f>
        <v>GY</v>
      </c>
      <c r="H287" s="12" t="str">
        <f t="shared" ca="1" si="1"/>
        <v>COLLEGE  GY  GY</v>
      </c>
      <c r="I287" s="6"/>
      <c r="J287" s="12"/>
      <c r="K287" s="12"/>
      <c r="L287" s="12" t="str">
        <f ca="1">IFERROR(__xludf.DUMMYFUNCTION("""COMPUTED_VALUE"""),"06 81 94 45 14")</f>
        <v>06 81 94 45 14</v>
      </c>
      <c r="M287" s="12" t="str">
        <f ca="1">IFERROR(__xludf.DUMMYFUNCTION("""COMPUTED_VALUE"""),"70700 BUCEY LES GY")</f>
        <v>70700 BUCEY LES GY</v>
      </c>
      <c r="N287" s="6"/>
      <c r="O287" s="6"/>
    </row>
    <row r="288" spans="1:15" ht="15.5" x14ac:dyDescent="0.35">
      <c r="A288" s="12" t="str">
        <f ca="1">IFERROR(__xludf.DUMMYFUNCTION("""COMPUTED_VALUE"""),"REVEVRET Clélia")</f>
        <v>REVEVRET Clélia</v>
      </c>
      <c r="B288" s="12" t="str">
        <f ca="1">IFERROR(__xludf.DUMMYFUNCTION("""COMPUTED_VALUE"""),"F")</f>
        <v>F</v>
      </c>
      <c r="C288" s="13">
        <f ca="1">IFERROR(__xludf.DUMMYFUNCTION("""COMPUTED_VALUE"""),40019)</f>
        <v>40019</v>
      </c>
      <c r="D288" s="12" t="str">
        <f ca="1">IFERROR(__xludf.DUMMYFUNCTION("""COMPUTED_VALUE"""),"MINIMES")</f>
        <v>MINIMES</v>
      </c>
      <c r="E288" s="14" t="str">
        <f ca="1">IFERROR(__xludf.DUMMYFUNCTION("""COMPUTED_VALUE"""),"COLLEGE")</f>
        <v>COLLEGE</v>
      </c>
      <c r="F288" s="1" t="str">
        <f ca="1">IFERROR(__xludf.DUMMYFUNCTION("""COMPUTED_VALUE"""),"GY")</f>
        <v>GY</v>
      </c>
      <c r="G288" s="12" t="str">
        <f ca="1">IFERROR(__xludf.DUMMYFUNCTION("""COMPUTED_VALUE"""),"GY")</f>
        <v>GY</v>
      </c>
      <c r="H288" s="12" t="str">
        <f t="shared" ca="1" si="1"/>
        <v>COLLEGE  GY  GY</v>
      </c>
      <c r="I288" s="6"/>
      <c r="J288" s="12"/>
      <c r="K288" s="12"/>
      <c r="L288" s="12" t="str">
        <f ca="1">IFERROR(__xludf.DUMMYFUNCTION("""COMPUTED_VALUE"""),"06 85 34 85 06")</f>
        <v>06 85 34 85 06</v>
      </c>
      <c r="M288" s="12" t="str">
        <f ca="1">IFERROR(__xludf.DUMMYFUNCTION("""COMPUTED_VALUE"""),"70700 CUGNEY")</f>
        <v>70700 CUGNEY</v>
      </c>
      <c r="N288" s="6"/>
      <c r="O288" s="6"/>
    </row>
    <row r="289" spans="1:15" ht="15.5" x14ac:dyDescent="0.35">
      <c r="A289" s="12" t="str">
        <f ca="1">IFERROR(__xludf.DUMMYFUNCTION("""COMPUTED_VALUE"""),"CHAUVASSAGNE Gabriel")</f>
        <v>CHAUVASSAGNE Gabriel</v>
      </c>
      <c r="B289" s="12" t="str">
        <f ca="1">IFERROR(__xludf.DUMMYFUNCTION("""COMPUTED_VALUE"""),"H")</f>
        <v>H</v>
      </c>
      <c r="C289" s="13">
        <f ca="1">IFERROR(__xludf.DUMMYFUNCTION("""COMPUTED_VALUE"""),42382)</f>
        <v>42382</v>
      </c>
      <c r="D289" s="12" t="str">
        <f ca="1">IFERROR(__xludf.DUMMYFUNCTION("""COMPUTED_VALUE"""),"EVEIL ATHLE")</f>
        <v>EVEIL ATHLE</v>
      </c>
      <c r="E289" s="14" t="str">
        <f ca="1">IFERROR(__xludf.DUMMYFUNCTION("""COMPUTED_VALUE"""),"ECOLE
")</f>
        <v xml:space="preserve">ECOLE
</v>
      </c>
      <c r="F289" s="1" t="str">
        <f ca="1">IFERROR(__xludf.DUMMYFUNCTION("""COMPUTED_VALUE"""),"CATHERINE FRAISCHOT")</f>
        <v>CATHERINE FRAISCHOT</v>
      </c>
      <c r="G289" s="12" t="str">
        <f ca="1">IFERROR(__xludf.DUMMYFUNCTION("""COMPUTED_VALUE"""),"GY")</f>
        <v>GY</v>
      </c>
      <c r="H289" s="12" t="str">
        <f t="shared" ca="1" si="1"/>
        <v>ECOLE
  CATHERINE FRAISCHOT  GY</v>
      </c>
      <c r="I289" s="6"/>
      <c r="J289" s="12" t="str">
        <f ca="1">IFERROR(__xludf.DUMMYFUNCTION("""COMPUTED_VALUE"""),"OK")</f>
        <v>OK</v>
      </c>
      <c r="K289" s="12" t="str">
        <f ca="1">IFERROR(__xludf.DUMMYFUNCTION("""COMPUTED_VALUE"""),"nathalie.biton@hotmail.fr")</f>
        <v>nathalie.biton@hotmail.fr</v>
      </c>
      <c r="L289" s="12" t="str">
        <f ca="1">IFERROR(__xludf.DUMMYFUNCTION("""COMPUTED_VALUE"""),"06 75 24 69 70")</f>
        <v>06 75 24 69 70</v>
      </c>
      <c r="M289" s="12" t="str">
        <f ca="1">IFERROR(__xludf.DUMMYFUNCTION("""COMPUTED_VALUE"""),"70700 VANTOUX")</f>
        <v>70700 VANTOUX</v>
      </c>
      <c r="N289" s="6"/>
      <c r="O289" s="6"/>
    </row>
    <row r="290" spans="1:15" ht="15.5" x14ac:dyDescent="0.35">
      <c r="A290" s="12" t="str">
        <f ca="1">IFERROR(__xludf.DUMMYFUNCTION("""COMPUTED_VALUE"""),"CHAUVASSAGNE Benjamin")</f>
        <v>CHAUVASSAGNE Benjamin</v>
      </c>
      <c r="B290" s="12" t="str">
        <f ca="1">IFERROR(__xludf.DUMMYFUNCTION("""COMPUTED_VALUE"""),"H")</f>
        <v>H</v>
      </c>
      <c r="C290" s="13">
        <f ca="1">IFERROR(__xludf.DUMMYFUNCTION("""COMPUTED_VALUE"""),41583)</f>
        <v>41583</v>
      </c>
      <c r="D290" s="12" t="str">
        <f ca="1">IFERROR(__xludf.DUMMYFUNCTION("""COMPUTED_VALUE"""),"POUSSINS")</f>
        <v>POUSSINS</v>
      </c>
      <c r="E290" s="14" t="str">
        <f ca="1">IFERROR(__xludf.DUMMYFUNCTION("""COMPUTED_VALUE"""),"ECOLE
")</f>
        <v xml:space="preserve">ECOLE
</v>
      </c>
      <c r="F290" s="1" t="str">
        <f ca="1">IFERROR(__xludf.DUMMYFUNCTION("""COMPUTED_VALUE"""),"CATHERINE FRAISCHOT")</f>
        <v>CATHERINE FRAISCHOT</v>
      </c>
      <c r="G290" s="12" t="str">
        <f ca="1">IFERROR(__xludf.DUMMYFUNCTION("""COMPUTED_VALUE"""),"GY")</f>
        <v>GY</v>
      </c>
      <c r="H290" s="12" t="str">
        <f t="shared" ca="1" si="1"/>
        <v>ECOLE
  CATHERINE FRAISCHOT  GY</v>
      </c>
      <c r="I290" s="6"/>
      <c r="J290" s="12" t="str">
        <f ca="1">IFERROR(__xludf.DUMMYFUNCTION("""COMPUTED_VALUE"""),"OK")</f>
        <v>OK</v>
      </c>
      <c r="K290" s="12" t="str">
        <f ca="1">IFERROR(__xludf.DUMMYFUNCTION("""COMPUTED_VALUE"""),"nathalie.biton@hotmail.fr")</f>
        <v>nathalie.biton@hotmail.fr</v>
      </c>
      <c r="L290" s="12" t="str">
        <f ca="1">IFERROR(__xludf.DUMMYFUNCTION("""COMPUTED_VALUE"""),"06 75 24 69 70")</f>
        <v>06 75 24 69 70</v>
      </c>
      <c r="M290" s="12" t="str">
        <f ca="1">IFERROR(__xludf.DUMMYFUNCTION("""COMPUTED_VALUE"""),"70700 VANTOUX")</f>
        <v>70700 VANTOUX</v>
      </c>
      <c r="N290" s="6"/>
      <c r="O290" s="6"/>
    </row>
    <row r="291" spans="1:15" ht="15.5" x14ac:dyDescent="0.35">
      <c r="A291" s="12" t="str">
        <f ca="1">IFERROR(__xludf.DUMMYFUNCTION("""COMPUTED_VALUE"""),"CHAUVASSAGNE Benjamin")</f>
        <v>CHAUVASSAGNE Benjamin</v>
      </c>
      <c r="B291" s="12" t="str">
        <f ca="1">IFERROR(__xludf.DUMMYFUNCTION("""COMPUTED_VALUE"""),"H")</f>
        <v>H</v>
      </c>
      <c r="C291" s="13">
        <f ca="1">IFERROR(__xludf.DUMMYFUNCTION("""COMPUTED_VALUE"""),41583)</f>
        <v>41583</v>
      </c>
      <c r="D291" s="12" t="str">
        <f ca="1">IFERROR(__xludf.DUMMYFUNCTION("""COMPUTED_VALUE"""),"POUSSINS")</f>
        <v>POUSSINS</v>
      </c>
      <c r="E291" s="14" t="str">
        <f ca="1">IFERROR(__xludf.DUMMYFUNCTION("""COMPUTED_VALUE"""),"ECOLE
")</f>
        <v xml:space="preserve">ECOLE
</v>
      </c>
      <c r="F291" s="1" t="str">
        <f ca="1">IFERROR(__xludf.DUMMYFUNCTION("""COMPUTED_VALUE"""),"CATHERINE FRAISCHOT")</f>
        <v>CATHERINE FRAISCHOT</v>
      </c>
      <c r="G291" s="12" t="str">
        <f ca="1">IFERROR(__xludf.DUMMYFUNCTION("""COMPUTED_VALUE"""),"GY")</f>
        <v>GY</v>
      </c>
      <c r="H291" s="12" t="str">
        <f t="shared" ca="1" si="1"/>
        <v>ECOLE
  CATHERINE FRAISCHOT  GY</v>
      </c>
      <c r="I291" s="6"/>
      <c r="J291" s="12"/>
      <c r="K291" s="12"/>
      <c r="L291" s="12" t="str">
        <f ca="1">IFERROR(__xludf.DUMMYFUNCTION("""COMPUTED_VALUE"""),"06 75 24 69 70")</f>
        <v>06 75 24 69 70</v>
      </c>
      <c r="M291" s="12" t="str">
        <f ca="1">IFERROR(__xludf.DUMMYFUNCTION("""COMPUTED_VALUE"""),"70700 VANTOUX")</f>
        <v>70700 VANTOUX</v>
      </c>
      <c r="N291" s="6"/>
      <c r="O291" s="6"/>
    </row>
    <row r="292" spans="1:15" ht="15.5" x14ac:dyDescent="0.35">
      <c r="A292" s="12" t="str">
        <f ca="1">IFERROR(__xludf.DUMMYFUNCTION("""COMPUTED_VALUE"""),"CHAMPEL Lucas")</f>
        <v>CHAMPEL Lucas</v>
      </c>
      <c r="B292" s="12" t="str">
        <f ca="1">IFERROR(__xludf.DUMMYFUNCTION("""COMPUTED_VALUE"""),"H")</f>
        <v>H</v>
      </c>
      <c r="C292" s="13">
        <f ca="1">IFERROR(__xludf.DUMMYFUNCTION("""COMPUTED_VALUE"""),41863)</f>
        <v>41863</v>
      </c>
      <c r="D292" s="12" t="str">
        <f ca="1">IFERROR(__xludf.DUMMYFUNCTION("""COMPUTED_VALUE"""),"POUSSINS")</f>
        <v>POUSSINS</v>
      </c>
      <c r="E292" s="14" t="str">
        <f ca="1">IFERROR(__xludf.DUMMYFUNCTION("""COMPUTED_VALUE"""),"ECOLE
")</f>
        <v xml:space="preserve">ECOLE
</v>
      </c>
      <c r="F292" s="1" t="str">
        <f ca="1">IFERROR(__xludf.DUMMYFUNCTION("""COMPUTED_VALUE"""),"LAMARCHE SUR SAONE")</f>
        <v>LAMARCHE SUR SAONE</v>
      </c>
      <c r="G292" s="12" t="str">
        <f ca="1">IFERROR(__xludf.DUMMYFUNCTION("""COMPUTED_VALUE"""),"LAMARCHE SUR SAONE")</f>
        <v>LAMARCHE SUR SAONE</v>
      </c>
      <c r="H292" s="12" t="str">
        <f t="shared" ca="1" si="1"/>
        <v>ECOLE
  LAMARCHE SUR SAONE  LAMARCHE SUR SAONE</v>
      </c>
      <c r="I292" s="6"/>
      <c r="J292" s="12" t="str">
        <f ca="1">IFERROR(__xludf.DUMMYFUNCTION("""COMPUTED_VALUE"""),"OK")</f>
        <v>OK</v>
      </c>
      <c r="K292" s="12" t="str">
        <f ca="1">IFERROR(__xludf.DUMMYFUNCTION("""COMPUTED_VALUE"""),"mel.lime@hotmail.fr")</f>
        <v>mel.lime@hotmail.fr</v>
      </c>
      <c r="L292" s="12" t="str">
        <f ca="1">IFERROR(__xludf.DUMMYFUNCTION("""COMPUTED_VALUE"""),"06 83 11 52 21")</f>
        <v>06 83 11 52 21</v>
      </c>
      <c r="M292" s="12" t="str">
        <f ca="1">IFERROR(__xludf.DUMMYFUNCTION("""COMPUTED_VALUE"""),"21270 MONTMANCON")</f>
        <v>21270 MONTMANCON</v>
      </c>
      <c r="N292" s="6"/>
      <c r="O292" s="6"/>
    </row>
    <row r="293" spans="1:15" ht="15.5" x14ac:dyDescent="0.35">
      <c r="A293" s="12" t="str">
        <f ca="1">IFERROR(__xludf.DUMMYFUNCTION("""COMPUTED_VALUE"""),"CHAMPEL Lucas")</f>
        <v>CHAMPEL Lucas</v>
      </c>
      <c r="B293" s="12" t="str">
        <f ca="1">IFERROR(__xludf.DUMMYFUNCTION("""COMPUTED_VALUE"""),"H")</f>
        <v>H</v>
      </c>
      <c r="C293" s="13">
        <f ca="1">IFERROR(__xludf.DUMMYFUNCTION("""COMPUTED_VALUE"""),41863)</f>
        <v>41863</v>
      </c>
      <c r="D293" s="12" t="str">
        <f ca="1">IFERROR(__xludf.DUMMYFUNCTION("""COMPUTED_VALUE"""),"POUSSINS")</f>
        <v>POUSSINS</v>
      </c>
      <c r="E293" s="14" t="str">
        <f ca="1">IFERROR(__xludf.DUMMYFUNCTION("""COMPUTED_VALUE"""),"ECOLE
")</f>
        <v xml:space="preserve">ECOLE
</v>
      </c>
      <c r="F293" s="1" t="str">
        <f ca="1">IFERROR(__xludf.DUMMYFUNCTION("""COMPUTED_VALUE"""),"LAMARCHE SUR SAONE")</f>
        <v>LAMARCHE SUR SAONE</v>
      </c>
      <c r="G293" s="12" t="str">
        <f ca="1">IFERROR(__xludf.DUMMYFUNCTION("""COMPUTED_VALUE"""),"LAMARCHE SUR SAONE")</f>
        <v>LAMARCHE SUR SAONE</v>
      </c>
      <c r="H293" s="12" t="str">
        <f t="shared" ca="1" si="1"/>
        <v>ECOLE
  LAMARCHE SUR SAONE  LAMARCHE SUR SAONE</v>
      </c>
      <c r="I293" s="6"/>
      <c r="J293" s="12"/>
      <c r="K293" s="12"/>
      <c r="L293" s="12" t="str">
        <f ca="1">IFERROR(__xludf.DUMMYFUNCTION("""COMPUTED_VALUE"""),"06 83 11 52 21")</f>
        <v>06 83 11 52 21</v>
      </c>
      <c r="M293" s="12" t="str">
        <f ca="1">IFERROR(__xludf.DUMMYFUNCTION("""COMPUTED_VALUE"""),"21270 MONTMANCON")</f>
        <v>21270 MONTMANCON</v>
      </c>
      <c r="N293" s="6"/>
      <c r="O293" s="6"/>
    </row>
    <row r="294" spans="1:15" ht="15.5" x14ac:dyDescent="0.35">
      <c r="A294" s="12" t="str">
        <f ca="1">IFERROR(__xludf.DUMMYFUNCTION("""COMPUTED_VALUE"""),"PIERRE Eloïse")</f>
        <v>PIERRE Eloïse</v>
      </c>
      <c r="B294" s="12" t="str">
        <f ca="1">IFERROR(__xludf.DUMMYFUNCTION("""COMPUTED_VALUE"""),"F")</f>
        <v>F</v>
      </c>
      <c r="C294" s="13">
        <f ca="1">IFERROR(__xludf.DUMMYFUNCTION("""COMPUTED_VALUE"""),40025)</f>
        <v>40025</v>
      </c>
      <c r="D294" s="12" t="str">
        <f ca="1">IFERROR(__xludf.DUMMYFUNCTION("""COMPUTED_VALUE"""),"MINIMES")</f>
        <v>MINIMES</v>
      </c>
      <c r="E294" s="14" t="str">
        <f ca="1">IFERROR(__xludf.DUMMYFUNCTION("""COMPUTED_VALUE"""),"COLLEGE")</f>
        <v>COLLEGE</v>
      </c>
      <c r="F294" s="1" t="str">
        <f ca="1">IFERROR(__xludf.DUMMYFUNCTION("""COMPUTED_VALUE"""),"LURE")</f>
        <v>LURE</v>
      </c>
      <c r="G294" s="12" t="str">
        <f ca="1">IFERROR(__xludf.DUMMYFUNCTION("""COMPUTED_VALUE"""),"LURE")</f>
        <v>LURE</v>
      </c>
      <c r="H294" s="12" t="str">
        <f t="shared" ca="1" si="1"/>
        <v>COLLEGE  LURE  LURE</v>
      </c>
      <c r="I294" s="6"/>
      <c r="J294" s="12" t="str">
        <f ca="1">IFERROR(__xludf.DUMMYFUNCTION("""COMPUTED_VALUE"""),"OK")</f>
        <v>OK</v>
      </c>
      <c r="K294" s="12" t="str">
        <f ca="1">IFERROR(__xludf.DUMMYFUNCTION("""COMPUTED_VALUE"""),"frederic.pierre@hotmail.fr")</f>
        <v>frederic.pierre@hotmail.fr</v>
      </c>
      <c r="L294" s="12"/>
      <c r="M294" s="12" t="str">
        <f ca="1">IFERROR(__xludf.DUMMYFUNCTION("""COMPUTED_VALUE"""),"70200 MOFFANS")</f>
        <v>70200 MOFFANS</v>
      </c>
      <c r="N294" s="6"/>
      <c r="O294" s="6"/>
    </row>
    <row r="295" spans="1:15" ht="15.5" x14ac:dyDescent="0.35">
      <c r="A295" s="12" t="str">
        <f ca="1">IFERROR(__xludf.DUMMYFUNCTION("""COMPUTED_VALUE"""),"PIERRE Eloïse")</f>
        <v>PIERRE Eloïse</v>
      </c>
      <c r="B295" s="12" t="str">
        <f ca="1">IFERROR(__xludf.DUMMYFUNCTION("""COMPUTED_VALUE"""),"F")</f>
        <v>F</v>
      </c>
      <c r="C295" s="13">
        <f ca="1">IFERROR(__xludf.DUMMYFUNCTION("""COMPUTED_VALUE"""),40025)</f>
        <v>40025</v>
      </c>
      <c r="D295" s="12" t="str">
        <f ca="1">IFERROR(__xludf.DUMMYFUNCTION("""COMPUTED_VALUE"""),"MINIMES")</f>
        <v>MINIMES</v>
      </c>
      <c r="E295" s="14" t="str">
        <f ca="1">IFERROR(__xludf.DUMMYFUNCTION("""COMPUTED_VALUE"""),"COLLEGE")</f>
        <v>COLLEGE</v>
      </c>
      <c r="F295" s="1" t="str">
        <f ca="1">IFERROR(__xludf.DUMMYFUNCTION("""COMPUTED_VALUE"""),"LURE")</f>
        <v>LURE</v>
      </c>
      <c r="G295" s="12" t="str">
        <f ca="1">IFERROR(__xludf.DUMMYFUNCTION("""COMPUTED_VALUE"""),"LURE")</f>
        <v>LURE</v>
      </c>
      <c r="H295" s="12" t="str">
        <f t="shared" ca="1" si="1"/>
        <v>COLLEGE  LURE  LURE</v>
      </c>
      <c r="I295" s="6"/>
      <c r="J295" s="12"/>
      <c r="K295" s="12"/>
      <c r="L295" s="12"/>
      <c r="M295" s="12" t="str">
        <f ca="1">IFERROR(__xludf.DUMMYFUNCTION("""COMPUTED_VALUE"""),"70200 MOFFANS")</f>
        <v>70200 MOFFANS</v>
      </c>
      <c r="N295" s="6"/>
      <c r="O295" s="6"/>
    </row>
    <row r="296" spans="1:15" ht="15.5" x14ac:dyDescent="0.35">
      <c r="A296" s="12" t="str">
        <f ca="1">IFERROR(__xludf.DUMMYFUNCTION("""COMPUTED_VALUE"""),"CHANTEAU Léonore")</f>
        <v>CHANTEAU Léonore</v>
      </c>
      <c r="B296" s="12" t="str">
        <f ca="1">IFERROR(__xludf.DUMMYFUNCTION("""COMPUTED_VALUE"""),"F")</f>
        <v>F</v>
      </c>
      <c r="C296" s="13">
        <f ca="1">IFERROR(__xludf.DUMMYFUNCTION("""COMPUTED_VALUE"""),42055)</f>
        <v>42055</v>
      </c>
      <c r="D296" s="12" t="str">
        <f ca="1">IFERROR(__xludf.DUMMYFUNCTION("""COMPUTED_VALUE"""),"EVEIL ATHLE")</f>
        <v>EVEIL ATHLE</v>
      </c>
      <c r="E296" s="14" t="str">
        <f ca="1">IFERROR(__xludf.DUMMYFUNCTION("""COMPUTED_VALUE"""),"ECOLE
")</f>
        <v xml:space="preserve">ECOLE
</v>
      </c>
      <c r="F296" s="1" t="str">
        <f ca="1">IFERROR(__xludf.DUMMYFUNCTION("""COMPUTED_VALUE"""),"MARNAY")</f>
        <v>MARNAY</v>
      </c>
      <c r="G296" s="12" t="str">
        <f ca="1">IFERROR(__xludf.DUMMYFUNCTION("""COMPUTED_VALUE"""),"MARNAY")</f>
        <v>MARNAY</v>
      </c>
      <c r="H296" s="12" t="str">
        <f t="shared" ca="1" si="1"/>
        <v>ECOLE
  MARNAY  MARNAY</v>
      </c>
      <c r="I296" s="6"/>
      <c r="J296" s="12" t="str">
        <f ca="1">IFERROR(__xludf.DUMMYFUNCTION("""COMPUTED_VALUE"""),"OK")</f>
        <v>OK</v>
      </c>
      <c r="K296" s="12" t="str">
        <f ca="1">IFERROR(__xludf.DUMMYFUNCTION("""COMPUTED_VALUE"""),"elisabeth.petit-3@gmail.com")</f>
        <v>elisabeth.petit-3@gmail.com</v>
      </c>
      <c r="L296" s="12" t="str">
        <f ca="1">IFERROR(__xludf.DUMMYFUNCTION("""COMPUTED_VALUE"""),"06 84 54 56 67")</f>
        <v>06 84 54 56 67</v>
      </c>
      <c r="M296" s="12" t="str">
        <f ca="1">IFERROR(__xludf.DUMMYFUNCTION("""COMPUTED_VALUE"""),"70150 CULT")</f>
        <v>70150 CULT</v>
      </c>
      <c r="N296" s="6"/>
      <c r="O296" s="6"/>
    </row>
    <row r="297" spans="1:15" ht="15.5" x14ac:dyDescent="0.35">
      <c r="A297" s="12" t="str">
        <f ca="1">IFERROR(__xludf.DUMMYFUNCTION("""COMPUTED_VALUE"""),"COLEZ Damien")</f>
        <v>COLEZ Damien</v>
      </c>
      <c r="B297" s="12" t="str">
        <f ca="1">IFERROR(__xludf.DUMMYFUNCTION("""COMPUTED_VALUE"""),"H")</f>
        <v>H</v>
      </c>
      <c r="C297" s="13">
        <f ca="1">IFERROR(__xludf.DUMMYFUNCTION("""COMPUTED_VALUE"""),42510)</f>
        <v>42510</v>
      </c>
      <c r="D297" s="12" t="str">
        <f ca="1">IFERROR(__xludf.DUMMYFUNCTION("""COMPUTED_VALUE"""),"EVEIL ATHLE")</f>
        <v>EVEIL ATHLE</v>
      </c>
      <c r="E297" s="14" t="str">
        <f ca="1">IFERROR(__xludf.DUMMYFUNCTION("""COMPUTED_VALUE"""),"ECOLE
")</f>
        <v xml:space="preserve">ECOLE
</v>
      </c>
      <c r="F297" s="1" t="str">
        <f ca="1">IFERROR(__xludf.DUMMYFUNCTION("""COMPUTED_VALUE"""),"MARNAY")</f>
        <v>MARNAY</v>
      </c>
      <c r="G297" s="12" t="str">
        <f ca="1">IFERROR(__xludf.DUMMYFUNCTION("""COMPUTED_VALUE"""),"MARNAY")</f>
        <v>MARNAY</v>
      </c>
      <c r="H297" s="12" t="str">
        <f t="shared" ca="1" si="1"/>
        <v>ECOLE
  MARNAY  MARNAY</v>
      </c>
      <c r="I297" s="6"/>
      <c r="J297" s="12" t="str">
        <f ca="1">IFERROR(__xludf.DUMMYFUNCTION("""COMPUTED_VALUE"""),"OK")</f>
        <v>OK</v>
      </c>
      <c r="K297" s="12" t="str">
        <f ca="1">IFERROR(__xludf.DUMMYFUNCTION("""COMPUTED_VALUE"""),"amaury.colez@gmail.com")</f>
        <v>amaury.colez@gmail.com</v>
      </c>
      <c r="L297" s="12" t="str">
        <f ca="1">IFERROR(__xludf.DUMMYFUNCTION("""COMPUTED_VALUE"""),"07 86 49 79 60")</f>
        <v>07 86 49 79 60</v>
      </c>
      <c r="M297" s="12" t="str">
        <f ca="1">IFERROR(__xludf.DUMMYFUNCTION("""COMPUTED_VALUE"""),"70150 MARNAY")</f>
        <v>70150 MARNAY</v>
      </c>
      <c r="N297" s="6"/>
      <c r="O297" s="6"/>
    </row>
    <row r="298" spans="1:15" ht="15.5" x14ac:dyDescent="0.35">
      <c r="A298" s="12" t="str">
        <f ca="1">IFERROR(__xludf.DUMMYFUNCTION("""COMPUTED_VALUE"""),"MOUREY Adèle")</f>
        <v>MOUREY Adèle</v>
      </c>
      <c r="B298" s="12" t="str">
        <f ca="1">IFERROR(__xludf.DUMMYFUNCTION("""COMPUTED_VALUE"""),"F")</f>
        <v>F</v>
      </c>
      <c r="C298" s="13">
        <f ca="1">IFERROR(__xludf.DUMMYFUNCTION("""COMPUTED_VALUE"""),42222)</f>
        <v>42222</v>
      </c>
      <c r="D298" s="12" t="str">
        <f ca="1">IFERROR(__xludf.DUMMYFUNCTION("""COMPUTED_VALUE"""),"EVEIL ATHLE")</f>
        <v>EVEIL ATHLE</v>
      </c>
      <c r="E298" s="14" t="str">
        <f ca="1">IFERROR(__xludf.DUMMYFUNCTION("""COMPUTED_VALUE"""),"ECOLE
")</f>
        <v xml:space="preserve">ECOLE
</v>
      </c>
      <c r="F298" s="1" t="str">
        <f ca="1">IFERROR(__xludf.DUMMYFUNCTION("""COMPUTED_VALUE"""),"MARNAY")</f>
        <v>MARNAY</v>
      </c>
      <c r="G298" s="12" t="str">
        <f ca="1">IFERROR(__xludf.DUMMYFUNCTION("""COMPUTED_VALUE"""),"MARNAY")</f>
        <v>MARNAY</v>
      </c>
      <c r="H298" s="12" t="str">
        <f t="shared" ca="1" si="1"/>
        <v>ECOLE
  MARNAY  MARNAY</v>
      </c>
      <c r="I298" s="6"/>
      <c r="J298" s="12" t="str">
        <f ca="1">IFERROR(__xludf.DUMMYFUNCTION("""COMPUTED_VALUE"""),"OK")</f>
        <v>OK</v>
      </c>
      <c r="K298" s="12" t="str">
        <f ca="1">IFERROR(__xludf.DUMMYFUNCTION("""COMPUTED_VALUE"""),"lesfassenet@orange.fr")</f>
        <v>lesfassenet@orange.fr</v>
      </c>
      <c r="L298" s="12" t="str">
        <f ca="1">IFERROR(__xludf.DUMMYFUNCTION("""COMPUTED_VALUE"""),"06 79 81 31 41")</f>
        <v>06 79 81 31 41</v>
      </c>
      <c r="M298" s="12" t="str">
        <f ca="1">IFERROR(__xludf.DUMMYFUNCTION("""COMPUTED_VALUE"""),"70150 MARNAY")</f>
        <v>70150 MARNAY</v>
      </c>
      <c r="N298" s="6"/>
      <c r="O298" s="6"/>
    </row>
    <row r="299" spans="1:15" ht="15.5" x14ac:dyDescent="0.35">
      <c r="A299" s="12" t="str">
        <f ca="1">IFERROR(__xludf.DUMMYFUNCTION("""COMPUTED_VALUE"""),"CHANTEAU Louison")</f>
        <v>CHANTEAU Louison</v>
      </c>
      <c r="B299" s="12" t="str">
        <f ca="1">IFERROR(__xludf.DUMMYFUNCTION("""COMPUTED_VALUE"""),"F")</f>
        <v>F</v>
      </c>
      <c r="C299" s="13">
        <f ca="1">IFERROR(__xludf.DUMMYFUNCTION("""COMPUTED_VALUE"""),41529)</f>
        <v>41529</v>
      </c>
      <c r="D299" s="12" t="str">
        <f ca="1">IFERROR(__xludf.DUMMYFUNCTION("""COMPUTED_VALUE"""),"POUSSINS")</f>
        <v>POUSSINS</v>
      </c>
      <c r="E299" s="14" t="str">
        <f ca="1">IFERROR(__xludf.DUMMYFUNCTION("""COMPUTED_VALUE"""),"ECOLE
")</f>
        <v xml:space="preserve">ECOLE
</v>
      </c>
      <c r="F299" s="1" t="str">
        <f ca="1">IFERROR(__xludf.DUMMYFUNCTION("""COMPUTED_VALUE"""),"MARNAY")</f>
        <v>MARNAY</v>
      </c>
      <c r="G299" s="12" t="str">
        <f ca="1">IFERROR(__xludf.DUMMYFUNCTION("""COMPUTED_VALUE"""),"MARNAY")</f>
        <v>MARNAY</v>
      </c>
      <c r="H299" s="12" t="str">
        <f t="shared" ca="1" si="1"/>
        <v>ECOLE
  MARNAY  MARNAY</v>
      </c>
      <c r="I299" s="6"/>
      <c r="J299" s="12" t="str">
        <f ca="1">IFERROR(__xludf.DUMMYFUNCTION("""COMPUTED_VALUE"""),"OK")</f>
        <v>OK</v>
      </c>
      <c r="K299" s="12" t="str">
        <f ca="1">IFERROR(__xludf.DUMMYFUNCTION("""COMPUTED_VALUE"""),"elisabeth.petit-6@gmail.com")</f>
        <v>elisabeth.petit-6@gmail.com</v>
      </c>
      <c r="L299" s="12" t="str">
        <f ca="1">IFERROR(__xludf.DUMMYFUNCTION("""COMPUTED_VALUE"""),"06 84 54 56 67")</f>
        <v>06 84 54 56 67</v>
      </c>
      <c r="M299" s="12" t="str">
        <f ca="1">IFERROR(__xludf.DUMMYFUNCTION("""COMPUTED_VALUE"""),"70150 CULT")</f>
        <v>70150 CULT</v>
      </c>
      <c r="N299" s="6"/>
      <c r="O299" s="6"/>
    </row>
    <row r="300" spans="1:15" ht="15.5" x14ac:dyDescent="0.35">
      <c r="A300" s="12" t="str">
        <f ca="1">IFERROR(__xludf.DUMMYFUNCTION("""COMPUTED_VALUE"""),"MANDRET PENA Tina")</f>
        <v>MANDRET PENA Tina</v>
      </c>
      <c r="B300" s="12" t="str">
        <f ca="1">IFERROR(__xludf.DUMMYFUNCTION("""COMPUTED_VALUE"""),"F")</f>
        <v>F</v>
      </c>
      <c r="C300" s="13">
        <f ca="1">IFERROR(__xludf.DUMMYFUNCTION("""COMPUTED_VALUE"""),41538)</f>
        <v>41538</v>
      </c>
      <c r="D300" s="12" t="str">
        <f ca="1">IFERROR(__xludf.DUMMYFUNCTION("""COMPUTED_VALUE"""),"POUSSINS")</f>
        <v>POUSSINS</v>
      </c>
      <c r="E300" s="14" t="str">
        <f ca="1">IFERROR(__xludf.DUMMYFUNCTION("""COMPUTED_VALUE"""),"ECOLE
")</f>
        <v xml:space="preserve">ECOLE
</v>
      </c>
      <c r="F300" s="1" t="str">
        <f ca="1">IFERROR(__xludf.DUMMYFUNCTION("""COMPUTED_VALUE"""),"MARNAY")</f>
        <v>MARNAY</v>
      </c>
      <c r="G300" s="12" t="str">
        <f ca="1">IFERROR(__xludf.DUMMYFUNCTION("""COMPUTED_VALUE"""),"MARNAY")</f>
        <v>MARNAY</v>
      </c>
      <c r="H300" s="12" t="str">
        <f t="shared" ca="1" si="1"/>
        <v>ECOLE
  MARNAY  MARNAY</v>
      </c>
      <c r="I300" s="6"/>
      <c r="J300" s="12" t="str">
        <f ca="1">IFERROR(__xludf.DUMMYFUNCTION("""COMPUTED_VALUE"""),"OK")</f>
        <v>OK</v>
      </c>
      <c r="K300" s="12" t="str">
        <f ca="1">IFERROR(__xludf.DUMMYFUNCTION("""COMPUTED_VALUE"""),"mailisp25@gmail.com")</f>
        <v>mailisp25@gmail.com</v>
      </c>
      <c r="L300" s="12" t="str">
        <f ca="1">IFERROR(__xludf.DUMMYFUNCTION("""COMPUTED_VALUE"""),"06 78 66 75 55")</f>
        <v>06 78 66 75 55</v>
      </c>
      <c r="M300" s="12" t="str">
        <f ca="1">IFERROR(__xludf.DUMMYFUNCTION("""COMPUTED_VALUE"""),"70150 CHENEVREY")</f>
        <v>70150 CHENEVREY</v>
      </c>
      <c r="N300" s="6"/>
      <c r="O300" s="6"/>
    </row>
    <row r="301" spans="1:15" ht="15.5" x14ac:dyDescent="0.35">
      <c r="A301" s="12" t="str">
        <f ca="1">IFERROR(__xludf.DUMMYFUNCTION("""COMPUTED_VALUE"""),"MOUREY Adèle")</f>
        <v>MOUREY Adèle</v>
      </c>
      <c r="B301" s="12" t="str">
        <f ca="1">IFERROR(__xludf.DUMMYFUNCTION("""COMPUTED_VALUE"""),"F")</f>
        <v>F</v>
      </c>
      <c r="C301" s="13">
        <f ca="1">IFERROR(__xludf.DUMMYFUNCTION("""COMPUTED_VALUE"""),42222)</f>
        <v>42222</v>
      </c>
      <c r="D301" s="12" t="str">
        <f ca="1">IFERROR(__xludf.DUMMYFUNCTION("""COMPUTED_VALUE"""),"EVEIL ATHLE")</f>
        <v>EVEIL ATHLE</v>
      </c>
      <c r="E301" s="14" t="str">
        <f ca="1">IFERROR(__xludf.DUMMYFUNCTION("""COMPUTED_VALUE"""),"ECOLE
")</f>
        <v xml:space="preserve">ECOLE
</v>
      </c>
      <c r="F301" s="1" t="str">
        <f ca="1">IFERROR(__xludf.DUMMYFUNCTION("""COMPUTED_VALUE"""),"MARNAY")</f>
        <v>MARNAY</v>
      </c>
      <c r="G301" s="12" t="str">
        <f ca="1">IFERROR(__xludf.DUMMYFUNCTION("""COMPUTED_VALUE"""),"MARNAY")</f>
        <v>MARNAY</v>
      </c>
      <c r="H301" s="12" t="str">
        <f t="shared" ca="1" si="1"/>
        <v>ECOLE
  MARNAY  MARNAY</v>
      </c>
      <c r="I301" s="6"/>
      <c r="J301" s="12"/>
      <c r="K301" s="12"/>
      <c r="L301" s="12" t="str">
        <f ca="1">IFERROR(__xludf.DUMMYFUNCTION("""COMPUTED_VALUE"""),"06 79 81 31 41")</f>
        <v>06 79 81 31 41</v>
      </c>
      <c r="M301" s="12" t="str">
        <f ca="1">IFERROR(__xludf.DUMMYFUNCTION("""COMPUTED_VALUE"""),"70150 MARNAY")</f>
        <v>70150 MARNAY</v>
      </c>
      <c r="N301" s="6"/>
      <c r="O301" s="6"/>
    </row>
    <row r="302" spans="1:15" ht="15.5" x14ac:dyDescent="0.35">
      <c r="A302" s="12" t="str">
        <f ca="1">IFERROR(__xludf.DUMMYFUNCTION("""COMPUTED_VALUE"""),"CHANTEAU Louison")</f>
        <v>CHANTEAU Louison</v>
      </c>
      <c r="B302" s="12" t="str">
        <f ca="1">IFERROR(__xludf.DUMMYFUNCTION("""COMPUTED_VALUE"""),"F")</f>
        <v>F</v>
      </c>
      <c r="C302" s="13">
        <f ca="1">IFERROR(__xludf.DUMMYFUNCTION("""COMPUTED_VALUE"""),41529)</f>
        <v>41529</v>
      </c>
      <c r="D302" s="12" t="str">
        <f ca="1">IFERROR(__xludf.DUMMYFUNCTION("""COMPUTED_VALUE"""),"POUSSINS")</f>
        <v>POUSSINS</v>
      </c>
      <c r="E302" s="14" t="str">
        <f ca="1">IFERROR(__xludf.DUMMYFUNCTION("""COMPUTED_VALUE"""),"ECOLE
")</f>
        <v xml:space="preserve">ECOLE
</v>
      </c>
      <c r="F302" s="1" t="str">
        <f ca="1">IFERROR(__xludf.DUMMYFUNCTION("""COMPUTED_VALUE"""),"MARNAY")</f>
        <v>MARNAY</v>
      </c>
      <c r="G302" s="12" t="str">
        <f ca="1">IFERROR(__xludf.DUMMYFUNCTION("""COMPUTED_VALUE"""),"MARNAY")</f>
        <v>MARNAY</v>
      </c>
      <c r="H302" s="12" t="str">
        <f t="shared" ca="1" si="1"/>
        <v>ECOLE
  MARNAY  MARNAY</v>
      </c>
      <c r="I302" s="6"/>
      <c r="J302" s="12"/>
      <c r="K302" s="12"/>
      <c r="L302" s="12" t="str">
        <f ca="1">IFERROR(__xludf.DUMMYFUNCTION("""COMPUTED_VALUE"""),"06 84 54 56 67")</f>
        <v>06 84 54 56 67</v>
      </c>
      <c r="M302" s="12" t="str">
        <f ca="1">IFERROR(__xludf.DUMMYFUNCTION("""COMPUTED_VALUE"""),"70150 CULT")</f>
        <v>70150 CULT</v>
      </c>
      <c r="N302" s="6"/>
      <c r="O302" s="6"/>
    </row>
    <row r="303" spans="1:15" ht="15.5" x14ac:dyDescent="0.35">
      <c r="A303" s="12" t="str">
        <f ca="1">IFERROR(__xludf.DUMMYFUNCTION("""COMPUTED_VALUE"""),"MANDRET PENA Tina")</f>
        <v>MANDRET PENA Tina</v>
      </c>
      <c r="B303" s="12" t="str">
        <f ca="1">IFERROR(__xludf.DUMMYFUNCTION("""COMPUTED_VALUE"""),"F")</f>
        <v>F</v>
      </c>
      <c r="C303" s="13">
        <f ca="1">IFERROR(__xludf.DUMMYFUNCTION("""COMPUTED_VALUE"""),41538)</f>
        <v>41538</v>
      </c>
      <c r="D303" s="12" t="str">
        <f ca="1">IFERROR(__xludf.DUMMYFUNCTION("""COMPUTED_VALUE"""),"POUSSINS")</f>
        <v>POUSSINS</v>
      </c>
      <c r="E303" s="14" t="str">
        <f ca="1">IFERROR(__xludf.DUMMYFUNCTION("""COMPUTED_VALUE"""),"ECOLE
")</f>
        <v xml:space="preserve">ECOLE
</v>
      </c>
      <c r="F303" s="1" t="str">
        <f ca="1">IFERROR(__xludf.DUMMYFUNCTION("""COMPUTED_VALUE"""),"MARNAY")</f>
        <v>MARNAY</v>
      </c>
      <c r="G303" s="12" t="str">
        <f ca="1">IFERROR(__xludf.DUMMYFUNCTION("""COMPUTED_VALUE"""),"MARNAY")</f>
        <v>MARNAY</v>
      </c>
      <c r="H303" s="12" t="str">
        <f t="shared" ca="1" si="1"/>
        <v>ECOLE
  MARNAY  MARNAY</v>
      </c>
      <c r="I303" s="6"/>
      <c r="J303" s="12"/>
      <c r="K303" s="12"/>
      <c r="L303" s="12" t="str">
        <f ca="1">IFERROR(__xludf.DUMMYFUNCTION("""COMPUTED_VALUE"""),"06 78 66 75 55")</f>
        <v>06 78 66 75 55</v>
      </c>
      <c r="M303" s="12" t="str">
        <f ca="1">IFERROR(__xludf.DUMMYFUNCTION("""COMPUTED_VALUE"""),"70150 CHENEVREY")</f>
        <v>70150 CHENEVREY</v>
      </c>
      <c r="N303" s="6"/>
      <c r="O303" s="6"/>
    </row>
    <row r="304" spans="1:15" ht="15.5" x14ac:dyDescent="0.35">
      <c r="A304" s="12" t="str">
        <f ca="1">IFERROR(__xludf.DUMMYFUNCTION("""COMPUTED_VALUE"""),"DI BENEDETTO Isaura")</f>
        <v>DI BENEDETTO Isaura</v>
      </c>
      <c r="B304" s="12" t="str">
        <f ca="1">IFERROR(__xludf.DUMMYFUNCTION("""COMPUTED_VALUE"""),"F")</f>
        <v>F</v>
      </c>
      <c r="C304" s="13">
        <f ca="1">IFERROR(__xludf.DUMMYFUNCTION("""COMPUTED_VALUE"""),41747)</f>
        <v>41747</v>
      </c>
      <c r="D304" s="12" t="str">
        <f ca="1">IFERROR(__xludf.DUMMYFUNCTION("""COMPUTED_VALUE"""),"POUSSINS")</f>
        <v>POUSSINS</v>
      </c>
      <c r="E304" s="14" t="str">
        <f ca="1">IFERROR(__xludf.DUMMYFUNCTION("""COMPUTED_VALUE"""),"ECOLE
")</f>
        <v xml:space="preserve">ECOLE
</v>
      </c>
      <c r="F304" s="1" t="str">
        <f ca="1">IFERROR(__xludf.DUMMYFUNCTION("""COMPUTED_VALUE"""),"MAXILLY SUR SAÔNE")</f>
        <v>MAXILLY SUR SAÔNE</v>
      </c>
      <c r="G304" s="12"/>
      <c r="H304" s="12" t="str">
        <f t="shared" ca="1" si="1"/>
        <v xml:space="preserve">ECOLE
  MAXILLY SUR SAÔNE  </v>
      </c>
      <c r="I304" s="6"/>
      <c r="J304" s="12" t="str">
        <f ca="1">IFERROR(__xludf.DUMMYFUNCTION("""COMPUTED_VALUE"""),"OK")</f>
        <v>OK</v>
      </c>
      <c r="K304" s="12"/>
      <c r="L304" s="12" t="str">
        <f ca="1">IFERROR(__xludf.DUMMYFUNCTION("""COMPUTED_VALUE"""),"06 67 31 23 93")</f>
        <v>06 67 31 23 93</v>
      </c>
      <c r="M304" s="12" t="str">
        <f ca="1">IFERROR(__xludf.DUMMYFUNCTION("""COMPUTED_VALUE"""),"21270 HEUILLEY SUR SAONE")</f>
        <v>21270 HEUILLEY SUR SAONE</v>
      </c>
      <c r="N304" s="6"/>
      <c r="O304" s="6"/>
    </row>
    <row r="305" spans="1:15" ht="15.5" x14ac:dyDescent="0.35">
      <c r="A305" s="12" t="str">
        <f ca="1">IFERROR(__xludf.DUMMYFUNCTION("""COMPUTED_VALUE"""),"DI BENEDETTO Isaura")</f>
        <v>DI BENEDETTO Isaura</v>
      </c>
      <c r="B305" s="12" t="str">
        <f ca="1">IFERROR(__xludf.DUMMYFUNCTION("""COMPUTED_VALUE"""),"F")</f>
        <v>F</v>
      </c>
      <c r="C305" s="13">
        <f ca="1">IFERROR(__xludf.DUMMYFUNCTION("""COMPUTED_VALUE"""),41747)</f>
        <v>41747</v>
      </c>
      <c r="D305" s="12" t="str">
        <f ca="1">IFERROR(__xludf.DUMMYFUNCTION("""COMPUTED_VALUE"""),"POUSSINS")</f>
        <v>POUSSINS</v>
      </c>
      <c r="E305" s="14" t="str">
        <f ca="1">IFERROR(__xludf.DUMMYFUNCTION("""COMPUTED_VALUE"""),"ECOLE
")</f>
        <v xml:space="preserve">ECOLE
</v>
      </c>
      <c r="F305" s="1" t="str">
        <f ca="1">IFERROR(__xludf.DUMMYFUNCTION("""COMPUTED_VALUE"""),"MAXILLY SUR SAÔNE")</f>
        <v>MAXILLY SUR SAÔNE</v>
      </c>
      <c r="G305" s="12"/>
      <c r="H305" s="12" t="str">
        <f t="shared" ca="1" si="1"/>
        <v xml:space="preserve">ECOLE
  MAXILLY SUR SAÔNE  </v>
      </c>
      <c r="I305" s="6"/>
      <c r="J305" s="12"/>
      <c r="K305" s="12"/>
      <c r="L305" s="12" t="str">
        <f ca="1">IFERROR(__xludf.DUMMYFUNCTION("""COMPUTED_VALUE"""),"06 67 31 23 93")</f>
        <v>06 67 31 23 93</v>
      </c>
      <c r="M305" s="12" t="str">
        <f ca="1">IFERROR(__xludf.DUMMYFUNCTION("""COMPUTED_VALUE"""),"21270 HEUILLEY SUR SAONE")</f>
        <v>21270 HEUILLEY SUR SAONE</v>
      </c>
      <c r="N305" s="6"/>
      <c r="O305" s="6"/>
    </row>
    <row r="306" spans="1:15" ht="15.5" x14ac:dyDescent="0.35">
      <c r="A306" s="12" t="str">
        <f ca="1">IFERROR(__xludf.DUMMYFUNCTION("""COMPUTED_VALUE"""),"DEVELET Paul")</f>
        <v>DEVELET Paul</v>
      </c>
      <c r="B306" s="12" t="str">
        <f ca="1">IFERROR(__xludf.DUMMYFUNCTION("""COMPUTED_VALUE"""),"H")</f>
        <v>H</v>
      </c>
      <c r="C306" s="13">
        <f ca="1">IFERROR(__xludf.DUMMYFUNCTION("""COMPUTED_VALUE"""),40973)</f>
        <v>40973</v>
      </c>
      <c r="D306" s="12" t="str">
        <f ca="1">IFERROR(__xludf.DUMMYFUNCTION("""COMPUTED_VALUE"""),"BENJAMINS")</f>
        <v>BENJAMINS</v>
      </c>
      <c r="E306" s="14" t="str">
        <f ca="1">IFERROR(__xludf.DUMMYFUNCTION("""COMPUTED_VALUE"""),"COLLEGE")</f>
        <v>COLLEGE</v>
      </c>
      <c r="F306" s="1" t="str">
        <f ca="1">IFERROR(__xludf.DUMMYFUNCTION("""COMPUTED_VALUE"""),"MIREBEAU")</f>
        <v>MIREBEAU</v>
      </c>
      <c r="G306" s="12" t="str">
        <f ca="1">IFERROR(__xludf.DUMMYFUNCTION("""COMPUTED_VALUE"""),"MIREBEAU")</f>
        <v>MIREBEAU</v>
      </c>
      <c r="H306" s="12" t="str">
        <f t="shared" ca="1" si="1"/>
        <v>COLLEGE  MIREBEAU  MIREBEAU</v>
      </c>
      <c r="I306" s="6"/>
      <c r="J306" s="12" t="str">
        <f ca="1">IFERROR(__xludf.DUMMYFUNCTION("""COMPUTED_VALUE"""),"OK")</f>
        <v>OK</v>
      </c>
      <c r="K306" s="12" t="str">
        <f ca="1">IFERROR(__xludf.DUMMYFUNCTION("""COMPUTED_VALUE"""),"jessicadidion@hotmail.fr")</f>
        <v>jessicadidion@hotmail.fr</v>
      </c>
      <c r="L306" s="12" t="str">
        <f ca="1">IFERROR(__xludf.DUMMYFUNCTION("""COMPUTED_VALUE"""),"06 87 42 84 95")</f>
        <v>06 87 42 84 95</v>
      </c>
      <c r="M306" s="12" t="str">
        <f ca="1">IFERROR(__xludf.DUMMYFUNCTION("""COMPUTED_VALUE"""),"21310 RENEVE")</f>
        <v>21310 RENEVE</v>
      </c>
      <c r="N306" s="6"/>
      <c r="O306" s="6"/>
    </row>
    <row r="307" spans="1:15" ht="15.5" x14ac:dyDescent="0.35">
      <c r="A307" s="12" t="str">
        <f ca="1">IFERROR(__xludf.DUMMYFUNCTION("""COMPUTED_VALUE"""),"SUARD OUDIN Johanes")</f>
        <v>SUARD OUDIN Johanes</v>
      </c>
      <c r="B307" s="12" t="str">
        <f ca="1">IFERROR(__xludf.DUMMYFUNCTION("""COMPUTED_VALUE"""),"H")</f>
        <v>H</v>
      </c>
      <c r="C307" s="13">
        <f ca="1">IFERROR(__xludf.DUMMYFUNCTION("""COMPUTED_VALUE"""),40596)</f>
        <v>40596</v>
      </c>
      <c r="D307" s="12" t="str">
        <f ca="1">IFERROR(__xludf.DUMMYFUNCTION("""COMPUTED_VALUE"""),"BENJAMINS")</f>
        <v>BENJAMINS</v>
      </c>
      <c r="E307" s="14" t="str">
        <f ca="1">IFERROR(__xludf.DUMMYFUNCTION("""COMPUTED_VALUE"""),"COLLEGE")</f>
        <v>COLLEGE</v>
      </c>
      <c r="F307" s="1" t="str">
        <f ca="1">IFERROR(__xludf.DUMMYFUNCTION("""COMPUTED_VALUE"""),"MIREBEAU")</f>
        <v>MIREBEAU</v>
      </c>
      <c r="G307" s="12" t="str">
        <f ca="1">IFERROR(__xludf.DUMMYFUNCTION("""COMPUTED_VALUE"""),"MIREBEAU")</f>
        <v>MIREBEAU</v>
      </c>
      <c r="H307" s="12" t="str">
        <f t="shared" ca="1" si="1"/>
        <v>COLLEGE  MIREBEAU  MIREBEAU</v>
      </c>
      <c r="I307" s="6"/>
      <c r="J307" s="12" t="str">
        <f ca="1">IFERROR(__xludf.DUMMYFUNCTION("""COMPUTED_VALUE"""),"OK")</f>
        <v>OK</v>
      </c>
      <c r="K307" s="12" t="str">
        <f ca="1">IFERROR(__xludf.DUMMYFUNCTION("""COMPUTED_VALUE"""),"je.suard@msigs.fr")</f>
        <v>je.suard@msigs.fr</v>
      </c>
      <c r="L307" s="12" t="str">
        <f ca="1">IFERROR(__xludf.DUMMYFUNCTION("""COMPUTED_VALUE"""),"06 45 69 21 74")</f>
        <v>06 45 69 21 74</v>
      </c>
      <c r="M307" s="12" t="str">
        <f ca="1">IFERROR(__xludf.DUMMYFUNCTION("""COMPUTED_VALUE"""),"21270 MONTMANCON")</f>
        <v>21270 MONTMANCON</v>
      </c>
      <c r="N307" s="6"/>
      <c r="O307" s="6"/>
    </row>
    <row r="308" spans="1:15" ht="15.5" x14ac:dyDescent="0.35">
      <c r="A308" s="12" t="str">
        <f ca="1">IFERROR(__xludf.DUMMYFUNCTION("""COMPUTED_VALUE"""),"SUCHET AUGER Flavien")</f>
        <v>SUCHET AUGER Flavien</v>
      </c>
      <c r="B308" s="12" t="str">
        <f ca="1">IFERROR(__xludf.DUMMYFUNCTION("""COMPUTED_VALUE"""),"H")</f>
        <v>H</v>
      </c>
      <c r="C308" s="13">
        <f ca="1">IFERROR(__xludf.DUMMYFUNCTION("""COMPUTED_VALUE"""),41152)</f>
        <v>41152</v>
      </c>
      <c r="D308" s="12" t="str">
        <f ca="1">IFERROR(__xludf.DUMMYFUNCTION("""COMPUTED_VALUE"""),"BENJAMINS")</f>
        <v>BENJAMINS</v>
      </c>
      <c r="E308" s="14" t="str">
        <f ca="1">IFERROR(__xludf.DUMMYFUNCTION("""COMPUTED_VALUE"""),"COLLEGE")</f>
        <v>COLLEGE</v>
      </c>
      <c r="F308" s="1" t="str">
        <f ca="1">IFERROR(__xludf.DUMMYFUNCTION("""COMPUTED_VALUE"""),"MIREBEAU")</f>
        <v>MIREBEAU</v>
      </c>
      <c r="G308" s="12" t="str">
        <f ca="1">IFERROR(__xludf.DUMMYFUNCTION("""COMPUTED_VALUE"""),"MIREBEAU")</f>
        <v>MIREBEAU</v>
      </c>
      <c r="H308" s="12" t="str">
        <f t="shared" ca="1" si="1"/>
        <v>COLLEGE  MIREBEAU  MIREBEAU</v>
      </c>
      <c r="I308" s="6"/>
      <c r="J308" s="12" t="str">
        <f ca="1">IFERROR(__xludf.DUMMYFUNCTION("""COMPUTED_VALUE"""),"oK")</f>
        <v>oK</v>
      </c>
      <c r="K308" s="12" t="str">
        <f ca="1">IFERROR(__xludf.DUMMYFUNCTION("""COMPUTED_VALUE"""),"sebastien.suchet@orange.fr")</f>
        <v>sebastien.suchet@orange.fr</v>
      </c>
      <c r="L308" s="12" t="str">
        <f ca="1">IFERROR(__xludf.DUMMYFUNCTION("""COMPUTED_VALUE"""),"07 88 19 95 29")</f>
        <v>07 88 19 95 29</v>
      </c>
      <c r="M308" s="12" t="str">
        <f ca="1">IFERROR(__xludf.DUMMYFUNCTION("""COMPUTED_VALUE"""),"70000 ECHENOZ LA MELINE")</f>
        <v>70000 ECHENOZ LA MELINE</v>
      </c>
      <c r="N308" s="6"/>
      <c r="O308" s="6"/>
    </row>
    <row r="309" spans="1:15" ht="15.5" x14ac:dyDescent="0.35">
      <c r="A309" s="12" t="str">
        <f ca="1">IFERROR(__xludf.DUMMYFUNCTION("""COMPUTED_VALUE"""),"SUARD OUDIN Sacha")</f>
        <v>SUARD OUDIN Sacha</v>
      </c>
      <c r="B309" s="12" t="str">
        <f ca="1">IFERROR(__xludf.DUMMYFUNCTION("""COMPUTED_VALUE"""),"H")</f>
        <v>H</v>
      </c>
      <c r="C309" s="13">
        <f ca="1">IFERROR(__xludf.DUMMYFUNCTION("""COMPUTED_VALUE"""),42647)</f>
        <v>42647</v>
      </c>
      <c r="D309" s="12" t="str">
        <f ca="1">IFERROR(__xludf.DUMMYFUNCTION("""COMPUTED_VALUE"""),"EVEIL ATHLE")</f>
        <v>EVEIL ATHLE</v>
      </c>
      <c r="E309" s="14" t="str">
        <f ca="1">IFERROR(__xludf.DUMMYFUNCTION("""COMPUTED_VALUE"""),"ECOLE
")</f>
        <v xml:space="preserve">ECOLE
</v>
      </c>
      <c r="F309" s="1" t="str">
        <f ca="1">IFERROR(__xludf.DUMMYFUNCTION("""COMPUTED_VALUE"""),"MIREBEAU")</f>
        <v>MIREBEAU</v>
      </c>
      <c r="G309" s="12" t="str">
        <f ca="1">IFERROR(__xludf.DUMMYFUNCTION("""COMPUTED_VALUE"""),"MIREBEAU")</f>
        <v>MIREBEAU</v>
      </c>
      <c r="H309" s="12" t="str">
        <f t="shared" ca="1" si="1"/>
        <v>ECOLE
  MIREBEAU  MIREBEAU</v>
      </c>
      <c r="I309" s="6"/>
      <c r="J309" s="12" t="str">
        <f ca="1">IFERROR(__xludf.DUMMYFUNCTION("""COMPUTED_VALUE"""),"OK")</f>
        <v>OK</v>
      </c>
      <c r="K309" s="12" t="str">
        <f ca="1">IFERROR(__xludf.DUMMYFUNCTION("""COMPUTED_VALUE"""),"je.suard@msigs.fr")</f>
        <v>je.suard@msigs.fr</v>
      </c>
      <c r="L309" s="12" t="str">
        <f ca="1">IFERROR(__xludf.DUMMYFUNCTION("""COMPUTED_VALUE"""),"06 45 69 21 74")</f>
        <v>06 45 69 21 74</v>
      </c>
      <c r="M309" s="12" t="str">
        <f ca="1">IFERROR(__xludf.DUMMYFUNCTION("""COMPUTED_VALUE"""),"21270 MONTMANCON")</f>
        <v>21270 MONTMANCON</v>
      </c>
      <c r="N309" s="6"/>
      <c r="O309" s="6"/>
    </row>
    <row r="310" spans="1:15" ht="15.5" x14ac:dyDescent="0.35">
      <c r="A310" s="12" t="str">
        <f ca="1">IFERROR(__xludf.DUMMYFUNCTION("""COMPUTED_VALUE"""),"SUARD OUDIN Maxens")</f>
        <v>SUARD OUDIN Maxens</v>
      </c>
      <c r="B310" s="12" t="str">
        <f ca="1">IFERROR(__xludf.DUMMYFUNCTION("""COMPUTED_VALUE"""),"H")</f>
        <v>H</v>
      </c>
      <c r="C310" s="13">
        <f ca="1">IFERROR(__xludf.DUMMYFUNCTION("""COMPUTED_VALUE"""),41415)</f>
        <v>41415</v>
      </c>
      <c r="D310" s="12" t="str">
        <f ca="1">IFERROR(__xludf.DUMMYFUNCTION("""COMPUTED_VALUE"""),"POUSSINS")</f>
        <v>POUSSINS</v>
      </c>
      <c r="E310" s="14" t="str">
        <f ca="1">IFERROR(__xludf.DUMMYFUNCTION("""COMPUTED_VALUE"""),"ECOLE
")</f>
        <v xml:space="preserve">ECOLE
</v>
      </c>
      <c r="F310" s="1" t="str">
        <f ca="1">IFERROR(__xludf.DUMMYFUNCTION("""COMPUTED_VALUE"""),"MIREBEAU")</f>
        <v>MIREBEAU</v>
      </c>
      <c r="G310" s="12" t="str">
        <f ca="1">IFERROR(__xludf.DUMMYFUNCTION("""COMPUTED_VALUE"""),"MIREBEAU")</f>
        <v>MIREBEAU</v>
      </c>
      <c r="H310" s="12" t="str">
        <f t="shared" ca="1" si="1"/>
        <v>ECOLE
  MIREBEAU  MIREBEAU</v>
      </c>
      <c r="I310" s="6"/>
      <c r="J310" s="12" t="str">
        <f ca="1">IFERROR(__xludf.DUMMYFUNCTION("""COMPUTED_VALUE"""),"OK")</f>
        <v>OK</v>
      </c>
      <c r="K310" s="12" t="str">
        <f ca="1">IFERROR(__xludf.DUMMYFUNCTION("""COMPUTED_VALUE"""),"je.suard@msigs.fr")</f>
        <v>je.suard@msigs.fr</v>
      </c>
      <c r="L310" s="12" t="str">
        <f ca="1">IFERROR(__xludf.DUMMYFUNCTION("""COMPUTED_VALUE"""),"06 45 69 21 74")</f>
        <v>06 45 69 21 74</v>
      </c>
      <c r="M310" s="12" t="str">
        <f ca="1">IFERROR(__xludf.DUMMYFUNCTION("""COMPUTED_VALUE"""),"21270 MONTMANCON")</f>
        <v>21270 MONTMANCON</v>
      </c>
      <c r="N310" s="6"/>
      <c r="O310" s="6"/>
    </row>
    <row r="311" spans="1:15" ht="15.5" x14ac:dyDescent="0.35">
      <c r="A311" s="12" t="str">
        <f ca="1">IFERROR(__xludf.DUMMYFUNCTION("""COMPUTED_VALUE"""),"SUARD OUDIN Sacha")</f>
        <v>SUARD OUDIN Sacha</v>
      </c>
      <c r="B311" s="12" t="str">
        <f ca="1">IFERROR(__xludf.DUMMYFUNCTION("""COMPUTED_VALUE"""),"H")</f>
        <v>H</v>
      </c>
      <c r="C311" s="13">
        <f ca="1">IFERROR(__xludf.DUMMYFUNCTION("""COMPUTED_VALUE"""),42647)</f>
        <v>42647</v>
      </c>
      <c r="D311" s="12" t="str">
        <f ca="1">IFERROR(__xludf.DUMMYFUNCTION("""COMPUTED_VALUE"""),"EVEIL ATHLE")</f>
        <v>EVEIL ATHLE</v>
      </c>
      <c r="E311" s="14" t="str">
        <f ca="1">IFERROR(__xludf.DUMMYFUNCTION("""COMPUTED_VALUE"""),"ECOLE
")</f>
        <v xml:space="preserve">ECOLE
</v>
      </c>
      <c r="F311" s="1" t="str">
        <f ca="1">IFERROR(__xludf.DUMMYFUNCTION("""COMPUTED_VALUE"""),"MIREBEAU")</f>
        <v>MIREBEAU</v>
      </c>
      <c r="G311" s="12" t="str">
        <f ca="1">IFERROR(__xludf.DUMMYFUNCTION("""COMPUTED_VALUE"""),"MIREBEAU")</f>
        <v>MIREBEAU</v>
      </c>
      <c r="H311" s="12" t="str">
        <f t="shared" ca="1" si="1"/>
        <v>ECOLE
  MIREBEAU  MIREBEAU</v>
      </c>
      <c r="I311" s="6"/>
      <c r="J311" s="12"/>
      <c r="K311" s="12"/>
      <c r="L311" s="12" t="str">
        <f ca="1">IFERROR(__xludf.DUMMYFUNCTION("""COMPUTED_VALUE"""),"06 45 69 21 74")</f>
        <v>06 45 69 21 74</v>
      </c>
      <c r="M311" s="12" t="str">
        <f ca="1">IFERROR(__xludf.DUMMYFUNCTION("""COMPUTED_VALUE"""),"21270 MONTMANCON")</f>
        <v>21270 MONTMANCON</v>
      </c>
      <c r="N311" s="6"/>
      <c r="O311" s="6"/>
    </row>
    <row r="312" spans="1:15" ht="15.5" x14ac:dyDescent="0.35">
      <c r="A312" s="12" t="str">
        <f ca="1">IFERROR(__xludf.DUMMYFUNCTION("""COMPUTED_VALUE"""),"SUARD OUDIN Maxens")</f>
        <v>SUARD OUDIN Maxens</v>
      </c>
      <c r="B312" s="12" t="str">
        <f ca="1">IFERROR(__xludf.DUMMYFUNCTION("""COMPUTED_VALUE"""),"H")</f>
        <v>H</v>
      </c>
      <c r="C312" s="13">
        <f ca="1">IFERROR(__xludf.DUMMYFUNCTION("""COMPUTED_VALUE"""),41415)</f>
        <v>41415</v>
      </c>
      <c r="D312" s="12" t="str">
        <f ca="1">IFERROR(__xludf.DUMMYFUNCTION("""COMPUTED_VALUE"""),"POUSSINS")</f>
        <v>POUSSINS</v>
      </c>
      <c r="E312" s="14" t="str">
        <f ca="1">IFERROR(__xludf.DUMMYFUNCTION("""COMPUTED_VALUE"""),"ECOLE
")</f>
        <v xml:space="preserve">ECOLE
</v>
      </c>
      <c r="F312" s="1" t="str">
        <f ca="1">IFERROR(__xludf.DUMMYFUNCTION("""COMPUTED_VALUE"""),"MIREBEAU")</f>
        <v>MIREBEAU</v>
      </c>
      <c r="G312" s="12" t="str">
        <f ca="1">IFERROR(__xludf.DUMMYFUNCTION("""COMPUTED_VALUE"""),"MIREBEAU")</f>
        <v>MIREBEAU</v>
      </c>
      <c r="H312" s="12" t="str">
        <f t="shared" ca="1" si="1"/>
        <v>ECOLE
  MIREBEAU  MIREBEAU</v>
      </c>
      <c r="I312" s="6"/>
      <c r="J312" s="12"/>
      <c r="K312" s="12"/>
      <c r="L312" s="12" t="str">
        <f ca="1">IFERROR(__xludf.DUMMYFUNCTION("""COMPUTED_VALUE"""),"06 45 69 21 74")</f>
        <v>06 45 69 21 74</v>
      </c>
      <c r="M312" s="12" t="str">
        <f ca="1">IFERROR(__xludf.DUMMYFUNCTION("""COMPUTED_VALUE"""),"21270 MONTMANCON")</f>
        <v>21270 MONTMANCON</v>
      </c>
      <c r="N312" s="6"/>
      <c r="O312" s="6"/>
    </row>
    <row r="313" spans="1:15" ht="15.5" x14ac:dyDescent="0.35">
      <c r="A313" s="12" t="str">
        <f ca="1">IFERROR(__xludf.DUMMYFUNCTION("""COMPUTED_VALUE"""),"HOUSSINE Chloé")</f>
        <v>HOUSSINE Chloé</v>
      </c>
      <c r="B313" s="12" t="str">
        <f ca="1">IFERROR(__xludf.DUMMYFUNCTION("""COMPUTED_VALUE"""),"F")</f>
        <v>F</v>
      </c>
      <c r="C313" s="13">
        <f ca="1">IFERROR(__xludf.DUMMYFUNCTION("""COMPUTED_VALUE"""),40589)</f>
        <v>40589</v>
      </c>
      <c r="D313" s="12" t="str">
        <f ca="1">IFERROR(__xludf.DUMMYFUNCTION("""COMPUTED_VALUE"""),"BENJAMINS")</f>
        <v>BENJAMINS</v>
      </c>
      <c r="E313" s="14" t="str">
        <f ca="1">IFERROR(__xludf.DUMMYFUNCTION("""COMPUTED_VALUE"""),"COLLEGE")</f>
        <v>COLLEGE</v>
      </c>
      <c r="F313" s="1" t="str">
        <f ca="1">IFERROR(__xludf.DUMMYFUNCTION("""COMPUTED_VALUE"""),"MOISE LEVY")</f>
        <v>MOISE LEVY</v>
      </c>
      <c r="G313" s="12" t="str">
        <f ca="1">IFERROR(__xludf.DUMMYFUNCTION("""COMPUTED_VALUE"""),"GRAY")</f>
        <v>GRAY</v>
      </c>
      <c r="H313" s="12" t="str">
        <f t="shared" ca="1" si="1"/>
        <v>COLLEGE  MOISE LEVY  GRAY</v>
      </c>
      <c r="I313" s="6"/>
      <c r="J313" s="12" t="str">
        <f ca="1">IFERROR(__xludf.DUMMYFUNCTION("""COMPUTED_VALUE"""),"OK")</f>
        <v>OK</v>
      </c>
      <c r="K313" s="12" t="str">
        <f ca="1">IFERROR(__xludf.DUMMYFUNCTION("""COMPUTED_VALUE"""),"aimevictoria417@gmail.com")</f>
        <v>aimevictoria417@gmail.com</v>
      </c>
      <c r="L313" s="12" t="str">
        <f ca="1">IFERROR(__xludf.DUMMYFUNCTION("""COMPUTED_VALUE"""),"06 98 76 64 61")</f>
        <v>06 98 76 64 61</v>
      </c>
      <c r="M313" s="12" t="str">
        <f ca="1">IFERROR(__xludf.DUMMYFUNCTION("""COMPUTED_VALUE"""),"70100 GRAY")</f>
        <v>70100 GRAY</v>
      </c>
      <c r="N313" s="6"/>
      <c r="O313" s="6"/>
    </row>
    <row r="314" spans="1:15" ht="15.5" x14ac:dyDescent="0.35">
      <c r="A314" s="12" t="str">
        <f ca="1">IFERROR(__xludf.DUMMYFUNCTION("""COMPUTED_VALUE"""),"ORRY Léa")</f>
        <v>ORRY Léa</v>
      </c>
      <c r="B314" s="12" t="str">
        <f ca="1">IFERROR(__xludf.DUMMYFUNCTION("""COMPUTED_VALUE"""),"F")</f>
        <v>F</v>
      </c>
      <c r="C314" s="13">
        <f ca="1">IFERROR(__xludf.DUMMYFUNCTION("""COMPUTED_VALUE"""),41360)</f>
        <v>41360</v>
      </c>
      <c r="D314" s="12" t="str">
        <f ca="1">IFERROR(__xludf.DUMMYFUNCTION("""COMPUTED_VALUE"""),"POUSSINS")</f>
        <v>POUSSINS</v>
      </c>
      <c r="E314" s="14" t="str">
        <f ca="1">IFERROR(__xludf.DUMMYFUNCTION("""COMPUTED_VALUE"""),"ECOLE
")</f>
        <v xml:space="preserve">ECOLE
</v>
      </c>
      <c r="F314" s="1" t="str">
        <f ca="1">IFERROR(__xludf.DUMMYFUNCTION("""COMPUTED_VALUE"""),"MONTAGNEY")</f>
        <v>MONTAGNEY</v>
      </c>
      <c r="G314" s="12" t="str">
        <f ca="1">IFERROR(__xludf.DUMMYFUNCTION("""COMPUTED_VALUE"""),"MONTAGNEY")</f>
        <v>MONTAGNEY</v>
      </c>
      <c r="H314" s="12" t="str">
        <f t="shared" ca="1" si="1"/>
        <v>ECOLE
  MONTAGNEY  MONTAGNEY</v>
      </c>
      <c r="I314" s="6"/>
      <c r="J314" s="12" t="str">
        <f ca="1">IFERROR(__xludf.DUMMYFUNCTION("""COMPUTED_VALUE"""),"OK")</f>
        <v>OK</v>
      </c>
      <c r="K314" s="12" t="str">
        <f ca="1">IFERROR(__xludf.DUMMYFUNCTION("""COMPUTED_VALUE"""),"cecilia.alvarez@orange.fr")</f>
        <v>cecilia.alvarez@orange.fr</v>
      </c>
      <c r="L314" s="12" t="str">
        <f ca="1">IFERROR(__xludf.DUMMYFUNCTION("""COMPUTED_VALUE"""),"06 83 69 05 74")</f>
        <v>06 83 69 05 74</v>
      </c>
      <c r="M314" s="12" t="str">
        <f ca="1">IFERROR(__xludf.DUMMYFUNCTION("""COMPUTED_VALUE"""),"70 140 BRESILLEY")</f>
        <v>70 140 BRESILLEY</v>
      </c>
      <c r="N314" s="6"/>
      <c r="O314" s="6"/>
    </row>
    <row r="315" spans="1:15" ht="15.5" x14ac:dyDescent="0.35">
      <c r="A315" s="12" t="str">
        <f ca="1">IFERROR(__xludf.DUMMYFUNCTION("""COMPUTED_VALUE"""),"ORRY Léa")</f>
        <v>ORRY Léa</v>
      </c>
      <c r="B315" s="12" t="str">
        <f ca="1">IFERROR(__xludf.DUMMYFUNCTION("""COMPUTED_VALUE"""),"F")</f>
        <v>F</v>
      </c>
      <c r="C315" s="13">
        <f ca="1">IFERROR(__xludf.DUMMYFUNCTION("""COMPUTED_VALUE"""),41360)</f>
        <v>41360</v>
      </c>
      <c r="D315" s="12" t="str">
        <f ca="1">IFERROR(__xludf.DUMMYFUNCTION("""COMPUTED_VALUE"""),"POUSSINS")</f>
        <v>POUSSINS</v>
      </c>
      <c r="E315" s="14" t="str">
        <f ca="1">IFERROR(__xludf.DUMMYFUNCTION("""COMPUTED_VALUE"""),"ECOLE
")</f>
        <v xml:space="preserve">ECOLE
</v>
      </c>
      <c r="F315" s="1" t="str">
        <f ca="1">IFERROR(__xludf.DUMMYFUNCTION("""COMPUTED_VALUE"""),"MONTAGNEY")</f>
        <v>MONTAGNEY</v>
      </c>
      <c r="G315" s="12" t="str">
        <f ca="1">IFERROR(__xludf.DUMMYFUNCTION("""COMPUTED_VALUE"""),"MONTAGNEY")</f>
        <v>MONTAGNEY</v>
      </c>
      <c r="H315" s="12" t="str">
        <f t="shared" ca="1" si="1"/>
        <v>ECOLE
  MONTAGNEY  MONTAGNEY</v>
      </c>
      <c r="I315" s="6"/>
      <c r="J315" s="12"/>
      <c r="K315" s="12"/>
      <c r="L315" s="12" t="str">
        <f ca="1">IFERROR(__xludf.DUMMYFUNCTION("""COMPUTED_VALUE"""),"06 83 69 05 74")</f>
        <v>06 83 69 05 74</v>
      </c>
      <c r="M315" s="12" t="str">
        <f ca="1">IFERROR(__xludf.DUMMYFUNCTION("""COMPUTED_VALUE"""),"70 140 BRESILLEY")</f>
        <v>70 140 BRESILLEY</v>
      </c>
      <c r="N315" s="6"/>
      <c r="O315" s="6"/>
    </row>
    <row r="316" spans="1:15" ht="15.5" x14ac:dyDescent="0.35">
      <c r="A316" s="12" t="str">
        <f ca="1">IFERROR(__xludf.DUMMYFUNCTION("""COMPUTED_VALUE"""),"SAHLER Clémence")</f>
        <v>SAHLER Clémence</v>
      </c>
      <c r="B316" s="12" t="str">
        <f ca="1">IFERROR(__xludf.DUMMYFUNCTION("""COMPUTED_VALUE"""),"F")</f>
        <v>F</v>
      </c>
      <c r="C316" s="13">
        <f ca="1">IFERROR(__xludf.DUMMYFUNCTION("""COMPUTED_VALUE"""),43106)</f>
        <v>43106</v>
      </c>
      <c r="D316" s="12" t="str">
        <f ca="1">IFERROR(__xludf.DUMMYFUNCTION("""COMPUTED_VALUE"""),"BABY ATHLE")</f>
        <v>BABY ATHLE</v>
      </c>
      <c r="E316" s="14" t="str">
        <f ca="1">IFERROR(__xludf.DUMMYFUNCTION("""COMPUTED_VALUE"""),"ECOLE
")</f>
        <v xml:space="preserve">ECOLE
</v>
      </c>
      <c r="F316" s="1" t="str">
        <f ca="1">IFERROR(__xludf.DUMMYFUNCTION("""COMPUTED_VALUE"""),"MONTFERRAND LE CHÂTEAU")</f>
        <v>MONTFERRAND LE CHÂTEAU</v>
      </c>
      <c r="G316" s="12" t="str">
        <f ca="1">IFERROR(__xludf.DUMMYFUNCTION("""COMPUTED_VALUE"""),"MONTFERRAND LE CHÂTEAU")</f>
        <v>MONTFERRAND LE CHÂTEAU</v>
      </c>
      <c r="H316" s="12" t="str">
        <f t="shared" ca="1" si="1"/>
        <v>ECOLE
  MONTFERRAND LE CHÂTEAU  MONTFERRAND LE CHÂTEAU</v>
      </c>
      <c r="I316" s="6"/>
      <c r="J316" s="12" t="str">
        <f ca="1">IFERROR(__xludf.DUMMYFUNCTION("""COMPUTED_VALUE"""),"OK")</f>
        <v>OK</v>
      </c>
      <c r="K316" s="12" t="str">
        <f ca="1">IFERROR(__xludf.DUMMYFUNCTION("""COMPUTED_VALUE"""),"mimge25@yahoo.fr")</f>
        <v>mimge25@yahoo.fr</v>
      </c>
      <c r="L316" s="12" t="str">
        <f ca="1">IFERROR(__xludf.DUMMYFUNCTION("""COMPUTED_VALUE"""),"06 75 08 78 68")</f>
        <v>06 75 08 78 68</v>
      </c>
      <c r="M316" s="12" t="str">
        <f ca="1">IFERROR(__xludf.DUMMYFUNCTION("""COMPUTED_VALUE"""),"25320 MONTFERRAND LE CHÂTEAU")</f>
        <v>25320 MONTFERRAND LE CHÂTEAU</v>
      </c>
      <c r="N316" s="6"/>
      <c r="O316" s="6"/>
    </row>
    <row r="317" spans="1:15" ht="15.5" x14ac:dyDescent="0.35">
      <c r="A317" s="12" t="str">
        <f ca="1">IFERROR(__xludf.DUMMYFUNCTION("""COMPUTED_VALUE"""),"POUYET Léane")</f>
        <v>POUYET Léane</v>
      </c>
      <c r="B317" s="12" t="str">
        <f ca="1">IFERROR(__xludf.DUMMYFUNCTION("""COMPUTED_VALUE"""),"F")</f>
        <v>F</v>
      </c>
      <c r="C317" s="13">
        <f ca="1">IFERROR(__xludf.DUMMYFUNCTION("""COMPUTED_VALUE"""),41444)</f>
        <v>41444</v>
      </c>
      <c r="D317" s="12" t="str">
        <f ca="1">IFERROR(__xludf.DUMMYFUNCTION("""COMPUTED_VALUE"""),"POUSSINS")</f>
        <v>POUSSINS</v>
      </c>
      <c r="E317" s="14" t="str">
        <f ca="1">IFERROR(__xludf.DUMMYFUNCTION("""COMPUTED_VALUE"""),"ECOLE
")</f>
        <v xml:space="preserve">ECOLE
</v>
      </c>
      <c r="F317" s="1" t="str">
        <f ca="1">IFERROR(__xludf.DUMMYFUNCTION("""COMPUTED_VALUE"""),"NOIDANS VESOUL - JULES VALLES")</f>
        <v>NOIDANS VESOUL - JULES VALLES</v>
      </c>
      <c r="G317" s="12" t="str">
        <f ca="1">IFERROR(__xludf.DUMMYFUNCTION("""COMPUTED_VALUE"""),"NOIDANS LESVESOUL")</f>
        <v>NOIDANS LESVESOUL</v>
      </c>
      <c r="H317" s="12" t="str">
        <f t="shared" ca="1" si="1"/>
        <v>ECOLE
  NOIDANS VESOUL - JULES VALLES  NOIDANS LESVESOUL</v>
      </c>
      <c r="I317" s="6"/>
      <c r="J317" s="12" t="str">
        <f ca="1">IFERROR(__xludf.DUMMYFUNCTION("""COMPUTED_VALUE"""),"OK")</f>
        <v>OK</v>
      </c>
      <c r="K317" s="12" t="str">
        <f ca="1">IFERROR(__xludf.DUMMYFUNCTION("""COMPUTED_VALUE"""),"steph.nono70@yahoo.fr")</f>
        <v>steph.nono70@yahoo.fr</v>
      </c>
      <c r="L317" s="12" t="str">
        <f ca="1">IFERROR(__xludf.DUMMYFUNCTION("""COMPUTED_VALUE"""),"06 74 53 10 71")</f>
        <v>06 74 53 10 71</v>
      </c>
      <c r="M317" s="12" t="str">
        <f ca="1">IFERROR(__xludf.DUMMYFUNCTION("""COMPUTED_VALUE"""),"70000 ANDELARROT")</f>
        <v>70000 ANDELARROT</v>
      </c>
      <c r="N317" s="6"/>
      <c r="O317" s="6"/>
    </row>
    <row r="318" spans="1:15" ht="15.5" x14ac:dyDescent="0.35">
      <c r="A318" s="12" t="str">
        <f ca="1">IFERROR(__xludf.DUMMYFUNCTION("""COMPUTED_VALUE"""),"POUYET Léane")</f>
        <v>POUYET Léane</v>
      </c>
      <c r="B318" s="12" t="str">
        <f ca="1">IFERROR(__xludf.DUMMYFUNCTION("""COMPUTED_VALUE"""),"F")</f>
        <v>F</v>
      </c>
      <c r="C318" s="13">
        <f ca="1">IFERROR(__xludf.DUMMYFUNCTION("""COMPUTED_VALUE"""),41444)</f>
        <v>41444</v>
      </c>
      <c r="D318" s="12" t="str">
        <f ca="1">IFERROR(__xludf.DUMMYFUNCTION("""COMPUTED_VALUE"""),"POUSSINS")</f>
        <v>POUSSINS</v>
      </c>
      <c r="E318" s="14" t="str">
        <f ca="1">IFERROR(__xludf.DUMMYFUNCTION("""COMPUTED_VALUE"""),"ECOLE
")</f>
        <v xml:space="preserve">ECOLE
</v>
      </c>
      <c r="F318" s="1" t="str">
        <f ca="1">IFERROR(__xludf.DUMMYFUNCTION("""COMPUTED_VALUE"""),"NOIDANS VESOUL - JULES VALLES")</f>
        <v>NOIDANS VESOUL - JULES VALLES</v>
      </c>
      <c r="G318" s="12" t="str">
        <f ca="1">IFERROR(__xludf.DUMMYFUNCTION("""COMPUTED_VALUE"""),"NOIDANS LESVESOUL")</f>
        <v>NOIDANS LESVESOUL</v>
      </c>
      <c r="H318" s="12" t="str">
        <f t="shared" ca="1" si="1"/>
        <v>ECOLE
  NOIDANS VESOUL - JULES VALLES  NOIDANS LESVESOUL</v>
      </c>
      <c r="I318" s="6"/>
      <c r="J318" s="12"/>
      <c r="K318" s="12"/>
      <c r="L318" s="12" t="str">
        <f ca="1">IFERROR(__xludf.DUMMYFUNCTION("""COMPUTED_VALUE"""),"06 74 53 10 71")</f>
        <v>06 74 53 10 71</v>
      </c>
      <c r="M318" s="12" t="str">
        <f ca="1">IFERROR(__xludf.DUMMYFUNCTION("""COMPUTED_VALUE"""),"70000 ANDELARROT")</f>
        <v>70000 ANDELARROT</v>
      </c>
      <c r="N318" s="6"/>
      <c r="O318" s="6"/>
    </row>
    <row r="319" spans="1:15" ht="15.5" x14ac:dyDescent="0.35">
      <c r="A319" s="12" t="str">
        <f ca="1">IFERROR(__xludf.DUMMYFUNCTION("""COMPUTED_VALUE"""),"RICHARD Léa")</f>
        <v>RICHARD Léa</v>
      </c>
      <c r="B319" s="12" t="str">
        <f ca="1">IFERROR(__xludf.DUMMYFUNCTION("""COMPUTED_VALUE"""),"F")</f>
        <v>F</v>
      </c>
      <c r="C319" s="13">
        <f ca="1">IFERROR(__xludf.DUMMYFUNCTION("""COMPUTED_VALUE"""),39938)</f>
        <v>39938</v>
      </c>
      <c r="D319" s="12" t="str">
        <f ca="1">IFERROR(__xludf.DUMMYFUNCTION("""COMPUTED_VALUE"""),"MINIMES")</f>
        <v>MINIMES</v>
      </c>
      <c r="E319" s="14" t="str">
        <f ca="1">IFERROR(__xludf.DUMMYFUNCTION("""COMPUTED_VALUE"""),"COLLEGE")</f>
        <v>COLLEGE</v>
      </c>
      <c r="F319" s="1" t="str">
        <f ca="1">IFERROR(__xludf.DUMMYFUNCTION("""COMPUTED_VALUE"""),"PESMES")</f>
        <v>PESMES</v>
      </c>
      <c r="G319" s="12" t="str">
        <f ca="1">IFERROR(__xludf.DUMMYFUNCTION("""COMPUTED_VALUE"""),"PESMES")</f>
        <v>PESMES</v>
      </c>
      <c r="H319" s="12" t="str">
        <f t="shared" ca="1" si="1"/>
        <v>COLLEGE  PESMES  PESMES</v>
      </c>
      <c r="I319" s="6"/>
      <c r="J319" s="12" t="str">
        <f ca="1">IFERROR(__xludf.DUMMYFUNCTION("""COMPUTED_VALUE"""),"OK")</f>
        <v>OK</v>
      </c>
      <c r="K319" s="12" t="str">
        <f ca="1">IFERROR(__xludf.DUMMYFUNCTION("""COMPUTED_VALUE"""),"richardaurelia70@gmail.com")</f>
        <v>richardaurelia70@gmail.com</v>
      </c>
      <c r="L319" s="12" t="str">
        <f ca="1">IFERROR(__xludf.DUMMYFUNCTION("""COMPUTED_VALUE"""),"06 80 78 74 33")</f>
        <v>06 80 78 74 33</v>
      </c>
      <c r="M319" s="12" t="str">
        <f ca="1">IFERROR(__xludf.DUMMYFUNCTION("""COMPUTED_VALUE"""),"70140 LA GRANDE RESIE")</f>
        <v>70140 LA GRANDE RESIE</v>
      </c>
      <c r="N319" s="6"/>
      <c r="O319" s="6"/>
    </row>
    <row r="320" spans="1:15" ht="15.5" x14ac:dyDescent="0.35">
      <c r="A320" s="12" t="str">
        <f ca="1">IFERROR(__xludf.DUMMYFUNCTION("""COMPUTED_VALUE"""),"RICHARD Léa")</f>
        <v>RICHARD Léa</v>
      </c>
      <c r="B320" s="12" t="str">
        <f ca="1">IFERROR(__xludf.DUMMYFUNCTION("""COMPUTED_VALUE"""),"F")</f>
        <v>F</v>
      </c>
      <c r="C320" s="13">
        <f ca="1">IFERROR(__xludf.DUMMYFUNCTION("""COMPUTED_VALUE"""),39938)</f>
        <v>39938</v>
      </c>
      <c r="D320" s="12" t="str">
        <f ca="1">IFERROR(__xludf.DUMMYFUNCTION("""COMPUTED_VALUE"""),"MINIMES")</f>
        <v>MINIMES</v>
      </c>
      <c r="E320" s="14" t="str">
        <f ca="1">IFERROR(__xludf.DUMMYFUNCTION("""COMPUTED_VALUE"""),"COLLEGE")</f>
        <v>COLLEGE</v>
      </c>
      <c r="F320" s="1" t="str">
        <f ca="1">IFERROR(__xludf.DUMMYFUNCTION("""COMPUTED_VALUE"""),"PESMES")</f>
        <v>PESMES</v>
      </c>
      <c r="G320" s="12" t="str">
        <f ca="1">IFERROR(__xludf.DUMMYFUNCTION("""COMPUTED_VALUE"""),"PESMES")</f>
        <v>PESMES</v>
      </c>
      <c r="H320" s="12" t="str">
        <f t="shared" ca="1" si="1"/>
        <v>COLLEGE  PESMES  PESMES</v>
      </c>
      <c r="I320" s="6"/>
      <c r="J320" s="12"/>
      <c r="K320" s="12"/>
      <c r="L320" s="12" t="str">
        <f ca="1">IFERROR(__xludf.DUMMYFUNCTION("""COMPUTED_VALUE"""),"06 80 78 74 33")</f>
        <v>06 80 78 74 33</v>
      </c>
      <c r="M320" s="12" t="str">
        <f ca="1">IFERROR(__xludf.DUMMYFUNCTION("""COMPUTED_VALUE"""),"70140 LA GRANDE RESIE")</f>
        <v>70140 LA GRANDE RESIE</v>
      </c>
      <c r="N320" s="6"/>
      <c r="O320" s="6"/>
    </row>
    <row r="321" spans="1:15" ht="15.5" x14ac:dyDescent="0.35">
      <c r="A321" s="12" t="str">
        <f ca="1">IFERROR(__xludf.DUMMYFUNCTION("""COMPUTED_VALUE"""),"CASTILLO Théo")</f>
        <v>CASTILLO Théo</v>
      </c>
      <c r="B321" s="12" t="str">
        <f ca="1">IFERROR(__xludf.DUMMYFUNCTION("""COMPUTED_VALUE"""),"H")</f>
        <v>H</v>
      </c>
      <c r="C321" s="13">
        <f ca="1">IFERROR(__xludf.DUMMYFUNCTION("""COMPUTED_VALUE"""),40763)</f>
        <v>40763</v>
      </c>
      <c r="D321" s="12" t="str">
        <f ca="1">IFERROR(__xludf.DUMMYFUNCTION("""COMPUTED_VALUE"""),"BENJAMINS")</f>
        <v>BENJAMINS</v>
      </c>
      <c r="E321" s="14" t="str">
        <f ca="1">IFERROR(__xludf.DUMMYFUNCTION("""COMPUTED_VALUE"""),"COLLEGE")</f>
        <v>COLLEGE</v>
      </c>
      <c r="F321" s="1" t="str">
        <f ca="1">IFERROR(__xludf.DUMMYFUNCTION("""COMPUTED_VALUE"""),"PONTAILLER SUR SAÔNE")</f>
        <v>PONTAILLER SUR SAÔNE</v>
      </c>
      <c r="G321" s="12" t="str">
        <f ca="1">IFERROR(__xludf.DUMMYFUNCTION("""COMPUTED_VALUE"""),"PONTAILLER SUR SAÔNE")</f>
        <v>PONTAILLER SUR SAÔNE</v>
      </c>
      <c r="H321" s="12" t="str">
        <f t="shared" ca="1" si="1"/>
        <v>COLLEGE  PONTAILLER SUR SAÔNE  PONTAILLER SUR SAÔNE</v>
      </c>
      <c r="I321" s="6"/>
      <c r="J321" s="12" t="str">
        <f ca="1">IFERROR(__xludf.DUMMYFUNCTION("""COMPUTED_VALUE"""),"OK")</f>
        <v>OK</v>
      </c>
      <c r="K321" s="12" t="str">
        <f ca="1">IFERROR(__xludf.DUMMYFUNCTION("""COMPUTED_VALUE"""),"vinifazer@hotmail.fr")</f>
        <v>vinifazer@hotmail.fr</v>
      </c>
      <c r="L321" s="12" t="str">
        <f ca="1">IFERROR(__xludf.DUMMYFUNCTION("""COMPUTED_VALUE"""),"06 48 77 19 32")</f>
        <v>06 48 77 19 32</v>
      </c>
      <c r="M321" s="12" t="str">
        <f ca="1">IFERROR(__xludf.DUMMYFUNCTION("""COMPUTED_VALUE"""),"21270 MONTMANCON")</f>
        <v>21270 MONTMANCON</v>
      </c>
      <c r="N321" s="6"/>
      <c r="O321" s="6"/>
    </row>
    <row r="322" spans="1:15" ht="15.5" x14ac:dyDescent="0.35">
      <c r="A322" s="12" t="str">
        <f ca="1">IFERROR(__xludf.DUMMYFUNCTION("""COMPUTED_VALUE"""),"CHAMPEL Clémence")</f>
        <v>CHAMPEL Clémence</v>
      </c>
      <c r="B322" s="12" t="str">
        <f ca="1">IFERROR(__xludf.DUMMYFUNCTION("""COMPUTED_VALUE"""),"F")</f>
        <v>F</v>
      </c>
      <c r="C322" s="13">
        <f ca="1">IFERROR(__xludf.DUMMYFUNCTION("""COMPUTED_VALUE"""),40596)</f>
        <v>40596</v>
      </c>
      <c r="D322" s="12" t="str">
        <f ca="1">IFERROR(__xludf.DUMMYFUNCTION("""COMPUTED_VALUE"""),"BENJAMINS")</f>
        <v>BENJAMINS</v>
      </c>
      <c r="E322" s="14" t="str">
        <f ca="1">IFERROR(__xludf.DUMMYFUNCTION("""COMPUTED_VALUE"""),"COLLEGE")</f>
        <v>COLLEGE</v>
      </c>
      <c r="F322" s="1" t="str">
        <f ca="1">IFERROR(__xludf.DUMMYFUNCTION("""COMPUTED_VALUE"""),"PONTAILLER SUR SAÔNE")</f>
        <v>PONTAILLER SUR SAÔNE</v>
      </c>
      <c r="G322" s="12" t="str">
        <f ca="1">IFERROR(__xludf.DUMMYFUNCTION("""COMPUTED_VALUE"""),"PONTAILLER SUR SAÔNE")</f>
        <v>PONTAILLER SUR SAÔNE</v>
      </c>
      <c r="H322" s="12" t="str">
        <f t="shared" ca="1" si="1"/>
        <v>COLLEGE  PONTAILLER SUR SAÔNE  PONTAILLER SUR SAÔNE</v>
      </c>
      <c r="I322" s="6"/>
      <c r="J322" s="12" t="str">
        <f ca="1">IFERROR(__xludf.DUMMYFUNCTION("""COMPUTED_VALUE"""),"OK")</f>
        <v>OK</v>
      </c>
      <c r="K322" s="12" t="str">
        <f ca="1">IFERROR(__xludf.DUMMYFUNCTION("""COMPUTED_VALUE"""),"mel.lime@hotmail.fr")</f>
        <v>mel.lime@hotmail.fr</v>
      </c>
      <c r="L322" s="12" t="str">
        <f ca="1">IFERROR(__xludf.DUMMYFUNCTION("""COMPUTED_VALUE"""),"06 83 11 53 21")</f>
        <v>06 83 11 53 21</v>
      </c>
      <c r="M322" s="12" t="str">
        <f ca="1">IFERROR(__xludf.DUMMYFUNCTION("""COMPUTED_VALUE"""),"21270 MONTMANCON")</f>
        <v>21270 MONTMANCON</v>
      </c>
      <c r="N322" s="6"/>
      <c r="O322" s="6"/>
    </row>
    <row r="323" spans="1:15" ht="15.5" x14ac:dyDescent="0.35">
      <c r="A323" s="12" t="str">
        <f ca="1">IFERROR(__xludf.DUMMYFUNCTION("""COMPUTED_VALUE"""),"L'HOMMEE Gabin")</f>
        <v>L'HOMMEE Gabin</v>
      </c>
      <c r="B323" s="12" t="str">
        <f ca="1">IFERROR(__xludf.DUMMYFUNCTION("""COMPUTED_VALUE"""),"H")</f>
        <v>H</v>
      </c>
      <c r="C323" s="13">
        <f ca="1">IFERROR(__xludf.DUMMYFUNCTION("""COMPUTED_VALUE"""),40148)</f>
        <v>40148</v>
      </c>
      <c r="D323" s="12" t="str">
        <f ca="1">IFERROR(__xludf.DUMMYFUNCTION("""COMPUTED_VALUE"""),"MINIMES")</f>
        <v>MINIMES</v>
      </c>
      <c r="E323" s="14" t="str">
        <f ca="1">IFERROR(__xludf.DUMMYFUNCTION("""COMPUTED_VALUE"""),"COLLEGE")</f>
        <v>COLLEGE</v>
      </c>
      <c r="F323" s="1" t="str">
        <f ca="1">IFERROR(__xludf.DUMMYFUNCTION("""COMPUTED_VALUE"""),"PONTAILLER SUR SAÔNE")</f>
        <v>PONTAILLER SUR SAÔNE</v>
      </c>
      <c r="G323" s="12" t="str">
        <f ca="1">IFERROR(__xludf.DUMMYFUNCTION("""COMPUTED_VALUE"""),"PONTAILLER SUR SAÔNE")</f>
        <v>PONTAILLER SUR SAÔNE</v>
      </c>
      <c r="H323" s="12" t="str">
        <f t="shared" ca="1" si="1"/>
        <v>COLLEGE  PONTAILLER SUR SAÔNE  PONTAILLER SUR SAÔNE</v>
      </c>
      <c r="I323" s="6"/>
      <c r="J323" s="12" t="str">
        <f ca="1">IFERROR(__xludf.DUMMYFUNCTION("""COMPUTED_VALUE"""),"OK")</f>
        <v>OK</v>
      </c>
      <c r="K323" s="12" t="str">
        <f ca="1">IFERROR(__xludf.DUMMYFUNCTION("""COMPUTED_VALUE"""),"cathy.lhommee@sfr.fr")</f>
        <v>cathy.lhommee@sfr.fr</v>
      </c>
      <c r="L323" s="12" t="str">
        <f ca="1">IFERROR(__xludf.DUMMYFUNCTION("""COMPUTED_VALUE"""),"06 76 40 11 15")</f>
        <v>06 76 40 11 15</v>
      </c>
      <c r="M323" s="12" t="str">
        <f ca="1">IFERROR(__xludf.DUMMYFUNCTION("""COMPUTED_VALUE"""),"21270 PERRIGNY SUR L'OGNON")</f>
        <v>21270 PERRIGNY SUR L'OGNON</v>
      </c>
      <c r="N323" s="6"/>
      <c r="O323" s="6"/>
    </row>
    <row r="324" spans="1:15" ht="15.5" x14ac:dyDescent="0.35">
      <c r="A324" s="12" t="str">
        <f ca="1">IFERROR(__xludf.DUMMYFUNCTION("""COMPUTED_VALUE"""),"L'HOMMEE Gabin")</f>
        <v>L'HOMMEE Gabin</v>
      </c>
      <c r="B324" s="12" t="str">
        <f ca="1">IFERROR(__xludf.DUMMYFUNCTION("""COMPUTED_VALUE"""),"H")</f>
        <v>H</v>
      </c>
      <c r="C324" s="13">
        <f ca="1">IFERROR(__xludf.DUMMYFUNCTION("""COMPUTED_VALUE"""),40148)</f>
        <v>40148</v>
      </c>
      <c r="D324" s="12" t="str">
        <f ca="1">IFERROR(__xludf.DUMMYFUNCTION("""COMPUTED_VALUE"""),"MINIMES")</f>
        <v>MINIMES</v>
      </c>
      <c r="E324" s="14" t="str">
        <f ca="1">IFERROR(__xludf.DUMMYFUNCTION("""COMPUTED_VALUE"""),"COLLEGE")</f>
        <v>COLLEGE</v>
      </c>
      <c r="F324" s="1" t="str">
        <f ca="1">IFERROR(__xludf.DUMMYFUNCTION("""COMPUTED_VALUE"""),"PONTAILLER SUR SAÔNE")</f>
        <v>PONTAILLER SUR SAÔNE</v>
      </c>
      <c r="G324" s="12" t="str">
        <f ca="1">IFERROR(__xludf.DUMMYFUNCTION("""COMPUTED_VALUE"""),"PONTAILLER SUR SAÔNE")</f>
        <v>PONTAILLER SUR SAÔNE</v>
      </c>
      <c r="H324" s="12" t="str">
        <f t="shared" ca="1" si="1"/>
        <v>COLLEGE  PONTAILLER SUR SAÔNE  PONTAILLER SUR SAÔNE</v>
      </c>
      <c r="I324" s="6"/>
      <c r="J324" s="12"/>
      <c r="K324" s="12"/>
      <c r="L324" s="12" t="str">
        <f ca="1">IFERROR(__xludf.DUMMYFUNCTION("""COMPUTED_VALUE"""),"06 76 40 11 15")</f>
        <v>06 76 40 11 15</v>
      </c>
      <c r="M324" s="12" t="str">
        <f ca="1">IFERROR(__xludf.DUMMYFUNCTION("""COMPUTED_VALUE"""),"21270 PERRIGNY SUR L'OGNON")</f>
        <v>21270 PERRIGNY SUR L'OGNON</v>
      </c>
      <c r="N324" s="6"/>
      <c r="O324" s="6"/>
    </row>
    <row r="325" spans="1:15" ht="15.5" x14ac:dyDescent="0.35">
      <c r="A325" s="12" t="str">
        <f ca="1">IFERROR(__xludf.DUMMYFUNCTION("""COMPUTED_VALUE"""),"PLACET Lilou")</f>
        <v>PLACET Lilou</v>
      </c>
      <c r="B325" s="12" t="str">
        <f ca="1">IFERROR(__xludf.DUMMYFUNCTION("""COMPUTED_VALUE"""),"F")</f>
        <v>F</v>
      </c>
      <c r="C325" s="13">
        <f ca="1">IFERROR(__xludf.DUMMYFUNCTION("""COMPUTED_VALUE"""),43167)</f>
        <v>43167</v>
      </c>
      <c r="D325" s="12" t="str">
        <f ca="1">IFERROR(__xludf.DUMMYFUNCTION("""COMPUTED_VALUE"""),"BABY ATHLE")</f>
        <v>BABY ATHLE</v>
      </c>
      <c r="E325" s="14" t="str">
        <f ca="1">IFERROR(__xludf.DUMMYFUNCTION("""COMPUTED_VALUE"""),"ECOLE
")</f>
        <v xml:space="preserve">ECOLE
</v>
      </c>
      <c r="F325" s="1" t="str">
        <f ca="1">IFERROR(__xludf.DUMMYFUNCTION("""COMPUTED_VALUE"""),"RECOLOGNE")</f>
        <v>RECOLOGNE</v>
      </c>
      <c r="G325" s="12" t="str">
        <f ca="1">IFERROR(__xludf.DUMMYFUNCTION("""COMPUTED_VALUE"""),"RECOLOGNE")</f>
        <v>RECOLOGNE</v>
      </c>
      <c r="H325" s="12" t="str">
        <f t="shared" ca="1" si="1"/>
        <v>ECOLE
  RECOLOGNE  RECOLOGNE</v>
      </c>
      <c r="I325" s="6"/>
      <c r="J325" s="12" t="str">
        <f ca="1">IFERROR(__xludf.DUMMYFUNCTION("""COMPUTED_VALUE"""),"OK")</f>
        <v>OK</v>
      </c>
      <c r="K325" s="12" t="str">
        <f ca="1">IFERROR(__xludf.DUMMYFUNCTION("""COMPUTED_VALUE"""),"vincent.placet@univ-fcomte.fr")</f>
        <v>vincent.placet@univ-fcomte.fr</v>
      </c>
      <c r="L325" s="12" t="str">
        <f ca="1">IFERROR(__xludf.DUMMYFUNCTION("""COMPUTED_VALUE"""),"06 64 32 82 34")</f>
        <v>06 64 32 82 34</v>
      </c>
      <c r="M325" s="12" t="str">
        <f ca="1">IFERROR(__xludf.DUMMYFUNCTION("""COMPUTED_VALUE"""),"25170 RECOLOGNE")</f>
        <v>25170 RECOLOGNE</v>
      </c>
      <c r="N325" s="6"/>
      <c r="O325" s="6"/>
    </row>
    <row r="326" spans="1:15" ht="15.5" x14ac:dyDescent="0.35">
      <c r="A326" s="12" t="str">
        <f ca="1">IFERROR(__xludf.DUMMYFUNCTION("""COMPUTED_VALUE"""),"PERRET Louane")</f>
        <v>PERRET Louane</v>
      </c>
      <c r="B326" s="12" t="str">
        <f ca="1">IFERROR(__xludf.DUMMYFUNCTION("""COMPUTED_VALUE"""),"F")</f>
        <v>F</v>
      </c>
      <c r="C326" s="13">
        <f ca="1">IFERROR(__xludf.DUMMYFUNCTION("""COMPUTED_VALUE"""),42744)</f>
        <v>42744</v>
      </c>
      <c r="D326" s="12" t="str">
        <f ca="1">IFERROR(__xludf.DUMMYFUNCTION("""COMPUTED_VALUE"""),"EVEIL ATHLE")</f>
        <v>EVEIL ATHLE</v>
      </c>
      <c r="E326" s="14" t="str">
        <f ca="1">IFERROR(__xludf.DUMMYFUNCTION("""COMPUTED_VALUE"""),"ECOLE
")</f>
        <v xml:space="preserve">ECOLE
</v>
      </c>
      <c r="F326" s="1" t="str">
        <f ca="1">IFERROR(__xludf.DUMMYFUNCTION("""COMPUTED_VALUE"""),"RPI BEAUJEU / SEVEUX")</f>
        <v>RPI BEAUJEU / SEVEUX</v>
      </c>
      <c r="G326" s="12" t="str">
        <f ca="1">IFERROR(__xludf.DUMMYFUNCTION("""COMPUTED_VALUE"""),"BEAUJEAU")</f>
        <v>BEAUJEAU</v>
      </c>
      <c r="H326" s="12" t="str">
        <f t="shared" ca="1" si="1"/>
        <v>ECOLE
  RPI BEAUJEU / SEVEUX  BEAUJEAU</v>
      </c>
      <c r="I326" s="6"/>
      <c r="J326" s="12" t="str">
        <f ca="1">IFERROR(__xludf.DUMMYFUNCTION("""COMPUTED_VALUE"""),"OK")</f>
        <v>OK</v>
      </c>
      <c r="K326" s="12" t="str">
        <f ca="1">IFERROR(__xludf.DUMMYFUNCTION("""COMPUTED_VALUE"""),"borne.val@gmail.com")</f>
        <v>borne.val@gmail.com</v>
      </c>
      <c r="L326" s="12" t="str">
        <f ca="1">IFERROR(__xludf.DUMMYFUNCTION("""COMPUTED_VALUE"""),"06 45 85 99 18")</f>
        <v>06 45 85 99 18</v>
      </c>
      <c r="M326" s="12" t="str">
        <f ca="1">IFERROR(__xludf.DUMMYFUNCTION("""COMPUTED_VALUE"""),"70100 BEAUJEU")</f>
        <v>70100 BEAUJEU</v>
      </c>
      <c r="N326" s="6"/>
      <c r="O326" s="6"/>
    </row>
    <row r="327" spans="1:15" ht="15.5" x14ac:dyDescent="0.35">
      <c r="A327" s="12" t="str">
        <f ca="1">IFERROR(__xludf.DUMMYFUNCTION("""COMPUTED_VALUE"""),"PERRET Louane")</f>
        <v>PERRET Louane</v>
      </c>
      <c r="B327" s="12" t="str">
        <f ca="1">IFERROR(__xludf.DUMMYFUNCTION("""COMPUTED_VALUE"""),"F")</f>
        <v>F</v>
      </c>
      <c r="C327" s="13">
        <f ca="1">IFERROR(__xludf.DUMMYFUNCTION("""COMPUTED_VALUE"""),42744)</f>
        <v>42744</v>
      </c>
      <c r="D327" s="12" t="str">
        <f ca="1">IFERROR(__xludf.DUMMYFUNCTION("""COMPUTED_VALUE"""),"EVEIL ATHLE")</f>
        <v>EVEIL ATHLE</v>
      </c>
      <c r="E327" s="14" t="str">
        <f ca="1">IFERROR(__xludf.DUMMYFUNCTION("""COMPUTED_VALUE"""),"ECOLE
")</f>
        <v xml:space="preserve">ECOLE
</v>
      </c>
      <c r="F327" s="1" t="str">
        <f ca="1">IFERROR(__xludf.DUMMYFUNCTION("""COMPUTED_VALUE"""),"RPI BEAUJEU / SEVEUX")</f>
        <v>RPI BEAUJEU / SEVEUX</v>
      </c>
      <c r="G327" s="12" t="str">
        <f ca="1">IFERROR(__xludf.DUMMYFUNCTION("""COMPUTED_VALUE"""),"BEAUJEAU")</f>
        <v>BEAUJEAU</v>
      </c>
      <c r="H327" s="12" t="str">
        <f t="shared" ca="1" si="1"/>
        <v>ECOLE
  RPI BEAUJEU / SEVEUX  BEAUJEAU</v>
      </c>
      <c r="I327" s="6"/>
      <c r="J327" s="12"/>
      <c r="K327" s="12"/>
      <c r="L327" s="12" t="str">
        <f ca="1">IFERROR(__xludf.DUMMYFUNCTION("""COMPUTED_VALUE"""),"06 45 85 99 18")</f>
        <v>06 45 85 99 18</v>
      </c>
      <c r="M327" s="12" t="str">
        <f ca="1">IFERROR(__xludf.DUMMYFUNCTION("""COMPUTED_VALUE"""),"70100 BEAUJEU")</f>
        <v>70100 BEAUJEU</v>
      </c>
      <c r="N327" s="6"/>
      <c r="O327" s="6"/>
    </row>
    <row r="328" spans="1:15" ht="15.5" x14ac:dyDescent="0.35">
      <c r="A328" s="12" t="str">
        <f ca="1">IFERROR(__xludf.DUMMYFUNCTION("""COMPUTED_VALUE"""),"CAMPANA Enzo")</f>
        <v>CAMPANA Enzo</v>
      </c>
      <c r="B328" s="12" t="str">
        <f ca="1">IFERROR(__xludf.DUMMYFUNCTION("""COMPUTED_VALUE"""),"H")</f>
        <v>H</v>
      </c>
      <c r="C328" s="13">
        <f ca="1">IFERROR(__xludf.DUMMYFUNCTION("""COMPUTED_VALUE"""),42480)</f>
        <v>42480</v>
      </c>
      <c r="D328" s="12" t="str">
        <f ca="1">IFERROR(__xludf.DUMMYFUNCTION("""COMPUTED_VALUE"""),"EVEIL ATHLE")</f>
        <v>EVEIL ATHLE</v>
      </c>
      <c r="E328" s="14" t="str">
        <f ca="1">IFERROR(__xludf.DUMMYFUNCTION("""COMPUTED_VALUE"""),"ECOLE
")</f>
        <v xml:space="preserve">ECOLE
</v>
      </c>
      <c r="F328" s="1" t="str">
        <f ca="1">IFERROR(__xludf.DUMMYFUNCTION("""COMPUTED_VALUE"""),"RPI NANTILLY / MANTOCHE / ESSERTENNE")</f>
        <v>RPI NANTILLY / MANTOCHE / ESSERTENNE</v>
      </c>
      <c r="G328" s="12" t="str">
        <f ca="1">IFERROR(__xludf.DUMMYFUNCTION("""COMPUTED_VALUE"""),"MANTOCHE")</f>
        <v>MANTOCHE</v>
      </c>
      <c r="H328" s="12" t="str">
        <f t="shared" ca="1" si="1"/>
        <v>ECOLE
  RPI NANTILLY / MANTOCHE / ESSERTENNE  MANTOCHE</v>
      </c>
      <c r="I328" s="6"/>
      <c r="J328" s="12" t="str">
        <f ca="1">IFERROR(__xludf.DUMMYFUNCTION("""COMPUTED_VALUE"""),"OK")</f>
        <v>OK</v>
      </c>
      <c r="K328" s="12" t="str">
        <f ca="1">IFERROR(__xludf.DUMMYFUNCTION("""COMPUTED_VALUE"""),"nadege.demougin01@orange.fr")</f>
        <v>nadege.demougin01@orange.fr</v>
      </c>
      <c r="L328" s="12" t="str">
        <f ca="1">IFERROR(__xludf.DUMMYFUNCTION("""COMPUTED_VALUE"""),"06 30 71 01 78")</f>
        <v>06 30 71 01 78</v>
      </c>
      <c r="M328" s="12" t="str">
        <f ca="1">IFERROR(__xludf.DUMMYFUNCTION("""COMPUTED_VALUE"""),"70100 MANTOCHE")</f>
        <v>70100 MANTOCHE</v>
      </c>
      <c r="N328" s="6"/>
      <c r="O328" s="6"/>
    </row>
    <row r="329" spans="1:15" ht="15.5" x14ac:dyDescent="0.35">
      <c r="A329" s="12" t="str">
        <f ca="1">IFERROR(__xludf.DUMMYFUNCTION("""COMPUTED_VALUE"""),"LAMBERT Noé")</f>
        <v>LAMBERT Noé</v>
      </c>
      <c r="B329" s="12" t="str">
        <f ca="1">IFERROR(__xludf.DUMMYFUNCTION("""COMPUTED_VALUE"""),"H")</f>
        <v>H</v>
      </c>
      <c r="C329" s="13">
        <f ca="1">IFERROR(__xludf.DUMMYFUNCTION("""COMPUTED_VALUE"""),43063)</f>
        <v>43063</v>
      </c>
      <c r="D329" s="12" t="str">
        <f ca="1">IFERROR(__xludf.DUMMYFUNCTION("""COMPUTED_VALUE"""),"EVEIL ATHLE")</f>
        <v>EVEIL ATHLE</v>
      </c>
      <c r="E329" s="14" t="str">
        <f ca="1">IFERROR(__xludf.DUMMYFUNCTION("""COMPUTED_VALUE"""),"ECOLE
")</f>
        <v xml:space="preserve">ECOLE
</v>
      </c>
      <c r="F329" s="1" t="str">
        <f ca="1">IFERROR(__xludf.DUMMYFUNCTION("""COMPUTED_VALUE"""),"RPI NANTILLY / MANTOCHE / ESSERTENNE")</f>
        <v>RPI NANTILLY / MANTOCHE / ESSERTENNE</v>
      </c>
      <c r="G329" s="12" t="str">
        <f ca="1">IFERROR(__xludf.DUMMYFUNCTION("""COMPUTED_VALUE"""),"MANTOCHE")</f>
        <v>MANTOCHE</v>
      </c>
      <c r="H329" s="12" t="str">
        <f t="shared" ca="1" si="1"/>
        <v>ECOLE
  RPI NANTILLY / MANTOCHE / ESSERTENNE  MANTOCHE</v>
      </c>
      <c r="I329" s="6"/>
      <c r="J329" s="12" t="str">
        <f ca="1">IFERROR(__xludf.DUMMYFUNCTION("""COMPUTED_VALUE"""),"OK")</f>
        <v>OK</v>
      </c>
      <c r="K329" s="12" t="str">
        <f ca="1">IFERROR(__xludf.DUMMYFUNCTION("""COMPUTED_VALUE"""),"severine.lambert624@laposte.net")</f>
        <v>severine.lambert624@laposte.net</v>
      </c>
      <c r="L329" s="12" t="str">
        <f ca="1">IFERROR(__xludf.DUMMYFUNCTION("""COMPUTED_VALUE"""),"06 19 15 41 62")</f>
        <v>06 19 15 41 62</v>
      </c>
      <c r="M329" s="12" t="str">
        <f ca="1">IFERROR(__xludf.DUMMYFUNCTION("""COMPUTED_VALUE"""),"70100 NANTILLY")</f>
        <v>70100 NANTILLY</v>
      </c>
      <c r="N329" s="6"/>
      <c r="O329" s="6"/>
    </row>
    <row r="330" spans="1:15" ht="15.5" x14ac:dyDescent="0.35">
      <c r="A330" s="12" t="str">
        <f ca="1">IFERROR(__xludf.DUMMYFUNCTION("""COMPUTED_VALUE"""),"LAMBERT Zoé")</f>
        <v>LAMBERT Zoé</v>
      </c>
      <c r="B330" s="12" t="str">
        <f ca="1">IFERROR(__xludf.DUMMYFUNCTION("""COMPUTED_VALUE"""),"F")</f>
        <v>F</v>
      </c>
      <c r="C330" s="13">
        <f ca="1">IFERROR(__xludf.DUMMYFUNCTION("""COMPUTED_VALUE"""),42333)</f>
        <v>42333</v>
      </c>
      <c r="D330" s="12" t="str">
        <f ca="1">IFERROR(__xludf.DUMMYFUNCTION("""COMPUTED_VALUE"""),"EVEIL ATHLE")</f>
        <v>EVEIL ATHLE</v>
      </c>
      <c r="E330" s="14" t="str">
        <f ca="1">IFERROR(__xludf.DUMMYFUNCTION("""COMPUTED_VALUE"""),"ECOLE
")</f>
        <v xml:space="preserve">ECOLE
</v>
      </c>
      <c r="F330" s="1" t="str">
        <f ca="1">IFERROR(__xludf.DUMMYFUNCTION("""COMPUTED_VALUE"""),"RPI NANTILLY / MANTOCHE / ESSERTENNE")</f>
        <v>RPI NANTILLY / MANTOCHE / ESSERTENNE</v>
      </c>
      <c r="G330" s="12" t="str">
        <f ca="1">IFERROR(__xludf.DUMMYFUNCTION("""COMPUTED_VALUE"""),"MANTOCHE")</f>
        <v>MANTOCHE</v>
      </c>
      <c r="H330" s="12" t="str">
        <f t="shared" ca="1" si="1"/>
        <v>ECOLE
  RPI NANTILLY / MANTOCHE / ESSERTENNE  MANTOCHE</v>
      </c>
      <c r="I330" s="6"/>
      <c r="J330" s="12" t="str">
        <f ca="1">IFERROR(__xludf.DUMMYFUNCTION("""COMPUTED_VALUE"""),"OK")</f>
        <v>OK</v>
      </c>
      <c r="K330" s="12" t="str">
        <f ca="1">IFERROR(__xludf.DUMMYFUNCTION("""COMPUTED_VALUE"""),"severine.lambert624@laposte.net")</f>
        <v>severine.lambert624@laposte.net</v>
      </c>
      <c r="L330" s="12" t="str">
        <f ca="1">IFERROR(__xludf.DUMMYFUNCTION("""COMPUTED_VALUE"""),"06 19 15 41 62")</f>
        <v>06 19 15 41 62</v>
      </c>
      <c r="M330" s="12" t="str">
        <f ca="1">IFERROR(__xludf.DUMMYFUNCTION("""COMPUTED_VALUE"""),"70100 NANTILLY")</f>
        <v>70100 NANTILLY</v>
      </c>
      <c r="N330" s="6"/>
      <c r="O330" s="6"/>
    </row>
    <row r="331" spans="1:15" ht="15.5" x14ac:dyDescent="0.35">
      <c r="A331" s="12" t="str">
        <f ca="1">IFERROR(__xludf.DUMMYFUNCTION("""COMPUTED_VALUE"""),"CAMPANA Lindsey")</f>
        <v>CAMPANA Lindsey</v>
      </c>
      <c r="B331" s="12" t="str">
        <f ca="1">IFERROR(__xludf.DUMMYFUNCTION("""COMPUTED_VALUE"""),"F")</f>
        <v>F</v>
      </c>
      <c r="C331" s="13">
        <f ca="1">IFERROR(__xludf.DUMMYFUNCTION("""COMPUTED_VALUE"""),41468)</f>
        <v>41468</v>
      </c>
      <c r="D331" s="12" t="str">
        <f ca="1">IFERROR(__xludf.DUMMYFUNCTION("""COMPUTED_VALUE"""),"POUSSINS")</f>
        <v>POUSSINS</v>
      </c>
      <c r="E331" s="14" t="str">
        <f ca="1">IFERROR(__xludf.DUMMYFUNCTION("""COMPUTED_VALUE"""),"ECOLE
")</f>
        <v xml:space="preserve">ECOLE
</v>
      </c>
      <c r="F331" s="1" t="str">
        <f ca="1">IFERROR(__xludf.DUMMYFUNCTION("""COMPUTED_VALUE"""),"RPI NANTILLY / MANTOCHE / ESSERTENNE")</f>
        <v>RPI NANTILLY / MANTOCHE / ESSERTENNE</v>
      </c>
      <c r="G331" s="12" t="str">
        <f ca="1">IFERROR(__xludf.DUMMYFUNCTION("""COMPUTED_VALUE"""),"MANTOCHE")</f>
        <v>MANTOCHE</v>
      </c>
      <c r="H331" s="12" t="str">
        <f t="shared" ca="1" si="1"/>
        <v>ECOLE
  RPI NANTILLY / MANTOCHE / ESSERTENNE  MANTOCHE</v>
      </c>
      <c r="I331" s="6"/>
      <c r="J331" s="12" t="str">
        <f ca="1">IFERROR(__xludf.DUMMYFUNCTION("""COMPUTED_VALUE"""),"OK")</f>
        <v>OK</v>
      </c>
      <c r="K331" s="12" t="str">
        <f ca="1">IFERROR(__xludf.DUMMYFUNCTION("""COMPUTED_VALUE"""),"nadege.demougin01@orange.fr")</f>
        <v>nadege.demougin01@orange.fr</v>
      </c>
      <c r="L331" s="12" t="str">
        <f ca="1">IFERROR(__xludf.DUMMYFUNCTION("""COMPUTED_VALUE"""),"06 30 71 01 78")</f>
        <v>06 30 71 01 78</v>
      </c>
      <c r="M331" s="12" t="str">
        <f ca="1">IFERROR(__xludf.DUMMYFUNCTION("""COMPUTED_VALUE"""),"70100 MANTOCHE")</f>
        <v>70100 MANTOCHE</v>
      </c>
      <c r="N331" s="6"/>
      <c r="O331" s="6"/>
    </row>
    <row r="332" spans="1:15" ht="15.5" x14ac:dyDescent="0.35">
      <c r="A332" s="12" t="str">
        <f ca="1">IFERROR(__xludf.DUMMYFUNCTION("""COMPUTED_VALUE"""),"LAMBERT Noé")</f>
        <v>LAMBERT Noé</v>
      </c>
      <c r="B332" s="12" t="str">
        <f ca="1">IFERROR(__xludf.DUMMYFUNCTION("""COMPUTED_VALUE"""),"H")</f>
        <v>H</v>
      </c>
      <c r="C332" s="13">
        <f ca="1">IFERROR(__xludf.DUMMYFUNCTION("""COMPUTED_VALUE"""),43063)</f>
        <v>43063</v>
      </c>
      <c r="D332" s="12" t="str">
        <f ca="1">IFERROR(__xludf.DUMMYFUNCTION("""COMPUTED_VALUE"""),"EVEIL ATHLE")</f>
        <v>EVEIL ATHLE</v>
      </c>
      <c r="E332" s="14" t="str">
        <f ca="1">IFERROR(__xludf.DUMMYFUNCTION("""COMPUTED_VALUE"""),"ECOLE
")</f>
        <v xml:space="preserve">ECOLE
</v>
      </c>
      <c r="F332" s="1" t="str">
        <f ca="1">IFERROR(__xludf.DUMMYFUNCTION("""COMPUTED_VALUE"""),"RPI NANTILLY / MANTOCHE / ESSERTENNE")</f>
        <v>RPI NANTILLY / MANTOCHE / ESSERTENNE</v>
      </c>
      <c r="G332" s="12" t="str">
        <f ca="1">IFERROR(__xludf.DUMMYFUNCTION("""COMPUTED_VALUE"""),"MANTOCHE")</f>
        <v>MANTOCHE</v>
      </c>
      <c r="H332" s="12" t="str">
        <f t="shared" ca="1" si="1"/>
        <v>ECOLE
  RPI NANTILLY / MANTOCHE / ESSERTENNE  MANTOCHE</v>
      </c>
      <c r="I332" s="6"/>
      <c r="J332" s="12"/>
      <c r="K332" s="12"/>
      <c r="L332" s="12" t="str">
        <f ca="1">IFERROR(__xludf.DUMMYFUNCTION("""COMPUTED_VALUE"""),"06 19 15 41 62")</f>
        <v>06 19 15 41 62</v>
      </c>
      <c r="M332" s="12" t="str">
        <f ca="1">IFERROR(__xludf.DUMMYFUNCTION("""COMPUTED_VALUE"""),"70100 NANTILLY")</f>
        <v>70100 NANTILLY</v>
      </c>
      <c r="N332" s="6"/>
      <c r="O332" s="6"/>
    </row>
    <row r="333" spans="1:15" ht="15.5" x14ac:dyDescent="0.35">
      <c r="A333" s="12" t="str">
        <f ca="1">IFERROR(__xludf.DUMMYFUNCTION("""COMPUTED_VALUE"""),"LAMBERT Zoé")</f>
        <v>LAMBERT Zoé</v>
      </c>
      <c r="B333" s="12" t="str">
        <f ca="1">IFERROR(__xludf.DUMMYFUNCTION("""COMPUTED_VALUE"""),"F")</f>
        <v>F</v>
      </c>
      <c r="C333" s="13">
        <f ca="1">IFERROR(__xludf.DUMMYFUNCTION("""COMPUTED_VALUE"""),42333)</f>
        <v>42333</v>
      </c>
      <c r="D333" s="12" t="str">
        <f ca="1">IFERROR(__xludf.DUMMYFUNCTION("""COMPUTED_VALUE"""),"EVEIL ATHLE")</f>
        <v>EVEIL ATHLE</v>
      </c>
      <c r="E333" s="14" t="str">
        <f ca="1">IFERROR(__xludf.DUMMYFUNCTION("""COMPUTED_VALUE"""),"ECOLE
")</f>
        <v xml:space="preserve">ECOLE
</v>
      </c>
      <c r="F333" s="1" t="str">
        <f ca="1">IFERROR(__xludf.DUMMYFUNCTION("""COMPUTED_VALUE"""),"RPI NANTILLY / MANTOCHE / ESSERTENNE")</f>
        <v>RPI NANTILLY / MANTOCHE / ESSERTENNE</v>
      </c>
      <c r="G333" s="12" t="str">
        <f ca="1">IFERROR(__xludf.DUMMYFUNCTION("""COMPUTED_VALUE"""),"MANTOCHE")</f>
        <v>MANTOCHE</v>
      </c>
      <c r="H333" s="12" t="str">
        <f t="shared" ca="1" si="1"/>
        <v>ECOLE
  RPI NANTILLY / MANTOCHE / ESSERTENNE  MANTOCHE</v>
      </c>
      <c r="I333" s="6"/>
      <c r="J333" s="12"/>
      <c r="K333" s="12"/>
      <c r="L333" s="12" t="str">
        <f ca="1">IFERROR(__xludf.DUMMYFUNCTION("""COMPUTED_VALUE"""),"06 19 15 41 62")</f>
        <v>06 19 15 41 62</v>
      </c>
      <c r="M333" s="12" t="str">
        <f ca="1">IFERROR(__xludf.DUMMYFUNCTION("""COMPUTED_VALUE"""),"70100 NANTILLY")</f>
        <v>70100 NANTILLY</v>
      </c>
      <c r="N333" s="6"/>
      <c r="O333" s="6"/>
    </row>
    <row r="334" spans="1:15" ht="15.5" x14ac:dyDescent="0.35">
      <c r="A334" s="12" t="str">
        <f ca="1">IFERROR(__xludf.DUMMYFUNCTION("""COMPUTED_VALUE"""),"CAMPANA Lindsey")</f>
        <v>CAMPANA Lindsey</v>
      </c>
      <c r="B334" s="12" t="str">
        <f ca="1">IFERROR(__xludf.DUMMYFUNCTION("""COMPUTED_VALUE"""),"F")</f>
        <v>F</v>
      </c>
      <c r="C334" s="13">
        <f ca="1">IFERROR(__xludf.DUMMYFUNCTION("""COMPUTED_VALUE"""),41468)</f>
        <v>41468</v>
      </c>
      <c r="D334" s="12" t="str">
        <f ca="1">IFERROR(__xludf.DUMMYFUNCTION("""COMPUTED_VALUE"""),"POUSSINS")</f>
        <v>POUSSINS</v>
      </c>
      <c r="E334" s="14" t="str">
        <f ca="1">IFERROR(__xludf.DUMMYFUNCTION("""COMPUTED_VALUE"""),"ECOLE
")</f>
        <v xml:space="preserve">ECOLE
</v>
      </c>
      <c r="F334" s="1" t="str">
        <f ca="1">IFERROR(__xludf.DUMMYFUNCTION("""COMPUTED_VALUE"""),"RPI NANTILLY / MANTOCHE / ESSERTENNE")</f>
        <v>RPI NANTILLY / MANTOCHE / ESSERTENNE</v>
      </c>
      <c r="G334" s="12" t="str">
        <f ca="1">IFERROR(__xludf.DUMMYFUNCTION("""COMPUTED_VALUE"""),"MANTOCHE")</f>
        <v>MANTOCHE</v>
      </c>
      <c r="H334" s="12" t="str">
        <f t="shared" ca="1" si="1"/>
        <v>ECOLE
  RPI NANTILLY / MANTOCHE / ESSERTENNE  MANTOCHE</v>
      </c>
      <c r="I334" s="6"/>
      <c r="J334" s="12"/>
      <c r="K334" s="12"/>
      <c r="L334" s="12" t="str">
        <f ca="1">IFERROR(__xludf.DUMMYFUNCTION("""COMPUTED_VALUE"""),"06 30 71 01 78")</f>
        <v>06 30 71 01 78</v>
      </c>
      <c r="M334" s="12" t="str">
        <f ca="1">IFERROR(__xludf.DUMMYFUNCTION("""COMPUTED_VALUE"""),"70100 MANTOCHE")</f>
        <v>70100 MANTOCHE</v>
      </c>
      <c r="N334" s="6"/>
      <c r="O334" s="6"/>
    </row>
    <row r="335" spans="1:15" ht="15.5" x14ac:dyDescent="0.35">
      <c r="A335" s="12" t="str">
        <f ca="1">IFERROR(__xludf.DUMMYFUNCTION("""COMPUTED_VALUE"""),"REVOY Lilian")</f>
        <v>REVOY Lilian</v>
      </c>
      <c r="B335" s="12" t="str">
        <f ca="1">IFERROR(__xludf.DUMMYFUNCTION("""COMPUTED_VALUE"""),"H")</f>
        <v>H</v>
      </c>
      <c r="C335" s="13">
        <f ca="1">IFERROR(__xludf.DUMMYFUNCTION("""COMPUTED_VALUE"""),43290)</f>
        <v>43290</v>
      </c>
      <c r="D335" s="12" t="str">
        <f ca="1">IFERROR(__xludf.DUMMYFUNCTION("""COMPUTED_VALUE"""),"BABY ATHLE")</f>
        <v>BABY ATHLE</v>
      </c>
      <c r="E335" s="14" t="str">
        <f ca="1">IFERROR(__xludf.DUMMYFUNCTION("""COMPUTED_VALUE"""),"ECOLE
")</f>
        <v xml:space="preserve">ECOLE
</v>
      </c>
      <c r="F335" s="1" t="str">
        <f ca="1">IFERROR(__xludf.DUMMYFUNCTION("""COMPUTED_VALUE"""),"RPI VELET/GRAY-LA-VILLE")</f>
        <v>RPI VELET/GRAY-LA-VILLE</v>
      </c>
      <c r="G335" s="12" t="str">
        <f ca="1">IFERROR(__xludf.DUMMYFUNCTION("""COMPUTED_VALUE"""),"GRAY LA VILLE")</f>
        <v>GRAY LA VILLE</v>
      </c>
      <c r="H335" s="12" t="str">
        <f t="shared" ca="1" si="1"/>
        <v>ECOLE
  RPI VELET/GRAY-LA-VILLE  GRAY LA VILLE</v>
      </c>
      <c r="I335" s="6"/>
      <c r="J335" s="12" t="str">
        <f ca="1">IFERROR(__xludf.DUMMYFUNCTION("""COMPUTED_VALUE"""),"OK")</f>
        <v>OK</v>
      </c>
      <c r="K335" s="12" t="str">
        <f ca="1">IFERROR(__xludf.DUMMYFUNCTION("""COMPUTED_VALUE"""),"maite.gerard@gmail.com")</f>
        <v>maite.gerard@gmail.com</v>
      </c>
      <c r="L335" s="12" t="str">
        <f ca="1">IFERROR(__xludf.DUMMYFUNCTION("""COMPUTED_VALUE"""),"06 83 93 36 68")</f>
        <v>06 83 93 36 68</v>
      </c>
      <c r="M335" s="12" t="str">
        <f ca="1">IFERROR(__xludf.DUMMYFUNCTION("""COMPUTED_VALUE"""),"70100 ANCIER")</f>
        <v>70100 ANCIER</v>
      </c>
      <c r="N335" s="6"/>
      <c r="O335" s="6"/>
    </row>
    <row r="336" spans="1:15" ht="15.5" x14ac:dyDescent="0.35">
      <c r="A336" s="12" t="str">
        <f ca="1">IFERROR(__xludf.DUMMYFUNCTION("""COMPUTED_VALUE"""),"CANTORE Margaux")</f>
        <v>CANTORE Margaux</v>
      </c>
      <c r="B336" s="12" t="str">
        <f ca="1">IFERROR(__xludf.DUMMYFUNCTION("""COMPUTED_VALUE"""),"F")</f>
        <v>F</v>
      </c>
      <c r="C336" s="13">
        <f ca="1">IFERROR(__xludf.DUMMYFUNCTION("""COMPUTED_VALUE"""),42943)</f>
        <v>42943</v>
      </c>
      <c r="D336" s="12" t="str">
        <f ca="1">IFERROR(__xludf.DUMMYFUNCTION("""COMPUTED_VALUE"""),"EVEIL ATHLE")</f>
        <v>EVEIL ATHLE</v>
      </c>
      <c r="E336" s="14" t="str">
        <f ca="1">IFERROR(__xludf.DUMMYFUNCTION("""COMPUTED_VALUE"""),"ECOLE
")</f>
        <v xml:space="preserve">ECOLE
</v>
      </c>
      <c r="F336" s="1" t="str">
        <f ca="1">IFERROR(__xludf.DUMMYFUNCTION("""COMPUTED_VALUE"""),"RPI VELET/GRAY-LA-VILLE")</f>
        <v>RPI VELET/GRAY-LA-VILLE</v>
      </c>
      <c r="G336" s="12" t="str">
        <f ca="1">IFERROR(__xludf.DUMMYFUNCTION("""COMPUTED_VALUE"""),"GRAY LA VILLE")</f>
        <v>GRAY LA VILLE</v>
      </c>
      <c r="H336" s="12" t="str">
        <f t="shared" ca="1" si="1"/>
        <v>ECOLE
  RPI VELET/GRAY-LA-VILLE  GRAY LA VILLE</v>
      </c>
      <c r="I336" s="6"/>
      <c r="J336" s="12" t="str">
        <f ca="1">IFERROR(__xludf.DUMMYFUNCTION("""COMPUTED_VALUE"""),"OK")</f>
        <v>OK</v>
      </c>
      <c r="K336" s="12" t="str">
        <f ca="1">IFERROR(__xludf.DUMMYFUNCTION("""COMPUTED_VALUE"""),"chevalleymaurane@yahoo.fr")</f>
        <v>chevalleymaurane@yahoo.fr</v>
      </c>
      <c r="L336" s="12" t="str">
        <f ca="1">IFERROR(__xludf.DUMMYFUNCTION("""COMPUTED_VALUE"""),"06 72 23 22 32")</f>
        <v>06 72 23 22 32</v>
      </c>
      <c r="M336" s="12" t="str">
        <f ca="1">IFERROR(__xludf.DUMMYFUNCTION("""COMPUTED_VALUE"""),"70100 GRAY LA VILLE")</f>
        <v>70100 GRAY LA VILLE</v>
      </c>
      <c r="N336" s="6"/>
      <c r="O336" s="6"/>
    </row>
    <row r="337" spans="1:15" ht="15.5" x14ac:dyDescent="0.35">
      <c r="A337" s="12" t="str">
        <f ca="1">IFERROR(__xludf.DUMMYFUNCTION("""COMPUTED_VALUE"""),"CANTORE Maxence")</f>
        <v>CANTORE Maxence</v>
      </c>
      <c r="B337" s="12" t="str">
        <f ca="1">IFERROR(__xludf.DUMMYFUNCTION("""COMPUTED_VALUE"""),"H")</f>
        <v>H</v>
      </c>
      <c r="C337" s="13">
        <f ca="1">IFERROR(__xludf.DUMMYFUNCTION("""COMPUTED_VALUE"""),42138)</f>
        <v>42138</v>
      </c>
      <c r="D337" s="12" t="str">
        <f ca="1">IFERROR(__xludf.DUMMYFUNCTION("""COMPUTED_VALUE"""),"EVEIL ATHLE")</f>
        <v>EVEIL ATHLE</v>
      </c>
      <c r="E337" s="14" t="str">
        <f ca="1">IFERROR(__xludf.DUMMYFUNCTION("""COMPUTED_VALUE"""),"ECOLE
")</f>
        <v xml:space="preserve">ECOLE
</v>
      </c>
      <c r="F337" s="1" t="str">
        <f ca="1">IFERROR(__xludf.DUMMYFUNCTION("""COMPUTED_VALUE"""),"RPI VELET/GRAY-LA-VILLE")</f>
        <v>RPI VELET/GRAY-LA-VILLE</v>
      </c>
      <c r="G337" s="12" t="str">
        <f ca="1">IFERROR(__xludf.DUMMYFUNCTION("""COMPUTED_VALUE"""),"GRAY LA VILLE")</f>
        <v>GRAY LA VILLE</v>
      </c>
      <c r="H337" s="12" t="str">
        <f t="shared" ca="1" si="1"/>
        <v>ECOLE
  RPI VELET/GRAY-LA-VILLE  GRAY LA VILLE</v>
      </c>
      <c r="I337" s="6"/>
      <c r="J337" s="12" t="str">
        <f ca="1">IFERROR(__xludf.DUMMYFUNCTION("""COMPUTED_VALUE"""),"OK")</f>
        <v>OK</v>
      </c>
      <c r="K337" s="12" t="str">
        <f ca="1">IFERROR(__xludf.DUMMYFUNCTION("""COMPUTED_VALUE"""),"chevalleymaurane@yahoo.fr")</f>
        <v>chevalleymaurane@yahoo.fr</v>
      </c>
      <c r="L337" s="12" t="str">
        <f ca="1">IFERROR(__xludf.DUMMYFUNCTION("""COMPUTED_VALUE"""),"06 72 23 22 32")</f>
        <v>06 72 23 22 32</v>
      </c>
      <c r="M337" s="12" t="str">
        <f ca="1">IFERROR(__xludf.DUMMYFUNCTION("""COMPUTED_VALUE"""),"70100 GRAY LA VILLE")</f>
        <v>70100 GRAY LA VILLE</v>
      </c>
      <c r="N337" s="6"/>
      <c r="O337" s="6"/>
    </row>
    <row r="338" spans="1:15" ht="15.5" x14ac:dyDescent="0.35">
      <c r="A338" s="12" t="str">
        <f ca="1">IFERROR(__xludf.DUMMYFUNCTION("""COMPUTED_VALUE"""),"FROTEY Aloïs")</f>
        <v>FROTEY Aloïs</v>
      </c>
      <c r="B338" s="12" t="str">
        <f ca="1">IFERROR(__xludf.DUMMYFUNCTION("""COMPUTED_VALUE"""),"H")</f>
        <v>H</v>
      </c>
      <c r="C338" s="13">
        <f ca="1">IFERROR(__xludf.DUMMYFUNCTION("""COMPUTED_VALUE"""),41385)</f>
        <v>41385</v>
      </c>
      <c r="D338" s="12" t="str">
        <f ca="1">IFERROR(__xludf.DUMMYFUNCTION("""COMPUTED_VALUE"""),"POUSSINS")</f>
        <v>POUSSINS</v>
      </c>
      <c r="E338" s="14" t="str">
        <f ca="1">IFERROR(__xludf.DUMMYFUNCTION("""COMPUTED_VALUE"""),"ECOLE
")</f>
        <v xml:space="preserve">ECOLE
</v>
      </c>
      <c r="F338" s="1" t="str">
        <f ca="1">IFERROR(__xludf.DUMMYFUNCTION("""COMPUTED_VALUE"""),"RPI VELET/GRAY-LA-VILLE")</f>
        <v>RPI VELET/GRAY-LA-VILLE</v>
      </c>
      <c r="G338" s="12" t="str">
        <f ca="1">IFERROR(__xludf.DUMMYFUNCTION("""COMPUTED_VALUE"""),"GRAY LA VILLE")</f>
        <v>GRAY LA VILLE</v>
      </c>
      <c r="H338" s="12" t="str">
        <f t="shared" ca="1" si="1"/>
        <v>ECOLE
  RPI VELET/GRAY-LA-VILLE  GRAY LA VILLE</v>
      </c>
      <c r="I338" s="6"/>
      <c r="J338" s="12" t="str">
        <f ca="1">IFERROR(__xludf.DUMMYFUNCTION("""COMPUTED_VALUE"""),"OK")</f>
        <v>OK</v>
      </c>
      <c r="K338" s="12" t="str">
        <f ca="1">IFERROR(__xludf.DUMMYFUNCTION("""COMPUTED_VALUE"""),"laetitia.frotey@orange.fr")</f>
        <v>laetitia.frotey@orange.fr</v>
      </c>
      <c r="L338" s="12" t="str">
        <f ca="1">IFERROR(__xludf.DUMMYFUNCTION("""COMPUTED_VALUE"""),"06 83 39 44 88")</f>
        <v>06 83 39 44 88</v>
      </c>
      <c r="M338" s="12" t="str">
        <f ca="1">IFERROR(__xludf.DUMMYFUNCTION("""COMPUTED_VALUE"""),"70100 GRAY LA VILLE")</f>
        <v>70100 GRAY LA VILLE</v>
      </c>
      <c r="N338" s="6"/>
      <c r="O338" s="6"/>
    </row>
    <row r="339" spans="1:15" ht="15.5" x14ac:dyDescent="0.35">
      <c r="A339" s="12" t="str">
        <f ca="1">IFERROR(__xludf.DUMMYFUNCTION("""COMPUTED_VALUE"""),"FROTEY Aloïs")</f>
        <v>FROTEY Aloïs</v>
      </c>
      <c r="B339" s="12" t="str">
        <f ca="1">IFERROR(__xludf.DUMMYFUNCTION("""COMPUTED_VALUE"""),"H")</f>
        <v>H</v>
      </c>
      <c r="C339" s="13">
        <f ca="1">IFERROR(__xludf.DUMMYFUNCTION("""COMPUTED_VALUE"""),41385)</f>
        <v>41385</v>
      </c>
      <c r="D339" s="12" t="str">
        <f ca="1">IFERROR(__xludf.DUMMYFUNCTION("""COMPUTED_VALUE"""),"POUSSINS")</f>
        <v>POUSSINS</v>
      </c>
      <c r="E339" s="14" t="str">
        <f ca="1">IFERROR(__xludf.DUMMYFUNCTION("""COMPUTED_VALUE"""),"ECOLE
")</f>
        <v xml:space="preserve">ECOLE
</v>
      </c>
      <c r="F339" s="1" t="str">
        <f ca="1">IFERROR(__xludf.DUMMYFUNCTION("""COMPUTED_VALUE"""),"RPI VELET/GRAY-LA-VILLE")</f>
        <v>RPI VELET/GRAY-LA-VILLE</v>
      </c>
      <c r="G339" s="12" t="str">
        <f ca="1">IFERROR(__xludf.DUMMYFUNCTION("""COMPUTED_VALUE"""),"GRAY LA VILLE")</f>
        <v>GRAY LA VILLE</v>
      </c>
      <c r="H339" s="12" t="str">
        <f t="shared" ca="1" si="1"/>
        <v>ECOLE
  RPI VELET/GRAY-LA-VILLE  GRAY LA VILLE</v>
      </c>
      <c r="I339" s="6"/>
      <c r="J339" s="12"/>
      <c r="K339" s="12"/>
      <c r="L339" s="12" t="str">
        <f ca="1">IFERROR(__xludf.DUMMYFUNCTION("""COMPUTED_VALUE"""),"06 83 39 44 88")</f>
        <v>06 83 39 44 88</v>
      </c>
      <c r="M339" s="12" t="str">
        <f ca="1">IFERROR(__xludf.DUMMYFUNCTION("""COMPUTED_VALUE"""),"70100 GRAY LA VILLE")</f>
        <v>70100 GRAY LA VILLE</v>
      </c>
      <c r="N339" s="6"/>
      <c r="O339" s="6"/>
    </row>
    <row r="340" spans="1:15" ht="15.5" x14ac:dyDescent="0.35">
      <c r="A340" s="12" t="str">
        <f ca="1">IFERROR(__xludf.DUMMYFUNCTION("""COMPUTED_VALUE"""),"SANKHARE Maryam")</f>
        <v>SANKHARE Maryam</v>
      </c>
      <c r="B340" s="12" t="str">
        <f ca="1">IFERROR(__xludf.DUMMYFUNCTION("""COMPUTED_VALUE"""),"F")</f>
        <v>F</v>
      </c>
      <c r="C340" s="13">
        <f ca="1">IFERROR(__xludf.DUMMYFUNCTION("""COMPUTED_VALUE"""),41775)</f>
        <v>41775</v>
      </c>
      <c r="D340" s="12" t="str">
        <f ca="1">IFERROR(__xludf.DUMMYFUNCTION("""COMPUTED_VALUE"""),"POUSSINS")</f>
        <v>POUSSINS</v>
      </c>
      <c r="E340" s="14" t="str">
        <f ca="1">IFERROR(__xludf.DUMMYFUNCTION("""COMPUTED_VALUE"""),"ECOLE
")</f>
        <v xml:space="preserve">ECOLE
</v>
      </c>
      <c r="F340" s="1" t="str">
        <f ca="1">IFERROR(__xludf.DUMMYFUNCTION("""COMPUTED_VALUE"""),"SAINT-VIT")</f>
        <v>SAINT-VIT</v>
      </c>
      <c r="G340" s="12" t="str">
        <f ca="1">IFERROR(__xludf.DUMMYFUNCTION("""COMPUTED_VALUE"""),"SAINT-VIT")</f>
        <v>SAINT-VIT</v>
      </c>
      <c r="H340" s="12" t="str">
        <f t="shared" ca="1" si="1"/>
        <v>ECOLE
  SAINT-VIT  SAINT-VIT</v>
      </c>
      <c r="I340" s="6"/>
      <c r="J340" s="12" t="str">
        <f ca="1">IFERROR(__xludf.DUMMYFUNCTION("""COMPUTED_VALUE"""),"OK")</f>
        <v>OK</v>
      </c>
      <c r="K340" s="12" t="str">
        <f ca="1">IFERROR(__xludf.DUMMYFUNCTION("""COMPUTED_VALUE"""),"remyrun@hotmail.fr")</f>
        <v>remyrun@hotmail.fr</v>
      </c>
      <c r="L340" s="12" t="str">
        <f ca="1">IFERROR(__xludf.DUMMYFUNCTION("""COMPUTED_VALUE"""),"06 29 72 25 20")</f>
        <v>06 29 72 25 20</v>
      </c>
      <c r="M340" s="12" t="str">
        <f ca="1">IFERROR(__xludf.DUMMYFUNCTION("""COMPUTED_VALUE"""),"25410 SAINT VIT")</f>
        <v>25410 SAINT VIT</v>
      </c>
      <c r="N340" s="6"/>
      <c r="O340" s="6"/>
    </row>
    <row r="341" spans="1:15" ht="15.5" x14ac:dyDescent="0.35">
      <c r="A341" s="12" t="str">
        <f ca="1">IFERROR(__xludf.DUMMYFUNCTION("""COMPUTED_VALUE"""),"SANKHARE Maryam")</f>
        <v>SANKHARE Maryam</v>
      </c>
      <c r="B341" s="12" t="str">
        <f ca="1">IFERROR(__xludf.DUMMYFUNCTION("""COMPUTED_VALUE"""),"F")</f>
        <v>F</v>
      </c>
      <c r="C341" s="13">
        <f ca="1">IFERROR(__xludf.DUMMYFUNCTION("""COMPUTED_VALUE"""),41775)</f>
        <v>41775</v>
      </c>
      <c r="D341" s="12" t="str">
        <f ca="1">IFERROR(__xludf.DUMMYFUNCTION("""COMPUTED_VALUE"""),"POUSSINS")</f>
        <v>POUSSINS</v>
      </c>
      <c r="E341" s="14" t="str">
        <f ca="1">IFERROR(__xludf.DUMMYFUNCTION("""COMPUTED_VALUE"""),"ECOLE
")</f>
        <v xml:space="preserve">ECOLE
</v>
      </c>
      <c r="F341" s="1" t="str">
        <f ca="1">IFERROR(__xludf.DUMMYFUNCTION("""COMPUTED_VALUE"""),"SAINT-VIT")</f>
        <v>SAINT-VIT</v>
      </c>
      <c r="G341" s="12" t="str">
        <f ca="1">IFERROR(__xludf.DUMMYFUNCTION("""COMPUTED_VALUE"""),"SAINT-VIT")</f>
        <v>SAINT-VIT</v>
      </c>
      <c r="H341" s="12" t="str">
        <f t="shared" ca="1" si="1"/>
        <v>ECOLE
  SAINT-VIT  SAINT-VIT</v>
      </c>
      <c r="I341" s="6"/>
      <c r="J341" s="12"/>
      <c r="K341" s="12"/>
      <c r="L341" s="12" t="str">
        <f ca="1">IFERROR(__xludf.DUMMYFUNCTION("""COMPUTED_VALUE"""),"06 29 72 25 20")</f>
        <v>06 29 72 25 20</v>
      </c>
      <c r="M341" s="12" t="str">
        <f ca="1">IFERROR(__xludf.DUMMYFUNCTION("""COMPUTED_VALUE"""),"25410 SAINT VIT")</f>
        <v>25410 SAINT VIT</v>
      </c>
      <c r="N341" s="6"/>
      <c r="O341" s="6"/>
    </row>
    <row r="342" spans="1:15" ht="15.5" x14ac:dyDescent="0.35">
      <c r="A342" s="12" t="str">
        <f ca="1">IFERROR(__xludf.DUMMYFUNCTION("""COMPUTED_VALUE"""),"MUZARD Louane")</f>
        <v>MUZARD Louane</v>
      </c>
      <c r="B342" s="12" t="str">
        <f ca="1">IFERROR(__xludf.DUMMYFUNCTION("""COMPUTED_VALUE"""),"F")</f>
        <v>F</v>
      </c>
      <c r="C342" s="13">
        <f ca="1">IFERROR(__xludf.DUMMYFUNCTION("""COMPUTED_VALUE"""),40300)</f>
        <v>40300</v>
      </c>
      <c r="D342" s="12" t="str">
        <f ca="1">IFERROR(__xludf.DUMMYFUNCTION("""COMPUTED_VALUE"""),"MINIMES")</f>
        <v>MINIMES</v>
      </c>
      <c r="E342" s="14" t="str">
        <f ca="1">IFERROR(__xludf.DUMMYFUNCTION("""COMPUTED_VALUE"""),"COLLEGE")</f>
        <v>COLLEGE</v>
      </c>
      <c r="F342" s="1" t="str">
        <f ca="1">IFERROR(__xludf.DUMMYFUNCTION("""COMPUTED_VALUE"""),"SCEY SUR SAONE")</f>
        <v>SCEY SUR SAONE</v>
      </c>
      <c r="G342" s="12" t="str">
        <f ca="1">IFERROR(__xludf.DUMMYFUNCTION("""COMPUTED_VALUE"""),"SCEY SUR SAONE")</f>
        <v>SCEY SUR SAONE</v>
      </c>
      <c r="H342" s="12" t="str">
        <f t="shared" ca="1" si="1"/>
        <v>COLLEGE  SCEY SUR SAONE  SCEY SUR SAONE</v>
      </c>
      <c r="I342" s="6"/>
      <c r="J342" s="12" t="str">
        <f ca="1">IFERROR(__xludf.DUMMYFUNCTION("""COMPUTED_VALUE"""),"OK")</f>
        <v>OK</v>
      </c>
      <c r="K342" s="12" t="str">
        <f ca="1">IFERROR(__xludf.DUMMYFUNCTION("""COMPUTED_VALUE"""),"muzardnathalie@live.fr")</f>
        <v>muzardnathalie@live.fr</v>
      </c>
      <c r="L342" s="12" t="str">
        <f ca="1">IFERROR(__xludf.DUMMYFUNCTION("""COMPUTED_VALUE"""),"06 78 57 88 05")</f>
        <v>06 78 57 88 05</v>
      </c>
      <c r="M342" s="12" t="str">
        <f ca="1">IFERROR(__xludf.DUMMYFUNCTION("""COMPUTED_VALUE"""),"70100 NANTILLY")</f>
        <v>70100 NANTILLY</v>
      </c>
      <c r="N342" s="6"/>
      <c r="O342" s="6"/>
    </row>
    <row r="343" spans="1:15" ht="15.5" x14ac:dyDescent="0.35">
      <c r="A343" s="12" t="str">
        <f ca="1">IFERROR(__xludf.DUMMYFUNCTION("""COMPUTED_VALUE"""),"MUZARD Louane")</f>
        <v>MUZARD Louane</v>
      </c>
      <c r="B343" s="12" t="str">
        <f ca="1">IFERROR(__xludf.DUMMYFUNCTION("""COMPUTED_VALUE"""),"F")</f>
        <v>F</v>
      </c>
      <c r="C343" s="13">
        <f ca="1">IFERROR(__xludf.DUMMYFUNCTION("""COMPUTED_VALUE"""),40300)</f>
        <v>40300</v>
      </c>
      <c r="D343" s="12" t="str">
        <f ca="1">IFERROR(__xludf.DUMMYFUNCTION("""COMPUTED_VALUE"""),"MINIMES")</f>
        <v>MINIMES</v>
      </c>
      <c r="E343" s="14" t="str">
        <f ca="1">IFERROR(__xludf.DUMMYFUNCTION("""COMPUTED_VALUE"""),"COLLEGE")</f>
        <v>COLLEGE</v>
      </c>
      <c r="F343" s="1" t="str">
        <f ca="1">IFERROR(__xludf.DUMMYFUNCTION("""COMPUTED_VALUE"""),"SCEY SUR SAONE")</f>
        <v>SCEY SUR SAONE</v>
      </c>
      <c r="G343" s="12" t="str">
        <f ca="1">IFERROR(__xludf.DUMMYFUNCTION("""COMPUTED_VALUE"""),"SCEY SUR SAONE")</f>
        <v>SCEY SUR SAONE</v>
      </c>
      <c r="H343" s="12" t="str">
        <f t="shared" ca="1" si="1"/>
        <v>COLLEGE  SCEY SUR SAONE  SCEY SUR SAONE</v>
      </c>
      <c r="I343" s="6"/>
      <c r="J343" s="12"/>
      <c r="K343" s="12"/>
      <c r="L343" s="12" t="str">
        <f ca="1">IFERROR(__xludf.DUMMYFUNCTION("""COMPUTED_VALUE"""),"06 78 57 88 05")</f>
        <v>06 78 57 88 05</v>
      </c>
      <c r="M343" s="12" t="str">
        <f ca="1">IFERROR(__xludf.DUMMYFUNCTION("""COMPUTED_VALUE"""),"70100 NANTILLY")</f>
        <v>70100 NANTILLY</v>
      </c>
      <c r="N343" s="6"/>
      <c r="O343" s="6"/>
    </row>
    <row r="344" spans="1:15" ht="15.5" x14ac:dyDescent="0.35">
      <c r="A344" s="12" t="str">
        <f ca="1">IFERROR(__xludf.DUMMYFUNCTION("""COMPUTED_VALUE"""),"LETHO Camille")</f>
        <v>LETHO Camille</v>
      </c>
      <c r="B344" s="12" t="str">
        <f ca="1">IFERROR(__xludf.DUMMYFUNCTION("""COMPUTED_VALUE"""),"H")</f>
        <v>H</v>
      </c>
      <c r="C344" s="13">
        <f ca="1">IFERROR(__xludf.DUMMYFUNCTION("""COMPUTED_VALUE"""),42751)</f>
        <v>42751</v>
      </c>
      <c r="D344" s="12" t="str">
        <f ca="1">IFERROR(__xludf.DUMMYFUNCTION("""COMPUTED_VALUE"""),"EVEIL ATHLE")</f>
        <v>EVEIL ATHLE</v>
      </c>
      <c r="E344" s="14" t="str">
        <f ca="1">IFERROR(__xludf.DUMMYFUNCTION("""COMPUTED_VALUE"""),"ECOLE
")</f>
        <v xml:space="preserve">ECOLE
</v>
      </c>
      <c r="F344" s="1" t="str">
        <f ca="1">IFERROR(__xludf.DUMMYFUNCTION("""COMPUTED_VALUE"""),"SORNAY")</f>
        <v>SORNAY</v>
      </c>
      <c r="G344" s="12" t="str">
        <f ca="1">IFERROR(__xludf.DUMMYFUNCTION("""COMPUTED_VALUE"""),"SORNAY")</f>
        <v>SORNAY</v>
      </c>
      <c r="H344" s="12" t="str">
        <f t="shared" ca="1" si="1"/>
        <v>ECOLE
  SORNAY  SORNAY</v>
      </c>
      <c r="I344" s="6"/>
      <c r="J344" s="12" t="str">
        <f ca="1">IFERROR(__xludf.DUMMYFUNCTION("""COMPUTED_VALUE"""),"OK")</f>
        <v>OK</v>
      </c>
      <c r="K344" s="12" t="str">
        <f ca="1">IFERROR(__xludf.DUMMYFUNCTION("""COMPUTED_VALUE"""),"alexandraletho@yahoo.fr")</f>
        <v>alexandraletho@yahoo.fr</v>
      </c>
      <c r="L344" s="12" t="str">
        <f ca="1">IFERROR(__xludf.DUMMYFUNCTION("""COMPUTED_VALUE"""),"06 37 73 50 66")</f>
        <v>06 37 73 50 66</v>
      </c>
      <c r="M344" s="12" t="str">
        <f ca="1">IFERROR(__xludf.DUMMYFUNCTION("""COMPUTED_VALUE"""),"70150 SORNAY")</f>
        <v>70150 SORNAY</v>
      </c>
      <c r="N344" s="6"/>
      <c r="O344" s="6"/>
    </row>
    <row r="345" spans="1:15" ht="15.5" x14ac:dyDescent="0.35">
      <c r="A345" s="12" t="str">
        <f ca="1">IFERROR(__xludf.DUMMYFUNCTION("""COMPUTED_VALUE"""),"BAROUIN Léonie")</f>
        <v>BAROUIN Léonie</v>
      </c>
      <c r="B345" s="12" t="str">
        <f ca="1">IFERROR(__xludf.DUMMYFUNCTION("""COMPUTED_VALUE"""),"F")</f>
        <v>F</v>
      </c>
      <c r="C345" s="13">
        <f ca="1">IFERROR(__xludf.DUMMYFUNCTION("""COMPUTED_VALUE"""),41351)</f>
        <v>41351</v>
      </c>
      <c r="D345" s="12" t="str">
        <f ca="1">IFERROR(__xludf.DUMMYFUNCTION("""COMPUTED_VALUE"""),"POUSSINS")</f>
        <v>POUSSINS</v>
      </c>
      <c r="E345" s="14" t="str">
        <f ca="1">IFERROR(__xludf.DUMMYFUNCTION("""COMPUTED_VALUE"""),"ECOLE
")</f>
        <v xml:space="preserve">ECOLE
</v>
      </c>
      <c r="F345" s="1" t="str">
        <f ca="1">IFERROR(__xludf.DUMMYFUNCTION("""COMPUTED_VALUE"""),"SORNAY")</f>
        <v>SORNAY</v>
      </c>
      <c r="G345" s="12" t="str">
        <f ca="1">IFERROR(__xludf.DUMMYFUNCTION("""COMPUTED_VALUE"""),"SORNAY")</f>
        <v>SORNAY</v>
      </c>
      <c r="H345" s="12" t="str">
        <f t="shared" ca="1" si="1"/>
        <v>ECOLE
  SORNAY  SORNAY</v>
      </c>
      <c r="I345" s="6"/>
      <c r="J345" s="12" t="str">
        <f ca="1">IFERROR(__xludf.DUMMYFUNCTION("""COMPUTED_VALUE"""),"OK")</f>
        <v>OK</v>
      </c>
      <c r="K345" s="12" t="str">
        <f ca="1">IFERROR(__xludf.DUMMYFUNCTION("""COMPUTED_VALUE"""),"gilliard.sabrina@orange.fr")</f>
        <v>gilliard.sabrina@orange.fr</v>
      </c>
      <c r="L345" s="12" t="str">
        <f ca="1">IFERROR(__xludf.DUMMYFUNCTION("""COMPUTED_VALUE"""),"06 84 39 57 72")</f>
        <v>06 84 39 57 72</v>
      </c>
      <c r="M345" s="12" t="str">
        <f ca="1">IFERROR(__xludf.DUMMYFUNCTION("""COMPUTED_VALUE"""),"70150 SORNAY")</f>
        <v>70150 SORNAY</v>
      </c>
      <c r="N345" s="6"/>
      <c r="O345" s="6"/>
    </row>
    <row r="346" spans="1:15" ht="15.5" x14ac:dyDescent="0.35">
      <c r="A346" s="12" t="str">
        <f ca="1">IFERROR(__xludf.DUMMYFUNCTION("""COMPUTED_VALUE"""),"DORDOR Jeanne")</f>
        <v>DORDOR Jeanne</v>
      </c>
      <c r="B346" s="12" t="str">
        <f ca="1">IFERROR(__xludf.DUMMYFUNCTION("""COMPUTED_VALUE"""),"F")</f>
        <v>F</v>
      </c>
      <c r="C346" s="13">
        <f ca="1">IFERROR(__xludf.DUMMYFUNCTION("""COMPUTED_VALUE"""),41984)</f>
        <v>41984</v>
      </c>
      <c r="D346" s="12" t="str">
        <f ca="1">IFERROR(__xludf.DUMMYFUNCTION("""COMPUTED_VALUE"""),"POUSSINS")</f>
        <v>POUSSINS</v>
      </c>
      <c r="E346" s="14" t="str">
        <f ca="1">IFERROR(__xludf.DUMMYFUNCTION("""COMPUTED_VALUE"""),"ECOLE
")</f>
        <v xml:space="preserve">ECOLE
</v>
      </c>
      <c r="F346" s="1" t="str">
        <f ca="1">IFERROR(__xludf.DUMMYFUNCTION("""COMPUTED_VALUE"""),"SORNAY")</f>
        <v>SORNAY</v>
      </c>
      <c r="G346" s="12" t="str">
        <f ca="1">IFERROR(__xludf.DUMMYFUNCTION("""COMPUTED_VALUE"""),"SORNAY")</f>
        <v>SORNAY</v>
      </c>
      <c r="H346" s="12" t="str">
        <f t="shared" ca="1" si="1"/>
        <v>ECOLE
  SORNAY  SORNAY</v>
      </c>
      <c r="I346" s="6"/>
      <c r="J346" s="12" t="str">
        <f ca="1">IFERROR(__xludf.DUMMYFUNCTION("""COMPUTED_VALUE"""),"OK")</f>
        <v>OK</v>
      </c>
      <c r="K346" s="12" t="str">
        <f ca="1">IFERROR(__xludf.DUMMYFUNCTION("""COMPUTED_VALUE"""),"dordor.michaelàyahoo.fr")</f>
        <v>dordor.michaelàyahoo.fr</v>
      </c>
      <c r="L346" s="12" t="str">
        <f ca="1">IFERROR(__xludf.DUMMYFUNCTION("""COMPUTED_VALUE"""),"06 78 07 34 63")</f>
        <v>06 78 07 34 63</v>
      </c>
      <c r="M346" s="12" t="str">
        <f ca="1">IFERROR(__xludf.DUMMYFUNCTION("""COMPUTED_VALUE"""),"70140 BARD LES PESMES")</f>
        <v>70140 BARD LES PESMES</v>
      </c>
      <c r="N346" s="6"/>
      <c r="O346" s="6"/>
    </row>
    <row r="347" spans="1:15" ht="15.5" x14ac:dyDescent="0.35">
      <c r="A347" s="12" t="str">
        <f ca="1">IFERROR(__xludf.DUMMYFUNCTION("""COMPUTED_VALUE"""),"LETHO Camille")</f>
        <v>LETHO Camille</v>
      </c>
      <c r="B347" s="12" t="str">
        <f ca="1">IFERROR(__xludf.DUMMYFUNCTION("""COMPUTED_VALUE"""),"H")</f>
        <v>H</v>
      </c>
      <c r="C347" s="13">
        <f ca="1">IFERROR(__xludf.DUMMYFUNCTION("""COMPUTED_VALUE"""),42751)</f>
        <v>42751</v>
      </c>
      <c r="D347" s="12" t="str">
        <f ca="1">IFERROR(__xludf.DUMMYFUNCTION("""COMPUTED_VALUE"""),"EVEIL ATHLE")</f>
        <v>EVEIL ATHLE</v>
      </c>
      <c r="E347" s="14" t="str">
        <f ca="1">IFERROR(__xludf.DUMMYFUNCTION("""COMPUTED_VALUE"""),"ECOLE
")</f>
        <v xml:space="preserve">ECOLE
</v>
      </c>
      <c r="F347" s="1" t="str">
        <f ca="1">IFERROR(__xludf.DUMMYFUNCTION("""COMPUTED_VALUE"""),"SORNAY")</f>
        <v>SORNAY</v>
      </c>
      <c r="G347" s="12" t="str">
        <f ca="1">IFERROR(__xludf.DUMMYFUNCTION("""COMPUTED_VALUE"""),"SORNAY")</f>
        <v>SORNAY</v>
      </c>
      <c r="H347" s="12" t="str">
        <f t="shared" ca="1" si="1"/>
        <v>ECOLE
  SORNAY  SORNAY</v>
      </c>
      <c r="I347" s="6"/>
      <c r="J347" s="12"/>
      <c r="K347" s="12"/>
      <c r="L347" s="12" t="str">
        <f ca="1">IFERROR(__xludf.DUMMYFUNCTION("""COMPUTED_VALUE"""),"06 37 73 50 66")</f>
        <v>06 37 73 50 66</v>
      </c>
      <c r="M347" s="12" t="str">
        <f ca="1">IFERROR(__xludf.DUMMYFUNCTION("""COMPUTED_VALUE"""),"70150 SORNAY")</f>
        <v>70150 SORNAY</v>
      </c>
      <c r="N347" s="6"/>
      <c r="O347" s="6"/>
    </row>
    <row r="348" spans="1:15" ht="15.5" x14ac:dyDescent="0.35">
      <c r="A348" s="12" t="str">
        <f ca="1">IFERROR(__xludf.DUMMYFUNCTION("""COMPUTED_VALUE"""),"BAROUIN Léonie")</f>
        <v>BAROUIN Léonie</v>
      </c>
      <c r="B348" s="12" t="str">
        <f ca="1">IFERROR(__xludf.DUMMYFUNCTION("""COMPUTED_VALUE"""),"F")</f>
        <v>F</v>
      </c>
      <c r="C348" s="13">
        <f ca="1">IFERROR(__xludf.DUMMYFUNCTION("""COMPUTED_VALUE"""),41351)</f>
        <v>41351</v>
      </c>
      <c r="D348" s="12" t="str">
        <f ca="1">IFERROR(__xludf.DUMMYFUNCTION("""COMPUTED_VALUE"""),"POUSSINS")</f>
        <v>POUSSINS</v>
      </c>
      <c r="E348" s="14" t="str">
        <f ca="1">IFERROR(__xludf.DUMMYFUNCTION("""COMPUTED_VALUE"""),"ECOLE
")</f>
        <v xml:space="preserve">ECOLE
</v>
      </c>
      <c r="F348" s="1" t="str">
        <f ca="1">IFERROR(__xludf.DUMMYFUNCTION("""COMPUTED_VALUE"""),"SORNAY")</f>
        <v>SORNAY</v>
      </c>
      <c r="G348" s="12" t="str">
        <f ca="1">IFERROR(__xludf.DUMMYFUNCTION("""COMPUTED_VALUE"""),"SORNAY")</f>
        <v>SORNAY</v>
      </c>
      <c r="H348" s="12" t="str">
        <f t="shared" ca="1" si="1"/>
        <v>ECOLE
  SORNAY  SORNAY</v>
      </c>
      <c r="I348" s="6"/>
      <c r="J348" s="12"/>
      <c r="K348" s="12"/>
      <c r="L348" s="12" t="str">
        <f ca="1">IFERROR(__xludf.DUMMYFUNCTION("""COMPUTED_VALUE"""),"06 84 39 57 72")</f>
        <v>06 84 39 57 72</v>
      </c>
      <c r="M348" s="12" t="str">
        <f ca="1">IFERROR(__xludf.DUMMYFUNCTION("""COMPUTED_VALUE"""),"70150 SORNAY")</f>
        <v>70150 SORNAY</v>
      </c>
      <c r="N348" s="6"/>
      <c r="O348" s="6"/>
    </row>
    <row r="349" spans="1:15" ht="15.5" x14ac:dyDescent="0.35">
      <c r="A349" s="12" t="str">
        <f ca="1">IFERROR(__xludf.DUMMYFUNCTION("""COMPUTED_VALUE"""),"DORDOR Jeanne")</f>
        <v>DORDOR Jeanne</v>
      </c>
      <c r="B349" s="12" t="str">
        <f ca="1">IFERROR(__xludf.DUMMYFUNCTION("""COMPUTED_VALUE"""),"F")</f>
        <v>F</v>
      </c>
      <c r="C349" s="13">
        <f ca="1">IFERROR(__xludf.DUMMYFUNCTION("""COMPUTED_VALUE"""),41984)</f>
        <v>41984</v>
      </c>
      <c r="D349" s="12" t="str">
        <f ca="1">IFERROR(__xludf.DUMMYFUNCTION("""COMPUTED_VALUE"""),"POUSSINS")</f>
        <v>POUSSINS</v>
      </c>
      <c r="E349" s="14" t="str">
        <f ca="1">IFERROR(__xludf.DUMMYFUNCTION("""COMPUTED_VALUE"""),"ECOLE
")</f>
        <v xml:space="preserve">ECOLE
</v>
      </c>
      <c r="F349" s="1" t="str">
        <f ca="1">IFERROR(__xludf.DUMMYFUNCTION("""COMPUTED_VALUE"""),"SORNAY")</f>
        <v>SORNAY</v>
      </c>
      <c r="G349" s="12" t="str">
        <f ca="1">IFERROR(__xludf.DUMMYFUNCTION("""COMPUTED_VALUE"""),"SORNAY")</f>
        <v>SORNAY</v>
      </c>
      <c r="H349" s="12" t="str">
        <f t="shared" ca="1" si="1"/>
        <v>ECOLE
  SORNAY  SORNAY</v>
      </c>
      <c r="I349" s="6"/>
      <c r="J349" s="12"/>
      <c r="K349" s="12"/>
      <c r="L349" s="12" t="str">
        <f ca="1">IFERROR(__xludf.DUMMYFUNCTION("""COMPUTED_VALUE"""),"06 78 07 34 63")</f>
        <v>06 78 07 34 63</v>
      </c>
      <c r="M349" s="12" t="str">
        <f ca="1">IFERROR(__xludf.DUMMYFUNCTION("""COMPUTED_VALUE"""),"70140 BARD LES PESMES")</f>
        <v>70140 BARD LES PESMES</v>
      </c>
      <c r="N349" s="6"/>
      <c r="O349" s="6"/>
    </row>
    <row r="350" spans="1:15" ht="15.5" x14ac:dyDescent="0.35">
      <c r="A350" s="12" t="str">
        <f ca="1">IFERROR(__xludf.DUMMYFUNCTION("""COMPUTED_VALUE"""),"ALIBERT Etienne")</f>
        <v>ALIBERT Etienne</v>
      </c>
      <c r="B350" s="12" t="str">
        <f ca="1">IFERROR(__xludf.DUMMYFUNCTION("""COMPUTED_VALUE"""),"H")</f>
        <v>H</v>
      </c>
      <c r="C350" s="13">
        <f ca="1">IFERROR(__xludf.DUMMYFUNCTION("""COMPUTED_VALUE"""),40680)</f>
        <v>40680</v>
      </c>
      <c r="D350" s="12" t="str">
        <f ca="1">IFERROR(__xludf.DUMMYFUNCTION("""COMPUTED_VALUE"""),"BENJAMINS")</f>
        <v>BENJAMINS</v>
      </c>
      <c r="E350" s="14" t="str">
        <f ca="1">IFERROR(__xludf.DUMMYFUNCTION("""COMPUTED_VALUE"""),"COLLEGE")</f>
        <v>COLLEGE</v>
      </c>
      <c r="F350" s="1" t="str">
        <f ca="1">IFERROR(__xludf.DUMMYFUNCTION("""COMPUTED_VALUE"""),"ST PIERRE FOURIER")</f>
        <v>ST PIERRE FOURIER</v>
      </c>
      <c r="G350" s="12" t="str">
        <f ca="1">IFERROR(__xludf.DUMMYFUNCTION("""COMPUTED_VALUE"""),"GRAY")</f>
        <v>GRAY</v>
      </c>
      <c r="H350" s="12" t="str">
        <f t="shared" ca="1" si="1"/>
        <v>COLLEGE  ST PIERRE FOURIER  GRAY</v>
      </c>
      <c r="I350" s="6"/>
      <c r="J350" s="12" t="str">
        <f ca="1">IFERROR(__xludf.DUMMYFUNCTION("""COMPUTED_VALUE"""),"OK")</f>
        <v>OK</v>
      </c>
      <c r="K350" s="12" t="str">
        <f ca="1">IFERROR(__xludf.DUMMYFUNCTION("""COMPUTED_VALUE"""),"beatricealibert@laposte.net")</f>
        <v>beatricealibert@laposte.net</v>
      </c>
      <c r="L350" s="12" t="str">
        <f ca="1">IFERROR(__xludf.DUMMYFUNCTION("""COMPUTED_VALUE"""),"03 81 54 33 70")</f>
        <v>03 81 54 33 70</v>
      </c>
      <c r="M350" s="12" t="str">
        <f ca="1">IFERROR(__xludf.DUMMYFUNCTION("""COMPUTED_VALUE"""),"25000 BESANCON")</f>
        <v>25000 BESANCON</v>
      </c>
      <c r="N350" s="6"/>
      <c r="O350" s="6"/>
    </row>
    <row r="351" spans="1:15" ht="15.5" x14ac:dyDescent="0.35">
      <c r="A351" s="12" t="str">
        <f ca="1">IFERROR(__xludf.DUMMYFUNCTION("""COMPUTED_VALUE"""),"ALIBERT Maëlic")</f>
        <v>ALIBERT Maëlic</v>
      </c>
      <c r="B351" s="12" t="str">
        <f ca="1">IFERROR(__xludf.DUMMYFUNCTION("""COMPUTED_VALUE"""),"H")</f>
        <v>H</v>
      </c>
      <c r="C351" s="13">
        <f ca="1">IFERROR(__xludf.DUMMYFUNCTION("""COMPUTED_VALUE"""),40680)</f>
        <v>40680</v>
      </c>
      <c r="D351" s="12" t="str">
        <f ca="1">IFERROR(__xludf.DUMMYFUNCTION("""COMPUTED_VALUE"""),"BENJAMINS")</f>
        <v>BENJAMINS</v>
      </c>
      <c r="E351" s="14" t="str">
        <f ca="1">IFERROR(__xludf.DUMMYFUNCTION("""COMPUTED_VALUE"""),"COLLEGE")</f>
        <v>COLLEGE</v>
      </c>
      <c r="F351" s="1" t="str">
        <f ca="1">IFERROR(__xludf.DUMMYFUNCTION("""COMPUTED_VALUE"""),"ST PIERRE FOURIER")</f>
        <v>ST PIERRE FOURIER</v>
      </c>
      <c r="G351" s="12" t="str">
        <f ca="1">IFERROR(__xludf.DUMMYFUNCTION("""COMPUTED_VALUE"""),"GRAY")</f>
        <v>GRAY</v>
      </c>
      <c r="H351" s="12" t="str">
        <f t="shared" ca="1" si="1"/>
        <v>COLLEGE  ST PIERRE FOURIER  GRAY</v>
      </c>
      <c r="I351" s="6"/>
      <c r="J351" s="12" t="str">
        <f ca="1">IFERROR(__xludf.DUMMYFUNCTION("""COMPUTED_VALUE"""),"OK")</f>
        <v>OK</v>
      </c>
      <c r="K351" s="12" t="str">
        <f ca="1">IFERROR(__xludf.DUMMYFUNCTION("""COMPUTED_VALUE"""),"beatricealibert@laposte.net")</f>
        <v>beatricealibert@laposte.net</v>
      </c>
      <c r="L351" s="12" t="str">
        <f ca="1">IFERROR(__xludf.DUMMYFUNCTION("""COMPUTED_VALUE"""),"03 81 54 33 70")</f>
        <v>03 81 54 33 70</v>
      </c>
      <c r="M351" s="12" t="str">
        <f ca="1">IFERROR(__xludf.DUMMYFUNCTION("""COMPUTED_VALUE"""),"25000 BESANCON")</f>
        <v>25000 BESANCON</v>
      </c>
      <c r="N351" s="6"/>
      <c r="O351" s="6"/>
    </row>
    <row r="352" spans="1:15" ht="15.5" x14ac:dyDescent="0.35">
      <c r="A352" s="12" t="str">
        <f ca="1">IFERROR(__xludf.DUMMYFUNCTION("""COMPUTED_VALUE"""),"BARH Clovis")</f>
        <v>BARH Clovis</v>
      </c>
      <c r="B352" s="12" t="str">
        <f ca="1">IFERROR(__xludf.DUMMYFUNCTION("""COMPUTED_VALUE"""),"H")</f>
        <v>H</v>
      </c>
      <c r="C352" s="13">
        <f ca="1">IFERROR(__xludf.DUMMYFUNCTION("""COMPUTED_VALUE"""),40548)</f>
        <v>40548</v>
      </c>
      <c r="D352" s="12" t="str">
        <f ca="1">IFERROR(__xludf.DUMMYFUNCTION("""COMPUTED_VALUE"""),"BENJAMINS")</f>
        <v>BENJAMINS</v>
      </c>
      <c r="E352" s="14" t="str">
        <f ca="1">IFERROR(__xludf.DUMMYFUNCTION("""COMPUTED_VALUE"""),"COLLEGE")</f>
        <v>COLLEGE</v>
      </c>
      <c r="F352" s="1" t="str">
        <f ca="1">IFERROR(__xludf.DUMMYFUNCTION("""COMPUTED_VALUE"""),"ST PIERRE FOURIER")</f>
        <v>ST PIERRE FOURIER</v>
      </c>
      <c r="G352" s="12" t="str">
        <f ca="1">IFERROR(__xludf.DUMMYFUNCTION("""COMPUTED_VALUE"""),"GRAY")</f>
        <v>GRAY</v>
      </c>
      <c r="H352" s="12" t="str">
        <f t="shared" ca="1" si="1"/>
        <v>COLLEGE  ST PIERRE FOURIER  GRAY</v>
      </c>
      <c r="I352" s="6"/>
      <c r="J352" s="12" t="str">
        <f ca="1">IFERROR(__xludf.DUMMYFUNCTION("""COMPUTED_VALUE"""),"OK")</f>
        <v>OK</v>
      </c>
      <c r="K352" s="12" t="str">
        <f ca="1">IFERROR(__xludf.DUMMYFUNCTION("""COMPUTED_VALUE"""),"nathaliebarh@gmail.com")</f>
        <v>nathaliebarh@gmail.com</v>
      </c>
      <c r="L352" s="12" t="str">
        <f ca="1">IFERROR(__xludf.DUMMYFUNCTION("""COMPUTED_VALUE"""),"06 52 14 09 41")</f>
        <v>06 52 14 09 41</v>
      </c>
      <c r="M352" s="12" t="str">
        <f ca="1">IFERROR(__xludf.DUMMYFUNCTION("""COMPUTED_VALUE"""),"70100 CHARGEY LES GRAY")</f>
        <v>70100 CHARGEY LES GRAY</v>
      </c>
      <c r="N352" s="6"/>
      <c r="O352" s="6"/>
    </row>
    <row r="353" spans="1:15" ht="15.5" x14ac:dyDescent="0.35">
      <c r="A353" s="12" t="str">
        <f ca="1">IFERROR(__xludf.DUMMYFUNCTION("""COMPUTED_VALUE"""),"BILLET Léana")</f>
        <v>BILLET Léana</v>
      </c>
      <c r="B353" s="12" t="str">
        <f ca="1">IFERROR(__xludf.DUMMYFUNCTION("""COMPUTED_VALUE"""),"F")</f>
        <v>F</v>
      </c>
      <c r="C353" s="13">
        <f ca="1">IFERROR(__xludf.DUMMYFUNCTION("""COMPUTED_VALUE"""),41015)</f>
        <v>41015</v>
      </c>
      <c r="D353" s="12" t="str">
        <f ca="1">IFERROR(__xludf.DUMMYFUNCTION("""COMPUTED_VALUE"""),"BENJAMINS")</f>
        <v>BENJAMINS</v>
      </c>
      <c r="E353" s="14" t="str">
        <f ca="1">IFERROR(__xludf.DUMMYFUNCTION("""COMPUTED_VALUE"""),"COLLEGE")</f>
        <v>COLLEGE</v>
      </c>
      <c r="F353" s="1" t="str">
        <f ca="1">IFERROR(__xludf.DUMMYFUNCTION("""COMPUTED_VALUE"""),"ST PIERRE FOURIER")</f>
        <v>ST PIERRE FOURIER</v>
      </c>
      <c r="G353" s="12" t="str">
        <f ca="1">IFERROR(__xludf.DUMMYFUNCTION("""COMPUTED_VALUE"""),"GRAY")</f>
        <v>GRAY</v>
      </c>
      <c r="H353" s="12" t="str">
        <f t="shared" ca="1" si="1"/>
        <v>COLLEGE  ST PIERRE FOURIER  GRAY</v>
      </c>
      <c r="I353" s="6"/>
      <c r="J353" s="12" t="str">
        <f ca="1">IFERROR(__xludf.DUMMYFUNCTION("""COMPUTED_VALUE"""),"OK")</f>
        <v>OK</v>
      </c>
      <c r="K353" s="12"/>
      <c r="L353" s="12" t="str">
        <f ca="1">IFERROR(__xludf.DUMMYFUNCTION("""COMPUTED_VALUE"""),"06 32 37 66 10")</f>
        <v>06 32 37 66 10</v>
      </c>
      <c r="M353" s="12" t="str">
        <f ca="1">IFERROR(__xludf.DUMMYFUNCTION("""COMPUTED_VALUE"""),"70100 CRESANCEY")</f>
        <v>70100 CRESANCEY</v>
      </c>
      <c r="N353" s="6"/>
      <c r="O353" s="6"/>
    </row>
    <row r="354" spans="1:15" ht="15.5" x14ac:dyDescent="0.35">
      <c r="A354" s="12" t="str">
        <f ca="1">IFERROR(__xludf.DUMMYFUNCTION("""COMPUTED_VALUE"""),"CARDINAUX Enzo")</f>
        <v>CARDINAUX Enzo</v>
      </c>
      <c r="B354" s="12" t="str">
        <f ca="1">IFERROR(__xludf.DUMMYFUNCTION("""COMPUTED_VALUE"""),"H")</f>
        <v>H</v>
      </c>
      <c r="C354" s="13">
        <f ca="1">IFERROR(__xludf.DUMMYFUNCTION("""COMPUTED_VALUE"""),40636)</f>
        <v>40636</v>
      </c>
      <c r="D354" s="12" t="str">
        <f ca="1">IFERROR(__xludf.DUMMYFUNCTION("""COMPUTED_VALUE"""),"BENJAMINS")</f>
        <v>BENJAMINS</v>
      </c>
      <c r="E354" s="14" t="str">
        <f ca="1">IFERROR(__xludf.DUMMYFUNCTION("""COMPUTED_VALUE"""),"COLLEGE")</f>
        <v>COLLEGE</v>
      </c>
      <c r="F354" s="1" t="str">
        <f ca="1">IFERROR(__xludf.DUMMYFUNCTION("""COMPUTED_VALUE"""),"ST PIERRE FOURIER")</f>
        <v>ST PIERRE FOURIER</v>
      </c>
      <c r="G354" s="12" t="str">
        <f ca="1">IFERROR(__xludf.DUMMYFUNCTION("""COMPUTED_VALUE"""),"GRAY")</f>
        <v>GRAY</v>
      </c>
      <c r="H354" s="12" t="str">
        <f t="shared" ca="1" si="1"/>
        <v>COLLEGE  ST PIERRE FOURIER  GRAY</v>
      </c>
      <c r="I354" s="6"/>
      <c r="J354" s="12" t="str">
        <f ca="1">IFERROR(__xludf.DUMMYFUNCTION("""COMPUTED_VALUE"""),"OK")</f>
        <v>OK</v>
      </c>
      <c r="K354" s="12" t="str">
        <f ca="1">IFERROR(__xludf.DUMMYFUNCTION("""COMPUTED_VALUE"""),"elise.dimas@hotmail.fr")</f>
        <v>elise.dimas@hotmail.fr</v>
      </c>
      <c r="L354" s="12" t="str">
        <f ca="1">IFERROR(__xludf.DUMMYFUNCTION("""COMPUTED_VALUE"""),"06 23 04 57 00")</f>
        <v>06 23 04 57 00</v>
      </c>
      <c r="M354" s="12" t="str">
        <f ca="1">IFERROR(__xludf.DUMMYFUNCTION("""COMPUTED_VALUE"""),"70100 BEAUJEU")</f>
        <v>70100 BEAUJEU</v>
      </c>
      <c r="N354" s="6"/>
      <c r="O354" s="6"/>
    </row>
    <row r="355" spans="1:15" ht="15.5" x14ac:dyDescent="0.35">
      <c r="A355" s="12" t="str">
        <f ca="1">IFERROR(__xludf.DUMMYFUNCTION("""COMPUTED_VALUE"""),"CORNET Valentin")</f>
        <v>CORNET Valentin</v>
      </c>
      <c r="B355" s="12" t="str">
        <f ca="1">IFERROR(__xludf.DUMMYFUNCTION("""COMPUTED_VALUE"""),"H")</f>
        <v>H</v>
      </c>
      <c r="C355" s="13">
        <f ca="1">IFERROR(__xludf.DUMMYFUNCTION("""COMPUTED_VALUE"""),40609)</f>
        <v>40609</v>
      </c>
      <c r="D355" s="12" t="str">
        <f ca="1">IFERROR(__xludf.DUMMYFUNCTION("""COMPUTED_VALUE"""),"BENJAMINS")</f>
        <v>BENJAMINS</v>
      </c>
      <c r="E355" s="14" t="str">
        <f ca="1">IFERROR(__xludf.DUMMYFUNCTION("""COMPUTED_VALUE"""),"COLLEGE")</f>
        <v>COLLEGE</v>
      </c>
      <c r="F355" s="1" t="str">
        <f ca="1">IFERROR(__xludf.DUMMYFUNCTION("""COMPUTED_VALUE"""),"ST PIERRE FOURIER")</f>
        <v>ST PIERRE FOURIER</v>
      </c>
      <c r="G355" s="12" t="str">
        <f ca="1">IFERROR(__xludf.DUMMYFUNCTION("""COMPUTED_VALUE"""),"GRAY")</f>
        <v>GRAY</v>
      </c>
      <c r="H355" s="12" t="str">
        <f t="shared" ca="1" si="1"/>
        <v>COLLEGE  ST PIERRE FOURIER  GRAY</v>
      </c>
      <c r="I355" s="6"/>
      <c r="J355" s="12" t="str">
        <f ca="1">IFERROR(__xludf.DUMMYFUNCTION("""COMPUTED_VALUE"""),"OK")</f>
        <v>OK</v>
      </c>
      <c r="K355" s="12" t="str">
        <f ca="1">IFERROR(__xludf.DUMMYFUNCTION("""COMPUTED_VALUE"""),"cnougat@gmail.com")</f>
        <v>cnougat@gmail.com</v>
      </c>
      <c r="L355" s="12" t="str">
        <f ca="1">IFERROR(__xludf.DUMMYFUNCTION("""COMPUTED_VALUE"""),"06 74 52 50 27")</f>
        <v>06 74 52 50 27</v>
      </c>
      <c r="M355" s="12" t="str">
        <f ca="1">IFERROR(__xludf.DUMMYFUNCTION("""COMPUTED_VALUE"""),"21270 TALMAY")</f>
        <v>21270 TALMAY</v>
      </c>
      <c r="N355" s="6"/>
      <c r="O355" s="6"/>
    </row>
    <row r="356" spans="1:15" ht="15.5" x14ac:dyDescent="0.35">
      <c r="A356" s="12" t="str">
        <f ca="1">IFERROR(__xludf.DUMMYFUNCTION("""COMPUTED_VALUE"""),"DA SILVA Mariane")</f>
        <v>DA SILVA Mariane</v>
      </c>
      <c r="B356" s="12" t="str">
        <f ca="1">IFERROR(__xludf.DUMMYFUNCTION("""COMPUTED_VALUE"""),"F")</f>
        <v>F</v>
      </c>
      <c r="C356" s="13">
        <f ca="1">IFERROR(__xludf.DUMMYFUNCTION("""COMPUTED_VALUE"""),40856)</f>
        <v>40856</v>
      </c>
      <c r="D356" s="12" t="str">
        <f ca="1">IFERROR(__xludf.DUMMYFUNCTION("""COMPUTED_VALUE"""),"BENJAMINS")</f>
        <v>BENJAMINS</v>
      </c>
      <c r="E356" s="14" t="str">
        <f ca="1">IFERROR(__xludf.DUMMYFUNCTION("""COMPUTED_VALUE"""),"COLLEGE")</f>
        <v>COLLEGE</v>
      </c>
      <c r="F356" s="1" t="str">
        <f ca="1">IFERROR(__xludf.DUMMYFUNCTION("""COMPUTED_VALUE"""),"ST PIERRE FOURIER")</f>
        <v>ST PIERRE FOURIER</v>
      </c>
      <c r="G356" s="12" t="str">
        <f ca="1">IFERROR(__xludf.DUMMYFUNCTION("""COMPUTED_VALUE"""),"GRAY")</f>
        <v>GRAY</v>
      </c>
      <c r="H356" s="12" t="str">
        <f t="shared" ca="1" si="1"/>
        <v>COLLEGE  ST PIERRE FOURIER  GRAY</v>
      </c>
      <c r="I356" s="6"/>
      <c r="J356" s="12" t="str">
        <f ca="1">IFERROR(__xludf.DUMMYFUNCTION("""COMPUTED_VALUE"""),"OK")</f>
        <v>OK</v>
      </c>
      <c r="K356" s="12" t="str">
        <f ca="1">IFERROR(__xludf.DUMMYFUNCTION("""COMPUTED_VALUE"""),"marianegendresoares@gmail.com")</f>
        <v>marianegendresoares@gmail.com</v>
      </c>
      <c r="L356" s="12" t="str">
        <f ca="1">IFERROR(__xludf.DUMMYFUNCTION("""COMPUTED_VALUE"""),"06 48 33 52 44")</f>
        <v>06 48 33 52 44</v>
      </c>
      <c r="M356" s="12" t="str">
        <f ca="1">IFERROR(__xludf.DUMMYFUNCTION("""COMPUTED_VALUE"""),"70140 BROYE AUBIGNEY MONTSEUGNY")</f>
        <v>70140 BROYE AUBIGNEY MONTSEUGNY</v>
      </c>
      <c r="N356" s="6"/>
      <c r="O356" s="6"/>
    </row>
    <row r="357" spans="1:15" ht="15.5" x14ac:dyDescent="0.35">
      <c r="A357" s="12" t="str">
        <f ca="1">IFERROR(__xludf.DUMMYFUNCTION("""COMPUTED_VALUE"""),"DAGUET Coralie")</f>
        <v>DAGUET Coralie</v>
      </c>
      <c r="B357" s="12" t="str">
        <f ca="1">IFERROR(__xludf.DUMMYFUNCTION("""COMPUTED_VALUE"""),"F")</f>
        <v>F</v>
      </c>
      <c r="C357" s="13">
        <f ca="1">IFERROR(__xludf.DUMMYFUNCTION("""COMPUTED_VALUE"""),41110)</f>
        <v>41110</v>
      </c>
      <c r="D357" s="12" t="str">
        <f ca="1">IFERROR(__xludf.DUMMYFUNCTION("""COMPUTED_VALUE"""),"BENJAMINS")</f>
        <v>BENJAMINS</v>
      </c>
      <c r="E357" s="14" t="str">
        <f ca="1">IFERROR(__xludf.DUMMYFUNCTION("""COMPUTED_VALUE"""),"COLLEGE")</f>
        <v>COLLEGE</v>
      </c>
      <c r="F357" s="1" t="str">
        <f ca="1">IFERROR(__xludf.DUMMYFUNCTION("""COMPUTED_VALUE"""),"ST PIERRE FOURIER")</f>
        <v>ST PIERRE FOURIER</v>
      </c>
      <c r="G357" s="12" t="str">
        <f ca="1">IFERROR(__xludf.DUMMYFUNCTION("""COMPUTED_VALUE"""),"GRAY")</f>
        <v>GRAY</v>
      </c>
      <c r="H357" s="12" t="str">
        <f t="shared" ca="1" si="1"/>
        <v>COLLEGE  ST PIERRE FOURIER  GRAY</v>
      </c>
      <c r="I357" s="6"/>
      <c r="J357" s="12" t="str">
        <f ca="1">IFERROR(__xludf.DUMMYFUNCTION("""COMPUTED_VALUE"""),"OK")</f>
        <v>OK</v>
      </c>
      <c r="K357" s="12" t="str">
        <f ca="1">IFERROR(__xludf.DUMMYFUNCTION("""COMPUTED_VALUE"""),"daguetaurelie@gmail.com")</f>
        <v>daguetaurelie@gmail.com</v>
      </c>
      <c r="L357" s="12" t="str">
        <f ca="1">IFERROR(__xludf.DUMMYFUNCTION("""COMPUTED_VALUE"""),"06 78 09 82 25")</f>
        <v>06 78 09 82 25</v>
      </c>
      <c r="M357" s="12" t="str">
        <f ca="1">IFERROR(__xludf.DUMMYFUNCTION("""COMPUTED_VALUE"""),"70100 ANCIER")</f>
        <v>70100 ANCIER</v>
      </c>
      <c r="N357" s="6"/>
      <c r="O357" s="6"/>
    </row>
    <row r="358" spans="1:15" ht="15.5" x14ac:dyDescent="0.35">
      <c r="A358" s="12" t="str">
        <f ca="1">IFERROR(__xludf.DUMMYFUNCTION("""COMPUTED_VALUE"""),"DEL GROSSO Malory")</f>
        <v>DEL GROSSO Malory</v>
      </c>
      <c r="B358" s="12" t="str">
        <f ca="1">IFERROR(__xludf.DUMMYFUNCTION("""COMPUTED_VALUE"""),"F")</f>
        <v>F</v>
      </c>
      <c r="C358" s="13">
        <f ca="1">IFERROR(__xludf.DUMMYFUNCTION("""COMPUTED_VALUE"""),40668)</f>
        <v>40668</v>
      </c>
      <c r="D358" s="12" t="str">
        <f ca="1">IFERROR(__xludf.DUMMYFUNCTION("""COMPUTED_VALUE"""),"BENJAMINS")</f>
        <v>BENJAMINS</v>
      </c>
      <c r="E358" s="14" t="str">
        <f ca="1">IFERROR(__xludf.DUMMYFUNCTION("""COMPUTED_VALUE"""),"COLLEGE")</f>
        <v>COLLEGE</v>
      </c>
      <c r="F358" s="1" t="str">
        <f ca="1">IFERROR(__xludf.DUMMYFUNCTION("""COMPUTED_VALUE"""),"ST PIERRE FOURIER")</f>
        <v>ST PIERRE FOURIER</v>
      </c>
      <c r="G358" s="12" t="str">
        <f ca="1">IFERROR(__xludf.DUMMYFUNCTION("""COMPUTED_VALUE"""),"GRAY")</f>
        <v>GRAY</v>
      </c>
      <c r="H358" s="12" t="str">
        <f t="shared" ca="1" si="1"/>
        <v>COLLEGE  ST PIERRE FOURIER  GRAY</v>
      </c>
      <c r="I358" s="6"/>
      <c r="J358" s="12" t="str">
        <f ca="1">IFERROR(__xludf.DUMMYFUNCTION("""COMPUTED_VALUE"""),"oK")</f>
        <v>oK</v>
      </c>
      <c r="K358" s="12" t="str">
        <f ca="1">IFERROR(__xludf.DUMMYFUNCTION("""COMPUTED_VALUE"""),"alex.del.grosso@hotmail.fr")</f>
        <v>alex.del.grosso@hotmail.fr</v>
      </c>
      <c r="L358" s="12" t="str">
        <f ca="1">IFERROR(__xludf.DUMMYFUNCTION("""COMPUTED_VALUE"""),"06 79 62 27 23")</f>
        <v>06 79 62 27 23</v>
      </c>
      <c r="M358" s="12" t="str">
        <f ca="1">IFERROR(__xludf.DUMMYFUNCTION("""COMPUTED_VALUE"""),"70700 AUTOREILLE")</f>
        <v>70700 AUTOREILLE</v>
      </c>
      <c r="N358" s="6"/>
      <c r="O358" s="6"/>
    </row>
    <row r="359" spans="1:15" ht="15.5" x14ac:dyDescent="0.35">
      <c r="A359" s="12" t="str">
        <f ca="1">IFERROR(__xludf.DUMMYFUNCTION("""COMPUTED_VALUE"""),"DEL GROSSO Timothé")</f>
        <v>DEL GROSSO Timothé</v>
      </c>
      <c r="B359" s="12" t="str">
        <f ca="1">IFERROR(__xludf.DUMMYFUNCTION("""COMPUTED_VALUE"""),"H")</f>
        <v>H</v>
      </c>
      <c r="C359" s="13">
        <f ca="1">IFERROR(__xludf.DUMMYFUNCTION("""COMPUTED_VALUE"""),41168)</f>
        <v>41168</v>
      </c>
      <c r="D359" s="12" t="str">
        <f ca="1">IFERROR(__xludf.DUMMYFUNCTION("""COMPUTED_VALUE"""),"BENJAMINS")</f>
        <v>BENJAMINS</v>
      </c>
      <c r="E359" s="14" t="str">
        <f ca="1">IFERROR(__xludf.DUMMYFUNCTION("""COMPUTED_VALUE"""),"COLLEGE")</f>
        <v>COLLEGE</v>
      </c>
      <c r="F359" s="1" t="str">
        <f ca="1">IFERROR(__xludf.DUMMYFUNCTION("""COMPUTED_VALUE"""),"ST PIERRE FOURIER")</f>
        <v>ST PIERRE FOURIER</v>
      </c>
      <c r="G359" s="12" t="str">
        <f ca="1">IFERROR(__xludf.DUMMYFUNCTION("""COMPUTED_VALUE"""),"GRAY")</f>
        <v>GRAY</v>
      </c>
      <c r="H359" s="12" t="str">
        <f t="shared" ca="1" si="1"/>
        <v>COLLEGE  ST PIERRE FOURIER  GRAY</v>
      </c>
      <c r="I359" s="6"/>
      <c r="J359" s="12" t="str">
        <f ca="1">IFERROR(__xludf.DUMMYFUNCTION("""COMPUTED_VALUE"""),"oK")</f>
        <v>oK</v>
      </c>
      <c r="K359" s="12" t="str">
        <f ca="1">IFERROR(__xludf.DUMMYFUNCTION("""COMPUTED_VALUE"""),"alex.del.grosso@hotmail.fr")</f>
        <v>alex.del.grosso@hotmail.fr</v>
      </c>
      <c r="L359" s="12" t="str">
        <f ca="1">IFERROR(__xludf.DUMMYFUNCTION("""COMPUTED_VALUE"""),"06 79 62 27 23")</f>
        <v>06 79 62 27 23</v>
      </c>
      <c r="M359" s="12" t="str">
        <f ca="1">IFERROR(__xludf.DUMMYFUNCTION("""COMPUTED_VALUE"""),"70700 AUTOREILLE")</f>
        <v>70700 AUTOREILLE</v>
      </c>
      <c r="N359" s="6"/>
      <c r="O359" s="6"/>
    </row>
    <row r="360" spans="1:15" ht="15.5" x14ac:dyDescent="0.35">
      <c r="A360" s="12" t="str">
        <f ca="1">IFERROR(__xludf.DUMMYFUNCTION("""COMPUTED_VALUE"""),"DELPOUX Maëlys")</f>
        <v>DELPOUX Maëlys</v>
      </c>
      <c r="B360" s="12" t="str">
        <f ca="1">IFERROR(__xludf.DUMMYFUNCTION("""COMPUTED_VALUE"""),"F")</f>
        <v>F</v>
      </c>
      <c r="C360" s="13">
        <f ca="1">IFERROR(__xludf.DUMMYFUNCTION("""COMPUTED_VALUE"""),41091)</f>
        <v>41091</v>
      </c>
      <c r="D360" s="12" t="str">
        <f ca="1">IFERROR(__xludf.DUMMYFUNCTION("""COMPUTED_VALUE"""),"BENJAMINS")</f>
        <v>BENJAMINS</v>
      </c>
      <c r="E360" s="14" t="str">
        <f ca="1">IFERROR(__xludf.DUMMYFUNCTION("""COMPUTED_VALUE"""),"COLLEGE")</f>
        <v>COLLEGE</v>
      </c>
      <c r="F360" s="1" t="str">
        <f ca="1">IFERROR(__xludf.DUMMYFUNCTION("""COMPUTED_VALUE"""),"ST PIERRE FOURIER")</f>
        <v>ST PIERRE FOURIER</v>
      </c>
      <c r="G360" s="12" t="str">
        <f ca="1">IFERROR(__xludf.DUMMYFUNCTION("""COMPUTED_VALUE"""),"GRAY")</f>
        <v>GRAY</v>
      </c>
      <c r="H360" s="12" t="str">
        <f t="shared" ca="1" si="1"/>
        <v>COLLEGE  ST PIERRE FOURIER  GRAY</v>
      </c>
      <c r="I360" s="6"/>
      <c r="J360" s="12" t="str">
        <f ca="1">IFERROR(__xludf.DUMMYFUNCTION("""COMPUTED_VALUE"""),"OK")</f>
        <v>OK</v>
      </c>
      <c r="K360" s="12" t="str">
        <f ca="1">IFERROR(__xludf.DUMMYFUNCTION("""COMPUTED_VALUE"""),"aurel.sab@free.fr")</f>
        <v>aurel.sab@free.fr</v>
      </c>
      <c r="L360" s="12" t="str">
        <f ca="1">IFERROR(__xludf.DUMMYFUNCTION("""COMPUTED_VALUE"""),"06 74 87 40 93")</f>
        <v>06 74 87 40 93</v>
      </c>
      <c r="M360" s="12" t="str">
        <f ca="1">IFERROR(__xludf.DUMMYFUNCTION("""COMPUTED_VALUE"""),"70120 FRETIGNEY")</f>
        <v>70120 FRETIGNEY</v>
      </c>
      <c r="N360" s="6"/>
      <c r="O360" s="6"/>
    </row>
    <row r="361" spans="1:15" ht="15.5" x14ac:dyDescent="0.35">
      <c r="A361" s="12" t="str">
        <f ca="1">IFERROR(__xludf.DUMMYFUNCTION("""COMPUTED_VALUE"""),"DESCHAMPS Aaron")</f>
        <v>DESCHAMPS Aaron</v>
      </c>
      <c r="B361" s="12" t="str">
        <f ca="1">IFERROR(__xludf.DUMMYFUNCTION("""COMPUTED_VALUE"""),"H")</f>
        <v>H</v>
      </c>
      <c r="C361" s="13">
        <f ca="1">IFERROR(__xludf.DUMMYFUNCTION("""COMPUTED_VALUE"""),40972)</f>
        <v>40972</v>
      </c>
      <c r="D361" s="12" t="str">
        <f ca="1">IFERROR(__xludf.DUMMYFUNCTION("""COMPUTED_VALUE"""),"BENJAMINS")</f>
        <v>BENJAMINS</v>
      </c>
      <c r="E361" s="14" t="str">
        <f ca="1">IFERROR(__xludf.DUMMYFUNCTION("""COMPUTED_VALUE"""),"COLLEGE")</f>
        <v>COLLEGE</v>
      </c>
      <c r="F361" s="1" t="str">
        <f ca="1">IFERROR(__xludf.DUMMYFUNCTION("""COMPUTED_VALUE"""),"ST PIERRE FOURIER")</f>
        <v>ST PIERRE FOURIER</v>
      </c>
      <c r="G361" s="12" t="str">
        <f ca="1">IFERROR(__xludf.DUMMYFUNCTION("""COMPUTED_VALUE"""),"GRAY")</f>
        <v>GRAY</v>
      </c>
      <c r="H361" s="12" t="str">
        <f t="shared" ca="1" si="1"/>
        <v>COLLEGE  ST PIERRE FOURIER  GRAY</v>
      </c>
      <c r="I361" s="6"/>
      <c r="J361" s="12" t="str">
        <f ca="1">IFERROR(__xludf.DUMMYFUNCTION("""COMPUTED_VALUE"""),"OK")</f>
        <v>OK</v>
      </c>
      <c r="K361" s="12" t="str">
        <f ca="1">IFERROR(__xludf.DUMMYFUNCTION("""COMPUTED_VALUE"""),"lili0213@hotmail.fr")</f>
        <v>lili0213@hotmail.fr</v>
      </c>
      <c r="L361" s="12" t="str">
        <f ca="1">IFERROR(__xludf.DUMMYFUNCTION("""COMPUTED_VALUE"""),"06 58 27 98 40")</f>
        <v>06 58 27 98 40</v>
      </c>
      <c r="M361" s="12" t="str">
        <f ca="1">IFERROR(__xludf.DUMMYFUNCTION("""COMPUTED_VALUE"""),"70140 CHAUMERCENNE")</f>
        <v>70140 CHAUMERCENNE</v>
      </c>
      <c r="N361" s="6"/>
      <c r="O361" s="6"/>
    </row>
    <row r="362" spans="1:15" ht="15.5" x14ac:dyDescent="0.35">
      <c r="A362" s="12" t="str">
        <f ca="1">IFERROR(__xludf.DUMMYFUNCTION("""COMPUTED_VALUE"""),"FLEUROTTE Robin")</f>
        <v>FLEUROTTE Robin</v>
      </c>
      <c r="B362" s="12" t="str">
        <f ca="1">IFERROR(__xludf.DUMMYFUNCTION("""COMPUTED_VALUE"""),"H")</f>
        <v>H</v>
      </c>
      <c r="C362" s="13">
        <f ca="1">IFERROR(__xludf.DUMMYFUNCTION("""COMPUTED_VALUE"""),40828)</f>
        <v>40828</v>
      </c>
      <c r="D362" s="12" t="str">
        <f ca="1">IFERROR(__xludf.DUMMYFUNCTION("""COMPUTED_VALUE"""),"BENJAMINS")</f>
        <v>BENJAMINS</v>
      </c>
      <c r="E362" s="14" t="str">
        <f ca="1">IFERROR(__xludf.DUMMYFUNCTION("""COMPUTED_VALUE"""),"COLLEGE")</f>
        <v>COLLEGE</v>
      </c>
      <c r="F362" s="1" t="str">
        <f ca="1">IFERROR(__xludf.DUMMYFUNCTION("""COMPUTED_VALUE"""),"ST PIERRE FOURIER")</f>
        <v>ST PIERRE FOURIER</v>
      </c>
      <c r="G362" s="12" t="str">
        <f ca="1">IFERROR(__xludf.DUMMYFUNCTION("""COMPUTED_VALUE"""),"GRAY")</f>
        <v>GRAY</v>
      </c>
      <c r="H362" s="12" t="str">
        <f t="shared" ca="1" si="1"/>
        <v>COLLEGE  ST PIERRE FOURIER  GRAY</v>
      </c>
      <c r="I362" s="6"/>
      <c r="J362" s="12" t="str">
        <f ca="1">IFERROR(__xludf.DUMMYFUNCTION("""COMPUTED_VALUE"""),"OK")</f>
        <v>OK</v>
      </c>
      <c r="K362" s="12" t="str">
        <f ca="1">IFERROR(__xludf.DUMMYFUNCTION("""COMPUTED_VALUE"""),"ol.fleurotte@orange.fr")</f>
        <v>ol.fleurotte@orange.fr</v>
      </c>
      <c r="L362" s="12" t="str">
        <f ca="1">IFERROR(__xludf.DUMMYFUNCTION("""COMPUTED_VALUE"""),"06 89 53 25 15")</f>
        <v>06 89 53 25 15</v>
      </c>
      <c r="M362" s="12" t="str">
        <f ca="1">IFERROR(__xludf.DUMMYFUNCTION("""COMPUTED_VALUE"""),"70100 GRAY")</f>
        <v>70100 GRAY</v>
      </c>
      <c r="N362" s="6"/>
      <c r="O362" s="6"/>
    </row>
    <row r="363" spans="1:15" ht="15.5" x14ac:dyDescent="0.35">
      <c r="A363" s="12" t="str">
        <f ca="1">IFERROR(__xludf.DUMMYFUNCTION("""COMPUTED_VALUE"""),"HELARY Ninon")</f>
        <v>HELARY Ninon</v>
      </c>
      <c r="B363" s="12" t="str">
        <f ca="1">IFERROR(__xludf.DUMMYFUNCTION("""COMPUTED_VALUE"""),"F")</f>
        <v>F</v>
      </c>
      <c r="C363" s="13">
        <f ca="1">IFERROR(__xludf.DUMMYFUNCTION("""COMPUTED_VALUE"""),40738)</f>
        <v>40738</v>
      </c>
      <c r="D363" s="12" t="str">
        <f ca="1">IFERROR(__xludf.DUMMYFUNCTION("""COMPUTED_VALUE"""),"BENJAMINS")</f>
        <v>BENJAMINS</v>
      </c>
      <c r="E363" s="14" t="str">
        <f ca="1">IFERROR(__xludf.DUMMYFUNCTION("""COMPUTED_VALUE"""),"COLLEGE")</f>
        <v>COLLEGE</v>
      </c>
      <c r="F363" s="1" t="str">
        <f ca="1">IFERROR(__xludf.DUMMYFUNCTION("""COMPUTED_VALUE"""),"ST PIERRE FOURIER")</f>
        <v>ST PIERRE FOURIER</v>
      </c>
      <c r="G363" s="12" t="str">
        <f ca="1">IFERROR(__xludf.DUMMYFUNCTION("""COMPUTED_VALUE"""),"GRAY")</f>
        <v>GRAY</v>
      </c>
      <c r="H363" s="12" t="str">
        <f t="shared" ca="1" si="1"/>
        <v>COLLEGE  ST PIERRE FOURIER  GRAY</v>
      </c>
      <c r="I363" s="6"/>
      <c r="J363" s="12" t="str">
        <f ca="1">IFERROR(__xludf.DUMMYFUNCTION("""COMPUTED_VALUE"""),"OK")</f>
        <v>OK</v>
      </c>
      <c r="K363" s="12" t="str">
        <f ca="1">IFERROR(__xludf.DUMMYFUNCTION("""COMPUTED_VALUE"""),"marmierherve@orange.fr")</f>
        <v>marmierherve@orange.fr</v>
      </c>
      <c r="L363" s="12" t="str">
        <f ca="1">IFERROR(__xludf.DUMMYFUNCTION("""COMPUTED_VALUE"""),"07 86 95 23 10")</f>
        <v>07 86 95 23 10</v>
      </c>
      <c r="M363" s="12" t="str">
        <f ca="1">IFERROR(__xludf.DUMMYFUNCTION("""COMPUTED_VALUE"""),"70100 ANCIER")</f>
        <v>70100 ANCIER</v>
      </c>
      <c r="N363" s="6"/>
      <c r="O363" s="6"/>
    </row>
    <row r="364" spans="1:15" ht="15.5" x14ac:dyDescent="0.35">
      <c r="A364" s="12" t="str">
        <f ca="1">IFERROR(__xludf.DUMMYFUNCTION("""COMPUTED_VALUE"""),"HERMELINE-PRIGIONE Dylan")</f>
        <v>HERMELINE-PRIGIONE Dylan</v>
      </c>
      <c r="B364" s="12" t="str">
        <f ca="1">IFERROR(__xludf.DUMMYFUNCTION("""COMPUTED_VALUE"""),"H")</f>
        <v>H</v>
      </c>
      <c r="C364" s="13">
        <f ca="1">IFERROR(__xludf.DUMMYFUNCTION("""COMPUTED_VALUE"""),40795)</f>
        <v>40795</v>
      </c>
      <c r="D364" s="12" t="str">
        <f ca="1">IFERROR(__xludf.DUMMYFUNCTION("""COMPUTED_VALUE"""),"BENJAMINS")</f>
        <v>BENJAMINS</v>
      </c>
      <c r="E364" s="14" t="str">
        <f ca="1">IFERROR(__xludf.DUMMYFUNCTION("""COMPUTED_VALUE"""),"COLLEGE")</f>
        <v>COLLEGE</v>
      </c>
      <c r="F364" s="1" t="str">
        <f ca="1">IFERROR(__xludf.DUMMYFUNCTION("""COMPUTED_VALUE"""),"ST PIERRE FOURIER")</f>
        <v>ST PIERRE FOURIER</v>
      </c>
      <c r="G364" s="12" t="str">
        <f ca="1">IFERROR(__xludf.DUMMYFUNCTION("""COMPUTED_VALUE"""),"GRAY")</f>
        <v>GRAY</v>
      </c>
      <c r="H364" s="12" t="str">
        <f t="shared" ca="1" si="1"/>
        <v>COLLEGE  ST PIERRE FOURIER  GRAY</v>
      </c>
      <c r="I364" s="6"/>
      <c r="J364" s="12" t="str">
        <f ca="1">IFERROR(__xludf.DUMMYFUNCTION("""COMPUTED_VALUE"""),"OK")</f>
        <v>OK</v>
      </c>
      <c r="K364" s="12" t="str">
        <f ca="1">IFERROR(__xludf.DUMMYFUNCTION("""COMPUTED_VALUE"""),"sad.angelique.grigione@gmail.com")</f>
        <v>sad.angelique.grigione@gmail.com</v>
      </c>
      <c r="L364" s="12" t="str">
        <f ca="1">IFERROR(__xludf.DUMMYFUNCTION("""COMPUTED_VALUE"""),"06 25 84 20 10")</f>
        <v>06 25 84 20 10</v>
      </c>
      <c r="M364" s="12" t="str">
        <f ca="1">IFERROR(__xludf.DUMMYFUNCTION("""COMPUTED_VALUE"""),"70100 AUVET")</f>
        <v>70100 AUVET</v>
      </c>
      <c r="N364" s="6"/>
      <c r="O364" s="6"/>
    </row>
    <row r="365" spans="1:15" ht="15.5" x14ac:dyDescent="0.35">
      <c r="A365" s="12" t="str">
        <f ca="1">IFERROR(__xludf.DUMMYFUNCTION("""COMPUTED_VALUE"""),"LACOMBE Yanis")</f>
        <v>LACOMBE Yanis</v>
      </c>
      <c r="B365" s="12" t="str">
        <f ca="1">IFERROR(__xludf.DUMMYFUNCTION("""COMPUTED_VALUE"""),"H")</f>
        <v>H</v>
      </c>
      <c r="C365" s="13">
        <f ca="1">IFERROR(__xludf.DUMMYFUNCTION("""COMPUTED_VALUE"""),40704)</f>
        <v>40704</v>
      </c>
      <c r="D365" s="12" t="str">
        <f ca="1">IFERROR(__xludf.DUMMYFUNCTION("""COMPUTED_VALUE"""),"BENJAMINS")</f>
        <v>BENJAMINS</v>
      </c>
      <c r="E365" s="14" t="str">
        <f ca="1">IFERROR(__xludf.DUMMYFUNCTION("""COMPUTED_VALUE"""),"COLLEGE")</f>
        <v>COLLEGE</v>
      </c>
      <c r="F365" s="1" t="str">
        <f ca="1">IFERROR(__xludf.DUMMYFUNCTION("""COMPUTED_VALUE"""),"ST PIERRE FOURIER")</f>
        <v>ST PIERRE FOURIER</v>
      </c>
      <c r="G365" s="12" t="str">
        <f ca="1">IFERROR(__xludf.DUMMYFUNCTION("""COMPUTED_VALUE"""),"GRAY")</f>
        <v>GRAY</v>
      </c>
      <c r="H365" s="12" t="str">
        <f t="shared" ca="1" si="1"/>
        <v>COLLEGE  ST PIERRE FOURIER  GRAY</v>
      </c>
      <c r="I365" s="6"/>
      <c r="J365" s="12" t="str">
        <f ca="1">IFERROR(__xludf.DUMMYFUNCTION("""COMPUTED_VALUE"""),"OK")</f>
        <v>OK</v>
      </c>
      <c r="K365" s="12" t="str">
        <f ca="1">IFERROR(__xludf.DUMMYFUNCTION("""COMPUTED_VALUE"""),"lacombeseb@icloud.com")</f>
        <v>lacombeseb@icloud.com</v>
      </c>
      <c r="L365" s="12" t="str">
        <f ca="1">IFERROR(__xludf.DUMMYFUNCTION("""COMPUTED_VALUE"""),"06 50 46 91 03")</f>
        <v>06 50 46 91 03</v>
      </c>
      <c r="M365" s="12" t="str">
        <f ca="1">IFERROR(__xludf.DUMMYFUNCTION("""COMPUTED_VALUE"""),"70600 FRAMONT")</f>
        <v>70600 FRAMONT</v>
      </c>
      <c r="N365" s="6"/>
      <c r="O365" s="6"/>
    </row>
    <row r="366" spans="1:15" ht="15.5" x14ac:dyDescent="0.35">
      <c r="A366" s="12" t="str">
        <f ca="1">IFERROR(__xludf.DUMMYFUNCTION("""COMPUTED_VALUE"""),"LEBLANC Arthur")</f>
        <v>LEBLANC Arthur</v>
      </c>
      <c r="B366" s="12" t="str">
        <f ca="1">IFERROR(__xludf.DUMMYFUNCTION("""COMPUTED_VALUE"""),"H")</f>
        <v>H</v>
      </c>
      <c r="C366" s="13">
        <f ca="1">IFERROR(__xludf.DUMMYFUNCTION("""COMPUTED_VALUE"""),40863)</f>
        <v>40863</v>
      </c>
      <c r="D366" s="12" t="str">
        <f ca="1">IFERROR(__xludf.DUMMYFUNCTION("""COMPUTED_VALUE"""),"BENJAMINS")</f>
        <v>BENJAMINS</v>
      </c>
      <c r="E366" s="14" t="str">
        <f ca="1">IFERROR(__xludf.DUMMYFUNCTION("""COMPUTED_VALUE"""),"COLLEGE")</f>
        <v>COLLEGE</v>
      </c>
      <c r="F366" s="1" t="str">
        <f ca="1">IFERROR(__xludf.DUMMYFUNCTION("""COMPUTED_VALUE"""),"ST PIERRE FOURIER")</f>
        <v>ST PIERRE FOURIER</v>
      </c>
      <c r="G366" s="12" t="str">
        <f ca="1">IFERROR(__xludf.DUMMYFUNCTION("""COMPUTED_VALUE"""),"GRAY")</f>
        <v>GRAY</v>
      </c>
      <c r="H366" s="12" t="str">
        <f t="shared" ca="1" si="1"/>
        <v>COLLEGE  ST PIERRE FOURIER  GRAY</v>
      </c>
      <c r="I366" s="6"/>
      <c r="J366" s="12" t="str">
        <f ca="1">IFERROR(__xludf.DUMMYFUNCTION("""COMPUTED_VALUE"""),"OK")</f>
        <v>OK</v>
      </c>
      <c r="K366" s="12" t="str">
        <f ca="1">IFERROR(__xludf.DUMMYFUNCTION("""COMPUTED_VALUE"""),"clairealeblanc@gmail.com")</f>
        <v>clairealeblanc@gmail.com</v>
      </c>
      <c r="L366" s="12" t="str">
        <f ca="1">IFERROR(__xludf.DUMMYFUNCTION("""COMPUTED_VALUE"""),"06 13 23 06 87")</f>
        <v>06 13 23 06 87</v>
      </c>
      <c r="M366" s="12" t="str">
        <f ca="1">IFERROR(__xludf.DUMMYFUNCTION("""COMPUTED_VALUE"""),"70100 ESSERTENNE")</f>
        <v>70100 ESSERTENNE</v>
      </c>
      <c r="N366" s="6"/>
      <c r="O366" s="6"/>
    </row>
    <row r="367" spans="1:15" ht="15.5" x14ac:dyDescent="0.35">
      <c r="A367" s="12" t="str">
        <f ca="1">IFERROR(__xludf.DUMMYFUNCTION("""COMPUTED_VALUE"""),"LIZZI Perle")</f>
        <v>LIZZI Perle</v>
      </c>
      <c r="B367" s="12" t="str">
        <f ca="1">IFERROR(__xludf.DUMMYFUNCTION("""COMPUTED_VALUE"""),"F")</f>
        <v>F</v>
      </c>
      <c r="C367" s="13">
        <f ca="1">IFERROR(__xludf.DUMMYFUNCTION("""COMPUTED_VALUE"""),41182)</f>
        <v>41182</v>
      </c>
      <c r="D367" s="12" t="str">
        <f ca="1">IFERROR(__xludf.DUMMYFUNCTION("""COMPUTED_VALUE"""),"BENJAMINS")</f>
        <v>BENJAMINS</v>
      </c>
      <c r="E367" s="14" t="str">
        <f ca="1">IFERROR(__xludf.DUMMYFUNCTION("""COMPUTED_VALUE"""),"COLLEGE")</f>
        <v>COLLEGE</v>
      </c>
      <c r="F367" s="1" t="str">
        <f ca="1">IFERROR(__xludf.DUMMYFUNCTION("""COMPUTED_VALUE"""),"ST PIERRE FOURIER")</f>
        <v>ST PIERRE FOURIER</v>
      </c>
      <c r="G367" s="12" t="str">
        <f ca="1">IFERROR(__xludf.DUMMYFUNCTION("""COMPUTED_VALUE"""),"GRAY")</f>
        <v>GRAY</v>
      </c>
      <c r="H367" s="12" t="str">
        <f t="shared" ca="1" si="1"/>
        <v>COLLEGE  ST PIERRE FOURIER  GRAY</v>
      </c>
      <c r="I367" s="6"/>
      <c r="J367" s="12" t="str">
        <f ca="1">IFERROR(__xludf.DUMMYFUNCTION("""COMPUTED_VALUE"""),"OK")</f>
        <v>OK</v>
      </c>
      <c r="K367" s="12" t="str">
        <f ca="1">IFERROR(__xludf.DUMMYFUNCTION("""COMPUTED_VALUE"""),"potfablizzi@gmail.com")</f>
        <v>potfablizzi@gmail.com</v>
      </c>
      <c r="L367" s="12" t="str">
        <f ca="1">IFERROR(__xludf.DUMMYFUNCTION("""COMPUTED_VALUE"""),"06 72 08 03 34")</f>
        <v>06 72 08 03 34</v>
      </c>
      <c r="M367" s="12" t="str">
        <f ca="1">IFERROR(__xludf.DUMMYFUNCTION("""COMPUTED_VALUE"""),"70100 BEAUJEU")</f>
        <v>70100 BEAUJEU</v>
      </c>
      <c r="N367" s="6"/>
      <c r="O367" s="6"/>
    </row>
    <row r="368" spans="1:15" ht="15.5" x14ac:dyDescent="0.35">
      <c r="A368" s="12" t="str">
        <f ca="1">IFERROR(__xludf.DUMMYFUNCTION("""COMPUTED_VALUE"""),"MARCHISET Arthur")</f>
        <v>MARCHISET Arthur</v>
      </c>
      <c r="B368" s="12" t="str">
        <f ca="1">IFERROR(__xludf.DUMMYFUNCTION("""COMPUTED_VALUE"""),"H")</f>
        <v>H</v>
      </c>
      <c r="C368" s="13">
        <f ca="1">IFERROR(__xludf.DUMMYFUNCTION("""COMPUTED_VALUE"""),40611)</f>
        <v>40611</v>
      </c>
      <c r="D368" s="12" t="str">
        <f ca="1">IFERROR(__xludf.DUMMYFUNCTION("""COMPUTED_VALUE"""),"BENJAMINS")</f>
        <v>BENJAMINS</v>
      </c>
      <c r="E368" s="14" t="str">
        <f ca="1">IFERROR(__xludf.DUMMYFUNCTION("""COMPUTED_VALUE"""),"COLLEGE")</f>
        <v>COLLEGE</v>
      </c>
      <c r="F368" s="1" t="str">
        <f ca="1">IFERROR(__xludf.DUMMYFUNCTION("""COMPUTED_VALUE"""),"ST PIERRE FOURIER")</f>
        <v>ST PIERRE FOURIER</v>
      </c>
      <c r="G368" s="12" t="str">
        <f ca="1">IFERROR(__xludf.DUMMYFUNCTION("""COMPUTED_VALUE"""),"GRAY")</f>
        <v>GRAY</v>
      </c>
      <c r="H368" s="12" t="str">
        <f t="shared" ca="1" si="1"/>
        <v>COLLEGE  ST PIERRE FOURIER  GRAY</v>
      </c>
      <c r="I368" s="6"/>
      <c r="J368" s="12" t="str">
        <f ca="1">IFERROR(__xludf.DUMMYFUNCTION("""COMPUTED_VALUE"""),"OK")</f>
        <v>OK</v>
      </c>
      <c r="K368" s="12" t="str">
        <f ca="1">IFERROR(__xludf.DUMMYFUNCTION("""COMPUTED_VALUE"""),"lambertac1984@gmail.com")</f>
        <v>lambertac1984@gmail.com</v>
      </c>
      <c r="L368" s="12" t="str">
        <f ca="1">IFERROR(__xludf.DUMMYFUNCTION("""COMPUTED_VALUE"""),"06 71 34 69 36")</f>
        <v>06 71 34 69 36</v>
      </c>
      <c r="M368" s="12" t="str">
        <f ca="1">IFERROR(__xludf.DUMMYFUNCTION("""COMPUTED_VALUE"""),"70100 CHARGEY LES GRAY")</f>
        <v>70100 CHARGEY LES GRAY</v>
      </c>
      <c r="N368" s="6"/>
      <c r="O368" s="6"/>
    </row>
    <row r="369" spans="1:15" ht="15.5" x14ac:dyDescent="0.35">
      <c r="A369" s="12" t="str">
        <f ca="1">IFERROR(__xludf.DUMMYFUNCTION("""COMPUTED_VALUE"""),"MELLET Charlotte")</f>
        <v>MELLET Charlotte</v>
      </c>
      <c r="B369" s="12" t="str">
        <f ca="1">IFERROR(__xludf.DUMMYFUNCTION("""COMPUTED_VALUE"""),"F")</f>
        <v>F</v>
      </c>
      <c r="C369" s="13">
        <f ca="1">IFERROR(__xludf.DUMMYFUNCTION("""COMPUTED_VALUE"""),40673)</f>
        <v>40673</v>
      </c>
      <c r="D369" s="12" t="str">
        <f ca="1">IFERROR(__xludf.DUMMYFUNCTION("""COMPUTED_VALUE"""),"BENJAMINS")</f>
        <v>BENJAMINS</v>
      </c>
      <c r="E369" s="14" t="str">
        <f ca="1">IFERROR(__xludf.DUMMYFUNCTION("""COMPUTED_VALUE"""),"COLLEGE")</f>
        <v>COLLEGE</v>
      </c>
      <c r="F369" s="1" t="str">
        <f ca="1">IFERROR(__xludf.DUMMYFUNCTION("""COMPUTED_VALUE"""),"ST PIERRE FOURIER")</f>
        <v>ST PIERRE FOURIER</v>
      </c>
      <c r="G369" s="12" t="str">
        <f ca="1">IFERROR(__xludf.DUMMYFUNCTION("""COMPUTED_VALUE"""),"GRAY")</f>
        <v>GRAY</v>
      </c>
      <c r="H369" s="12" t="str">
        <f t="shared" ca="1" si="1"/>
        <v>COLLEGE  ST PIERRE FOURIER  GRAY</v>
      </c>
      <c r="I369" s="6"/>
      <c r="J369" s="12" t="str">
        <f ca="1">IFERROR(__xludf.DUMMYFUNCTION("""COMPUTED_VALUE"""),"OK")</f>
        <v>OK</v>
      </c>
      <c r="K369" s="12" t="str">
        <f ca="1">IFERROR(__xludf.DUMMYFUNCTION("""COMPUTED_VALUE"""),"jo-ailes@sfr.fr")</f>
        <v>jo-ailes@sfr.fr</v>
      </c>
      <c r="L369" s="12" t="str">
        <f ca="1">IFERROR(__xludf.DUMMYFUNCTION("""COMPUTED_VALUE"""),"06 14 94 73 00")</f>
        <v>06 14 94 73 00</v>
      </c>
      <c r="M369" s="12" t="str">
        <f ca="1">IFERROR(__xludf.DUMMYFUNCTION("""COMPUTED_VALUE"""),"70100 ESMOULINS")</f>
        <v>70100 ESMOULINS</v>
      </c>
      <c r="N369" s="6"/>
      <c r="O369" s="6"/>
    </row>
    <row r="370" spans="1:15" ht="15.5" x14ac:dyDescent="0.35">
      <c r="A370" s="12" t="str">
        <f ca="1">IFERROR(__xludf.DUMMYFUNCTION("""COMPUTED_VALUE"""),"PALYS Valentina")</f>
        <v>PALYS Valentina</v>
      </c>
      <c r="B370" s="12" t="str">
        <f ca="1">IFERROR(__xludf.DUMMYFUNCTION("""COMPUTED_VALUE"""),"F")</f>
        <v>F</v>
      </c>
      <c r="C370" s="13">
        <f ca="1">IFERROR(__xludf.DUMMYFUNCTION("""COMPUTED_VALUE"""),41003)</f>
        <v>41003</v>
      </c>
      <c r="D370" s="12" t="str">
        <f ca="1">IFERROR(__xludf.DUMMYFUNCTION("""COMPUTED_VALUE"""),"BENJAMINS")</f>
        <v>BENJAMINS</v>
      </c>
      <c r="E370" s="14" t="str">
        <f ca="1">IFERROR(__xludf.DUMMYFUNCTION("""COMPUTED_VALUE"""),"COLLEGE")</f>
        <v>COLLEGE</v>
      </c>
      <c r="F370" s="1" t="str">
        <f ca="1">IFERROR(__xludf.DUMMYFUNCTION("""COMPUTED_VALUE"""),"ST PIERRE FOURIER")</f>
        <v>ST PIERRE FOURIER</v>
      </c>
      <c r="G370" s="12" t="str">
        <f ca="1">IFERROR(__xludf.DUMMYFUNCTION("""COMPUTED_VALUE"""),"GRAY")</f>
        <v>GRAY</v>
      </c>
      <c r="H370" s="12" t="str">
        <f t="shared" ca="1" si="1"/>
        <v>COLLEGE  ST PIERRE FOURIER  GRAY</v>
      </c>
      <c r="I370" s="6"/>
      <c r="J370" s="12" t="str">
        <f ca="1">IFERROR(__xludf.DUMMYFUNCTION("""COMPUTED_VALUE"""),"OK")</f>
        <v>OK</v>
      </c>
      <c r="K370" s="12" t="str">
        <f ca="1">IFERROR(__xludf.DUMMYFUNCTION("""COMPUTED_VALUE"""),"gmeugnier@live.fr")</f>
        <v>gmeugnier@live.fr</v>
      </c>
      <c r="L370" s="12" t="str">
        <f ca="1">IFERROR(__xludf.DUMMYFUNCTION("""COMPUTED_VALUE"""),"07 68 71 22 54")</f>
        <v>07 68 71 22 54</v>
      </c>
      <c r="M370" s="12" t="str">
        <f ca="1">IFERROR(__xludf.DUMMYFUNCTION("""COMPUTED_VALUE"""),"70100 BOUHANS")</f>
        <v>70100 BOUHANS</v>
      </c>
      <c r="N370" s="6"/>
      <c r="O370" s="6"/>
    </row>
    <row r="371" spans="1:15" ht="15.5" x14ac:dyDescent="0.35">
      <c r="A371" s="12" t="str">
        <f ca="1">IFERROR(__xludf.DUMMYFUNCTION("""COMPUTED_VALUE"""),"PINTO ROCHA Pierre")</f>
        <v>PINTO ROCHA Pierre</v>
      </c>
      <c r="B371" s="12" t="str">
        <f ca="1">IFERROR(__xludf.DUMMYFUNCTION("""COMPUTED_VALUE"""),"H")</f>
        <v>H</v>
      </c>
      <c r="C371" s="13">
        <f ca="1">IFERROR(__xludf.DUMMYFUNCTION("""COMPUTED_VALUE"""),40915)</f>
        <v>40915</v>
      </c>
      <c r="D371" s="12" t="str">
        <f ca="1">IFERROR(__xludf.DUMMYFUNCTION("""COMPUTED_VALUE"""),"BENJAMINS")</f>
        <v>BENJAMINS</v>
      </c>
      <c r="E371" s="14" t="str">
        <f ca="1">IFERROR(__xludf.DUMMYFUNCTION("""COMPUTED_VALUE"""),"COLLEGE")</f>
        <v>COLLEGE</v>
      </c>
      <c r="F371" s="1" t="str">
        <f ca="1">IFERROR(__xludf.DUMMYFUNCTION("""COMPUTED_VALUE"""),"ST PIERRE FOURIER")</f>
        <v>ST PIERRE FOURIER</v>
      </c>
      <c r="G371" s="12" t="str">
        <f ca="1">IFERROR(__xludf.DUMMYFUNCTION("""COMPUTED_VALUE"""),"GRAY")</f>
        <v>GRAY</v>
      </c>
      <c r="H371" s="12" t="str">
        <f t="shared" ca="1" si="1"/>
        <v>COLLEGE  ST PIERRE FOURIER  GRAY</v>
      </c>
      <c r="I371" s="6"/>
      <c r="J371" s="12" t="str">
        <f ca="1">IFERROR(__xludf.DUMMYFUNCTION("""COMPUTED_VALUE"""),"OK")</f>
        <v>OK</v>
      </c>
      <c r="K371" s="12" t="str">
        <f ca="1">IFERROR(__xludf.DUMMYFUNCTION("""COMPUTED_VALUE"""),"e.rocha@hotmail.fr")</f>
        <v>e.rocha@hotmail.fr</v>
      </c>
      <c r="L371" s="12" t="str">
        <f ca="1">IFERROR(__xludf.DUMMYFUNCTION("""COMPUTED_VALUE"""),"06 33 23 46 81")</f>
        <v>06 33 23 46 81</v>
      </c>
      <c r="M371" s="12" t="str">
        <f ca="1">IFERROR(__xludf.DUMMYFUNCTION("""COMPUTED_VALUE"""),"70150 BRUSSEY")</f>
        <v>70150 BRUSSEY</v>
      </c>
      <c r="N371" s="6"/>
      <c r="O371" s="6"/>
    </row>
    <row r="372" spans="1:15" ht="15.5" x14ac:dyDescent="0.35">
      <c r="A372" s="12" t="str">
        <f ca="1">IFERROR(__xludf.DUMMYFUNCTION("""COMPUTED_VALUE"""),"RIMET Sullyvan")</f>
        <v>RIMET Sullyvan</v>
      </c>
      <c r="B372" s="12" t="str">
        <f ca="1">IFERROR(__xludf.DUMMYFUNCTION("""COMPUTED_VALUE"""),"H")</f>
        <v>H</v>
      </c>
      <c r="C372" s="13">
        <f ca="1">IFERROR(__xludf.DUMMYFUNCTION("""COMPUTED_VALUE"""),40928)</f>
        <v>40928</v>
      </c>
      <c r="D372" s="12" t="str">
        <f ca="1">IFERROR(__xludf.DUMMYFUNCTION("""COMPUTED_VALUE"""),"BENJAMINS")</f>
        <v>BENJAMINS</v>
      </c>
      <c r="E372" s="14" t="str">
        <f ca="1">IFERROR(__xludf.DUMMYFUNCTION("""COMPUTED_VALUE"""),"COLLEGE")</f>
        <v>COLLEGE</v>
      </c>
      <c r="F372" s="1" t="str">
        <f ca="1">IFERROR(__xludf.DUMMYFUNCTION("""COMPUTED_VALUE"""),"ST PIERRE FOURIER")</f>
        <v>ST PIERRE FOURIER</v>
      </c>
      <c r="G372" s="12" t="str">
        <f ca="1">IFERROR(__xludf.DUMMYFUNCTION("""COMPUTED_VALUE"""),"GRAY")</f>
        <v>GRAY</v>
      </c>
      <c r="H372" s="12" t="str">
        <f t="shared" ca="1" si="1"/>
        <v>COLLEGE  ST PIERRE FOURIER  GRAY</v>
      </c>
      <c r="I372" s="6"/>
      <c r="J372" s="12" t="str">
        <f ca="1">IFERROR(__xludf.DUMMYFUNCTION("""COMPUTED_VALUE"""),"OK")</f>
        <v>OK</v>
      </c>
      <c r="K372" s="12" t="str">
        <f ca="1">IFERROR(__xludf.DUMMYFUNCTION("""COMPUTED_VALUE"""),"corine.rimet@sfr.fr")</f>
        <v>corine.rimet@sfr.fr</v>
      </c>
      <c r="L372" s="12" t="str">
        <f ca="1">IFERROR(__xludf.DUMMYFUNCTION("""COMPUTED_VALUE"""),"06 37 72 53 24")</f>
        <v>06 37 72 53 24</v>
      </c>
      <c r="M372" s="12" t="str">
        <f ca="1">IFERROR(__xludf.DUMMYFUNCTION("""COMPUTED_VALUE"""),"70100 GRAY")</f>
        <v>70100 GRAY</v>
      </c>
      <c r="N372" s="6"/>
      <c r="O372" s="6"/>
    </row>
    <row r="373" spans="1:15" ht="15.5" x14ac:dyDescent="0.35">
      <c r="A373" s="12" t="str">
        <f ca="1">IFERROR(__xludf.DUMMYFUNCTION("""COMPUTED_VALUE"""),"ROHR-BOUAISSA Emma")</f>
        <v>ROHR-BOUAISSA Emma</v>
      </c>
      <c r="B373" s="12" t="str">
        <f ca="1">IFERROR(__xludf.DUMMYFUNCTION("""COMPUTED_VALUE"""),"F")</f>
        <v>F</v>
      </c>
      <c r="C373" s="13">
        <f ca="1">IFERROR(__xludf.DUMMYFUNCTION("""COMPUTED_VALUE"""),40873)</f>
        <v>40873</v>
      </c>
      <c r="D373" s="12" t="str">
        <f ca="1">IFERROR(__xludf.DUMMYFUNCTION("""COMPUTED_VALUE"""),"BENJAMINS")</f>
        <v>BENJAMINS</v>
      </c>
      <c r="E373" s="14" t="str">
        <f ca="1">IFERROR(__xludf.DUMMYFUNCTION("""COMPUTED_VALUE"""),"COLLEGE")</f>
        <v>COLLEGE</v>
      </c>
      <c r="F373" s="1" t="str">
        <f ca="1">IFERROR(__xludf.DUMMYFUNCTION("""COMPUTED_VALUE"""),"ST PIERRE FOURIER")</f>
        <v>ST PIERRE FOURIER</v>
      </c>
      <c r="G373" s="12" t="str">
        <f ca="1">IFERROR(__xludf.DUMMYFUNCTION("""COMPUTED_VALUE"""),"GRAY")</f>
        <v>GRAY</v>
      </c>
      <c r="H373" s="12" t="str">
        <f t="shared" ca="1" si="1"/>
        <v>COLLEGE  ST PIERRE FOURIER  GRAY</v>
      </c>
      <c r="I373" s="6"/>
      <c r="J373" s="12" t="str">
        <f ca="1">IFERROR(__xludf.DUMMYFUNCTION("""COMPUTED_VALUE"""),"OK")</f>
        <v>OK</v>
      </c>
      <c r="K373" s="12" t="str">
        <f ca="1">IFERROR(__xludf.DUMMYFUNCTION("""COMPUTED_VALUE"""),"laetitia70100@outlook.fr")</f>
        <v>laetitia70100@outlook.fr</v>
      </c>
      <c r="L373" s="12" t="str">
        <f ca="1">IFERROR(__xludf.DUMMYFUNCTION("""COMPUTED_VALUE"""),"06 81 55 13 54")</f>
        <v>06 81 55 13 54</v>
      </c>
      <c r="M373" s="12" t="str">
        <f ca="1">IFERROR(__xludf.DUMMYFUNCTION("""COMPUTED_VALUE"""),"70100 BEAUJEU")</f>
        <v>70100 BEAUJEU</v>
      </c>
      <c r="N373" s="6"/>
      <c r="O373" s="6"/>
    </row>
    <row r="374" spans="1:15" ht="15.5" x14ac:dyDescent="0.35">
      <c r="A374" s="12" t="str">
        <f ca="1">IFERROR(__xludf.DUMMYFUNCTION("""COMPUTED_VALUE"""),"SOITOUX Raphaël")</f>
        <v>SOITOUX Raphaël</v>
      </c>
      <c r="B374" s="12" t="str">
        <f ca="1">IFERROR(__xludf.DUMMYFUNCTION("""COMPUTED_VALUE"""),"H")</f>
        <v>H</v>
      </c>
      <c r="C374" s="13">
        <f ca="1">IFERROR(__xludf.DUMMYFUNCTION("""COMPUTED_VALUE"""),40745)</f>
        <v>40745</v>
      </c>
      <c r="D374" s="12" t="str">
        <f ca="1">IFERROR(__xludf.DUMMYFUNCTION("""COMPUTED_VALUE"""),"BENJAMINS")</f>
        <v>BENJAMINS</v>
      </c>
      <c r="E374" s="14" t="str">
        <f ca="1">IFERROR(__xludf.DUMMYFUNCTION("""COMPUTED_VALUE"""),"COLLEGE")</f>
        <v>COLLEGE</v>
      </c>
      <c r="F374" s="1" t="str">
        <f ca="1">IFERROR(__xludf.DUMMYFUNCTION("""COMPUTED_VALUE"""),"ST PIERRE FOURIER")</f>
        <v>ST PIERRE FOURIER</v>
      </c>
      <c r="G374" s="12" t="str">
        <f ca="1">IFERROR(__xludf.DUMMYFUNCTION("""COMPUTED_VALUE"""),"GRAY")</f>
        <v>GRAY</v>
      </c>
      <c r="H374" s="12" t="str">
        <f t="shared" ca="1" si="1"/>
        <v>COLLEGE  ST PIERRE FOURIER  GRAY</v>
      </c>
      <c r="I374" s="6"/>
      <c r="J374" s="12" t="str">
        <f ca="1">IFERROR(__xludf.DUMMYFUNCTION("""COMPUTED_VALUE"""),"OK")</f>
        <v>OK</v>
      </c>
      <c r="K374" s="12" t="str">
        <f ca="1">IFERROR(__xludf.DUMMYFUNCTION("""COMPUTED_VALUE"""),"soitoux.amelie@gmail.com")</f>
        <v>soitoux.amelie@gmail.com</v>
      </c>
      <c r="L374" s="12" t="str">
        <f ca="1">IFERROR(__xludf.DUMMYFUNCTION("""COMPUTED_VALUE"""),"06 33 70 10 97")</f>
        <v>06 33 70 10 97</v>
      </c>
      <c r="M374" s="12" t="str">
        <f ca="1">IFERROR(__xludf.DUMMYFUNCTION("""COMPUTED_VALUE"""),"70120 LAVONCOURT")</f>
        <v>70120 LAVONCOURT</v>
      </c>
      <c r="N374" s="6"/>
      <c r="O374" s="6"/>
    </row>
    <row r="375" spans="1:15" ht="15.5" x14ac:dyDescent="0.35">
      <c r="A375" s="12" t="str">
        <f ca="1">IFERROR(__xludf.DUMMYFUNCTION("""COMPUTED_VALUE"""),"THIBAULT Estelle")</f>
        <v>THIBAULT Estelle</v>
      </c>
      <c r="B375" s="12" t="str">
        <f ca="1">IFERROR(__xludf.DUMMYFUNCTION("""COMPUTED_VALUE"""),"F")</f>
        <v>F</v>
      </c>
      <c r="C375" s="13">
        <f ca="1">IFERROR(__xludf.DUMMYFUNCTION("""COMPUTED_VALUE"""),40564)</f>
        <v>40564</v>
      </c>
      <c r="D375" s="12" t="str">
        <f ca="1">IFERROR(__xludf.DUMMYFUNCTION("""COMPUTED_VALUE"""),"BENJAMINS")</f>
        <v>BENJAMINS</v>
      </c>
      <c r="E375" s="14" t="str">
        <f ca="1">IFERROR(__xludf.DUMMYFUNCTION("""COMPUTED_VALUE"""),"COLLEGE")</f>
        <v>COLLEGE</v>
      </c>
      <c r="F375" s="1" t="str">
        <f ca="1">IFERROR(__xludf.DUMMYFUNCTION("""COMPUTED_VALUE"""),"ST PIERRE FOURIER")</f>
        <v>ST PIERRE FOURIER</v>
      </c>
      <c r="G375" s="12" t="str">
        <f ca="1">IFERROR(__xludf.DUMMYFUNCTION("""COMPUTED_VALUE"""),"GRAY")</f>
        <v>GRAY</v>
      </c>
      <c r="H375" s="12" t="str">
        <f t="shared" ca="1" si="1"/>
        <v>COLLEGE  ST PIERRE FOURIER  GRAY</v>
      </c>
      <c r="I375" s="6"/>
      <c r="J375" s="12" t="str">
        <f ca="1">IFERROR(__xludf.DUMMYFUNCTION("""COMPUTED_VALUE"""),"OK")</f>
        <v>OK</v>
      </c>
      <c r="K375" s="12" t="str">
        <f ca="1">IFERROR(__xludf.DUMMYFUNCTION("""COMPUTED_VALUE"""),"thibaulta.70@orange.fr")</f>
        <v>thibaulta.70@orange.fr</v>
      </c>
      <c r="L375" s="12" t="str">
        <f ca="1">IFERROR(__xludf.DUMMYFUNCTION("""COMPUTED_VALUE"""),"06 81 41 60 71")</f>
        <v>06 81 41 60 71</v>
      </c>
      <c r="M375" s="12" t="str">
        <f ca="1">IFERROR(__xludf.DUMMYFUNCTION("""COMPUTED_VALUE"""),"70600 CHAMPLITTE")</f>
        <v>70600 CHAMPLITTE</v>
      </c>
      <c r="N375" s="6"/>
      <c r="O375" s="6"/>
    </row>
    <row r="376" spans="1:15" ht="15.5" x14ac:dyDescent="0.35">
      <c r="A376" s="12" t="str">
        <f ca="1">IFERROR(__xludf.DUMMYFUNCTION("""COMPUTED_VALUE"""),"VAIRON Jérémi")</f>
        <v>VAIRON Jérémi</v>
      </c>
      <c r="B376" s="12" t="str">
        <f ca="1">IFERROR(__xludf.DUMMYFUNCTION("""COMPUTED_VALUE"""),"H")</f>
        <v>H</v>
      </c>
      <c r="C376" s="13">
        <f ca="1">IFERROR(__xludf.DUMMYFUNCTION("""COMPUTED_VALUE"""),41162)</f>
        <v>41162</v>
      </c>
      <c r="D376" s="12" t="str">
        <f ca="1">IFERROR(__xludf.DUMMYFUNCTION("""COMPUTED_VALUE"""),"BENJAMINS")</f>
        <v>BENJAMINS</v>
      </c>
      <c r="E376" s="14" t="str">
        <f ca="1">IFERROR(__xludf.DUMMYFUNCTION("""COMPUTED_VALUE"""),"COLLEGE")</f>
        <v>COLLEGE</v>
      </c>
      <c r="F376" s="1" t="str">
        <f ca="1">IFERROR(__xludf.DUMMYFUNCTION("""COMPUTED_VALUE"""),"ST PIERRE FOURIER")</f>
        <v>ST PIERRE FOURIER</v>
      </c>
      <c r="G376" s="12" t="str">
        <f ca="1">IFERROR(__xludf.DUMMYFUNCTION("""COMPUTED_VALUE"""),"GRAY")</f>
        <v>GRAY</v>
      </c>
      <c r="H376" s="12" t="str">
        <f t="shared" ca="1" si="1"/>
        <v>COLLEGE  ST PIERRE FOURIER  GRAY</v>
      </c>
      <c r="I376" s="6"/>
      <c r="J376" s="12" t="str">
        <f ca="1">IFERROR(__xludf.DUMMYFUNCTION("""COMPUTED_VALUE"""),"OK")</f>
        <v>OK</v>
      </c>
      <c r="K376" s="12" t="str">
        <f ca="1">IFERROR(__xludf.DUMMYFUNCTION("""COMPUTED_VALUE"""),"isabellevairon@orange.fr")</f>
        <v>isabellevairon@orange.fr</v>
      </c>
      <c r="L376" s="12" t="str">
        <f ca="1">IFERROR(__xludf.DUMMYFUNCTION("""COMPUTED_VALUE"""),"06 70 80 77 41")</f>
        <v>06 70 80 77 41</v>
      </c>
      <c r="M376" s="12" t="str">
        <f ca="1">IFERROR(__xludf.DUMMYFUNCTION("""COMPUTED_VALUE"""),"70000 RAZE")</f>
        <v>70000 RAZE</v>
      </c>
      <c r="N376" s="6"/>
      <c r="O376" s="6"/>
    </row>
    <row r="377" spans="1:15" ht="15.5" x14ac:dyDescent="0.35">
      <c r="A377" s="12" t="str">
        <f ca="1">IFERROR(__xludf.DUMMYFUNCTION("""COMPUTED_VALUE"""),"LUGAN Sten")</f>
        <v>LUGAN Sten</v>
      </c>
      <c r="B377" s="12" t="str">
        <f ca="1">IFERROR(__xludf.DUMMYFUNCTION("""COMPUTED_VALUE"""),"H")</f>
        <v>H</v>
      </c>
      <c r="C377" s="13">
        <f ca="1">IFERROR(__xludf.DUMMYFUNCTION("""COMPUTED_VALUE"""),39852)</f>
        <v>39852</v>
      </c>
      <c r="D377" s="12" t="str">
        <f ca="1">IFERROR(__xludf.DUMMYFUNCTION("""COMPUTED_VALUE"""),"MINIMES")</f>
        <v>MINIMES</v>
      </c>
      <c r="E377" s="14" t="str">
        <f ca="1">IFERROR(__xludf.DUMMYFUNCTION("""COMPUTED_VALUE"""),"COLLEGE")</f>
        <v>COLLEGE</v>
      </c>
      <c r="F377" s="1" t="str">
        <f ca="1">IFERROR(__xludf.DUMMYFUNCTION("""COMPUTED_VALUE"""),"ST PIERRE FOURIER")</f>
        <v>ST PIERRE FOURIER</v>
      </c>
      <c r="G377" s="12" t="str">
        <f ca="1">IFERROR(__xludf.DUMMYFUNCTION("""COMPUTED_VALUE"""),"GRAY")</f>
        <v>GRAY</v>
      </c>
      <c r="H377" s="12" t="str">
        <f t="shared" ca="1" si="1"/>
        <v>COLLEGE  ST PIERRE FOURIER  GRAY</v>
      </c>
      <c r="I377" s="6"/>
      <c r="J377" s="12" t="str">
        <f ca="1">IFERROR(__xludf.DUMMYFUNCTION("""COMPUTED_VALUE"""),"OK")</f>
        <v>OK</v>
      </c>
      <c r="K377" s="12" t="str">
        <f ca="1">IFERROR(__xludf.DUMMYFUNCTION("""COMPUTED_VALUE"""),"lucie.tortajada@orange.fr")</f>
        <v>lucie.tortajada@orange.fr</v>
      </c>
      <c r="L377" s="12" t="str">
        <f ca="1">IFERROR(__xludf.DUMMYFUNCTION("""COMPUTED_VALUE"""),"06 79 62 17 36")</f>
        <v>06 79 62 17 36</v>
      </c>
      <c r="M377" s="12" t="str">
        <f ca="1">IFERROR(__xludf.DUMMYFUNCTION("""COMPUTED_VALUE"""),"25410 ROSET-FLUANS")</f>
        <v>25410 ROSET-FLUANS</v>
      </c>
      <c r="N377" s="6"/>
      <c r="O377" s="6"/>
    </row>
    <row r="378" spans="1:15" ht="15.5" x14ac:dyDescent="0.35">
      <c r="A378" s="12" t="str">
        <f ca="1">IFERROR(__xludf.DUMMYFUNCTION("""COMPUTED_VALUE"""),"PARE Leandro")</f>
        <v>PARE Leandro</v>
      </c>
      <c r="B378" s="12" t="str">
        <f ca="1">IFERROR(__xludf.DUMMYFUNCTION("""COMPUTED_VALUE"""),"H")</f>
        <v>H</v>
      </c>
      <c r="C378" s="13">
        <f ca="1">IFERROR(__xludf.DUMMYFUNCTION("""COMPUTED_VALUE"""),40519)</f>
        <v>40519</v>
      </c>
      <c r="D378" s="12" t="str">
        <f ca="1">IFERROR(__xludf.DUMMYFUNCTION("""COMPUTED_VALUE"""),"MINIMES")</f>
        <v>MINIMES</v>
      </c>
      <c r="E378" s="14" t="str">
        <f ca="1">IFERROR(__xludf.DUMMYFUNCTION("""COMPUTED_VALUE"""),"COLLEGE")</f>
        <v>COLLEGE</v>
      </c>
      <c r="F378" s="1" t="str">
        <f ca="1">IFERROR(__xludf.DUMMYFUNCTION("""COMPUTED_VALUE"""),"ST PIERRE FOURIER")</f>
        <v>ST PIERRE FOURIER</v>
      </c>
      <c r="G378" s="12" t="str">
        <f ca="1">IFERROR(__xludf.DUMMYFUNCTION("""COMPUTED_VALUE"""),"GRAY")</f>
        <v>GRAY</v>
      </c>
      <c r="H378" s="12" t="str">
        <f t="shared" ca="1" si="1"/>
        <v>COLLEGE  ST PIERRE FOURIER  GRAY</v>
      </c>
      <c r="I378" s="6"/>
      <c r="J378" s="12" t="str">
        <f ca="1">IFERROR(__xludf.DUMMYFUNCTION("""COMPUTED_VALUE"""),"OK")</f>
        <v>OK</v>
      </c>
      <c r="K378" s="12" t="str">
        <f ca="1">IFERROR(__xludf.DUMMYFUNCTION("""COMPUTED_VALUE"""),"dpsb@hotmail.fr")</f>
        <v>dpsb@hotmail.fr</v>
      </c>
      <c r="L378" s="12" t="str">
        <f ca="1">IFERROR(__xludf.DUMMYFUNCTION("""COMPUTED_VALUE"""),"06 15 89 75 07")</f>
        <v>06 15 89 75 07</v>
      </c>
      <c r="M378" s="12" t="str">
        <f ca="1">IFERROR(__xludf.DUMMYFUNCTION("""COMPUTED_VALUE"""),"70100 NANTILLY")</f>
        <v>70100 NANTILLY</v>
      </c>
      <c r="N378" s="6"/>
      <c r="O378" s="6"/>
    </row>
    <row r="379" spans="1:15" ht="15.5" x14ac:dyDescent="0.35">
      <c r="A379" s="12" t="str">
        <f ca="1">IFERROR(__xludf.DUMMYFUNCTION("""COMPUTED_VALUE"""),"PILARD Maya")</f>
        <v>PILARD Maya</v>
      </c>
      <c r="B379" s="12" t="str">
        <f ca="1">IFERROR(__xludf.DUMMYFUNCTION("""COMPUTED_VALUE"""),"F")</f>
        <v>F</v>
      </c>
      <c r="C379" s="13">
        <f ca="1">IFERROR(__xludf.DUMMYFUNCTION("""COMPUTED_VALUE"""),40108)</f>
        <v>40108</v>
      </c>
      <c r="D379" s="12" t="str">
        <f ca="1">IFERROR(__xludf.DUMMYFUNCTION("""COMPUTED_VALUE"""),"MINIMES")</f>
        <v>MINIMES</v>
      </c>
      <c r="E379" s="14" t="str">
        <f ca="1">IFERROR(__xludf.DUMMYFUNCTION("""COMPUTED_VALUE"""),"COLLEGE")</f>
        <v>COLLEGE</v>
      </c>
      <c r="F379" s="1" t="str">
        <f ca="1">IFERROR(__xludf.DUMMYFUNCTION("""COMPUTED_VALUE"""),"ST PIERRE FOURIER")</f>
        <v>ST PIERRE FOURIER</v>
      </c>
      <c r="G379" s="12" t="str">
        <f ca="1">IFERROR(__xludf.DUMMYFUNCTION("""COMPUTED_VALUE"""),"GRAY")</f>
        <v>GRAY</v>
      </c>
      <c r="H379" s="12" t="str">
        <f t="shared" ca="1" si="1"/>
        <v>COLLEGE  ST PIERRE FOURIER  GRAY</v>
      </c>
      <c r="I379" s="6"/>
      <c r="J379" s="12" t="str">
        <f ca="1">IFERROR(__xludf.DUMMYFUNCTION("""COMPUTED_VALUE"""),"OK")</f>
        <v>OK</v>
      </c>
      <c r="K379" s="12" t="str">
        <f ca="1">IFERROR(__xludf.DUMMYFUNCTION("""COMPUTED_VALUE"""),"pilard-laurent@orange.fr")</f>
        <v>pilard-laurent@orange.fr</v>
      </c>
      <c r="L379" s="12" t="str">
        <f ca="1">IFERROR(__xludf.DUMMYFUNCTION("""COMPUTED_VALUE"""),"06 99 73 93 68")</f>
        <v>06 99 73 93 68</v>
      </c>
      <c r="M379" s="12" t="str">
        <f ca="1">IFERROR(__xludf.DUMMYFUNCTION("""COMPUTED_VALUE"""),"21270 PERRIGNY SUR L'OGNON")</f>
        <v>21270 PERRIGNY SUR L'OGNON</v>
      </c>
      <c r="N379" s="6"/>
      <c r="O379" s="6"/>
    </row>
    <row r="380" spans="1:15" ht="15.5" x14ac:dyDescent="0.35">
      <c r="A380" s="12" t="str">
        <f ca="1">IFERROR(__xludf.DUMMYFUNCTION("""COMPUTED_VALUE"""),"PINTO ROCHA Antoine")</f>
        <v>PINTO ROCHA Antoine</v>
      </c>
      <c r="B380" s="12" t="str">
        <f ca="1">IFERROR(__xludf.DUMMYFUNCTION("""COMPUTED_VALUE"""),"H")</f>
        <v>H</v>
      </c>
      <c r="C380" s="13">
        <f ca="1">IFERROR(__xludf.DUMMYFUNCTION("""COMPUTED_VALUE"""),40184)</f>
        <v>40184</v>
      </c>
      <c r="D380" s="12" t="str">
        <f ca="1">IFERROR(__xludf.DUMMYFUNCTION("""COMPUTED_VALUE"""),"MINIMES")</f>
        <v>MINIMES</v>
      </c>
      <c r="E380" s="14" t="str">
        <f ca="1">IFERROR(__xludf.DUMMYFUNCTION("""COMPUTED_VALUE"""),"COLLEGE")</f>
        <v>COLLEGE</v>
      </c>
      <c r="F380" s="1" t="str">
        <f ca="1">IFERROR(__xludf.DUMMYFUNCTION("""COMPUTED_VALUE"""),"ST PIERRE FOURIER")</f>
        <v>ST PIERRE FOURIER</v>
      </c>
      <c r="G380" s="12" t="str">
        <f ca="1">IFERROR(__xludf.DUMMYFUNCTION("""COMPUTED_VALUE"""),"GRAY")</f>
        <v>GRAY</v>
      </c>
      <c r="H380" s="12" t="str">
        <f t="shared" ca="1" si="1"/>
        <v>COLLEGE  ST PIERRE FOURIER  GRAY</v>
      </c>
      <c r="I380" s="6"/>
      <c r="J380" s="12" t="str">
        <f ca="1">IFERROR(__xludf.DUMMYFUNCTION("""COMPUTED_VALUE"""),"OK")</f>
        <v>OK</v>
      </c>
      <c r="K380" s="12" t="str">
        <f ca="1">IFERROR(__xludf.DUMMYFUNCTION("""COMPUTED_VALUE"""),"e.rocha@hotmail.fr")</f>
        <v>e.rocha@hotmail.fr</v>
      </c>
      <c r="L380" s="12" t="str">
        <f ca="1">IFERROR(__xludf.DUMMYFUNCTION("""COMPUTED_VALUE"""),"06 33 23 46 81")</f>
        <v>06 33 23 46 81</v>
      </c>
      <c r="M380" s="12" t="str">
        <f ca="1">IFERROR(__xludf.DUMMYFUNCTION("""COMPUTED_VALUE"""),"70150 BRUSSEY")</f>
        <v>70150 BRUSSEY</v>
      </c>
      <c r="N380" s="6"/>
      <c r="O380" s="6"/>
    </row>
    <row r="381" spans="1:15" ht="15.5" x14ac:dyDescent="0.35">
      <c r="A381" s="12" t="str">
        <f ca="1">IFERROR(__xludf.DUMMYFUNCTION("""COMPUTED_VALUE"""),"PLANAVERGNE Evanna")</f>
        <v>PLANAVERGNE Evanna</v>
      </c>
      <c r="B381" s="12" t="str">
        <f ca="1">IFERROR(__xludf.DUMMYFUNCTION("""COMPUTED_VALUE"""),"F")</f>
        <v>F</v>
      </c>
      <c r="C381" s="13">
        <f ca="1">IFERROR(__xludf.DUMMYFUNCTION("""COMPUTED_VALUE"""),40225)</f>
        <v>40225</v>
      </c>
      <c r="D381" s="12" t="str">
        <f ca="1">IFERROR(__xludf.DUMMYFUNCTION("""COMPUTED_VALUE"""),"MINIMES")</f>
        <v>MINIMES</v>
      </c>
      <c r="E381" s="14" t="str">
        <f ca="1">IFERROR(__xludf.DUMMYFUNCTION("""COMPUTED_VALUE"""),"COLLEGE")</f>
        <v>COLLEGE</v>
      </c>
      <c r="F381" s="1" t="str">
        <f ca="1">IFERROR(__xludf.DUMMYFUNCTION("""COMPUTED_VALUE"""),"ST PIERRE FOURIER")</f>
        <v>ST PIERRE FOURIER</v>
      </c>
      <c r="G381" s="12" t="str">
        <f ca="1">IFERROR(__xludf.DUMMYFUNCTION("""COMPUTED_VALUE"""),"GRAY")</f>
        <v>GRAY</v>
      </c>
      <c r="H381" s="12" t="str">
        <f t="shared" ca="1" si="1"/>
        <v>COLLEGE  ST PIERRE FOURIER  GRAY</v>
      </c>
      <c r="I381" s="6"/>
      <c r="J381" s="12" t="str">
        <f ca="1">IFERROR(__xludf.DUMMYFUNCTION("""COMPUTED_VALUE"""),"OK")</f>
        <v>OK</v>
      </c>
      <c r="K381" s="12" t="str">
        <f ca="1">IFERROR(__xludf.DUMMYFUNCTION("""COMPUTED_VALUE"""),"comi70@hotmail.fr")</f>
        <v>comi70@hotmail.fr</v>
      </c>
      <c r="L381" s="12" t="str">
        <f ca="1">IFERROR(__xludf.DUMMYFUNCTION("""COMPUTED_VALUE"""),"06 30 30 41 28")</f>
        <v>06 30 30 41 28</v>
      </c>
      <c r="M381" s="12" t="str">
        <f ca="1">IFERROR(__xludf.DUMMYFUNCTION("""COMPUTED_VALUE"""),"70180 AUTET")</f>
        <v>70180 AUTET</v>
      </c>
      <c r="N381" s="6"/>
      <c r="O381" s="6"/>
    </row>
    <row r="382" spans="1:15" ht="15.5" x14ac:dyDescent="0.35">
      <c r="A382" s="12" t="str">
        <f ca="1">IFERROR(__xludf.DUMMYFUNCTION("""COMPUTED_VALUE"""),"POIREY-ROY Roméo")</f>
        <v>POIREY-ROY Roméo</v>
      </c>
      <c r="B382" s="12" t="str">
        <f ca="1">IFERROR(__xludf.DUMMYFUNCTION("""COMPUTED_VALUE"""),"H")</f>
        <v>H</v>
      </c>
      <c r="C382" s="13">
        <f ca="1">IFERROR(__xludf.DUMMYFUNCTION("""COMPUTED_VALUE"""),40150)</f>
        <v>40150</v>
      </c>
      <c r="D382" s="12" t="str">
        <f ca="1">IFERROR(__xludf.DUMMYFUNCTION("""COMPUTED_VALUE"""),"MINIMES")</f>
        <v>MINIMES</v>
      </c>
      <c r="E382" s="14" t="str">
        <f ca="1">IFERROR(__xludf.DUMMYFUNCTION("""COMPUTED_VALUE"""),"COLLEGE")</f>
        <v>COLLEGE</v>
      </c>
      <c r="F382" s="1" t="str">
        <f ca="1">IFERROR(__xludf.DUMMYFUNCTION("""COMPUTED_VALUE"""),"ST PIERRE FOURIER")</f>
        <v>ST PIERRE FOURIER</v>
      </c>
      <c r="G382" s="12" t="str">
        <f ca="1">IFERROR(__xludf.DUMMYFUNCTION("""COMPUTED_VALUE"""),"GRAY")</f>
        <v>GRAY</v>
      </c>
      <c r="H382" s="12" t="str">
        <f t="shared" ca="1" si="1"/>
        <v>COLLEGE  ST PIERRE FOURIER  GRAY</v>
      </c>
      <c r="I382" s="6"/>
      <c r="J382" s="12" t="str">
        <f ca="1">IFERROR(__xludf.DUMMYFUNCTION("""COMPUTED_VALUE"""),"OK")</f>
        <v>OK</v>
      </c>
      <c r="K382" s="12" t="str">
        <f ca="1">IFERROR(__xludf.DUMMYFUNCTION("""COMPUTED_VALUE"""),"gpoirey@orange.fr")</f>
        <v>gpoirey@orange.fr</v>
      </c>
      <c r="L382" s="12" t="str">
        <f ca="1">IFERROR(__xludf.DUMMYFUNCTION("""COMPUTED_VALUE"""),"06 11 62 55 51")</f>
        <v>06 11 62 55 51</v>
      </c>
      <c r="M382" s="12" t="str">
        <f ca="1">IFERROR(__xludf.DUMMYFUNCTION("""COMPUTED_VALUE"""),"39700 OUR")</f>
        <v>39700 OUR</v>
      </c>
      <c r="N382" s="6"/>
      <c r="O382" s="6"/>
    </row>
    <row r="383" spans="1:15" ht="15.5" x14ac:dyDescent="0.35">
      <c r="A383" s="12" t="str">
        <f ca="1">IFERROR(__xludf.DUMMYFUNCTION("""COMPUTED_VALUE"""),"PRIEUR Wallas")</f>
        <v>PRIEUR Wallas</v>
      </c>
      <c r="B383" s="12" t="str">
        <f ca="1">IFERROR(__xludf.DUMMYFUNCTION("""COMPUTED_VALUE"""),"H")</f>
        <v>H</v>
      </c>
      <c r="C383" s="13">
        <f ca="1">IFERROR(__xludf.DUMMYFUNCTION("""COMPUTED_VALUE"""),40450)</f>
        <v>40450</v>
      </c>
      <c r="D383" s="12" t="str">
        <f ca="1">IFERROR(__xludf.DUMMYFUNCTION("""COMPUTED_VALUE"""),"MINIMES")</f>
        <v>MINIMES</v>
      </c>
      <c r="E383" s="14" t="str">
        <f ca="1">IFERROR(__xludf.DUMMYFUNCTION("""COMPUTED_VALUE"""),"COLLEGE")</f>
        <v>COLLEGE</v>
      </c>
      <c r="F383" s="1" t="str">
        <f ca="1">IFERROR(__xludf.DUMMYFUNCTION("""COMPUTED_VALUE"""),"ST PIERRE FOURIER")</f>
        <v>ST PIERRE FOURIER</v>
      </c>
      <c r="G383" s="12" t="str">
        <f ca="1">IFERROR(__xludf.DUMMYFUNCTION("""COMPUTED_VALUE"""),"GRAY")</f>
        <v>GRAY</v>
      </c>
      <c r="H383" s="12" t="str">
        <f t="shared" ca="1" si="1"/>
        <v>COLLEGE  ST PIERRE FOURIER  GRAY</v>
      </c>
      <c r="I383" s="6"/>
      <c r="J383" s="12" t="str">
        <f ca="1">IFERROR(__xludf.DUMMYFUNCTION("""COMPUTED_VALUE"""),"OK")</f>
        <v>OK</v>
      </c>
      <c r="K383" s="12"/>
      <c r="L383" s="12" t="str">
        <f ca="1">IFERROR(__xludf.DUMMYFUNCTION("""COMPUTED_VALUE"""),"06 45 40 19 73")</f>
        <v>06 45 40 19 73</v>
      </c>
      <c r="M383" s="12" t="str">
        <f ca="1">IFERROR(__xludf.DUMMYFUNCTION("""COMPUTED_VALUE"""),"70100 CHARGEY LES GRAY")</f>
        <v>70100 CHARGEY LES GRAY</v>
      </c>
      <c r="N383" s="6"/>
      <c r="O383" s="6"/>
    </row>
    <row r="384" spans="1:15" ht="15.5" x14ac:dyDescent="0.35">
      <c r="A384" s="12" t="str">
        <f ca="1">IFERROR(__xludf.DUMMYFUNCTION("""COMPUTED_VALUE"""),"TIMOTEO Mayline")</f>
        <v>TIMOTEO Mayline</v>
      </c>
      <c r="B384" s="12" t="str">
        <f ca="1">IFERROR(__xludf.DUMMYFUNCTION("""COMPUTED_VALUE"""),"F")</f>
        <v>F</v>
      </c>
      <c r="C384" s="13">
        <f ca="1">IFERROR(__xludf.DUMMYFUNCTION("""COMPUTED_VALUE"""),39821)</f>
        <v>39821</v>
      </c>
      <c r="D384" s="12" t="str">
        <f ca="1">IFERROR(__xludf.DUMMYFUNCTION("""COMPUTED_VALUE"""),"MINIMES")</f>
        <v>MINIMES</v>
      </c>
      <c r="E384" s="14" t="str">
        <f ca="1">IFERROR(__xludf.DUMMYFUNCTION("""COMPUTED_VALUE"""),"COLLEGE")</f>
        <v>COLLEGE</v>
      </c>
      <c r="F384" s="1" t="str">
        <f ca="1">IFERROR(__xludf.DUMMYFUNCTION("""COMPUTED_VALUE"""),"ST PIERRE FOURIER")</f>
        <v>ST PIERRE FOURIER</v>
      </c>
      <c r="G384" s="12" t="str">
        <f ca="1">IFERROR(__xludf.DUMMYFUNCTION("""COMPUTED_VALUE"""),"GRAY")</f>
        <v>GRAY</v>
      </c>
      <c r="H384" s="12" t="str">
        <f t="shared" ca="1" si="1"/>
        <v>COLLEGE  ST PIERRE FOURIER  GRAY</v>
      </c>
      <c r="I384" s="6"/>
      <c r="J384" s="12" t="str">
        <f ca="1">IFERROR(__xludf.DUMMYFUNCTION("""COMPUTED_VALUE"""),"OK")</f>
        <v>OK</v>
      </c>
      <c r="K384" s="12" t="str">
        <f ca="1">IFERROR(__xludf.DUMMYFUNCTION("""COMPUTED_VALUE"""),"mkmjn42@yahoo.com")</f>
        <v>mkmjn42@yahoo.com</v>
      </c>
      <c r="L384" s="12" t="str">
        <f ca="1">IFERROR(__xludf.DUMMYFUNCTION("""COMPUTED_VALUE"""),"07 69 70 11 32")</f>
        <v>07 69 70 11 32</v>
      </c>
      <c r="M384" s="12" t="str">
        <f ca="1">IFERROR(__xludf.DUMMYFUNCTION("""COMPUTED_VALUE"""),"70100 RIGNY")</f>
        <v>70100 RIGNY</v>
      </c>
      <c r="N384" s="6"/>
      <c r="O384" s="6"/>
    </row>
    <row r="385" spans="1:15" ht="15.5" x14ac:dyDescent="0.35">
      <c r="A385" s="12" t="str">
        <f ca="1">IFERROR(__xludf.DUMMYFUNCTION("""COMPUTED_VALUE"""),"YILDIZ Maëlys")</f>
        <v>YILDIZ Maëlys</v>
      </c>
      <c r="B385" s="12" t="str">
        <f ca="1">IFERROR(__xludf.DUMMYFUNCTION("""COMPUTED_VALUE"""),"F")</f>
        <v>F</v>
      </c>
      <c r="C385" s="13">
        <f ca="1">IFERROR(__xludf.DUMMYFUNCTION("""COMPUTED_VALUE"""),39922)</f>
        <v>39922</v>
      </c>
      <c r="D385" s="12" t="str">
        <f ca="1">IFERROR(__xludf.DUMMYFUNCTION("""COMPUTED_VALUE"""),"MINIMES")</f>
        <v>MINIMES</v>
      </c>
      <c r="E385" s="14" t="str">
        <f ca="1">IFERROR(__xludf.DUMMYFUNCTION("""COMPUTED_VALUE"""),"COLLEGE")</f>
        <v>COLLEGE</v>
      </c>
      <c r="F385" s="1" t="str">
        <f ca="1">IFERROR(__xludf.DUMMYFUNCTION("""COMPUTED_VALUE"""),"ST PIERRE FOURIER")</f>
        <v>ST PIERRE FOURIER</v>
      </c>
      <c r="G385" s="12" t="str">
        <f ca="1">IFERROR(__xludf.DUMMYFUNCTION("""COMPUTED_VALUE"""),"GRAY")</f>
        <v>GRAY</v>
      </c>
      <c r="H385" s="12" t="str">
        <f t="shared" ca="1" si="1"/>
        <v>COLLEGE  ST PIERRE FOURIER  GRAY</v>
      </c>
      <c r="I385" s="6"/>
      <c r="J385" s="12" t="str">
        <f ca="1">IFERROR(__xludf.DUMMYFUNCTION("""COMPUTED_VALUE"""),"OK")</f>
        <v>OK</v>
      </c>
      <c r="K385" s="12" t="str">
        <f ca="1">IFERROR(__xludf.DUMMYFUNCTION("""COMPUTED_VALUE"""),"adeline.petrignet@orange.fr")</f>
        <v>adeline.petrignet@orange.fr</v>
      </c>
      <c r="L385" s="12" t="str">
        <f ca="1">IFERROR(__xludf.DUMMYFUNCTION("""COMPUTED_VALUE"""),"06 76 79 09 33")</f>
        <v>06 76 79 09 33</v>
      </c>
      <c r="M385" s="12" t="str">
        <f ca="1">IFERROR(__xludf.DUMMYFUNCTION("""COMPUTED_VALUE"""),"70600 VARS")</f>
        <v>70600 VARS</v>
      </c>
      <c r="N385" s="6"/>
      <c r="O385" s="6"/>
    </row>
    <row r="386" spans="1:15" ht="15.5" x14ac:dyDescent="0.35">
      <c r="A386" s="12" t="str">
        <f ca="1">IFERROR(__xludf.DUMMYFUNCTION("""COMPUTED_VALUE"""),"LUGAN Sten")</f>
        <v>LUGAN Sten</v>
      </c>
      <c r="B386" s="12" t="str">
        <f ca="1">IFERROR(__xludf.DUMMYFUNCTION("""COMPUTED_VALUE"""),"H")</f>
        <v>H</v>
      </c>
      <c r="C386" s="13">
        <f ca="1">IFERROR(__xludf.DUMMYFUNCTION("""COMPUTED_VALUE"""),39852)</f>
        <v>39852</v>
      </c>
      <c r="D386" s="12" t="str">
        <f ca="1">IFERROR(__xludf.DUMMYFUNCTION("""COMPUTED_VALUE"""),"MINIMES")</f>
        <v>MINIMES</v>
      </c>
      <c r="E386" s="14" t="str">
        <f ca="1">IFERROR(__xludf.DUMMYFUNCTION("""COMPUTED_VALUE"""),"COLLEGE")</f>
        <v>COLLEGE</v>
      </c>
      <c r="F386" s="1" t="str">
        <f ca="1">IFERROR(__xludf.DUMMYFUNCTION("""COMPUTED_VALUE"""),"ST PIERRE FOURIER")</f>
        <v>ST PIERRE FOURIER</v>
      </c>
      <c r="G386" s="12" t="str">
        <f ca="1">IFERROR(__xludf.DUMMYFUNCTION("""COMPUTED_VALUE"""),"GRAY")</f>
        <v>GRAY</v>
      </c>
      <c r="H386" s="12" t="str">
        <f t="shared" ca="1" si="1"/>
        <v>COLLEGE  ST PIERRE FOURIER  GRAY</v>
      </c>
      <c r="I386" s="6"/>
      <c r="J386" s="12"/>
      <c r="K386" s="12"/>
      <c r="L386" s="12" t="str">
        <f ca="1">IFERROR(__xludf.DUMMYFUNCTION("""COMPUTED_VALUE"""),"06 79 62 17 36")</f>
        <v>06 79 62 17 36</v>
      </c>
      <c r="M386" s="12" t="str">
        <f ca="1">IFERROR(__xludf.DUMMYFUNCTION("""COMPUTED_VALUE"""),"25410 ROSET-FLUANS")</f>
        <v>25410 ROSET-FLUANS</v>
      </c>
      <c r="N386" s="6"/>
      <c r="O386" s="6"/>
    </row>
    <row r="387" spans="1:15" ht="15.5" x14ac:dyDescent="0.35">
      <c r="A387" s="12" t="str">
        <f ca="1">IFERROR(__xludf.DUMMYFUNCTION("""COMPUTED_VALUE"""),"PARE Leandro")</f>
        <v>PARE Leandro</v>
      </c>
      <c r="B387" s="12" t="str">
        <f ca="1">IFERROR(__xludf.DUMMYFUNCTION("""COMPUTED_VALUE"""),"H")</f>
        <v>H</v>
      </c>
      <c r="C387" s="13">
        <f ca="1">IFERROR(__xludf.DUMMYFUNCTION("""COMPUTED_VALUE"""),40519)</f>
        <v>40519</v>
      </c>
      <c r="D387" s="12" t="str">
        <f ca="1">IFERROR(__xludf.DUMMYFUNCTION("""COMPUTED_VALUE"""),"MINIMES")</f>
        <v>MINIMES</v>
      </c>
      <c r="E387" s="14" t="str">
        <f ca="1">IFERROR(__xludf.DUMMYFUNCTION("""COMPUTED_VALUE"""),"COLLEGE")</f>
        <v>COLLEGE</v>
      </c>
      <c r="F387" s="1" t="str">
        <f ca="1">IFERROR(__xludf.DUMMYFUNCTION("""COMPUTED_VALUE"""),"ST PIERRE FOURIER")</f>
        <v>ST PIERRE FOURIER</v>
      </c>
      <c r="G387" s="12" t="str">
        <f ca="1">IFERROR(__xludf.DUMMYFUNCTION("""COMPUTED_VALUE"""),"GRAY")</f>
        <v>GRAY</v>
      </c>
      <c r="H387" s="12" t="str">
        <f t="shared" ca="1" si="1"/>
        <v>COLLEGE  ST PIERRE FOURIER  GRAY</v>
      </c>
      <c r="I387" s="6"/>
      <c r="J387" s="12"/>
      <c r="K387" s="12"/>
      <c r="L387" s="12" t="str">
        <f ca="1">IFERROR(__xludf.DUMMYFUNCTION("""COMPUTED_VALUE"""),"06 15 89 75 07")</f>
        <v>06 15 89 75 07</v>
      </c>
      <c r="M387" s="12" t="str">
        <f ca="1">IFERROR(__xludf.DUMMYFUNCTION("""COMPUTED_VALUE"""),"70100 NANTILLY")</f>
        <v>70100 NANTILLY</v>
      </c>
      <c r="N387" s="6"/>
      <c r="O387" s="6"/>
    </row>
    <row r="388" spans="1:15" ht="15.5" x14ac:dyDescent="0.35">
      <c r="A388" s="12" t="str">
        <f ca="1">IFERROR(__xludf.DUMMYFUNCTION("""COMPUTED_VALUE"""),"PILARD Maya")</f>
        <v>PILARD Maya</v>
      </c>
      <c r="B388" s="12" t="str">
        <f ca="1">IFERROR(__xludf.DUMMYFUNCTION("""COMPUTED_VALUE"""),"F")</f>
        <v>F</v>
      </c>
      <c r="C388" s="13">
        <f ca="1">IFERROR(__xludf.DUMMYFUNCTION("""COMPUTED_VALUE"""),40108)</f>
        <v>40108</v>
      </c>
      <c r="D388" s="12" t="str">
        <f ca="1">IFERROR(__xludf.DUMMYFUNCTION("""COMPUTED_VALUE"""),"MINIMES")</f>
        <v>MINIMES</v>
      </c>
      <c r="E388" s="14" t="str">
        <f ca="1">IFERROR(__xludf.DUMMYFUNCTION("""COMPUTED_VALUE"""),"COLLEGE")</f>
        <v>COLLEGE</v>
      </c>
      <c r="F388" s="1" t="str">
        <f ca="1">IFERROR(__xludf.DUMMYFUNCTION("""COMPUTED_VALUE"""),"ST PIERRE FOURIER")</f>
        <v>ST PIERRE FOURIER</v>
      </c>
      <c r="G388" s="12" t="str">
        <f ca="1">IFERROR(__xludf.DUMMYFUNCTION("""COMPUTED_VALUE"""),"GRAY")</f>
        <v>GRAY</v>
      </c>
      <c r="H388" s="12" t="str">
        <f t="shared" ca="1" si="1"/>
        <v>COLLEGE  ST PIERRE FOURIER  GRAY</v>
      </c>
      <c r="I388" s="6"/>
      <c r="J388" s="12"/>
      <c r="K388" s="12"/>
      <c r="L388" s="12" t="str">
        <f ca="1">IFERROR(__xludf.DUMMYFUNCTION("""COMPUTED_VALUE"""),"06 99 73 93 68")</f>
        <v>06 99 73 93 68</v>
      </c>
      <c r="M388" s="12" t="str">
        <f ca="1">IFERROR(__xludf.DUMMYFUNCTION("""COMPUTED_VALUE"""),"21270 PERRIGNY SUR L'OGNON")</f>
        <v>21270 PERRIGNY SUR L'OGNON</v>
      </c>
      <c r="N388" s="6"/>
      <c r="O388" s="6"/>
    </row>
    <row r="389" spans="1:15" ht="15.5" x14ac:dyDescent="0.35">
      <c r="A389" s="12" t="str">
        <f ca="1">IFERROR(__xludf.DUMMYFUNCTION("""COMPUTED_VALUE"""),"PINTO ROCHA Antoine")</f>
        <v>PINTO ROCHA Antoine</v>
      </c>
      <c r="B389" s="12" t="str">
        <f ca="1">IFERROR(__xludf.DUMMYFUNCTION("""COMPUTED_VALUE"""),"H")</f>
        <v>H</v>
      </c>
      <c r="C389" s="13">
        <f ca="1">IFERROR(__xludf.DUMMYFUNCTION("""COMPUTED_VALUE"""),40184)</f>
        <v>40184</v>
      </c>
      <c r="D389" s="12" t="str">
        <f ca="1">IFERROR(__xludf.DUMMYFUNCTION("""COMPUTED_VALUE"""),"MINIMES")</f>
        <v>MINIMES</v>
      </c>
      <c r="E389" s="14" t="str">
        <f ca="1">IFERROR(__xludf.DUMMYFUNCTION("""COMPUTED_VALUE"""),"COLLEGE")</f>
        <v>COLLEGE</v>
      </c>
      <c r="F389" s="1" t="str">
        <f ca="1">IFERROR(__xludf.DUMMYFUNCTION("""COMPUTED_VALUE"""),"ST PIERRE FOURIER")</f>
        <v>ST PIERRE FOURIER</v>
      </c>
      <c r="G389" s="12" t="str">
        <f ca="1">IFERROR(__xludf.DUMMYFUNCTION("""COMPUTED_VALUE"""),"GRAY")</f>
        <v>GRAY</v>
      </c>
      <c r="H389" s="12" t="str">
        <f t="shared" ca="1" si="1"/>
        <v>COLLEGE  ST PIERRE FOURIER  GRAY</v>
      </c>
      <c r="I389" s="6"/>
      <c r="J389" s="12"/>
      <c r="K389" s="12"/>
      <c r="L389" s="12" t="str">
        <f ca="1">IFERROR(__xludf.DUMMYFUNCTION("""COMPUTED_VALUE"""),"06 33 23 46 81")</f>
        <v>06 33 23 46 81</v>
      </c>
      <c r="M389" s="12" t="str">
        <f ca="1">IFERROR(__xludf.DUMMYFUNCTION("""COMPUTED_VALUE"""),"70150 BRUSSEY")</f>
        <v>70150 BRUSSEY</v>
      </c>
      <c r="N389" s="6"/>
      <c r="O389" s="6"/>
    </row>
    <row r="390" spans="1:15" ht="15.5" x14ac:dyDescent="0.35">
      <c r="A390" s="12" t="str">
        <f ca="1">IFERROR(__xludf.DUMMYFUNCTION("""COMPUTED_VALUE"""),"PLANAVERGNE Evanna")</f>
        <v>PLANAVERGNE Evanna</v>
      </c>
      <c r="B390" s="12" t="str">
        <f ca="1">IFERROR(__xludf.DUMMYFUNCTION("""COMPUTED_VALUE"""),"F")</f>
        <v>F</v>
      </c>
      <c r="C390" s="13">
        <f ca="1">IFERROR(__xludf.DUMMYFUNCTION("""COMPUTED_VALUE"""),40225)</f>
        <v>40225</v>
      </c>
      <c r="D390" s="12" t="str">
        <f ca="1">IFERROR(__xludf.DUMMYFUNCTION("""COMPUTED_VALUE"""),"MINIMES")</f>
        <v>MINIMES</v>
      </c>
      <c r="E390" s="14" t="str">
        <f ca="1">IFERROR(__xludf.DUMMYFUNCTION("""COMPUTED_VALUE"""),"COLLEGE")</f>
        <v>COLLEGE</v>
      </c>
      <c r="F390" s="1" t="str">
        <f ca="1">IFERROR(__xludf.DUMMYFUNCTION("""COMPUTED_VALUE"""),"ST PIERRE FOURIER")</f>
        <v>ST PIERRE FOURIER</v>
      </c>
      <c r="G390" s="12" t="str">
        <f ca="1">IFERROR(__xludf.DUMMYFUNCTION("""COMPUTED_VALUE"""),"GRAY")</f>
        <v>GRAY</v>
      </c>
      <c r="H390" s="12" t="str">
        <f t="shared" ca="1" si="1"/>
        <v>COLLEGE  ST PIERRE FOURIER  GRAY</v>
      </c>
      <c r="I390" s="6"/>
      <c r="J390" s="12"/>
      <c r="K390" s="12"/>
      <c r="L390" s="12" t="str">
        <f ca="1">IFERROR(__xludf.DUMMYFUNCTION("""COMPUTED_VALUE"""),"06 30 30 41 28")</f>
        <v>06 30 30 41 28</v>
      </c>
      <c r="M390" s="12" t="str">
        <f ca="1">IFERROR(__xludf.DUMMYFUNCTION("""COMPUTED_VALUE"""),"70180 AUTET")</f>
        <v>70180 AUTET</v>
      </c>
      <c r="N390" s="6"/>
      <c r="O390" s="6"/>
    </row>
    <row r="391" spans="1:15" ht="15.5" x14ac:dyDescent="0.35">
      <c r="A391" s="12" t="str">
        <f ca="1">IFERROR(__xludf.DUMMYFUNCTION("""COMPUTED_VALUE"""),"POIREY-ROY Roméo")</f>
        <v>POIREY-ROY Roméo</v>
      </c>
      <c r="B391" s="12" t="str">
        <f ca="1">IFERROR(__xludf.DUMMYFUNCTION("""COMPUTED_VALUE"""),"H")</f>
        <v>H</v>
      </c>
      <c r="C391" s="13">
        <f ca="1">IFERROR(__xludf.DUMMYFUNCTION("""COMPUTED_VALUE"""),40150)</f>
        <v>40150</v>
      </c>
      <c r="D391" s="12" t="str">
        <f ca="1">IFERROR(__xludf.DUMMYFUNCTION("""COMPUTED_VALUE"""),"MINIMES")</f>
        <v>MINIMES</v>
      </c>
      <c r="E391" s="14" t="str">
        <f ca="1">IFERROR(__xludf.DUMMYFUNCTION("""COMPUTED_VALUE"""),"COLLEGE")</f>
        <v>COLLEGE</v>
      </c>
      <c r="F391" s="1" t="str">
        <f ca="1">IFERROR(__xludf.DUMMYFUNCTION("""COMPUTED_VALUE"""),"ST PIERRE FOURIER")</f>
        <v>ST PIERRE FOURIER</v>
      </c>
      <c r="G391" s="12" t="str">
        <f ca="1">IFERROR(__xludf.DUMMYFUNCTION("""COMPUTED_VALUE"""),"GRAY")</f>
        <v>GRAY</v>
      </c>
      <c r="H391" s="12" t="str">
        <f t="shared" ca="1" si="1"/>
        <v>COLLEGE  ST PIERRE FOURIER  GRAY</v>
      </c>
      <c r="I391" s="6"/>
      <c r="J391" s="12"/>
      <c r="K391" s="12"/>
      <c r="L391" s="12" t="str">
        <f ca="1">IFERROR(__xludf.DUMMYFUNCTION("""COMPUTED_VALUE"""),"06 11 62 55 51")</f>
        <v>06 11 62 55 51</v>
      </c>
      <c r="M391" s="12" t="str">
        <f ca="1">IFERROR(__xludf.DUMMYFUNCTION("""COMPUTED_VALUE"""),"39700 OUR")</f>
        <v>39700 OUR</v>
      </c>
      <c r="N391" s="6"/>
      <c r="O391" s="6"/>
    </row>
    <row r="392" spans="1:15" ht="15.5" x14ac:dyDescent="0.35">
      <c r="A392" s="12" t="str">
        <f ca="1">IFERROR(__xludf.DUMMYFUNCTION("""COMPUTED_VALUE"""),"PRIEUR Wallas")</f>
        <v>PRIEUR Wallas</v>
      </c>
      <c r="B392" s="12" t="str">
        <f ca="1">IFERROR(__xludf.DUMMYFUNCTION("""COMPUTED_VALUE"""),"H")</f>
        <v>H</v>
      </c>
      <c r="C392" s="13">
        <f ca="1">IFERROR(__xludf.DUMMYFUNCTION("""COMPUTED_VALUE"""),40450)</f>
        <v>40450</v>
      </c>
      <c r="D392" s="12" t="str">
        <f ca="1">IFERROR(__xludf.DUMMYFUNCTION("""COMPUTED_VALUE"""),"MINIMES")</f>
        <v>MINIMES</v>
      </c>
      <c r="E392" s="14" t="str">
        <f ca="1">IFERROR(__xludf.DUMMYFUNCTION("""COMPUTED_VALUE"""),"COLLEGE")</f>
        <v>COLLEGE</v>
      </c>
      <c r="F392" s="1" t="str">
        <f ca="1">IFERROR(__xludf.DUMMYFUNCTION("""COMPUTED_VALUE"""),"ST PIERRE FOURIER")</f>
        <v>ST PIERRE FOURIER</v>
      </c>
      <c r="G392" s="12" t="str">
        <f ca="1">IFERROR(__xludf.DUMMYFUNCTION("""COMPUTED_VALUE"""),"GRAY")</f>
        <v>GRAY</v>
      </c>
      <c r="H392" s="12" t="str">
        <f t="shared" ca="1" si="1"/>
        <v>COLLEGE  ST PIERRE FOURIER  GRAY</v>
      </c>
      <c r="I392" s="6"/>
      <c r="J392" s="12"/>
      <c r="K392" s="12"/>
      <c r="L392" s="12" t="str">
        <f ca="1">IFERROR(__xludf.DUMMYFUNCTION("""COMPUTED_VALUE"""),"06 45 40 19 73")</f>
        <v>06 45 40 19 73</v>
      </c>
      <c r="M392" s="12" t="str">
        <f ca="1">IFERROR(__xludf.DUMMYFUNCTION("""COMPUTED_VALUE"""),"70100 CHARGEY LES GRAY")</f>
        <v>70100 CHARGEY LES GRAY</v>
      </c>
      <c r="N392" s="6"/>
      <c r="O392" s="6"/>
    </row>
    <row r="393" spans="1:15" ht="15.5" x14ac:dyDescent="0.35">
      <c r="A393" s="12" t="str">
        <f ca="1">IFERROR(__xludf.DUMMYFUNCTION("""COMPUTED_VALUE"""),"TIMOTEO Mayline")</f>
        <v>TIMOTEO Mayline</v>
      </c>
      <c r="B393" s="12" t="str">
        <f ca="1">IFERROR(__xludf.DUMMYFUNCTION("""COMPUTED_VALUE"""),"F")</f>
        <v>F</v>
      </c>
      <c r="C393" s="13">
        <f ca="1">IFERROR(__xludf.DUMMYFUNCTION("""COMPUTED_VALUE"""),39821)</f>
        <v>39821</v>
      </c>
      <c r="D393" s="12" t="str">
        <f ca="1">IFERROR(__xludf.DUMMYFUNCTION("""COMPUTED_VALUE"""),"MINIMES")</f>
        <v>MINIMES</v>
      </c>
      <c r="E393" s="14" t="str">
        <f ca="1">IFERROR(__xludf.DUMMYFUNCTION("""COMPUTED_VALUE"""),"COLLEGE")</f>
        <v>COLLEGE</v>
      </c>
      <c r="F393" s="1" t="str">
        <f ca="1">IFERROR(__xludf.DUMMYFUNCTION("""COMPUTED_VALUE"""),"ST PIERRE FOURIER")</f>
        <v>ST PIERRE FOURIER</v>
      </c>
      <c r="G393" s="12" t="str">
        <f ca="1">IFERROR(__xludf.DUMMYFUNCTION("""COMPUTED_VALUE"""),"GRAY")</f>
        <v>GRAY</v>
      </c>
      <c r="H393" s="12" t="str">
        <f t="shared" ca="1" si="1"/>
        <v>COLLEGE  ST PIERRE FOURIER  GRAY</v>
      </c>
      <c r="I393" s="6"/>
      <c r="J393" s="12"/>
      <c r="K393" s="12"/>
      <c r="L393" s="12" t="str">
        <f ca="1">IFERROR(__xludf.DUMMYFUNCTION("""COMPUTED_VALUE"""),"07 69 70 11 32")</f>
        <v>07 69 70 11 32</v>
      </c>
      <c r="M393" s="12" t="str">
        <f ca="1">IFERROR(__xludf.DUMMYFUNCTION("""COMPUTED_VALUE"""),"70100 RIGNY")</f>
        <v>70100 RIGNY</v>
      </c>
      <c r="N393" s="6"/>
      <c r="O393" s="6"/>
    </row>
    <row r="394" spans="1:15" ht="15.5" x14ac:dyDescent="0.35">
      <c r="A394" s="12" t="str">
        <f ca="1">IFERROR(__xludf.DUMMYFUNCTION("""COMPUTED_VALUE"""),"YILDIZ Maëlys")</f>
        <v>YILDIZ Maëlys</v>
      </c>
      <c r="B394" s="12" t="str">
        <f ca="1">IFERROR(__xludf.DUMMYFUNCTION("""COMPUTED_VALUE"""),"F")</f>
        <v>F</v>
      </c>
      <c r="C394" s="13">
        <f ca="1">IFERROR(__xludf.DUMMYFUNCTION("""COMPUTED_VALUE"""),39922)</f>
        <v>39922</v>
      </c>
      <c r="D394" s="12" t="str">
        <f ca="1">IFERROR(__xludf.DUMMYFUNCTION("""COMPUTED_VALUE"""),"MINIMES")</f>
        <v>MINIMES</v>
      </c>
      <c r="E394" s="14" t="str">
        <f ca="1">IFERROR(__xludf.DUMMYFUNCTION("""COMPUTED_VALUE"""),"COLLEGE")</f>
        <v>COLLEGE</v>
      </c>
      <c r="F394" s="1" t="str">
        <f ca="1">IFERROR(__xludf.DUMMYFUNCTION("""COMPUTED_VALUE"""),"ST PIERRE FOURIER")</f>
        <v>ST PIERRE FOURIER</v>
      </c>
      <c r="G394" s="12" t="str">
        <f ca="1">IFERROR(__xludf.DUMMYFUNCTION("""COMPUTED_VALUE"""),"GRAY")</f>
        <v>GRAY</v>
      </c>
      <c r="H394" s="12" t="str">
        <f t="shared" ca="1" si="1"/>
        <v>COLLEGE  ST PIERRE FOURIER  GRAY</v>
      </c>
      <c r="I394" s="6"/>
      <c r="J394" s="12"/>
      <c r="K394" s="12"/>
      <c r="L394" s="12" t="str">
        <f ca="1">IFERROR(__xludf.DUMMYFUNCTION("""COMPUTED_VALUE"""),"06 76 79 09 33")</f>
        <v>06 76 79 09 33</v>
      </c>
      <c r="M394" s="12" t="str">
        <f ca="1">IFERROR(__xludf.DUMMYFUNCTION("""COMPUTED_VALUE"""),"70600 VARS")</f>
        <v>70600 VARS</v>
      </c>
      <c r="N394" s="6"/>
      <c r="O394" s="6"/>
    </row>
    <row r="395" spans="1:15" ht="15.5" x14ac:dyDescent="0.35">
      <c r="A395" s="12" t="str">
        <f ca="1">IFERROR(__xludf.DUMMYFUNCTION("""COMPUTED_VALUE"""),"ANDRE Lukas")</f>
        <v>ANDRE Lukas</v>
      </c>
      <c r="B395" s="12" t="str">
        <f ca="1">IFERROR(__xludf.DUMMYFUNCTION("""COMPUTED_VALUE"""),"H")</f>
        <v>H</v>
      </c>
      <c r="C395" s="13">
        <f ca="1">IFERROR(__xludf.DUMMYFUNCTION("""COMPUTED_VALUE"""),41655)</f>
        <v>41655</v>
      </c>
      <c r="D395" s="12" t="str">
        <f ca="1">IFERROR(__xludf.DUMMYFUNCTION("""COMPUTED_VALUE"""),"POUSSINS")</f>
        <v>POUSSINS</v>
      </c>
      <c r="E395" s="14" t="str">
        <f ca="1">IFERROR(__xludf.DUMMYFUNCTION("""COMPUTED_VALUE"""),"ECOLE
")</f>
        <v xml:space="preserve">ECOLE
</v>
      </c>
      <c r="F395" s="1" t="str">
        <f ca="1">IFERROR(__xludf.DUMMYFUNCTION("""COMPUTED_VALUE"""),"VALAY")</f>
        <v>VALAY</v>
      </c>
      <c r="G395" s="12" t="str">
        <f ca="1">IFERROR(__xludf.DUMMYFUNCTION("""COMPUTED_VALUE"""),"VALAY")</f>
        <v>VALAY</v>
      </c>
      <c r="H395" s="12" t="str">
        <f t="shared" ca="1" si="1"/>
        <v>ECOLE
  VALAY  VALAY</v>
      </c>
      <c r="I395" s="6"/>
      <c r="J395" s="12" t="str">
        <f ca="1">IFERROR(__xludf.DUMMYFUNCTION("""COMPUTED_VALUE"""),"OK")</f>
        <v>OK</v>
      </c>
      <c r="K395" s="12" t="str">
        <f ca="1">IFERROR(__xludf.DUMMYFUNCTION("""COMPUTED_VALUE"""),"beatrice.theveno23@gmail.com")</f>
        <v>beatrice.theveno23@gmail.com</v>
      </c>
      <c r="L395" s="12" t="str">
        <f ca="1">IFERROR(__xludf.DUMMYFUNCTION("""COMPUTED_VALUE"""),"06 82 70 18 22")</f>
        <v>06 82 70 18 22</v>
      </c>
      <c r="M395" s="12" t="str">
        <f ca="1">IFERROR(__xludf.DUMMYFUNCTION("""COMPUTED_VALUE"""),"70140 VALAY")</f>
        <v>70140 VALAY</v>
      </c>
      <c r="N395" s="6"/>
      <c r="O395" s="6"/>
    </row>
    <row r="396" spans="1:15" ht="15.5" x14ac:dyDescent="0.35">
      <c r="A396" s="12" t="str">
        <f ca="1">IFERROR(__xludf.DUMMYFUNCTION("""COMPUTED_VALUE"""),"MENETREY Lilio")</f>
        <v>MENETREY Lilio</v>
      </c>
      <c r="B396" s="12" t="str">
        <f ca="1">IFERROR(__xludf.DUMMYFUNCTION("""COMPUTED_VALUE"""),"H")</f>
        <v>H</v>
      </c>
      <c r="C396" s="13">
        <f ca="1">IFERROR(__xludf.DUMMYFUNCTION("""COMPUTED_VALUE"""),41695)</f>
        <v>41695</v>
      </c>
      <c r="D396" s="12" t="str">
        <f ca="1">IFERROR(__xludf.DUMMYFUNCTION("""COMPUTED_VALUE"""),"POUSSINS")</f>
        <v>POUSSINS</v>
      </c>
      <c r="E396" s="14" t="str">
        <f ca="1">IFERROR(__xludf.DUMMYFUNCTION("""COMPUTED_VALUE"""),"ECOLE
")</f>
        <v xml:space="preserve">ECOLE
</v>
      </c>
      <c r="F396" s="1" t="str">
        <f ca="1">IFERROR(__xludf.DUMMYFUNCTION("""COMPUTED_VALUE"""),"VALAY")</f>
        <v>VALAY</v>
      </c>
      <c r="G396" s="12" t="str">
        <f ca="1">IFERROR(__xludf.DUMMYFUNCTION("""COMPUTED_VALUE"""),"VALAY")</f>
        <v>VALAY</v>
      </c>
      <c r="H396" s="12" t="str">
        <f t="shared" ca="1" si="1"/>
        <v>ECOLE
  VALAY  VALAY</v>
      </c>
      <c r="I396" s="6"/>
      <c r="J396" s="12" t="str">
        <f ca="1">IFERROR(__xludf.DUMMYFUNCTION("""COMPUTED_VALUE"""),"OK")</f>
        <v>OK</v>
      </c>
      <c r="K396" s="12" t="str">
        <f ca="1">IFERROR(__xludf.DUMMYFUNCTION("""COMPUTED_VALUE"""),"sebastien70menetrey@gmail.com")</f>
        <v>sebastien70menetrey@gmail.com</v>
      </c>
      <c r="L396" s="12" t="str">
        <f ca="1">IFERROR(__xludf.DUMMYFUNCTION("""COMPUTED_VALUE"""),"06 33 94 12 30")</f>
        <v>06 33 94 12 30</v>
      </c>
      <c r="M396" s="12" t="str">
        <f ca="1">IFERROR(__xludf.DUMMYFUNCTION("""COMPUTED_VALUE"""),"70140 LA RESIE SAINT MARTIN")</f>
        <v>70140 LA RESIE SAINT MARTIN</v>
      </c>
      <c r="N396" s="6"/>
      <c r="O396" s="6"/>
    </row>
    <row r="397" spans="1:15" ht="15.5" x14ac:dyDescent="0.35">
      <c r="A397" s="12" t="str">
        <f ca="1">IFERROR(__xludf.DUMMYFUNCTION("""COMPUTED_VALUE"""),"ANDRE Lukas")</f>
        <v>ANDRE Lukas</v>
      </c>
      <c r="B397" s="12" t="str">
        <f ca="1">IFERROR(__xludf.DUMMYFUNCTION("""COMPUTED_VALUE"""),"H")</f>
        <v>H</v>
      </c>
      <c r="C397" s="13">
        <f ca="1">IFERROR(__xludf.DUMMYFUNCTION("""COMPUTED_VALUE"""),41655)</f>
        <v>41655</v>
      </c>
      <c r="D397" s="12" t="str">
        <f ca="1">IFERROR(__xludf.DUMMYFUNCTION("""COMPUTED_VALUE"""),"POUSSINS")</f>
        <v>POUSSINS</v>
      </c>
      <c r="E397" s="14" t="str">
        <f ca="1">IFERROR(__xludf.DUMMYFUNCTION("""COMPUTED_VALUE"""),"COLLEGE")</f>
        <v>COLLEGE</v>
      </c>
      <c r="F397" s="1" t="str">
        <f ca="1">IFERROR(__xludf.DUMMYFUNCTION("""COMPUTED_VALUE"""),"VALAY")</f>
        <v>VALAY</v>
      </c>
      <c r="G397" s="12" t="str">
        <f ca="1">IFERROR(__xludf.DUMMYFUNCTION("""COMPUTED_VALUE"""),"VALAY")</f>
        <v>VALAY</v>
      </c>
      <c r="H397" s="12" t="str">
        <f t="shared" ca="1" si="1"/>
        <v>COLLEGE  VALAY  VALAY</v>
      </c>
      <c r="I397" s="6"/>
      <c r="J397" s="12"/>
      <c r="K397" s="12"/>
      <c r="L397" s="12" t="str">
        <f ca="1">IFERROR(__xludf.DUMMYFUNCTION("""COMPUTED_VALUE"""),"06 82 70 18 22")</f>
        <v>06 82 70 18 22</v>
      </c>
      <c r="M397" s="12" t="str">
        <f ca="1">IFERROR(__xludf.DUMMYFUNCTION("""COMPUTED_VALUE"""),"70140 VALAY")</f>
        <v>70140 VALAY</v>
      </c>
      <c r="N397" s="6"/>
      <c r="O397" s="6"/>
    </row>
    <row r="398" spans="1:15" ht="15.5" x14ac:dyDescent="0.35">
      <c r="A398" s="12" t="str">
        <f ca="1">IFERROR(__xludf.DUMMYFUNCTION("""COMPUTED_VALUE"""),"MENETREY Lilio")</f>
        <v>MENETREY Lilio</v>
      </c>
      <c r="B398" s="12" t="str">
        <f ca="1">IFERROR(__xludf.DUMMYFUNCTION("""COMPUTED_VALUE"""),"H")</f>
        <v>H</v>
      </c>
      <c r="C398" s="13">
        <f ca="1">IFERROR(__xludf.DUMMYFUNCTION("""COMPUTED_VALUE"""),41695)</f>
        <v>41695</v>
      </c>
      <c r="D398" s="12" t="str">
        <f ca="1">IFERROR(__xludf.DUMMYFUNCTION("""COMPUTED_VALUE"""),"POUSSINS")</f>
        <v>POUSSINS</v>
      </c>
      <c r="E398" s="14" t="str">
        <f ca="1">IFERROR(__xludf.DUMMYFUNCTION("""COMPUTED_VALUE"""),"ECOLE
")</f>
        <v xml:space="preserve">ECOLE
</v>
      </c>
      <c r="F398" s="1" t="str">
        <f ca="1">IFERROR(__xludf.DUMMYFUNCTION("""COMPUTED_VALUE"""),"VALAY")</f>
        <v>VALAY</v>
      </c>
      <c r="G398" s="12" t="str">
        <f ca="1">IFERROR(__xludf.DUMMYFUNCTION("""COMPUTED_VALUE"""),"VALAY")</f>
        <v>VALAY</v>
      </c>
      <c r="H398" s="12" t="str">
        <f t="shared" ca="1" si="1"/>
        <v>ECOLE
  VALAY  VALAY</v>
      </c>
      <c r="I398" s="6"/>
      <c r="J398" s="12"/>
      <c r="K398" s="12"/>
      <c r="L398" s="12" t="str">
        <f ca="1">IFERROR(__xludf.DUMMYFUNCTION("""COMPUTED_VALUE"""),"06 33 94 12 30")</f>
        <v>06 33 94 12 30</v>
      </c>
      <c r="M398" s="12" t="str">
        <f ca="1">IFERROR(__xludf.DUMMYFUNCTION("""COMPUTED_VALUE"""),"70140 LA RESIE SAINT MARTIN")</f>
        <v>70140 LA RESIE SAINT MARTIN</v>
      </c>
      <c r="N398" s="6"/>
      <c r="O398" s="6"/>
    </row>
    <row r="399" spans="1:15" ht="15.5" x14ac:dyDescent="0.35">
      <c r="A399" s="12" t="str">
        <f ca="1">IFERROR(__xludf.DUMMYFUNCTION("""COMPUTED_VALUE"""),"METTEY Jules")</f>
        <v>METTEY Jules</v>
      </c>
      <c r="B399" s="12" t="str">
        <f ca="1">IFERROR(__xludf.DUMMYFUNCTION("""COMPUTED_VALUE"""),"H")</f>
        <v>H</v>
      </c>
      <c r="C399" s="13">
        <f ca="1">IFERROR(__xludf.DUMMYFUNCTION("""COMPUTED_VALUE"""),42644)</f>
        <v>42644</v>
      </c>
      <c r="D399" s="12" t="str">
        <f ca="1">IFERROR(__xludf.DUMMYFUNCTION("""COMPUTED_VALUE"""),"EVEIL ATHLE")</f>
        <v>EVEIL ATHLE</v>
      </c>
      <c r="E399" s="14" t="str">
        <f ca="1">IFERROR(__xludf.DUMMYFUNCTION("""COMPUTED_VALUE"""),"ECOLE
")</f>
        <v xml:space="preserve">ECOLE
</v>
      </c>
      <c r="F399" s="1" t="str">
        <f ca="1">IFERROR(__xludf.DUMMYFUNCTION("""COMPUTED_VALUE"""),"LES MYOSOTIS")</f>
        <v>LES MYOSOTIS</v>
      </c>
      <c r="G399" s="12" t="str">
        <f ca="1">IFERROR(__xludf.DUMMYFUNCTION("""COMPUTED_VALUE"""),"VAUJEAUCOURT")</f>
        <v>VAUJEAUCOURT</v>
      </c>
      <c r="H399" s="12" t="str">
        <f t="shared" ca="1" si="1"/>
        <v>ECOLE
  LES MYOSOTIS  VAUJEAUCOURT</v>
      </c>
      <c r="I399" s="6"/>
      <c r="J399" s="12" t="str">
        <f ca="1">IFERROR(__xludf.DUMMYFUNCTION("""COMPUTED_VALUE"""),"OK")</f>
        <v>OK</v>
      </c>
      <c r="K399" s="12" t="str">
        <f ca="1">IFERROR(__xludf.DUMMYFUNCTION("""COMPUTED_VALUE"""),"j.pillot@hotmail.fr")</f>
        <v>j.pillot@hotmail.fr</v>
      </c>
      <c r="L399" s="12" t="str">
        <f ca="1">IFERROR(__xludf.DUMMYFUNCTION("""COMPUTED_VALUE"""),"06 37 75 57 96")</f>
        <v>06 37 75 57 96</v>
      </c>
      <c r="M399" s="12" t="str">
        <f ca="1">IFERROR(__xludf.DUMMYFUNCTION("""COMPUTED_VALUE"""),"25420 VOUJEAUCOURT")</f>
        <v>25420 VOUJEAUCOURT</v>
      </c>
      <c r="N399" s="6"/>
      <c r="O399" s="6"/>
    </row>
    <row r="400" spans="1:15" ht="15.5" x14ac:dyDescent="0.35">
      <c r="A400" s="12" t="str">
        <f ca="1">IFERROR(__xludf.DUMMYFUNCTION("""COMPUTED_VALUE"""),"METTEY Jules")</f>
        <v>METTEY Jules</v>
      </c>
      <c r="B400" s="12" t="str">
        <f ca="1">IFERROR(__xludf.DUMMYFUNCTION("""COMPUTED_VALUE"""),"H")</f>
        <v>H</v>
      </c>
      <c r="C400" s="13">
        <f ca="1">IFERROR(__xludf.DUMMYFUNCTION("""COMPUTED_VALUE"""),42644)</f>
        <v>42644</v>
      </c>
      <c r="D400" s="12" t="str">
        <f ca="1">IFERROR(__xludf.DUMMYFUNCTION("""COMPUTED_VALUE"""),"EVEIL ATHLE")</f>
        <v>EVEIL ATHLE</v>
      </c>
      <c r="E400" s="14" t="str">
        <f ca="1">IFERROR(__xludf.DUMMYFUNCTION("""COMPUTED_VALUE"""),"ECOLE
")</f>
        <v xml:space="preserve">ECOLE
</v>
      </c>
      <c r="F400" s="1" t="str">
        <f ca="1">IFERROR(__xludf.DUMMYFUNCTION("""COMPUTED_VALUE"""),"LES MYOSOTIS")</f>
        <v>LES MYOSOTIS</v>
      </c>
      <c r="G400" s="12" t="str">
        <f ca="1">IFERROR(__xludf.DUMMYFUNCTION("""COMPUTED_VALUE"""),"VAUJEAUCOURT")</f>
        <v>VAUJEAUCOURT</v>
      </c>
      <c r="H400" s="12" t="str">
        <f t="shared" ca="1" si="1"/>
        <v>ECOLE
  LES MYOSOTIS  VAUJEAUCOURT</v>
      </c>
      <c r="I400" s="6"/>
      <c r="J400" s="12"/>
      <c r="K400" s="12"/>
      <c r="L400" s="12" t="str">
        <f ca="1">IFERROR(__xludf.DUMMYFUNCTION("""COMPUTED_VALUE"""),"06 37 75 57 96")</f>
        <v>06 37 75 57 96</v>
      </c>
      <c r="M400" s="12" t="str">
        <f ca="1">IFERROR(__xludf.DUMMYFUNCTION("""COMPUTED_VALUE"""),"25420 VOUJEAUCOURT")</f>
        <v>25420 VOUJEAUCOURT</v>
      </c>
      <c r="N400" s="6"/>
      <c r="O400" s="6"/>
    </row>
    <row r="401" spans="1:15" ht="15.5" x14ac:dyDescent="0.35">
      <c r="A401" s="12"/>
      <c r="B401" s="12"/>
      <c r="C401" s="13"/>
      <c r="D401" s="12"/>
      <c r="E401" s="14"/>
      <c r="F401" s="1"/>
      <c r="G401" s="12"/>
      <c r="H401" s="12" t="str">
        <f t="shared" si="1"/>
        <v xml:space="preserve">    </v>
      </c>
      <c r="I401" s="6"/>
      <c r="J401" s="12"/>
      <c r="K401" s="12"/>
      <c r="L401" s="12"/>
      <c r="M401" s="12"/>
      <c r="N401" s="6"/>
      <c r="O401" s="6"/>
    </row>
    <row r="402" spans="1:15" ht="15.5" x14ac:dyDescent="0.35">
      <c r="A402" s="12"/>
      <c r="B402" s="12"/>
      <c r="C402" s="13"/>
      <c r="D402" s="12"/>
      <c r="E402" s="14"/>
      <c r="F402" s="1"/>
      <c r="G402" s="12"/>
      <c r="H402" s="12" t="str">
        <f t="shared" si="1"/>
        <v xml:space="preserve">    </v>
      </c>
      <c r="I402" s="6"/>
      <c r="J402" s="12"/>
      <c r="K402" s="12"/>
      <c r="L402" s="12"/>
      <c r="M402" s="12"/>
      <c r="N402" s="6"/>
      <c r="O402" s="6"/>
    </row>
    <row r="403" spans="1:15" ht="15.5" x14ac:dyDescent="0.35">
      <c r="A403" s="12"/>
      <c r="B403" s="12"/>
      <c r="C403" s="13"/>
      <c r="D403" s="12"/>
      <c r="E403" s="14"/>
      <c r="F403" s="1"/>
      <c r="G403" s="12"/>
      <c r="H403" s="12" t="str">
        <f t="shared" si="1"/>
        <v xml:space="preserve">    </v>
      </c>
      <c r="I403" s="6"/>
      <c r="J403" s="12"/>
      <c r="K403" s="12"/>
      <c r="L403" s="12"/>
      <c r="M403" s="12"/>
      <c r="N403" s="6"/>
      <c r="O403" s="6"/>
    </row>
    <row r="404" spans="1:15" ht="15.5" x14ac:dyDescent="0.35">
      <c r="A404" s="12"/>
      <c r="B404" s="12"/>
      <c r="C404" s="13"/>
      <c r="D404" s="12"/>
      <c r="E404" s="14"/>
      <c r="F404" s="1"/>
      <c r="G404" s="12"/>
      <c r="H404" s="12" t="str">
        <f t="shared" si="1"/>
        <v xml:space="preserve">    </v>
      </c>
      <c r="I404" s="6"/>
      <c r="J404" s="12"/>
      <c r="K404" s="12"/>
      <c r="L404" s="12"/>
      <c r="M404" s="12"/>
      <c r="N404" s="6"/>
      <c r="O404" s="6"/>
    </row>
    <row r="405" spans="1:15" ht="15.5" x14ac:dyDescent="0.35">
      <c r="A405" s="12"/>
      <c r="B405" s="12"/>
      <c r="C405" s="13"/>
      <c r="D405" s="12"/>
      <c r="E405" s="14"/>
      <c r="F405" s="1"/>
      <c r="G405" s="12"/>
      <c r="H405" s="12" t="str">
        <f t="shared" si="1"/>
        <v xml:space="preserve">    </v>
      </c>
      <c r="I405" s="6"/>
      <c r="J405" s="12"/>
      <c r="K405" s="12"/>
      <c r="L405" s="12"/>
      <c r="M405" s="12"/>
      <c r="N405" s="6"/>
      <c r="O405" s="6"/>
    </row>
    <row r="406" spans="1:15" ht="15.5" x14ac:dyDescent="0.35">
      <c r="A406" s="12"/>
      <c r="B406" s="12"/>
      <c r="C406" s="13"/>
      <c r="D406" s="12"/>
      <c r="E406" s="14"/>
      <c r="F406" s="1"/>
      <c r="G406" s="12"/>
      <c r="H406" s="12" t="str">
        <f t="shared" si="1"/>
        <v xml:space="preserve">    </v>
      </c>
      <c r="I406" s="6"/>
      <c r="J406" s="12"/>
      <c r="K406" s="12"/>
      <c r="L406" s="12"/>
      <c r="M406" s="12"/>
      <c r="N406" s="6"/>
      <c r="O406" s="6"/>
    </row>
    <row r="407" spans="1:15" ht="15.5" x14ac:dyDescent="0.35">
      <c r="A407" s="12"/>
      <c r="B407" s="12"/>
      <c r="C407" s="13"/>
      <c r="D407" s="12"/>
      <c r="E407" s="14"/>
      <c r="F407" s="1"/>
      <c r="G407" s="12"/>
      <c r="H407" s="12" t="str">
        <f t="shared" si="1"/>
        <v xml:space="preserve">    </v>
      </c>
      <c r="I407" s="6"/>
      <c r="J407" s="12"/>
      <c r="K407" s="12"/>
      <c r="L407" s="12"/>
      <c r="M407" s="12"/>
      <c r="N407" s="6"/>
      <c r="O407" s="6"/>
    </row>
    <row r="408" spans="1:15" ht="15.5" x14ac:dyDescent="0.35">
      <c r="A408" s="12"/>
      <c r="B408" s="12"/>
      <c r="C408" s="13"/>
      <c r="D408" s="12"/>
      <c r="E408" s="14"/>
      <c r="F408" s="1"/>
      <c r="G408" s="12"/>
      <c r="H408" s="12" t="str">
        <f t="shared" si="1"/>
        <v xml:space="preserve">    </v>
      </c>
      <c r="I408" s="6"/>
      <c r="J408" s="12"/>
      <c r="K408" s="12"/>
      <c r="L408" s="12"/>
      <c r="M408" s="12"/>
      <c r="N408" s="6"/>
      <c r="O408" s="6"/>
    </row>
    <row r="409" spans="1:15" ht="15.5" x14ac:dyDescent="0.35">
      <c r="A409" s="12"/>
      <c r="B409" s="12"/>
      <c r="C409" s="13"/>
      <c r="D409" s="12"/>
      <c r="E409" s="14"/>
      <c r="F409" s="1"/>
      <c r="G409" s="12"/>
      <c r="H409" s="12" t="str">
        <f t="shared" si="1"/>
        <v xml:space="preserve">    </v>
      </c>
      <c r="I409" s="6"/>
      <c r="J409" s="12"/>
      <c r="K409" s="12"/>
      <c r="L409" s="12"/>
      <c r="M409" s="12"/>
      <c r="N409" s="6"/>
      <c r="O409" s="6"/>
    </row>
    <row r="410" spans="1:15" ht="15.5" x14ac:dyDescent="0.35">
      <c r="A410" s="12"/>
      <c r="B410" s="12"/>
      <c r="C410" s="13"/>
      <c r="D410" s="12"/>
      <c r="E410" s="14"/>
      <c r="F410" s="1"/>
      <c r="G410" s="12"/>
      <c r="H410" s="12" t="str">
        <f t="shared" si="1"/>
        <v xml:space="preserve">    </v>
      </c>
      <c r="I410" s="6"/>
      <c r="J410" s="12"/>
      <c r="K410" s="12"/>
      <c r="L410" s="12"/>
      <c r="M410" s="12"/>
      <c r="N410" s="6"/>
      <c r="O410" s="6"/>
    </row>
    <row r="411" spans="1:15" ht="15.5" x14ac:dyDescent="0.35">
      <c r="A411" s="12"/>
      <c r="B411" s="12"/>
      <c r="C411" s="13"/>
      <c r="D411" s="12"/>
      <c r="E411" s="14"/>
      <c r="F411" s="1"/>
      <c r="G411" s="12"/>
      <c r="H411" s="12" t="str">
        <f t="shared" si="1"/>
        <v xml:space="preserve">    </v>
      </c>
      <c r="I411" s="6"/>
      <c r="J411" s="12"/>
      <c r="K411" s="12"/>
      <c r="L411" s="12"/>
      <c r="M411" s="12"/>
      <c r="N411" s="6"/>
      <c r="O411" s="6"/>
    </row>
    <row r="412" spans="1:15" ht="15.5" x14ac:dyDescent="0.35">
      <c r="A412" s="12"/>
      <c r="B412" s="12"/>
      <c r="C412" s="13"/>
      <c r="D412" s="12"/>
      <c r="E412" s="14"/>
      <c r="F412" s="1"/>
      <c r="G412" s="12"/>
      <c r="H412" s="12" t="str">
        <f t="shared" si="1"/>
        <v xml:space="preserve">    </v>
      </c>
      <c r="I412" s="6"/>
      <c r="J412" s="12"/>
      <c r="K412" s="12"/>
      <c r="L412" s="12"/>
      <c r="M412" s="12"/>
      <c r="N412" s="6"/>
      <c r="O412" s="6"/>
    </row>
    <row r="413" spans="1:15" ht="15.5" x14ac:dyDescent="0.35">
      <c r="A413" s="12"/>
      <c r="B413" s="12"/>
      <c r="C413" s="13"/>
      <c r="D413" s="12"/>
      <c r="E413" s="14"/>
      <c r="F413" s="1"/>
      <c r="G413" s="12"/>
      <c r="H413" s="12" t="str">
        <f t="shared" si="1"/>
        <v xml:space="preserve">    </v>
      </c>
      <c r="I413" s="6"/>
      <c r="J413" s="12"/>
      <c r="K413" s="12"/>
      <c r="L413" s="12"/>
      <c r="M413" s="12"/>
      <c r="N413" s="6"/>
      <c r="O413" s="6"/>
    </row>
    <row r="414" spans="1:15" ht="15.5" x14ac:dyDescent="0.35">
      <c r="A414" s="12"/>
      <c r="B414" s="12"/>
      <c r="C414" s="13"/>
      <c r="D414" s="12"/>
      <c r="E414" s="14"/>
      <c r="F414" s="1"/>
      <c r="G414" s="12"/>
      <c r="H414" s="12" t="str">
        <f t="shared" si="1"/>
        <v xml:space="preserve">    </v>
      </c>
      <c r="I414" s="6"/>
      <c r="J414" s="12"/>
      <c r="K414" s="12"/>
      <c r="L414" s="12"/>
      <c r="M414" s="12"/>
      <c r="N414" s="6"/>
      <c r="O414" s="6"/>
    </row>
    <row r="415" spans="1:15" ht="15.5" x14ac:dyDescent="0.35">
      <c r="A415" s="12"/>
      <c r="B415" s="12"/>
      <c r="C415" s="13"/>
      <c r="D415" s="12"/>
      <c r="E415" s="14"/>
      <c r="F415" s="1"/>
      <c r="G415" s="12"/>
      <c r="H415" s="12" t="str">
        <f t="shared" si="1"/>
        <v xml:space="preserve">    </v>
      </c>
      <c r="I415" s="6"/>
      <c r="J415" s="12"/>
      <c r="K415" s="12"/>
      <c r="L415" s="12"/>
      <c r="M415" s="12"/>
      <c r="N415" s="6"/>
      <c r="O415" s="6"/>
    </row>
    <row r="416" spans="1:15" ht="15.5" x14ac:dyDescent="0.35">
      <c r="A416" s="12"/>
      <c r="B416" s="12"/>
      <c r="C416" s="13"/>
      <c r="D416" s="12"/>
      <c r="E416" s="14"/>
      <c r="F416" s="1"/>
      <c r="G416" s="12"/>
      <c r="H416" s="12" t="str">
        <f t="shared" si="1"/>
        <v xml:space="preserve">    </v>
      </c>
      <c r="I416" s="6"/>
      <c r="J416" s="12"/>
      <c r="K416" s="12"/>
      <c r="L416" s="12"/>
      <c r="M416" s="12"/>
      <c r="N416" s="6"/>
      <c r="O416" s="6"/>
    </row>
    <row r="417" spans="1:15" ht="15.5" x14ac:dyDescent="0.35">
      <c r="A417" s="12"/>
      <c r="B417" s="12"/>
      <c r="C417" s="13"/>
      <c r="D417" s="12"/>
      <c r="E417" s="14"/>
      <c r="F417" s="1"/>
      <c r="G417" s="12"/>
      <c r="H417" s="12" t="str">
        <f t="shared" si="1"/>
        <v xml:space="preserve">    </v>
      </c>
      <c r="I417" s="6"/>
      <c r="J417" s="12"/>
      <c r="K417" s="12"/>
      <c r="L417" s="12"/>
      <c r="M417" s="12"/>
      <c r="N417" s="6"/>
      <c r="O417" s="6"/>
    </row>
    <row r="418" spans="1:15" ht="15.5" x14ac:dyDescent="0.35">
      <c r="A418" s="12"/>
      <c r="B418" s="12"/>
      <c r="C418" s="13"/>
      <c r="D418" s="12"/>
      <c r="E418" s="14"/>
      <c r="F418" s="1"/>
      <c r="G418" s="12"/>
      <c r="H418" s="12" t="str">
        <f t="shared" si="1"/>
        <v xml:space="preserve">    </v>
      </c>
      <c r="I418" s="6"/>
      <c r="J418" s="12"/>
      <c r="K418" s="12"/>
      <c r="L418" s="12"/>
      <c r="M418" s="12"/>
      <c r="N418" s="6"/>
      <c r="O418" s="6"/>
    </row>
    <row r="419" spans="1:15" ht="15.5" x14ac:dyDescent="0.35">
      <c r="A419" s="12"/>
      <c r="B419" s="12"/>
      <c r="C419" s="13"/>
      <c r="D419" s="12"/>
      <c r="E419" s="14"/>
      <c r="F419" s="1"/>
      <c r="G419" s="12"/>
      <c r="H419" s="12" t="str">
        <f t="shared" si="1"/>
        <v xml:space="preserve">    </v>
      </c>
      <c r="I419" s="6"/>
      <c r="J419" s="12"/>
      <c r="K419" s="12"/>
      <c r="L419" s="12"/>
      <c r="M419" s="12"/>
      <c r="N419" s="6"/>
      <c r="O419" s="6"/>
    </row>
    <row r="420" spans="1:15" ht="15.5" x14ac:dyDescent="0.35">
      <c r="A420" s="12"/>
      <c r="B420" s="12"/>
      <c r="C420" s="13"/>
      <c r="D420" s="12"/>
      <c r="E420" s="14"/>
      <c r="F420" s="1"/>
      <c r="G420" s="12"/>
      <c r="H420" s="12" t="str">
        <f t="shared" si="1"/>
        <v xml:space="preserve">    </v>
      </c>
      <c r="I420" s="6"/>
      <c r="J420" s="12"/>
      <c r="K420" s="12"/>
      <c r="L420" s="12"/>
      <c r="M420" s="12"/>
      <c r="N420" s="6"/>
      <c r="O420" s="6"/>
    </row>
    <row r="421" spans="1:15" ht="15.5" x14ac:dyDescent="0.35">
      <c r="A421" s="12"/>
      <c r="B421" s="12"/>
      <c r="C421" s="13"/>
      <c r="D421" s="12"/>
      <c r="E421" s="14"/>
      <c r="F421" s="1"/>
      <c r="G421" s="12"/>
      <c r="H421" s="12" t="str">
        <f t="shared" si="1"/>
        <v xml:space="preserve">    </v>
      </c>
      <c r="I421" s="6"/>
      <c r="J421" s="12"/>
      <c r="K421" s="12"/>
      <c r="L421" s="12"/>
      <c r="M421" s="12"/>
      <c r="N421" s="6"/>
      <c r="O421" s="6"/>
    </row>
    <row r="422" spans="1:15" ht="15.5" x14ac:dyDescent="0.35">
      <c r="A422" s="12"/>
      <c r="B422" s="12"/>
      <c r="C422" s="13"/>
      <c r="D422" s="12"/>
      <c r="E422" s="14"/>
      <c r="F422" s="1"/>
      <c r="G422" s="12"/>
      <c r="H422" s="12" t="str">
        <f t="shared" si="1"/>
        <v xml:space="preserve">    </v>
      </c>
      <c r="I422" s="6"/>
      <c r="J422" s="12"/>
      <c r="K422" s="12"/>
      <c r="L422" s="12"/>
      <c r="M422" s="12"/>
      <c r="N422" s="6"/>
      <c r="O422" s="6"/>
    </row>
    <row r="423" spans="1:15" ht="15.5" x14ac:dyDescent="0.35">
      <c r="A423" s="12"/>
      <c r="B423" s="12"/>
      <c r="C423" s="13"/>
      <c r="D423" s="12"/>
      <c r="E423" s="14"/>
      <c r="F423" s="1"/>
      <c r="G423" s="12"/>
      <c r="H423" s="12" t="str">
        <f t="shared" si="1"/>
        <v xml:space="preserve">    </v>
      </c>
      <c r="I423" s="6"/>
      <c r="J423" s="12"/>
      <c r="K423" s="12"/>
      <c r="L423" s="12"/>
      <c r="M423" s="12"/>
      <c r="N423" s="6"/>
      <c r="O423" s="6"/>
    </row>
    <row r="424" spans="1:15" ht="15.5" x14ac:dyDescent="0.35">
      <c r="A424" s="12"/>
      <c r="B424" s="12"/>
      <c r="C424" s="13"/>
      <c r="D424" s="12"/>
      <c r="E424" s="14"/>
      <c r="F424" s="1"/>
      <c r="G424" s="12"/>
      <c r="H424" s="12" t="str">
        <f t="shared" si="1"/>
        <v xml:space="preserve">    </v>
      </c>
      <c r="I424" s="6"/>
      <c r="J424" s="12"/>
      <c r="K424" s="12"/>
      <c r="L424" s="12"/>
      <c r="M424" s="12"/>
      <c r="N424" s="6"/>
      <c r="O424" s="6"/>
    </row>
    <row r="425" spans="1:15" ht="15.5" x14ac:dyDescent="0.35">
      <c r="A425" s="12"/>
      <c r="B425" s="12"/>
      <c r="C425" s="13"/>
      <c r="D425" s="12"/>
      <c r="E425" s="14"/>
      <c r="F425" s="1"/>
      <c r="G425" s="12"/>
      <c r="H425" s="12" t="str">
        <f t="shared" si="1"/>
        <v xml:space="preserve">    </v>
      </c>
      <c r="I425" s="6"/>
      <c r="J425" s="12"/>
      <c r="K425" s="12"/>
      <c r="L425" s="12"/>
      <c r="M425" s="12"/>
      <c r="N425" s="6"/>
      <c r="O425" s="6"/>
    </row>
    <row r="426" spans="1:15" ht="15.5" x14ac:dyDescent="0.35">
      <c r="A426" s="12"/>
      <c r="B426" s="12"/>
      <c r="C426" s="13"/>
      <c r="D426" s="12"/>
      <c r="E426" s="14"/>
      <c r="F426" s="1"/>
      <c r="G426" s="12"/>
      <c r="H426" s="12" t="str">
        <f t="shared" si="1"/>
        <v xml:space="preserve">    </v>
      </c>
      <c r="I426" s="6"/>
      <c r="J426" s="12"/>
      <c r="K426" s="12"/>
      <c r="L426" s="12"/>
      <c r="M426" s="12"/>
      <c r="N426" s="6"/>
      <c r="O426" s="6"/>
    </row>
    <row r="427" spans="1:15" ht="15.5" x14ac:dyDescent="0.35">
      <c r="A427" s="12"/>
      <c r="B427" s="12"/>
      <c r="C427" s="13"/>
      <c r="D427" s="12"/>
      <c r="E427" s="14"/>
      <c r="F427" s="1"/>
      <c r="G427" s="12"/>
      <c r="H427" s="12" t="str">
        <f t="shared" si="1"/>
        <v xml:space="preserve">    </v>
      </c>
      <c r="I427" s="6"/>
      <c r="J427" s="12"/>
      <c r="K427" s="12"/>
      <c r="L427" s="12"/>
      <c r="M427" s="12"/>
      <c r="N427" s="6"/>
      <c r="O427" s="6"/>
    </row>
    <row r="428" spans="1:15" ht="15.5" x14ac:dyDescent="0.35">
      <c r="A428" s="12"/>
      <c r="B428" s="12"/>
      <c r="C428" s="13"/>
      <c r="D428" s="12"/>
      <c r="E428" s="14"/>
      <c r="F428" s="1"/>
      <c r="G428" s="12"/>
      <c r="H428" s="12" t="str">
        <f t="shared" si="1"/>
        <v xml:space="preserve">    </v>
      </c>
      <c r="I428" s="6"/>
      <c r="J428" s="12"/>
      <c r="K428" s="12"/>
      <c r="L428" s="12"/>
      <c r="M428" s="12"/>
      <c r="N428" s="6"/>
      <c r="O428" s="6"/>
    </row>
    <row r="429" spans="1:15" ht="15.5" x14ac:dyDescent="0.35">
      <c r="A429" s="12"/>
      <c r="B429" s="12"/>
      <c r="C429" s="13"/>
      <c r="D429" s="12"/>
      <c r="E429" s="14"/>
      <c r="F429" s="1"/>
      <c r="G429" s="12"/>
      <c r="H429" s="12" t="str">
        <f t="shared" si="1"/>
        <v xml:space="preserve">    </v>
      </c>
      <c r="I429" s="6"/>
      <c r="J429" s="12"/>
      <c r="K429" s="12"/>
      <c r="L429" s="12"/>
      <c r="M429" s="12"/>
      <c r="N429" s="6"/>
      <c r="O429" s="6"/>
    </row>
    <row r="430" spans="1:15" ht="15.5" x14ac:dyDescent="0.35">
      <c r="A430" s="12"/>
      <c r="B430" s="12"/>
      <c r="C430" s="13"/>
      <c r="D430" s="12"/>
      <c r="E430" s="14"/>
      <c r="F430" s="1"/>
      <c r="G430" s="12"/>
      <c r="H430" s="12" t="str">
        <f t="shared" si="1"/>
        <v xml:space="preserve">    </v>
      </c>
      <c r="I430" s="6"/>
      <c r="J430" s="12"/>
      <c r="K430" s="12"/>
      <c r="L430" s="12"/>
      <c r="M430" s="12"/>
      <c r="N430" s="6"/>
      <c r="O430" s="6"/>
    </row>
    <row r="431" spans="1:15" ht="15.5" x14ac:dyDescent="0.35">
      <c r="A431" s="12"/>
      <c r="B431" s="12"/>
      <c r="C431" s="13"/>
      <c r="D431" s="12"/>
      <c r="E431" s="14"/>
      <c r="F431" s="1"/>
      <c r="G431" s="12"/>
      <c r="H431" s="12" t="str">
        <f t="shared" si="1"/>
        <v xml:space="preserve">    </v>
      </c>
      <c r="I431" s="6"/>
      <c r="J431" s="12"/>
      <c r="K431" s="12"/>
      <c r="L431" s="12"/>
      <c r="M431" s="12"/>
      <c r="N431" s="6"/>
      <c r="O431" s="6"/>
    </row>
    <row r="432" spans="1:15" ht="15.5" x14ac:dyDescent="0.35">
      <c r="A432" s="12"/>
      <c r="B432" s="12"/>
      <c r="C432" s="13"/>
      <c r="D432" s="12"/>
      <c r="E432" s="14"/>
      <c r="F432" s="1"/>
      <c r="G432" s="12"/>
      <c r="H432" s="12" t="str">
        <f t="shared" si="1"/>
        <v xml:space="preserve">    </v>
      </c>
      <c r="I432" s="6"/>
      <c r="J432" s="12"/>
      <c r="K432" s="12"/>
      <c r="L432" s="12"/>
      <c r="M432" s="12"/>
      <c r="N432" s="6"/>
      <c r="O432" s="6"/>
    </row>
    <row r="433" spans="1:15" ht="15.5" x14ac:dyDescent="0.35">
      <c r="A433" s="12"/>
      <c r="B433" s="12"/>
      <c r="C433" s="13"/>
      <c r="D433" s="12"/>
      <c r="E433" s="14"/>
      <c r="F433" s="1"/>
      <c r="G433" s="12"/>
      <c r="H433" s="12" t="str">
        <f t="shared" si="1"/>
        <v xml:space="preserve">    </v>
      </c>
      <c r="I433" s="6"/>
      <c r="J433" s="12"/>
      <c r="K433" s="12"/>
      <c r="L433" s="12"/>
      <c r="M433" s="12"/>
      <c r="N433" s="6"/>
      <c r="O433" s="6"/>
    </row>
    <row r="434" spans="1:15" ht="15.5" x14ac:dyDescent="0.35">
      <c r="A434" s="12"/>
      <c r="B434" s="12"/>
      <c r="C434" s="13"/>
      <c r="D434" s="12"/>
      <c r="E434" s="14"/>
      <c r="F434" s="1"/>
      <c r="G434" s="12"/>
      <c r="H434" s="12" t="str">
        <f t="shared" si="1"/>
        <v xml:space="preserve">    </v>
      </c>
      <c r="I434" s="6"/>
      <c r="J434" s="12"/>
      <c r="K434" s="12"/>
      <c r="L434" s="12"/>
      <c r="M434" s="12"/>
      <c r="N434" s="6"/>
      <c r="O434" s="6"/>
    </row>
    <row r="435" spans="1:15" ht="15.5" x14ac:dyDescent="0.35">
      <c r="A435" s="12"/>
      <c r="B435" s="12"/>
      <c r="C435" s="13"/>
      <c r="D435" s="12"/>
      <c r="E435" s="14"/>
      <c r="F435" s="1"/>
      <c r="G435" s="12"/>
      <c r="H435" s="12" t="str">
        <f t="shared" si="1"/>
        <v xml:space="preserve">    </v>
      </c>
      <c r="I435" s="6"/>
      <c r="J435" s="12"/>
      <c r="K435" s="12"/>
      <c r="L435" s="12"/>
      <c r="M435" s="12"/>
      <c r="N435" s="6"/>
      <c r="O435" s="6"/>
    </row>
    <row r="436" spans="1:15" ht="15.5" x14ac:dyDescent="0.35">
      <c r="A436" s="12"/>
      <c r="B436" s="12"/>
      <c r="C436" s="13"/>
      <c r="D436" s="12"/>
      <c r="E436" s="14"/>
      <c r="F436" s="1"/>
      <c r="G436" s="12"/>
      <c r="H436" s="12" t="str">
        <f t="shared" si="1"/>
        <v xml:space="preserve">    </v>
      </c>
      <c r="I436" s="6"/>
      <c r="J436" s="12"/>
      <c r="K436" s="12"/>
      <c r="L436" s="12"/>
      <c r="M436" s="12"/>
      <c r="N436" s="6"/>
      <c r="O436" s="6"/>
    </row>
    <row r="437" spans="1:15" ht="15.5" x14ac:dyDescent="0.35">
      <c r="A437" s="12"/>
      <c r="B437" s="12"/>
      <c r="C437" s="13"/>
      <c r="D437" s="12"/>
      <c r="E437" s="14"/>
      <c r="F437" s="1"/>
      <c r="G437" s="12"/>
      <c r="H437" s="12" t="str">
        <f t="shared" si="1"/>
        <v xml:space="preserve">    </v>
      </c>
      <c r="I437" s="6"/>
      <c r="J437" s="12"/>
      <c r="K437" s="12"/>
      <c r="L437" s="12"/>
      <c r="M437" s="12"/>
      <c r="N437" s="6"/>
      <c r="O437" s="6"/>
    </row>
    <row r="438" spans="1:15" ht="15.5" x14ac:dyDescent="0.35">
      <c r="A438" s="12"/>
      <c r="B438" s="12"/>
      <c r="C438" s="13"/>
      <c r="D438" s="12"/>
      <c r="E438" s="14"/>
      <c r="F438" s="1"/>
      <c r="G438" s="12"/>
      <c r="H438" s="12" t="str">
        <f t="shared" si="1"/>
        <v xml:space="preserve">    </v>
      </c>
      <c r="I438" s="6"/>
      <c r="J438" s="12"/>
      <c r="K438" s="12"/>
      <c r="L438" s="12"/>
      <c r="M438" s="12"/>
      <c r="N438" s="6"/>
      <c r="O438" s="6"/>
    </row>
    <row r="439" spans="1:15" ht="15.5" x14ac:dyDescent="0.35">
      <c r="A439" s="12"/>
      <c r="B439" s="12"/>
      <c r="C439" s="13"/>
      <c r="D439" s="12"/>
      <c r="E439" s="14"/>
      <c r="F439" s="1"/>
      <c r="G439" s="12"/>
      <c r="H439" s="12" t="str">
        <f t="shared" si="1"/>
        <v xml:space="preserve">    </v>
      </c>
      <c r="I439" s="6"/>
      <c r="J439" s="12"/>
      <c r="K439" s="12"/>
      <c r="L439" s="12"/>
      <c r="M439" s="12"/>
      <c r="N439" s="6"/>
      <c r="O439" s="6"/>
    </row>
    <row r="440" spans="1:15" ht="15.5" x14ac:dyDescent="0.35">
      <c r="A440" s="12"/>
      <c r="B440" s="12"/>
      <c r="C440" s="13"/>
      <c r="D440" s="12"/>
      <c r="E440" s="14"/>
      <c r="F440" s="1"/>
      <c r="G440" s="12"/>
      <c r="H440" s="12" t="str">
        <f t="shared" si="1"/>
        <v xml:space="preserve">    </v>
      </c>
      <c r="I440" s="6"/>
      <c r="J440" s="12"/>
      <c r="K440" s="12"/>
      <c r="L440" s="12"/>
      <c r="M440" s="12"/>
      <c r="N440" s="6"/>
      <c r="O440" s="6"/>
    </row>
    <row r="441" spans="1:15" ht="15.5" x14ac:dyDescent="0.35">
      <c r="A441" s="12"/>
      <c r="B441" s="12"/>
      <c r="C441" s="13"/>
      <c r="D441" s="12"/>
      <c r="E441" s="14"/>
      <c r="F441" s="1"/>
      <c r="G441" s="12"/>
      <c r="H441" s="12" t="str">
        <f t="shared" si="1"/>
        <v xml:space="preserve">    </v>
      </c>
      <c r="I441" s="6"/>
      <c r="J441" s="12"/>
      <c r="K441" s="12"/>
      <c r="L441" s="12"/>
      <c r="M441" s="12"/>
      <c r="N441" s="6"/>
      <c r="O441" s="6"/>
    </row>
    <row r="442" spans="1:15" ht="15.5" x14ac:dyDescent="0.35">
      <c r="A442" s="12"/>
      <c r="B442" s="12"/>
      <c r="C442" s="13"/>
      <c r="D442" s="12"/>
      <c r="E442" s="14"/>
      <c r="F442" s="1"/>
      <c r="G442" s="12"/>
      <c r="H442" s="12" t="str">
        <f t="shared" si="1"/>
        <v xml:space="preserve">    </v>
      </c>
      <c r="I442" s="6"/>
      <c r="J442" s="12"/>
      <c r="K442" s="12"/>
      <c r="L442" s="12"/>
      <c r="M442" s="12"/>
      <c r="N442" s="6"/>
      <c r="O442" s="6"/>
    </row>
    <row r="443" spans="1:15" ht="15.5" x14ac:dyDescent="0.35">
      <c r="A443" s="12"/>
      <c r="B443" s="12"/>
      <c r="C443" s="13"/>
      <c r="D443" s="12"/>
      <c r="E443" s="14"/>
      <c r="F443" s="1"/>
      <c r="G443" s="12"/>
      <c r="H443" s="12" t="str">
        <f t="shared" si="1"/>
        <v xml:space="preserve">    </v>
      </c>
      <c r="I443" s="6"/>
      <c r="J443" s="12"/>
      <c r="K443" s="12"/>
      <c r="L443" s="12"/>
      <c r="M443" s="12"/>
      <c r="N443" s="6"/>
      <c r="O443" s="6"/>
    </row>
    <row r="444" spans="1:15" ht="15.5" x14ac:dyDescent="0.35">
      <c r="A444" s="12"/>
      <c r="B444" s="12"/>
      <c r="C444" s="13"/>
      <c r="D444" s="12"/>
      <c r="E444" s="14"/>
      <c r="F444" s="1"/>
      <c r="G444" s="12"/>
      <c r="H444" s="12" t="str">
        <f t="shared" si="1"/>
        <v xml:space="preserve">    </v>
      </c>
      <c r="I444" s="6"/>
      <c r="J444" s="12"/>
      <c r="K444" s="12"/>
      <c r="L444" s="12"/>
      <c r="M444" s="12"/>
      <c r="N444" s="6"/>
      <c r="O444" s="6"/>
    </row>
    <row r="445" spans="1:15" ht="15.5" x14ac:dyDescent="0.35">
      <c r="A445" s="12"/>
      <c r="B445" s="12"/>
      <c r="C445" s="13"/>
      <c r="D445" s="12"/>
      <c r="E445" s="14"/>
      <c r="F445" s="1"/>
      <c r="G445" s="12"/>
      <c r="H445" s="12" t="str">
        <f t="shared" si="1"/>
        <v xml:space="preserve">    </v>
      </c>
      <c r="I445" s="6"/>
      <c r="J445" s="12"/>
      <c r="K445" s="12"/>
      <c r="L445" s="12"/>
      <c r="M445" s="12"/>
      <c r="N445" s="6"/>
      <c r="O445" s="6"/>
    </row>
    <row r="446" spans="1:15" ht="15.5" x14ac:dyDescent="0.35">
      <c r="A446" s="12"/>
      <c r="B446" s="12"/>
      <c r="C446" s="13"/>
      <c r="D446" s="12"/>
      <c r="E446" s="14"/>
      <c r="F446" s="1"/>
      <c r="G446" s="12"/>
      <c r="H446" s="12" t="str">
        <f t="shared" si="1"/>
        <v xml:space="preserve">    </v>
      </c>
      <c r="I446" s="6"/>
      <c r="J446" s="12"/>
      <c r="K446" s="12"/>
      <c r="L446" s="12"/>
      <c r="M446" s="12"/>
      <c r="N446" s="6"/>
      <c r="O446" s="6"/>
    </row>
    <row r="447" spans="1:15" ht="15.5" x14ac:dyDescent="0.35">
      <c r="A447" s="12"/>
      <c r="B447" s="12"/>
      <c r="C447" s="13"/>
      <c r="D447" s="12"/>
      <c r="E447" s="14"/>
      <c r="F447" s="1"/>
      <c r="G447" s="12"/>
      <c r="H447" s="12" t="str">
        <f t="shared" si="1"/>
        <v xml:space="preserve">    </v>
      </c>
      <c r="I447" s="6"/>
      <c r="J447" s="12"/>
      <c r="K447" s="12"/>
      <c r="L447" s="12"/>
      <c r="M447" s="12"/>
      <c r="N447" s="6"/>
      <c r="O447" s="6"/>
    </row>
    <row r="448" spans="1:15" ht="15.5" x14ac:dyDescent="0.35">
      <c r="A448" s="12"/>
      <c r="B448" s="12"/>
      <c r="C448" s="13"/>
      <c r="D448" s="12"/>
      <c r="E448" s="14"/>
      <c r="F448" s="1"/>
      <c r="G448" s="12"/>
      <c r="H448" s="12" t="str">
        <f t="shared" si="1"/>
        <v xml:space="preserve">    </v>
      </c>
      <c r="I448" s="6"/>
      <c r="J448" s="12"/>
      <c r="K448" s="12"/>
      <c r="L448" s="12"/>
      <c r="M448" s="12"/>
      <c r="N448" s="6"/>
      <c r="O448" s="6"/>
    </row>
    <row r="449" spans="1:15" ht="15.5" x14ac:dyDescent="0.35">
      <c r="A449" s="12"/>
      <c r="B449" s="12"/>
      <c r="C449" s="13"/>
      <c r="D449" s="12"/>
      <c r="E449" s="14"/>
      <c r="F449" s="1"/>
      <c r="G449" s="12"/>
      <c r="H449" s="12" t="str">
        <f t="shared" si="1"/>
        <v xml:space="preserve">    </v>
      </c>
      <c r="I449" s="6"/>
      <c r="J449" s="12"/>
      <c r="K449" s="12"/>
      <c r="L449" s="12"/>
      <c r="M449" s="12"/>
      <c r="N449" s="6"/>
      <c r="O449" s="6"/>
    </row>
    <row r="450" spans="1:15" ht="15.5" x14ac:dyDescent="0.35">
      <c r="A450" s="12"/>
      <c r="B450" s="12"/>
      <c r="C450" s="13"/>
      <c r="D450" s="12"/>
      <c r="E450" s="14"/>
      <c r="F450" s="1"/>
      <c r="G450" s="12"/>
      <c r="H450" s="12" t="str">
        <f t="shared" si="1"/>
        <v xml:space="preserve">    </v>
      </c>
      <c r="I450" s="6"/>
      <c r="J450" s="12"/>
      <c r="K450" s="12"/>
      <c r="L450" s="12"/>
      <c r="M450" s="12"/>
      <c r="N450" s="6"/>
      <c r="O450" s="6"/>
    </row>
    <row r="451" spans="1:15" ht="15.5" x14ac:dyDescent="0.35">
      <c r="A451" s="12"/>
      <c r="B451" s="12"/>
      <c r="C451" s="13"/>
      <c r="D451" s="12"/>
      <c r="E451" s="14"/>
      <c r="F451" s="1"/>
      <c r="G451" s="12"/>
      <c r="H451" s="12" t="str">
        <f t="shared" si="1"/>
        <v xml:space="preserve">    </v>
      </c>
      <c r="I451" s="6"/>
      <c r="J451" s="12"/>
      <c r="K451" s="12"/>
      <c r="L451" s="12"/>
      <c r="M451" s="12"/>
      <c r="N451" s="6"/>
      <c r="O451" s="6"/>
    </row>
    <row r="452" spans="1:15" ht="15.5" x14ac:dyDescent="0.35">
      <c r="A452" s="12"/>
      <c r="B452" s="12"/>
      <c r="C452" s="13"/>
      <c r="D452" s="12"/>
      <c r="E452" s="14"/>
      <c r="F452" s="1"/>
      <c r="G452" s="12"/>
      <c r="H452" s="12" t="str">
        <f t="shared" si="1"/>
        <v xml:space="preserve">    </v>
      </c>
      <c r="I452" s="6"/>
      <c r="J452" s="12"/>
      <c r="K452" s="12"/>
      <c r="L452" s="12"/>
      <c r="M452" s="12"/>
      <c r="N452" s="6"/>
      <c r="O452" s="6"/>
    </row>
    <row r="453" spans="1:15" ht="15.5" x14ac:dyDescent="0.35">
      <c r="A453" s="12"/>
      <c r="B453" s="12"/>
      <c r="C453" s="13"/>
      <c r="D453" s="12"/>
      <c r="E453" s="14"/>
      <c r="F453" s="1"/>
      <c r="G453" s="12"/>
      <c r="H453" s="12" t="str">
        <f t="shared" si="1"/>
        <v xml:space="preserve">    </v>
      </c>
      <c r="I453" s="6"/>
      <c r="J453" s="12"/>
      <c r="K453" s="12"/>
      <c r="L453" s="12"/>
      <c r="M453" s="12"/>
      <c r="N453" s="6"/>
      <c r="O453" s="6"/>
    </row>
    <row r="454" spans="1:15" ht="15.5" x14ac:dyDescent="0.35">
      <c r="A454" s="12"/>
      <c r="B454" s="12"/>
      <c r="C454" s="13"/>
      <c r="D454" s="12"/>
      <c r="E454" s="14"/>
      <c r="F454" s="1"/>
      <c r="G454" s="12"/>
      <c r="H454" s="12" t="str">
        <f t="shared" si="1"/>
        <v xml:space="preserve">    </v>
      </c>
      <c r="I454" s="6"/>
      <c r="J454" s="12"/>
      <c r="K454" s="12"/>
      <c r="L454" s="12"/>
      <c r="M454" s="12"/>
      <c r="N454" s="6"/>
      <c r="O454" s="6"/>
    </row>
    <row r="455" spans="1:15" ht="15.5" x14ac:dyDescent="0.35">
      <c r="A455" s="12"/>
      <c r="B455" s="12"/>
      <c r="C455" s="13"/>
      <c r="D455" s="12"/>
      <c r="E455" s="14"/>
      <c r="F455" s="1"/>
      <c r="G455" s="12"/>
      <c r="H455" s="12" t="str">
        <f t="shared" si="1"/>
        <v xml:space="preserve">    </v>
      </c>
      <c r="I455" s="6"/>
      <c r="J455" s="12"/>
      <c r="K455" s="12"/>
      <c r="L455" s="12"/>
      <c r="M455" s="12"/>
      <c r="N455" s="6"/>
      <c r="O455" s="6"/>
    </row>
    <row r="456" spans="1:15" ht="15.5" x14ac:dyDescent="0.35">
      <c r="A456" s="12"/>
      <c r="B456" s="12"/>
      <c r="C456" s="13"/>
      <c r="D456" s="12"/>
      <c r="E456" s="14"/>
      <c r="F456" s="1"/>
      <c r="G456" s="12"/>
      <c r="H456" s="12" t="str">
        <f t="shared" si="1"/>
        <v xml:space="preserve">    </v>
      </c>
      <c r="I456" s="6"/>
      <c r="J456" s="12"/>
      <c r="K456" s="12"/>
      <c r="L456" s="12"/>
      <c r="M456" s="12"/>
      <c r="N456" s="6"/>
      <c r="O456" s="6"/>
    </row>
    <row r="457" spans="1:15" ht="15.5" x14ac:dyDescent="0.35">
      <c r="A457" s="12"/>
      <c r="B457" s="12"/>
      <c r="C457" s="13"/>
      <c r="D457" s="12"/>
      <c r="E457" s="14"/>
      <c r="F457" s="1"/>
      <c r="G457" s="12"/>
      <c r="H457" s="12" t="str">
        <f t="shared" si="1"/>
        <v xml:space="preserve">    </v>
      </c>
      <c r="I457" s="6"/>
      <c r="J457" s="12"/>
      <c r="K457" s="12"/>
      <c r="L457" s="12"/>
      <c r="M457" s="12"/>
      <c r="N457" s="6"/>
      <c r="O457" s="6"/>
    </row>
    <row r="458" spans="1:15" ht="15.5" x14ac:dyDescent="0.35">
      <c r="A458" s="12"/>
      <c r="B458" s="12"/>
      <c r="C458" s="13"/>
      <c r="D458" s="12"/>
      <c r="E458" s="14"/>
      <c r="F458" s="1"/>
      <c r="G458" s="12"/>
      <c r="H458" s="12" t="str">
        <f t="shared" si="1"/>
        <v xml:space="preserve">    </v>
      </c>
      <c r="I458" s="6"/>
      <c r="J458" s="12"/>
      <c r="K458" s="12"/>
      <c r="L458" s="12"/>
      <c r="M458" s="12"/>
      <c r="N458" s="6"/>
      <c r="O458" s="6"/>
    </row>
    <row r="459" spans="1:15" ht="15.5" x14ac:dyDescent="0.35">
      <c r="A459" s="12"/>
      <c r="B459" s="12"/>
      <c r="C459" s="13"/>
      <c r="D459" s="12"/>
      <c r="E459" s="14"/>
      <c r="F459" s="1"/>
      <c r="G459" s="12"/>
      <c r="H459" s="12" t="str">
        <f t="shared" si="1"/>
        <v xml:space="preserve">    </v>
      </c>
      <c r="I459" s="6"/>
      <c r="J459" s="12"/>
      <c r="K459" s="12"/>
      <c r="L459" s="12"/>
      <c r="M459" s="12"/>
      <c r="N459" s="6"/>
      <c r="O459" s="6"/>
    </row>
    <row r="460" spans="1:15" ht="15.5" x14ac:dyDescent="0.35">
      <c r="A460" s="12"/>
      <c r="B460" s="12"/>
      <c r="C460" s="13"/>
      <c r="D460" s="12"/>
      <c r="E460" s="14"/>
      <c r="F460" s="1"/>
      <c r="G460" s="12"/>
      <c r="H460" s="12" t="str">
        <f t="shared" si="1"/>
        <v xml:space="preserve">    </v>
      </c>
      <c r="I460" s="6"/>
      <c r="J460" s="12"/>
      <c r="K460" s="12"/>
      <c r="L460" s="12"/>
      <c r="M460" s="12"/>
      <c r="N460" s="6"/>
      <c r="O460" s="6"/>
    </row>
    <row r="461" spans="1:15" ht="15.5" x14ac:dyDescent="0.35">
      <c r="A461" s="12"/>
      <c r="B461" s="12"/>
      <c r="C461" s="13"/>
      <c r="D461" s="12"/>
      <c r="E461" s="14"/>
      <c r="F461" s="1"/>
      <c r="G461" s="12"/>
      <c r="H461" s="12" t="str">
        <f t="shared" si="1"/>
        <v xml:space="preserve">    </v>
      </c>
      <c r="I461" s="6"/>
      <c r="J461" s="12"/>
      <c r="K461" s="12"/>
      <c r="L461" s="12"/>
      <c r="M461" s="12"/>
      <c r="N461" s="6"/>
      <c r="O461" s="6"/>
    </row>
    <row r="462" spans="1:15" ht="15.5" x14ac:dyDescent="0.35">
      <c r="A462" s="12"/>
      <c r="B462" s="12"/>
      <c r="C462" s="13"/>
      <c r="D462" s="12"/>
      <c r="E462" s="14"/>
      <c r="F462" s="1"/>
      <c r="G462" s="12"/>
      <c r="H462" s="12" t="str">
        <f t="shared" si="1"/>
        <v xml:space="preserve">    </v>
      </c>
      <c r="I462" s="6"/>
      <c r="J462" s="12"/>
      <c r="K462" s="12"/>
      <c r="L462" s="12"/>
      <c r="M462" s="12"/>
      <c r="N462" s="6"/>
      <c r="O462" s="6"/>
    </row>
    <row r="463" spans="1:15" ht="15.5" x14ac:dyDescent="0.35">
      <c r="A463" s="12"/>
      <c r="B463" s="12"/>
      <c r="C463" s="13"/>
      <c r="D463" s="12"/>
      <c r="E463" s="14"/>
      <c r="F463" s="1"/>
      <c r="G463" s="12"/>
      <c r="H463" s="12" t="str">
        <f t="shared" si="1"/>
        <v xml:space="preserve">    </v>
      </c>
      <c r="I463" s="6"/>
      <c r="J463" s="12"/>
      <c r="K463" s="12"/>
      <c r="L463" s="12"/>
      <c r="M463" s="12"/>
      <c r="N463" s="6"/>
      <c r="O463" s="6"/>
    </row>
    <row r="464" spans="1:15" ht="15.5" x14ac:dyDescent="0.35">
      <c r="A464" s="12"/>
      <c r="B464" s="12"/>
      <c r="C464" s="13"/>
      <c r="D464" s="12"/>
      <c r="E464" s="14"/>
      <c r="F464" s="1"/>
      <c r="G464" s="12"/>
      <c r="H464" s="12" t="str">
        <f t="shared" si="1"/>
        <v xml:space="preserve">    </v>
      </c>
      <c r="I464" s="6"/>
      <c r="J464" s="12"/>
      <c r="K464" s="12"/>
      <c r="L464" s="12"/>
      <c r="M464" s="12"/>
      <c r="N464" s="6"/>
      <c r="O464" s="6"/>
    </row>
    <row r="465" spans="1:15" ht="15.5" x14ac:dyDescent="0.35">
      <c r="A465" s="12"/>
      <c r="B465" s="12"/>
      <c r="C465" s="13"/>
      <c r="D465" s="12"/>
      <c r="E465" s="14"/>
      <c r="F465" s="1"/>
      <c r="G465" s="12"/>
      <c r="H465" s="12" t="str">
        <f t="shared" si="1"/>
        <v xml:space="preserve">    </v>
      </c>
      <c r="I465" s="6"/>
      <c r="J465" s="12"/>
      <c r="K465" s="12"/>
      <c r="L465" s="12"/>
      <c r="M465" s="12"/>
      <c r="N465" s="6"/>
      <c r="O465" s="6"/>
    </row>
    <row r="466" spans="1:15" ht="15.5" x14ac:dyDescent="0.35">
      <c r="A466" s="12"/>
      <c r="B466" s="12"/>
      <c r="C466" s="13"/>
      <c r="D466" s="12"/>
      <c r="E466" s="14"/>
      <c r="F466" s="1"/>
      <c r="G466" s="12"/>
      <c r="H466" s="12" t="str">
        <f t="shared" si="1"/>
        <v xml:space="preserve">    </v>
      </c>
      <c r="I466" s="6"/>
      <c r="J466" s="12"/>
      <c r="K466" s="12"/>
      <c r="L466" s="12"/>
      <c r="M466" s="12"/>
      <c r="N466" s="6"/>
      <c r="O466" s="6"/>
    </row>
    <row r="467" spans="1:15" ht="15.5" x14ac:dyDescent="0.35">
      <c r="A467" s="12"/>
      <c r="B467" s="12"/>
      <c r="C467" s="13"/>
      <c r="D467" s="12"/>
      <c r="E467" s="14"/>
      <c r="F467" s="1"/>
      <c r="G467" s="12"/>
      <c r="H467" s="12" t="str">
        <f t="shared" si="1"/>
        <v xml:space="preserve">    </v>
      </c>
      <c r="I467" s="6"/>
      <c r="J467" s="12"/>
      <c r="K467" s="12"/>
      <c r="L467" s="12"/>
      <c r="M467" s="12"/>
      <c r="N467" s="6"/>
      <c r="O467" s="6"/>
    </row>
    <row r="468" spans="1:15" ht="15.5" x14ac:dyDescent="0.35">
      <c r="A468" s="12"/>
      <c r="B468" s="12"/>
      <c r="C468" s="13"/>
      <c r="D468" s="12"/>
      <c r="E468" s="14"/>
      <c r="F468" s="1"/>
      <c r="G468" s="12"/>
      <c r="H468" s="12" t="str">
        <f t="shared" si="1"/>
        <v xml:space="preserve">    </v>
      </c>
      <c r="I468" s="6"/>
      <c r="J468" s="12"/>
      <c r="K468" s="12"/>
      <c r="L468" s="12"/>
      <c r="M468" s="12"/>
      <c r="N468" s="6"/>
      <c r="O468" s="6"/>
    </row>
    <row r="469" spans="1:15" ht="15.5" x14ac:dyDescent="0.35">
      <c r="A469" s="12"/>
      <c r="B469" s="12"/>
      <c r="C469" s="13"/>
      <c r="D469" s="12"/>
      <c r="E469" s="14"/>
      <c r="F469" s="1"/>
      <c r="G469" s="12"/>
      <c r="H469" s="12" t="str">
        <f t="shared" si="1"/>
        <v xml:space="preserve">    </v>
      </c>
      <c r="I469" s="6"/>
      <c r="J469" s="12"/>
      <c r="K469" s="12"/>
      <c r="L469" s="12"/>
      <c r="M469" s="12"/>
      <c r="N469" s="6"/>
      <c r="O469" s="6"/>
    </row>
    <row r="470" spans="1:15" ht="15.5" x14ac:dyDescent="0.35">
      <c r="A470" s="12"/>
      <c r="B470" s="12"/>
      <c r="C470" s="13"/>
      <c r="D470" s="12"/>
      <c r="E470" s="14"/>
      <c r="F470" s="1"/>
      <c r="G470" s="12"/>
      <c r="H470" s="12" t="str">
        <f t="shared" si="1"/>
        <v xml:space="preserve">    </v>
      </c>
      <c r="I470" s="6"/>
      <c r="J470" s="12"/>
      <c r="K470" s="12"/>
      <c r="L470" s="12"/>
      <c r="M470" s="12"/>
      <c r="N470" s="6"/>
      <c r="O470" s="6"/>
    </row>
    <row r="471" spans="1:15" ht="15.5" x14ac:dyDescent="0.35">
      <c r="A471" s="12"/>
      <c r="B471" s="12"/>
      <c r="C471" s="13"/>
      <c r="D471" s="12"/>
      <c r="E471" s="14"/>
      <c r="F471" s="1"/>
      <c r="G471" s="12"/>
      <c r="H471" s="12" t="str">
        <f t="shared" si="1"/>
        <v xml:space="preserve">    </v>
      </c>
      <c r="I471" s="6"/>
      <c r="J471" s="12"/>
      <c r="K471" s="12"/>
      <c r="L471" s="12"/>
      <c r="M471" s="12"/>
      <c r="N471" s="6"/>
      <c r="O471" s="6"/>
    </row>
    <row r="472" spans="1:15" ht="15.5" x14ac:dyDescent="0.35">
      <c r="A472" s="12"/>
      <c r="B472" s="12"/>
      <c r="C472" s="13"/>
      <c r="D472" s="12"/>
      <c r="E472" s="14"/>
      <c r="F472" s="1"/>
      <c r="G472" s="12"/>
      <c r="H472" s="12" t="str">
        <f t="shared" si="1"/>
        <v xml:space="preserve">    </v>
      </c>
      <c r="I472" s="6"/>
      <c r="J472" s="12"/>
      <c r="K472" s="12"/>
      <c r="L472" s="12"/>
      <c r="M472" s="12"/>
      <c r="N472" s="6"/>
      <c r="O472" s="6"/>
    </row>
    <row r="473" spans="1:15" ht="15.5" x14ac:dyDescent="0.35">
      <c r="A473" s="12"/>
      <c r="B473" s="12"/>
      <c r="C473" s="13"/>
      <c r="D473" s="12"/>
      <c r="E473" s="14"/>
      <c r="F473" s="1"/>
      <c r="G473" s="12"/>
      <c r="H473" s="12" t="str">
        <f t="shared" si="1"/>
        <v xml:space="preserve">    </v>
      </c>
      <c r="I473" s="6"/>
      <c r="J473" s="12"/>
      <c r="K473" s="12"/>
      <c r="L473" s="12"/>
      <c r="M473" s="12"/>
      <c r="N473" s="6"/>
      <c r="O473" s="6"/>
    </row>
    <row r="474" spans="1:15" ht="15.5" x14ac:dyDescent="0.35">
      <c r="A474" s="12"/>
      <c r="B474" s="12"/>
      <c r="C474" s="13"/>
      <c r="D474" s="12"/>
      <c r="E474" s="14"/>
      <c r="F474" s="1"/>
      <c r="G474" s="12"/>
      <c r="H474" s="12" t="str">
        <f t="shared" si="1"/>
        <v xml:space="preserve">    </v>
      </c>
      <c r="I474" s="6"/>
      <c r="J474" s="12"/>
      <c r="K474" s="12"/>
      <c r="L474" s="12"/>
      <c r="M474" s="12"/>
      <c r="N474" s="6"/>
      <c r="O474" s="6"/>
    </row>
    <row r="475" spans="1:15" ht="15.5" x14ac:dyDescent="0.35">
      <c r="A475" s="12"/>
      <c r="B475" s="12"/>
      <c r="C475" s="13"/>
      <c r="D475" s="12"/>
      <c r="E475" s="14"/>
      <c r="F475" s="1"/>
      <c r="G475" s="12"/>
      <c r="H475" s="12" t="str">
        <f t="shared" si="1"/>
        <v xml:space="preserve">    </v>
      </c>
      <c r="I475" s="6"/>
      <c r="J475" s="12"/>
      <c r="K475" s="12"/>
      <c r="L475" s="12"/>
      <c r="M475" s="12"/>
      <c r="N475" s="6"/>
      <c r="O475" s="6"/>
    </row>
    <row r="476" spans="1:15" ht="15.5" x14ac:dyDescent="0.35">
      <c r="A476" s="12"/>
      <c r="B476" s="12"/>
      <c r="C476" s="13"/>
      <c r="D476" s="12"/>
      <c r="E476" s="14"/>
      <c r="F476" s="1"/>
      <c r="G476" s="12"/>
      <c r="H476" s="12" t="str">
        <f t="shared" si="1"/>
        <v xml:space="preserve">    </v>
      </c>
      <c r="I476" s="6"/>
      <c r="J476" s="12"/>
      <c r="K476" s="12"/>
      <c r="L476" s="12"/>
      <c r="M476" s="12"/>
      <c r="N476" s="6"/>
      <c r="O476" s="6"/>
    </row>
    <row r="477" spans="1:15" ht="15.5" x14ac:dyDescent="0.35">
      <c r="A477" s="12"/>
      <c r="B477" s="12"/>
      <c r="C477" s="13"/>
      <c r="D477" s="12"/>
      <c r="E477" s="14"/>
      <c r="F477" s="1"/>
      <c r="G477" s="12"/>
      <c r="H477" s="12" t="str">
        <f t="shared" si="1"/>
        <v xml:space="preserve">    </v>
      </c>
      <c r="I477" s="6"/>
      <c r="J477" s="12"/>
      <c r="K477" s="12"/>
      <c r="L477" s="12"/>
      <c r="M477" s="12"/>
      <c r="N477" s="6"/>
      <c r="O477" s="6"/>
    </row>
    <row r="478" spans="1:15" ht="15.5" x14ac:dyDescent="0.35">
      <c r="A478" s="12"/>
      <c r="B478" s="12"/>
      <c r="C478" s="13"/>
      <c r="D478" s="12"/>
      <c r="E478" s="14"/>
      <c r="F478" s="1"/>
      <c r="G478" s="12"/>
      <c r="H478" s="12" t="str">
        <f t="shared" si="1"/>
        <v xml:space="preserve">    </v>
      </c>
      <c r="I478" s="6"/>
      <c r="J478" s="12"/>
      <c r="K478" s="12"/>
      <c r="L478" s="12"/>
      <c r="M478" s="12"/>
      <c r="N478" s="6"/>
      <c r="O478" s="6"/>
    </row>
    <row r="479" spans="1:15" ht="15.5" x14ac:dyDescent="0.35">
      <c r="A479" s="12"/>
      <c r="B479" s="12"/>
      <c r="C479" s="13"/>
      <c r="D479" s="12"/>
      <c r="E479" s="14"/>
      <c r="F479" s="1"/>
      <c r="G479" s="12"/>
      <c r="H479" s="12" t="str">
        <f t="shared" si="1"/>
        <v xml:space="preserve">    </v>
      </c>
      <c r="I479" s="6"/>
      <c r="J479" s="12"/>
      <c r="K479" s="12"/>
      <c r="L479" s="12"/>
      <c r="M479" s="12"/>
      <c r="N479" s="6"/>
      <c r="O479" s="6"/>
    </row>
    <row r="480" spans="1:15" ht="15.5" x14ac:dyDescent="0.35">
      <c r="A480" s="12"/>
      <c r="B480" s="12"/>
      <c r="C480" s="13"/>
      <c r="D480" s="12"/>
      <c r="E480" s="14"/>
      <c r="F480" s="1"/>
      <c r="G480" s="12"/>
      <c r="H480" s="12" t="str">
        <f t="shared" si="1"/>
        <v xml:space="preserve">    </v>
      </c>
      <c r="I480" s="6"/>
      <c r="J480" s="12"/>
      <c r="K480" s="12"/>
      <c r="L480" s="12"/>
      <c r="M480" s="12"/>
      <c r="N480" s="6"/>
      <c r="O480" s="6"/>
    </row>
    <row r="481" spans="1:15" ht="15.5" x14ac:dyDescent="0.35">
      <c r="A481" s="12"/>
      <c r="B481" s="12"/>
      <c r="C481" s="13"/>
      <c r="D481" s="12"/>
      <c r="E481" s="14"/>
      <c r="F481" s="1"/>
      <c r="G481" s="12"/>
      <c r="H481" s="12" t="str">
        <f t="shared" si="1"/>
        <v xml:space="preserve">    </v>
      </c>
      <c r="I481" s="6"/>
      <c r="J481" s="12"/>
      <c r="K481" s="12"/>
      <c r="L481" s="12"/>
      <c r="M481" s="12"/>
      <c r="N481" s="6"/>
      <c r="O481" s="6"/>
    </row>
    <row r="482" spans="1:15" ht="15.5" x14ac:dyDescent="0.35">
      <c r="A482" s="12"/>
      <c r="B482" s="12"/>
      <c r="C482" s="13"/>
      <c r="D482" s="12"/>
      <c r="E482" s="14"/>
      <c r="F482" s="1"/>
      <c r="G482" s="12"/>
      <c r="H482" s="12" t="str">
        <f t="shared" si="1"/>
        <v xml:space="preserve">    </v>
      </c>
      <c r="I482" s="6"/>
      <c r="J482" s="12"/>
      <c r="K482" s="12"/>
      <c r="L482" s="12"/>
      <c r="M482" s="12"/>
      <c r="N482" s="6"/>
      <c r="O482" s="6"/>
    </row>
    <row r="483" spans="1:15" ht="15.5" x14ac:dyDescent="0.35">
      <c r="A483" s="12"/>
      <c r="B483" s="12"/>
      <c r="C483" s="13"/>
      <c r="D483" s="12"/>
      <c r="E483" s="14"/>
      <c r="F483" s="1"/>
      <c r="G483" s="12"/>
      <c r="H483" s="12" t="str">
        <f t="shared" si="1"/>
        <v xml:space="preserve">    </v>
      </c>
      <c r="I483" s="6"/>
      <c r="J483" s="12"/>
      <c r="K483" s="12"/>
      <c r="L483" s="12"/>
      <c r="M483" s="12"/>
      <c r="N483" s="6"/>
      <c r="O483" s="6"/>
    </row>
    <row r="484" spans="1:15" ht="15.5" x14ac:dyDescent="0.35">
      <c r="A484" s="12"/>
      <c r="B484" s="12"/>
      <c r="C484" s="13"/>
      <c r="D484" s="12"/>
      <c r="E484" s="14"/>
      <c r="F484" s="1"/>
      <c r="G484" s="12"/>
      <c r="H484" s="12" t="str">
        <f t="shared" si="1"/>
        <v xml:space="preserve">    </v>
      </c>
      <c r="I484" s="6"/>
      <c r="J484" s="12"/>
      <c r="K484" s="12"/>
      <c r="L484" s="12"/>
      <c r="M484" s="12"/>
      <c r="N484" s="6"/>
      <c r="O484" s="6"/>
    </row>
    <row r="485" spans="1:15" ht="15.5" x14ac:dyDescent="0.35">
      <c r="A485" s="12"/>
      <c r="B485" s="12"/>
      <c r="C485" s="13"/>
      <c r="D485" s="12"/>
      <c r="E485" s="14"/>
      <c r="F485" s="1"/>
      <c r="G485" s="12"/>
      <c r="H485" s="12" t="str">
        <f t="shared" si="1"/>
        <v xml:space="preserve">    </v>
      </c>
      <c r="I485" s="6"/>
      <c r="J485" s="12"/>
      <c r="K485" s="12"/>
      <c r="L485" s="12"/>
      <c r="M485" s="12"/>
      <c r="N485" s="6"/>
      <c r="O485" s="6"/>
    </row>
    <row r="486" spans="1:15" ht="15.5" x14ac:dyDescent="0.35">
      <c r="A486" s="12"/>
      <c r="B486" s="12"/>
      <c r="C486" s="13"/>
      <c r="D486" s="12"/>
      <c r="E486" s="14"/>
      <c r="F486" s="1"/>
      <c r="G486" s="12"/>
      <c r="H486" s="12" t="str">
        <f t="shared" si="1"/>
        <v xml:space="preserve">    </v>
      </c>
      <c r="I486" s="6"/>
      <c r="J486" s="12"/>
      <c r="K486" s="12"/>
      <c r="L486" s="12"/>
      <c r="M486" s="12"/>
      <c r="N486" s="6"/>
      <c r="O486" s="6"/>
    </row>
    <row r="487" spans="1:15" ht="15.5" x14ac:dyDescent="0.35">
      <c r="A487" s="12"/>
      <c r="B487" s="12"/>
      <c r="C487" s="13"/>
      <c r="D487" s="12"/>
      <c r="E487" s="14"/>
      <c r="F487" s="1"/>
      <c r="G487" s="12"/>
      <c r="H487" s="12" t="str">
        <f t="shared" si="1"/>
        <v xml:space="preserve">    </v>
      </c>
      <c r="I487" s="6"/>
      <c r="J487" s="12"/>
      <c r="K487" s="12"/>
      <c r="L487" s="12"/>
      <c r="M487" s="12"/>
      <c r="N487" s="6"/>
      <c r="O487" s="6"/>
    </row>
    <row r="488" spans="1:15" ht="15.5" x14ac:dyDescent="0.35">
      <c r="A488" s="12"/>
      <c r="B488" s="12"/>
      <c r="C488" s="13"/>
      <c r="D488" s="12"/>
      <c r="E488" s="14"/>
      <c r="F488" s="1"/>
      <c r="G488" s="12"/>
      <c r="H488" s="12" t="str">
        <f t="shared" si="1"/>
        <v xml:space="preserve">    </v>
      </c>
      <c r="I488" s="6"/>
      <c r="J488" s="12"/>
      <c r="K488" s="12"/>
      <c r="L488" s="12"/>
      <c r="M488" s="12"/>
      <c r="N488" s="6"/>
      <c r="O488" s="6"/>
    </row>
    <row r="489" spans="1:15" ht="15.5" x14ac:dyDescent="0.35">
      <c r="A489" s="12"/>
      <c r="B489" s="12"/>
      <c r="C489" s="13"/>
      <c r="D489" s="12"/>
      <c r="E489" s="14"/>
      <c r="F489" s="1"/>
      <c r="G489" s="12"/>
      <c r="H489" s="12" t="str">
        <f t="shared" si="1"/>
        <v xml:space="preserve">    </v>
      </c>
      <c r="I489" s="6"/>
      <c r="J489" s="12"/>
      <c r="K489" s="12"/>
      <c r="L489" s="12"/>
      <c r="M489" s="12"/>
      <c r="N489" s="6"/>
      <c r="O489" s="6"/>
    </row>
    <row r="490" spans="1:15" ht="15.5" x14ac:dyDescent="0.35">
      <c r="A490" s="12"/>
      <c r="B490" s="12"/>
      <c r="C490" s="13"/>
      <c r="D490" s="12"/>
      <c r="E490" s="14"/>
      <c r="F490" s="1"/>
      <c r="G490" s="12"/>
      <c r="H490" s="12" t="str">
        <f t="shared" si="1"/>
        <v xml:space="preserve">    </v>
      </c>
      <c r="I490" s="6"/>
      <c r="J490" s="12"/>
      <c r="K490" s="12"/>
      <c r="L490" s="12"/>
      <c r="M490" s="12"/>
      <c r="N490" s="6"/>
      <c r="O490" s="6"/>
    </row>
    <row r="491" spans="1:15" ht="15.5" x14ac:dyDescent="0.35">
      <c r="A491" s="12"/>
      <c r="B491" s="12"/>
      <c r="C491" s="13"/>
      <c r="D491" s="12"/>
      <c r="E491" s="14"/>
      <c r="F491" s="1"/>
      <c r="G491" s="12"/>
      <c r="H491" s="12" t="str">
        <f t="shared" si="1"/>
        <v xml:space="preserve">    </v>
      </c>
      <c r="I491" s="6"/>
      <c r="J491" s="12"/>
      <c r="K491" s="12"/>
      <c r="L491" s="12"/>
      <c r="M491" s="12"/>
      <c r="N491" s="6"/>
      <c r="O491" s="6"/>
    </row>
    <row r="492" spans="1:15" ht="15.5" x14ac:dyDescent="0.35">
      <c r="A492" s="12"/>
      <c r="B492" s="12"/>
      <c r="C492" s="13"/>
      <c r="D492" s="12"/>
      <c r="E492" s="14"/>
      <c r="F492" s="1"/>
      <c r="G492" s="12"/>
      <c r="H492" s="12" t="str">
        <f t="shared" si="1"/>
        <v xml:space="preserve">    </v>
      </c>
      <c r="I492" s="6"/>
      <c r="J492" s="12"/>
      <c r="K492" s="12"/>
      <c r="L492" s="12"/>
      <c r="M492" s="12"/>
      <c r="N492" s="6"/>
      <c r="O492" s="6"/>
    </row>
    <row r="493" spans="1:15" ht="15.5" x14ac:dyDescent="0.35">
      <c r="A493" s="12"/>
      <c r="B493" s="12"/>
      <c r="C493" s="13"/>
      <c r="D493" s="12"/>
      <c r="E493" s="14"/>
      <c r="F493" s="1"/>
      <c r="G493" s="12"/>
      <c r="H493" s="12" t="str">
        <f t="shared" si="1"/>
        <v xml:space="preserve">    </v>
      </c>
      <c r="I493" s="6"/>
      <c r="J493" s="12"/>
      <c r="K493" s="12"/>
      <c r="L493" s="12"/>
      <c r="M493" s="12"/>
      <c r="N493" s="6"/>
      <c r="O493" s="6"/>
    </row>
    <row r="494" spans="1:15" ht="15.5" x14ac:dyDescent="0.35">
      <c r="A494" s="12"/>
      <c r="B494" s="12"/>
      <c r="C494" s="13"/>
      <c r="D494" s="12"/>
      <c r="E494" s="14"/>
      <c r="F494" s="1"/>
      <c r="G494" s="12"/>
      <c r="H494" s="12" t="str">
        <f t="shared" si="1"/>
        <v xml:space="preserve">    </v>
      </c>
      <c r="I494" s="6"/>
      <c r="J494" s="12"/>
      <c r="K494" s="12"/>
      <c r="L494" s="12"/>
      <c r="M494" s="12"/>
      <c r="N494" s="6"/>
      <c r="O494" s="6"/>
    </row>
    <row r="495" spans="1:15" ht="15.5" x14ac:dyDescent="0.35">
      <c r="A495" s="12"/>
      <c r="B495" s="12"/>
      <c r="C495" s="13"/>
      <c r="D495" s="12"/>
      <c r="E495" s="14"/>
      <c r="F495" s="1"/>
      <c r="G495" s="12"/>
      <c r="H495" s="12" t="str">
        <f t="shared" si="1"/>
        <v xml:space="preserve">    </v>
      </c>
      <c r="I495" s="6"/>
      <c r="J495" s="12"/>
      <c r="K495" s="12"/>
      <c r="L495" s="12"/>
      <c r="M495" s="12"/>
      <c r="N495" s="6"/>
      <c r="O495" s="6"/>
    </row>
    <row r="496" spans="1:15" ht="15.5" x14ac:dyDescent="0.35">
      <c r="A496" s="12"/>
      <c r="B496" s="12"/>
      <c r="C496" s="13"/>
      <c r="D496" s="12"/>
      <c r="E496" s="14"/>
      <c r="F496" s="1"/>
      <c r="G496" s="12"/>
      <c r="H496" s="12" t="str">
        <f t="shared" si="1"/>
        <v xml:space="preserve">    </v>
      </c>
      <c r="I496" s="6"/>
      <c r="J496" s="12"/>
      <c r="K496" s="12"/>
      <c r="L496" s="12"/>
      <c r="M496" s="12"/>
      <c r="N496" s="6"/>
      <c r="O496" s="6"/>
    </row>
    <row r="497" spans="1:15" ht="15.5" x14ac:dyDescent="0.35">
      <c r="A497" s="12"/>
      <c r="B497" s="12"/>
      <c r="C497" s="13"/>
      <c r="D497" s="12"/>
      <c r="E497" s="14"/>
      <c r="F497" s="1"/>
      <c r="G497" s="12"/>
      <c r="H497" s="12" t="str">
        <f t="shared" si="1"/>
        <v xml:space="preserve">    </v>
      </c>
      <c r="I497" s="6"/>
      <c r="J497" s="12"/>
      <c r="K497" s="12"/>
      <c r="L497" s="12"/>
      <c r="M497" s="12"/>
      <c r="N497" s="6"/>
      <c r="O497" s="6"/>
    </row>
    <row r="498" spans="1:15" ht="15.5" x14ac:dyDescent="0.35">
      <c r="A498" s="12"/>
      <c r="B498" s="12"/>
      <c r="C498" s="13"/>
      <c r="D498" s="12"/>
      <c r="E498" s="14"/>
      <c r="F498" s="1"/>
      <c r="G498" s="12"/>
      <c r="H498" s="12" t="str">
        <f t="shared" si="1"/>
        <v xml:space="preserve">    </v>
      </c>
      <c r="I498" s="6"/>
      <c r="J498" s="12"/>
      <c r="K498" s="12"/>
      <c r="L498" s="12"/>
      <c r="M498" s="12"/>
      <c r="N498" s="6"/>
      <c r="O498" s="6"/>
    </row>
    <row r="499" spans="1:15" ht="15.5" x14ac:dyDescent="0.35">
      <c r="A499" s="12"/>
      <c r="B499" s="12"/>
      <c r="C499" s="13"/>
      <c r="D499" s="12"/>
      <c r="E499" s="14"/>
      <c r="F499" s="1"/>
      <c r="G499" s="12"/>
      <c r="H499" s="12" t="str">
        <f t="shared" si="1"/>
        <v xml:space="preserve">    </v>
      </c>
      <c r="I499" s="6"/>
      <c r="J499" s="12"/>
      <c r="K499" s="12"/>
      <c r="L499" s="12"/>
      <c r="M499" s="12"/>
      <c r="N499" s="6"/>
      <c r="O499" s="6"/>
    </row>
    <row r="500" spans="1:15" ht="15.5" x14ac:dyDescent="0.35">
      <c r="A500" s="12"/>
      <c r="B500" s="12"/>
      <c r="C500" s="13"/>
      <c r="D500" s="12"/>
      <c r="E500" s="14"/>
      <c r="F500" s="1"/>
      <c r="G500" s="12"/>
      <c r="H500" s="12" t="str">
        <f t="shared" si="1"/>
        <v xml:space="preserve">    </v>
      </c>
      <c r="I500" s="6"/>
      <c r="J500" s="12"/>
      <c r="K500" s="12"/>
      <c r="L500" s="12"/>
      <c r="M500" s="12"/>
      <c r="N500" s="6"/>
      <c r="O500" s="6"/>
    </row>
    <row r="501" spans="1:15" ht="15.5" x14ac:dyDescent="0.35">
      <c r="A501" s="12"/>
      <c r="B501" s="12"/>
      <c r="C501" s="13"/>
      <c r="D501" s="12"/>
      <c r="E501" s="14"/>
      <c r="F501" s="1"/>
      <c r="G501" s="12"/>
      <c r="H501" s="12" t="str">
        <f t="shared" si="1"/>
        <v xml:space="preserve">    </v>
      </c>
      <c r="I501" s="6"/>
      <c r="J501" s="12"/>
      <c r="K501" s="12"/>
      <c r="L501" s="12"/>
      <c r="M501" s="12"/>
      <c r="N501" s="6"/>
      <c r="O501" s="6"/>
    </row>
    <row r="502" spans="1:15" ht="15.5" x14ac:dyDescent="0.35">
      <c r="A502" s="12"/>
      <c r="B502" s="12"/>
      <c r="C502" s="13"/>
      <c r="D502" s="12"/>
      <c r="E502" s="14"/>
      <c r="F502" s="1"/>
      <c r="G502" s="12"/>
      <c r="H502" s="12" t="str">
        <f t="shared" si="1"/>
        <v xml:space="preserve">    </v>
      </c>
      <c r="I502" s="6"/>
      <c r="J502" s="12"/>
      <c r="K502" s="12"/>
      <c r="L502" s="12"/>
      <c r="M502" s="12"/>
      <c r="N502" s="6"/>
      <c r="O502" s="6"/>
    </row>
    <row r="503" spans="1:15" ht="15.5" x14ac:dyDescent="0.35">
      <c r="A503" s="12"/>
      <c r="B503" s="12"/>
      <c r="C503" s="13"/>
      <c r="D503" s="12"/>
      <c r="E503" s="14"/>
      <c r="F503" s="1"/>
      <c r="G503" s="12"/>
      <c r="H503" s="12" t="str">
        <f t="shared" si="1"/>
        <v xml:space="preserve">    </v>
      </c>
      <c r="I503" s="6"/>
      <c r="J503" s="12"/>
      <c r="K503" s="12"/>
      <c r="L503" s="12"/>
      <c r="M503" s="12"/>
      <c r="N503" s="6"/>
      <c r="O503" s="6"/>
    </row>
    <row r="504" spans="1:15" ht="15.5" x14ac:dyDescent="0.35">
      <c r="A504" s="12"/>
      <c r="B504" s="12"/>
      <c r="C504" s="13"/>
      <c r="D504" s="12"/>
      <c r="E504" s="14"/>
      <c r="F504" s="1"/>
      <c r="G504" s="12"/>
      <c r="H504" s="12" t="str">
        <f t="shared" si="1"/>
        <v xml:space="preserve">    </v>
      </c>
      <c r="I504" s="6"/>
      <c r="J504" s="12"/>
      <c r="K504" s="12"/>
      <c r="L504" s="12"/>
      <c r="M504" s="12"/>
      <c r="N504" s="6"/>
      <c r="O504" s="6"/>
    </row>
    <row r="505" spans="1:15" ht="15.5" x14ac:dyDescent="0.35">
      <c r="A505" s="12"/>
      <c r="B505" s="12"/>
      <c r="C505" s="13"/>
      <c r="D505" s="12"/>
      <c r="E505" s="14"/>
      <c r="F505" s="1"/>
      <c r="G505" s="12"/>
      <c r="H505" s="12" t="str">
        <f t="shared" si="1"/>
        <v xml:space="preserve">    </v>
      </c>
      <c r="I505" s="6"/>
      <c r="J505" s="12"/>
      <c r="K505" s="12"/>
      <c r="L505" s="12"/>
      <c r="M505" s="12"/>
      <c r="N505" s="6"/>
      <c r="O505" s="6"/>
    </row>
    <row r="506" spans="1:15" ht="15.5" x14ac:dyDescent="0.35">
      <c r="A506" s="12"/>
      <c r="B506" s="12"/>
      <c r="C506" s="13"/>
      <c r="D506" s="12"/>
      <c r="E506" s="14"/>
      <c r="F506" s="1"/>
      <c r="G506" s="12"/>
      <c r="H506" s="12" t="str">
        <f t="shared" si="1"/>
        <v xml:space="preserve">    </v>
      </c>
      <c r="I506" s="6"/>
      <c r="J506" s="12"/>
      <c r="K506" s="12"/>
      <c r="L506" s="12"/>
      <c r="M506" s="12"/>
      <c r="N506" s="6"/>
      <c r="O506" s="6"/>
    </row>
    <row r="507" spans="1:15" ht="15.5" x14ac:dyDescent="0.35">
      <c r="A507" s="12"/>
      <c r="B507" s="12"/>
      <c r="C507" s="13"/>
      <c r="D507" s="12"/>
      <c r="E507" s="14"/>
      <c r="F507" s="1"/>
      <c r="G507" s="12"/>
      <c r="H507" s="12" t="str">
        <f t="shared" si="1"/>
        <v xml:space="preserve">    </v>
      </c>
      <c r="I507" s="6"/>
      <c r="J507" s="12"/>
      <c r="K507" s="12"/>
      <c r="L507" s="12"/>
      <c r="M507" s="12"/>
      <c r="N507" s="6"/>
      <c r="O507" s="6"/>
    </row>
    <row r="508" spans="1:15" ht="15.5" x14ac:dyDescent="0.35">
      <c r="A508" s="12"/>
      <c r="B508" s="12"/>
      <c r="C508" s="13"/>
      <c r="D508" s="12"/>
      <c r="E508" s="14"/>
      <c r="F508" s="1"/>
      <c r="G508" s="12"/>
      <c r="H508" s="12" t="str">
        <f t="shared" si="1"/>
        <v xml:space="preserve">    </v>
      </c>
      <c r="I508" s="6"/>
      <c r="J508" s="12"/>
      <c r="K508" s="12"/>
      <c r="L508" s="12"/>
      <c r="M508" s="12"/>
      <c r="N508" s="6"/>
      <c r="O508" s="6"/>
    </row>
    <row r="509" spans="1:15" ht="15.5" x14ac:dyDescent="0.35">
      <c r="A509" s="12"/>
      <c r="B509" s="12"/>
      <c r="C509" s="13"/>
      <c r="D509" s="12"/>
      <c r="E509" s="14"/>
      <c r="F509" s="1"/>
      <c r="G509" s="12"/>
      <c r="H509" s="12" t="str">
        <f t="shared" si="1"/>
        <v xml:space="preserve">    </v>
      </c>
      <c r="I509" s="6"/>
      <c r="J509" s="12"/>
      <c r="K509" s="12"/>
      <c r="L509" s="12"/>
      <c r="M509" s="12"/>
      <c r="N509" s="6"/>
      <c r="O509" s="6"/>
    </row>
    <row r="510" spans="1:15" ht="15.5" x14ac:dyDescent="0.35">
      <c r="A510" s="12"/>
      <c r="B510" s="12"/>
      <c r="C510" s="13"/>
      <c r="D510" s="12"/>
      <c r="E510" s="14"/>
      <c r="F510" s="1"/>
      <c r="G510" s="12"/>
      <c r="H510" s="12" t="str">
        <f t="shared" si="1"/>
        <v xml:space="preserve">    </v>
      </c>
      <c r="I510" s="6"/>
      <c r="J510" s="12"/>
      <c r="K510" s="12"/>
      <c r="L510" s="12"/>
      <c r="M510" s="12"/>
      <c r="N510" s="6"/>
      <c r="O510" s="6"/>
    </row>
    <row r="511" spans="1:15" ht="15.5" x14ac:dyDescent="0.35">
      <c r="A511" s="12"/>
      <c r="B511" s="12"/>
      <c r="C511" s="13"/>
      <c r="D511" s="12"/>
      <c r="E511" s="14"/>
      <c r="F511" s="1"/>
      <c r="G511" s="12"/>
      <c r="H511" s="12" t="str">
        <f t="shared" si="1"/>
        <v xml:space="preserve">    </v>
      </c>
      <c r="I511" s="6"/>
      <c r="J511" s="12"/>
      <c r="K511" s="12"/>
      <c r="L511" s="12"/>
      <c r="M511" s="12"/>
      <c r="N511" s="6"/>
      <c r="O511" s="6"/>
    </row>
    <row r="512" spans="1:15" ht="15.5" x14ac:dyDescent="0.35">
      <c r="A512" s="12"/>
      <c r="B512" s="12"/>
      <c r="C512" s="13"/>
      <c r="D512" s="12"/>
      <c r="E512" s="14"/>
      <c r="F512" s="1"/>
      <c r="G512" s="12"/>
      <c r="H512" s="12" t="str">
        <f t="shared" ref="H512:H766" si="2">(E512&amp;"  "&amp;F512&amp;"  "&amp;G512)</f>
        <v xml:space="preserve">    </v>
      </c>
      <c r="I512" s="6"/>
      <c r="J512" s="12"/>
      <c r="K512" s="12"/>
      <c r="L512" s="12"/>
      <c r="M512" s="12"/>
      <c r="N512" s="6"/>
      <c r="O512" s="6"/>
    </row>
    <row r="513" spans="1:15" ht="15.5" x14ac:dyDescent="0.35">
      <c r="A513" s="12"/>
      <c r="B513" s="12"/>
      <c r="C513" s="13"/>
      <c r="D513" s="12"/>
      <c r="E513" s="14"/>
      <c r="F513" s="1"/>
      <c r="G513" s="12"/>
      <c r="H513" s="12" t="str">
        <f t="shared" si="2"/>
        <v xml:space="preserve">    </v>
      </c>
      <c r="I513" s="6"/>
      <c r="J513" s="12"/>
      <c r="K513" s="12"/>
      <c r="L513" s="12"/>
      <c r="M513" s="12"/>
      <c r="N513" s="6"/>
      <c r="O513" s="6"/>
    </row>
    <row r="514" spans="1:15" ht="15.5" x14ac:dyDescent="0.35">
      <c r="A514" s="12"/>
      <c r="B514" s="12"/>
      <c r="C514" s="13"/>
      <c r="D514" s="12"/>
      <c r="E514" s="14"/>
      <c r="F514" s="1"/>
      <c r="G514" s="12"/>
      <c r="H514" s="12" t="str">
        <f t="shared" si="2"/>
        <v xml:space="preserve">    </v>
      </c>
      <c r="I514" s="6"/>
      <c r="J514" s="12"/>
      <c r="K514" s="12"/>
      <c r="L514" s="12"/>
      <c r="M514" s="12"/>
      <c r="N514" s="6"/>
      <c r="O514" s="6"/>
    </row>
    <row r="515" spans="1:15" ht="15.5" x14ac:dyDescent="0.35">
      <c r="A515" s="12"/>
      <c r="B515" s="12"/>
      <c r="C515" s="13"/>
      <c r="D515" s="12"/>
      <c r="E515" s="14"/>
      <c r="F515" s="1"/>
      <c r="G515" s="12"/>
      <c r="H515" s="12" t="str">
        <f t="shared" si="2"/>
        <v xml:space="preserve">    </v>
      </c>
      <c r="I515" s="6"/>
      <c r="J515" s="12"/>
      <c r="K515" s="12"/>
      <c r="L515" s="12"/>
      <c r="M515" s="12"/>
      <c r="N515" s="6"/>
      <c r="O515" s="6"/>
    </row>
    <row r="516" spans="1:15" ht="15.5" x14ac:dyDescent="0.35">
      <c r="A516" s="12"/>
      <c r="B516" s="12"/>
      <c r="C516" s="13"/>
      <c r="D516" s="12"/>
      <c r="E516" s="14"/>
      <c r="F516" s="1"/>
      <c r="G516" s="12"/>
      <c r="H516" s="12" t="str">
        <f t="shared" si="2"/>
        <v xml:space="preserve">    </v>
      </c>
      <c r="I516" s="6"/>
      <c r="J516" s="12"/>
      <c r="K516" s="12"/>
      <c r="L516" s="12"/>
      <c r="M516" s="12"/>
      <c r="N516" s="6"/>
      <c r="O516" s="6"/>
    </row>
    <row r="517" spans="1:15" ht="15.5" x14ac:dyDescent="0.35">
      <c r="A517" s="12"/>
      <c r="B517" s="12"/>
      <c r="C517" s="13"/>
      <c r="D517" s="12"/>
      <c r="E517" s="14"/>
      <c r="F517" s="1"/>
      <c r="G517" s="12"/>
      <c r="H517" s="12" t="str">
        <f t="shared" si="2"/>
        <v xml:space="preserve">    </v>
      </c>
      <c r="I517" s="6"/>
      <c r="J517" s="12"/>
      <c r="K517" s="12"/>
      <c r="L517" s="12"/>
      <c r="M517" s="12"/>
      <c r="N517" s="6"/>
      <c r="O517" s="6"/>
    </row>
    <row r="518" spans="1:15" ht="15.5" x14ac:dyDescent="0.35">
      <c r="A518" s="12"/>
      <c r="B518" s="12"/>
      <c r="C518" s="13"/>
      <c r="D518" s="12"/>
      <c r="E518" s="14"/>
      <c r="F518" s="1"/>
      <c r="G518" s="12"/>
      <c r="H518" s="12" t="str">
        <f t="shared" si="2"/>
        <v xml:space="preserve">    </v>
      </c>
      <c r="I518" s="6"/>
      <c r="J518" s="12"/>
      <c r="K518" s="12"/>
      <c r="L518" s="12"/>
      <c r="M518" s="12"/>
      <c r="N518" s="6"/>
      <c r="O518" s="6"/>
    </row>
    <row r="519" spans="1:15" ht="15.5" x14ac:dyDescent="0.35">
      <c r="A519" s="12"/>
      <c r="B519" s="12"/>
      <c r="C519" s="13"/>
      <c r="D519" s="12"/>
      <c r="E519" s="14"/>
      <c r="F519" s="1"/>
      <c r="G519" s="12"/>
      <c r="H519" s="12" t="str">
        <f t="shared" si="2"/>
        <v xml:space="preserve">    </v>
      </c>
      <c r="I519" s="6"/>
      <c r="J519" s="12"/>
      <c r="K519" s="12"/>
      <c r="L519" s="12"/>
      <c r="M519" s="12"/>
      <c r="N519" s="6"/>
      <c r="O519" s="6"/>
    </row>
    <row r="520" spans="1:15" ht="15.5" x14ac:dyDescent="0.35">
      <c r="A520" s="12"/>
      <c r="B520" s="12"/>
      <c r="C520" s="13"/>
      <c r="D520" s="12"/>
      <c r="E520" s="14"/>
      <c r="F520" s="1"/>
      <c r="G520" s="12"/>
      <c r="H520" s="12" t="str">
        <f t="shared" si="2"/>
        <v xml:space="preserve">    </v>
      </c>
      <c r="I520" s="6"/>
      <c r="J520" s="12"/>
      <c r="K520" s="12"/>
      <c r="L520" s="12"/>
      <c r="M520" s="12"/>
      <c r="N520" s="6"/>
      <c r="O520" s="6"/>
    </row>
    <row r="521" spans="1:15" ht="15.5" x14ac:dyDescent="0.35">
      <c r="A521" s="12"/>
      <c r="B521" s="12"/>
      <c r="C521" s="13"/>
      <c r="D521" s="12"/>
      <c r="E521" s="14"/>
      <c r="F521" s="1"/>
      <c r="G521" s="12"/>
      <c r="H521" s="12" t="str">
        <f t="shared" si="2"/>
        <v xml:space="preserve">    </v>
      </c>
      <c r="I521" s="6"/>
      <c r="J521" s="12"/>
      <c r="K521" s="12"/>
      <c r="L521" s="12"/>
      <c r="M521" s="12"/>
      <c r="N521" s="6"/>
      <c r="O521" s="6"/>
    </row>
    <row r="522" spans="1:15" ht="15.5" x14ac:dyDescent="0.35">
      <c r="A522" s="12"/>
      <c r="B522" s="12"/>
      <c r="C522" s="13"/>
      <c r="D522" s="12"/>
      <c r="E522" s="14"/>
      <c r="F522" s="1"/>
      <c r="G522" s="12"/>
      <c r="H522" s="12" t="str">
        <f t="shared" si="2"/>
        <v xml:space="preserve">    </v>
      </c>
      <c r="I522" s="6"/>
      <c r="J522" s="12"/>
      <c r="K522" s="12"/>
      <c r="L522" s="12"/>
      <c r="M522" s="12"/>
      <c r="N522" s="6"/>
      <c r="O522" s="6"/>
    </row>
    <row r="523" spans="1:15" ht="15.5" x14ac:dyDescent="0.35">
      <c r="A523" s="12"/>
      <c r="B523" s="12"/>
      <c r="C523" s="13"/>
      <c r="D523" s="12"/>
      <c r="E523" s="14"/>
      <c r="F523" s="1"/>
      <c r="G523" s="12"/>
      <c r="H523" s="12" t="str">
        <f t="shared" si="2"/>
        <v xml:space="preserve">    </v>
      </c>
      <c r="I523" s="6"/>
      <c r="J523" s="12"/>
      <c r="K523" s="12"/>
      <c r="L523" s="12"/>
      <c r="M523" s="12"/>
      <c r="N523" s="6"/>
      <c r="O523" s="6"/>
    </row>
    <row r="524" spans="1:15" ht="15.5" x14ac:dyDescent="0.35">
      <c r="A524" s="12"/>
      <c r="B524" s="12"/>
      <c r="C524" s="13"/>
      <c r="D524" s="12"/>
      <c r="E524" s="14"/>
      <c r="F524" s="1"/>
      <c r="G524" s="12"/>
      <c r="H524" s="12" t="str">
        <f t="shared" si="2"/>
        <v xml:space="preserve">    </v>
      </c>
      <c r="I524" s="6"/>
      <c r="J524" s="12"/>
      <c r="K524" s="12"/>
      <c r="L524" s="12"/>
      <c r="M524" s="12"/>
      <c r="N524" s="6"/>
      <c r="O524" s="6"/>
    </row>
    <row r="525" spans="1:15" ht="15.5" x14ac:dyDescent="0.35">
      <c r="A525" s="12"/>
      <c r="B525" s="12"/>
      <c r="C525" s="13"/>
      <c r="D525" s="12"/>
      <c r="E525" s="14"/>
      <c r="F525" s="1"/>
      <c r="G525" s="12"/>
      <c r="H525" s="12" t="str">
        <f t="shared" si="2"/>
        <v xml:space="preserve">    </v>
      </c>
      <c r="I525" s="6"/>
      <c r="J525" s="12"/>
      <c r="K525" s="12"/>
      <c r="L525" s="12"/>
      <c r="M525" s="12"/>
      <c r="N525" s="6"/>
      <c r="O525" s="6"/>
    </row>
    <row r="526" spans="1:15" ht="15.5" x14ac:dyDescent="0.35">
      <c r="A526" s="12"/>
      <c r="B526" s="12"/>
      <c r="C526" s="13"/>
      <c r="D526" s="12"/>
      <c r="E526" s="14"/>
      <c r="F526" s="1"/>
      <c r="G526" s="12"/>
      <c r="H526" s="12" t="str">
        <f t="shared" si="2"/>
        <v xml:space="preserve">    </v>
      </c>
      <c r="I526" s="6"/>
      <c r="J526" s="12"/>
      <c r="K526" s="12"/>
      <c r="L526" s="12"/>
      <c r="M526" s="12"/>
      <c r="N526" s="6"/>
      <c r="O526" s="6"/>
    </row>
    <row r="527" spans="1:15" ht="15.5" x14ac:dyDescent="0.35">
      <c r="A527" s="12"/>
      <c r="B527" s="12"/>
      <c r="C527" s="13"/>
      <c r="D527" s="12"/>
      <c r="E527" s="14"/>
      <c r="F527" s="1"/>
      <c r="G527" s="12"/>
      <c r="H527" s="12" t="str">
        <f t="shared" si="2"/>
        <v xml:space="preserve">    </v>
      </c>
      <c r="I527" s="6"/>
      <c r="J527" s="12"/>
      <c r="K527" s="12"/>
      <c r="L527" s="12"/>
      <c r="M527" s="12"/>
      <c r="N527" s="6"/>
      <c r="O527" s="6"/>
    </row>
    <row r="528" spans="1:15" ht="15.5" x14ac:dyDescent="0.35">
      <c r="A528" s="12"/>
      <c r="B528" s="12"/>
      <c r="C528" s="13"/>
      <c r="D528" s="12"/>
      <c r="E528" s="14"/>
      <c r="F528" s="1"/>
      <c r="G528" s="12"/>
      <c r="H528" s="12" t="str">
        <f t="shared" si="2"/>
        <v xml:space="preserve">    </v>
      </c>
      <c r="I528" s="6"/>
      <c r="J528" s="12"/>
      <c r="K528" s="12"/>
      <c r="L528" s="12"/>
      <c r="M528" s="12"/>
      <c r="N528" s="6"/>
      <c r="O528" s="6"/>
    </row>
    <row r="529" spans="1:15" ht="15.5" x14ac:dyDescent="0.35">
      <c r="A529" s="12"/>
      <c r="B529" s="12"/>
      <c r="C529" s="13"/>
      <c r="D529" s="12"/>
      <c r="E529" s="14"/>
      <c r="F529" s="1"/>
      <c r="G529" s="12"/>
      <c r="H529" s="12" t="str">
        <f t="shared" si="2"/>
        <v xml:space="preserve">    </v>
      </c>
      <c r="I529" s="6"/>
      <c r="J529" s="12"/>
      <c r="K529" s="12"/>
      <c r="L529" s="12"/>
      <c r="M529" s="12"/>
      <c r="N529" s="6"/>
      <c r="O529" s="6"/>
    </row>
    <row r="530" spans="1:15" ht="15.5" x14ac:dyDescent="0.35">
      <c r="A530" s="12"/>
      <c r="B530" s="12"/>
      <c r="C530" s="13"/>
      <c r="D530" s="12"/>
      <c r="E530" s="14"/>
      <c r="F530" s="1"/>
      <c r="G530" s="12"/>
      <c r="H530" s="12" t="str">
        <f t="shared" si="2"/>
        <v xml:space="preserve">    </v>
      </c>
      <c r="I530" s="6"/>
      <c r="J530" s="12"/>
      <c r="K530" s="12"/>
      <c r="L530" s="12"/>
      <c r="M530" s="12"/>
      <c r="N530" s="6"/>
      <c r="O530" s="6"/>
    </row>
    <row r="531" spans="1:15" ht="15.5" x14ac:dyDescent="0.35">
      <c r="A531" s="12"/>
      <c r="B531" s="12"/>
      <c r="C531" s="13"/>
      <c r="D531" s="12"/>
      <c r="E531" s="14"/>
      <c r="F531" s="1"/>
      <c r="G531" s="12"/>
      <c r="H531" s="12" t="str">
        <f t="shared" si="2"/>
        <v xml:space="preserve">    </v>
      </c>
      <c r="I531" s="6"/>
      <c r="J531" s="12"/>
      <c r="K531" s="12"/>
      <c r="L531" s="12"/>
      <c r="M531" s="12"/>
      <c r="N531" s="6"/>
      <c r="O531" s="6"/>
    </row>
    <row r="532" spans="1:15" ht="15.5" x14ac:dyDescent="0.35">
      <c r="A532" s="12"/>
      <c r="B532" s="12"/>
      <c r="C532" s="13"/>
      <c r="D532" s="12"/>
      <c r="E532" s="14"/>
      <c r="F532" s="1"/>
      <c r="G532" s="12"/>
      <c r="H532" s="12" t="str">
        <f t="shared" si="2"/>
        <v xml:space="preserve">    </v>
      </c>
      <c r="I532" s="6"/>
      <c r="J532" s="12"/>
      <c r="K532" s="12"/>
      <c r="L532" s="12"/>
      <c r="M532" s="12"/>
      <c r="N532" s="6"/>
      <c r="O532" s="6"/>
    </row>
    <row r="533" spans="1:15" ht="15.5" x14ac:dyDescent="0.35">
      <c r="A533" s="12"/>
      <c r="B533" s="12"/>
      <c r="C533" s="13"/>
      <c r="D533" s="12"/>
      <c r="E533" s="14"/>
      <c r="F533" s="1"/>
      <c r="G533" s="12"/>
      <c r="H533" s="12" t="str">
        <f t="shared" si="2"/>
        <v xml:space="preserve">    </v>
      </c>
      <c r="I533" s="6"/>
      <c r="J533" s="12"/>
      <c r="K533" s="12"/>
      <c r="L533" s="12"/>
      <c r="M533" s="12"/>
      <c r="N533" s="6"/>
      <c r="O533" s="6"/>
    </row>
    <row r="534" spans="1:15" ht="15.5" x14ac:dyDescent="0.35">
      <c r="A534" s="12"/>
      <c r="B534" s="12"/>
      <c r="C534" s="13"/>
      <c r="D534" s="12"/>
      <c r="E534" s="14"/>
      <c r="F534" s="1"/>
      <c r="G534" s="12"/>
      <c r="H534" s="12" t="str">
        <f t="shared" si="2"/>
        <v xml:space="preserve">    </v>
      </c>
      <c r="I534" s="6"/>
      <c r="J534" s="12"/>
      <c r="K534" s="12"/>
      <c r="L534" s="12"/>
      <c r="M534" s="12"/>
      <c r="N534" s="6"/>
      <c r="O534" s="6"/>
    </row>
    <row r="535" spans="1:15" ht="15.5" x14ac:dyDescent="0.35">
      <c r="A535" s="12"/>
      <c r="B535" s="12"/>
      <c r="C535" s="13"/>
      <c r="D535" s="12"/>
      <c r="E535" s="14"/>
      <c r="F535" s="1"/>
      <c r="G535" s="12"/>
      <c r="H535" s="12" t="str">
        <f t="shared" si="2"/>
        <v xml:space="preserve">    </v>
      </c>
      <c r="I535" s="6"/>
      <c r="J535" s="12"/>
      <c r="K535" s="12"/>
      <c r="L535" s="12"/>
      <c r="M535" s="12"/>
      <c r="N535" s="6"/>
      <c r="O535" s="6"/>
    </row>
    <row r="536" spans="1:15" ht="15.5" x14ac:dyDescent="0.35">
      <c r="A536" s="12"/>
      <c r="B536" s="12"/>
      <c r="C536" s="13"/>
      <c r="D536" s="12"/>
      <c r="E536" s="14"/>
      <c r="F536" s="1"/>
      <c r="G536" s="12"/>
      <c r="H536" s="12" t="str">
        <f t="shared" si="2"/>
        <v xml:space="preserve">    </v>
      </c>
      <c r="I536" s="6"/>
      <c r="J536" s="12"/>
      <c r="K536" s="12"/>
      <c r="L536" s="12"/>
      <c r="M536" s="12"/>
      <c r="N536" s="6"/>
      <c r="O536" s="6"/>
    </row>
    <row r="537" spans="1:15" ht="15.5" x14ac:dyDescent="0.35">
      <c r="A537" s="12"/>
      <c r="B537" s="12"/>
      <c r="C537" s="13"/>
      <c r="D537" s="12"/>
      <c r="E537" s="14"/>
      <c r="F537" s="1"/>
      <c r="G537" s="12"/>
      <c r="H537" s="12" t="str">
        <f t="shared" si="2"/>
        <v xml:space="preserve">    </v>
      </c>
      <c r="I537" s="6"/>
      <c r="J537" s="12"/>
      <c r="K537" s="12"/>
      <c r="L537" s="12"/>
      <c r="M537" s="12"/>
      <c r="N537" s="6"/>
      <c r="O537" s="6"/>
    </row>
    <row r="538" spans="1:15" ht="15.5" x14ac:dyDescent="0.35">
      <c r="A538" s="12"/>
      <c r="B538" s="12"/>
      <c r="C538" s="13"/>
      <c r="D538" s="12"/>
      <c r="E538" s="14"/>
      <c r="F538" s="1"/>
      <c r="G538" s="12"/>
      <c r="H538" s="12" t="str">
        <f t="shared" si="2"/>
        <v xml:space="preserve">    </v>
      </c>
      <c r="I538" s="6"/>
      <c r="J538" s="12"/>
      <c r="K538" s="12"/>
      <c r="L538" s="12"/>
      <c r="M538" s="12"/>
      <c r="N538" s="6"/>
      <c r="O538" s="6"/>
    </row>
    <row r="539" spans="1:15" ht="15.5" x14ac:dyDescent="0.35">
      <c r="A539" s="12"/>
      <c r="B539" s="12"/>
      <c r="C539" s="13"/>
      <c r="D539" s="12"/>
      <c r="E539" s="14"/>
      <c r="F539" s="1"/>
      <c r="G539" s="12"/>
      <c r="H539" s="12" t="str">
        <f t="shared" si="2"/>
        <v xml:space="preserve">    </v>
      </c>
      <c r="I539" s="6"/>
      <c r="J539" s="12"/>
      <c r="K539" s="12"/>
      <c r="L539" s="12"/>
      <c r="M539" s="12"/>
      <c r="N539" s="6"/>
      <c r="O539" s="6"/>
    </row>
    <row r="540" spans="1:15" ht="15.5" x14ac:dyDescent="0.35">
      <c r="A540" s="12"/>
      <c r="B540" s="12"/>
      <c r="C540" s="13"/>
      <c r="D540" s="12"/>
      <c r="E540" s="14"/>
      <c r="F540" s="1"/>
      <c r="G540" s="12"/>
      <c r="H540" s="12" t="str">
        <f t="shared" si="2"/>
        <v xml:space="preserve">    </v>
      </c>
      <c r="I540" s="6"/>
      <c r="J540" s="12"/>
      <c r="K540" s="12"/>
      <c r="L540" s="12"/>
      <c r="M540" s="12"/>
      <c r="N540" s="6"/>
      <c r="O540" s="6"/>
    </row>
    <row r="541" spans="1:15" ht="15.5" x14ac:dyDescent="0.35">
      <c r="A541" s="12"/>
      <c r="B541" s="12"/>
      <c r="C541" s="13"/>
      <c r="D541" s="12"/>
      <c r="E541" s="14"/>
      <c r="F541" s="1"/>
      <c r="G541" s="12"/>
      <c r="H541" s="12" t="str">
        <f t="shared" si="2"/>
        <v xml:space="preserve">    </v>
      </c>
      <c r="I541" s="6"/>
      <c r="J541" s="12"/>
      <c r="K541" s="12"/>
      <c r="L541" s="12"/>
      <c r="M541" s="12"/>
      <c r="N541" s="6"/>
      <c r="O541" s="6"/>
    </row>
    <row r="542" spans="1:15" ht="15.5" x14ac:dyDescent="0.35">
      <c r="A542" s="12"/>
      <c r="B542" s="12"/>
      <c r="C542" s="13"/>
      <c r="D542" s="12"/>
      <c r="E542" s="14"/>
      <c r="F542" s="1"/>
      <c r="G542" s="12"/>
      <c r="H542" s="12" t="str">
        <f t="shared" si="2"/>
        <v xml:space="preserve">    </v>
      </c>
      <c r="I542" s="6"/>
      <c r="J542" s="12"/>
      <c r="K542" s="12"/>
      <c r="L542" s="12"/>
      <c r="M542" s="12"/>
      <c r="N542" s="6"/>
      <c r="O542" s="6"/>
    </row>
    <row r="543" spans="1:15" ht="15.5" x14ac:dyDescent="0.35">
      <c r="A543" s="12"/>
      <c r="B543" s="12"/>
      <c r="C543" s="13"/>
      <c r="D543" s="12"/>
      <c r="E543" s="14"/>
      <c r="F543" s="1"/>
      <c r="G543" s="12"/>
      <c r="H543" s="12" t="str">
        <f t="shared" si="2"/>
        <v xml:space="preserve">    </v>
      </c>
      <c r="I543" s="6"/>
      <c r="J543" s="12"/>
      <c r="K543" s="12"/>
      <c r="L543" s="12"/>
      <c r="M543" s="12"/>
      <c r="N543" s="6"/>
      <c r="O543" s="6"/>
    </row>
    <row r="544" spans="1:15" ht="15.5" x14ac:dyDescent="0.35">
      <c r="A544" s="12"/>
      <c r="B544" s="12"/>
      <c r="C544" s="13"/>
      <c r="D544" s="12"/>
      <c r="E544" s="14"/>
      <c r="F544" s="1"/>
      <c r="G544" s="12"/>
      <c r="H544" s="12" t="str">
        <f t="shared" si="2"/>
        <v xml:space="preserve">    </v>
      </c>
      <c r="I544" s="6"/>
      <c r="J544" s="12"/>
      <c r="K544" s="12"/>
      <c r="L544" s="12"/>
      <c r="M544" s="12"/>
      <c r="N544" s="6"/>
      <c r="O544" s="6"/>
    </row>
    <row r="545" spans="1:15" ht="15.5" x14ac:dyDescent="0.35">
      <c r="A545" s="12"/>
      <c r="B545" s="12"/>
      <c r="C545" s="13"/>
      <c r="D545" s="12"/>
      <c r="E545" s="14"/>
      <c r="F545" s="1"/>
      <c r="G545" s="12"/>
      <c r="H545" s="12" t="str">
        <f t="shared" si="2"/>
        <v xml:space="preserve">    </v>
      </c>
      <c r="I545" s="6"/>
      <c r="J545" s="12"/>
      <c r="K545" s="12"/>
      <c r="L545" s="12"/>
      <c r="M545" s="12"/>
      <c r="N545" s="6"/>
      <c r="O545" s="6"/>
    </row>
    <row r="546" spans="1:15" ht="15.5" x14ac:dyDescent="0.35">
      <c r="A546" s="12"/>
      <c r="B546" s="12"/>
      <c r="C546" s="13"/>
      <c r="D546" s="12"/>
      <c r="E546" s="14"/>
      <c r="F546" s="1"/>
      <c r="G546" s="12"/>
      <c r="H546" s="12" t="str">
        <f t="shared" si="2"/>
        <v xml:space="preserve">    </v>
      </c>
      <c r="I546" s="6"/>
      <c r="J546" s="12"/>
      <c r="K546" s="12"/>
      <c r="L546" s="12"/>
      <c r="M546" s="12"/>
      <c r="N546" s="6"/>
      <c r="O546" s="6"/>
    </row>
    <row r="547" spans="1:15" ht="15.5" x14ac:dyDescent="0.35">
      <c r="A547" s="12"/>
      <c r="B547" s="12"/>
      <c r="C547" s="13"/>
      <c r="D547" s="12"/>
      <c r="E547" s="14"/>
      <c r="F547" s="1"/>
      <c r="G547" s="12"/>
      <c r="H547" s="12" t="str">
        <f t="shared" si="2"/>
        <v xml:space="preserve">    </v>
      </c>
      <c r="I547" s="6"/>
      <c r="J547" s="12"/>
      <c r="K547" s="12"/>
      <c r="L547" s="12"/>
      <c r="M547" s="12"/>
      <c r="N547" s="6"/>
      <c r="O547" s="6"/>
    </row>
    <row r="548" spans="1:15" ht="15.5" x14ac:dyDescent="0.35">
      <c r="A548" s="12"/>
      <c r="B548" s="12"/>
      <c r="C548" s="13"/>
      <c r="D548" s="12"/>
      <c r="E548" s="14"/>
      <c r="F548" s="1"/>
      <c r="G548" s="12"/>
      <c r="H548" s="12" t="str">
        <f t="shared" si="2"/>
        <v xml:space="preserve">    </v>
      </c>
      <c r="I548" s="6"/>
      <c r="J548" s="12"/>
      <c r="K548" s="12"/>
      <c r="L548" s="12"/>
      <c r="M548" s="12"/>
      <c r="N548" s="6"/>
      <c r="O548" s="6"/>
    </row>
    <row r="549" spans="1:15" ht="15.5" x14ac:dyDescent="0.35">
      <c r="A549" s="12"/>
      <c r="B549" s="12"/>
      <c r="C549" s="13"/>
      <c r="D549" s="12"/>
      <c r="E549" s="14"/>
      <c r="F549" s="1"/>
      <c r="G549" s="12"/>
      <c r="H549" s="12" t="str">
        <f t="shared" si="2"/>
        <v xml:space="preserve">    </v>
      </c>
      <c r="I549" s="6"/>
      <c r="J549" s="12"/>
      <c r="K549" s="12"/>
      <c r="L549" s="12"/>
      <c r="M549" s="12"/>
      <c r="N549" s="6"/>
      <c r="O549" s="6"/>
    </row>
    <row r="550" spans="1:15" ht="15.5" x14ac:dyDescent="0.35">
      <c r="A550" s="12"/>
      <c r="B550" s="12"/>
      <c r="C550" s="13"/>
      <c r="D550" s="12"/>
      <c r="E550" s="14"/>
      <c r="F550" s="1"/>
      <c r="G550" s="12"/>
      <c r="H550" s="12" t="str">
        <f t="shared" si="2"/>
        <v xml:space="preserve">    </v>
      </c>
      <c r="I550" s="6"/>
      <c r="J550" s="12"/>
      <c r="K550" s="12"/>
      <c r="L550" s="12"/>
      <c r="M550" s="12"/>
      <c r="N550" s="6"/>
      <c r="O550" s="6"/>
    </row>
    <row r="551" spans="1:15" ht="15.5" x14ac:dyDescent="0.35">
      <c r="A551" s="12"/>
      <c r="B551" s="12"/>
      <c r="C551" s="13"/>
      <c r="D551" s="12"/>
      <c r="E551" s="14"/>
      <c r="F551" s="1"/>
      <c r="G551" s="12"/>
      <c r="H551" s="12" t="str">
        <f t="shared" si="2"/>
        <v xml:space="preserve">    </v>
      </c>
      <c r="I551" s="6"/>
      <c r="J551" s="12"/>
      <c r="K551" s="12"/>
      <c r="L551" s="12"/>
      <c r="M551" s="12"/>
      <c r="N551" s="6"/>
      <c r="O551" s="6"/>
    </row>
    <row r="552" spans="1:15" ht="15.5" x14ac:dyDescent="0.35">
      <c r="A552" s="12"/>
      <c r="B552" s="12"/>
      <c r="C552" s="13"/>
      <c r="D552" s="12"/>
      <c r="E552" s="14"/>
      <c r="F552" s="1"/>
      <c r="G552" s="12"/>
      <c r="H552" s="12" t="str">
        <f t="shared" si="2"/>
        <v xml:space="preserve">    </v>
      </c>
      <c r="I552" s="6"/>
      <c r="J552" s="12"/>
      <c r="K552" s="12"/>
      <c r="L552" s="12"/>
      <c r="M552" s="12"/>
      <c r="N552" s="6"/>
      <c r="O552" s="6"/>
    </row>
    <row r="553" spans="1:15" ht="15.5" x14ac:dyDescent="0.35">
      <c r="A553" s="12"/>
      <c r="B553" s="12"/>
      <c r="C553" s="13"/>
      <c r="D553" s="12"/>
      <c r="E553" s="14"/>
      <c r="F553" s="1"/>
      <c r="G553" s="12"/>
      <c r="H553" s="12" t="str">
        <f t="shared" si="2"/>
        <v xml:space="preserve">    </v>
      </c>
      <c r="I553" s="6"/>
      <c r="J553" s="12"/>
      <c r="K553" s="12"/>
      <c r="L553" s="12"/>
      <c r="M553" s="12"/>
      <c r="N553" s="6"/>
      <c r="O553" s="6"/>
    </row>
    <row r="554" spans="1:15" ht="15.5" x14ac:dyDescent="0.35">
      <c r="A554" s="12"/>
      <c r="B554" s="12"/>
      <c r="C554" s="13"/>
      <c r="D554" s="12"/>
      <c r="E554" s="14"/>
      <c r="F554" s="1"/>
      <c r="G554" s="12"/>
      <c r="H554" s="12" t="str">
        <f t="shared" si="2"/>
        <v xml:space="preserve">    </v>
      </c>
      <c r="I554" s="6"/>
      <c r="J554" s="12"/>
      <c r="K554" s="12"/>
      <c r="L554" s="12"/>
      <c r="M554" s="12"/>
      <c r="N554" s="6"/>
      <c r="O554" s="6"/>
    </row>
    <row r="555" spans="1:15" ht="15.5" x14ac:dyDescent="0.35">
      <c r="A555" s="12"/>
      <c r="B555" s="12"/>
      <c r="C555" s="13"/>
      <c r="D555" s="12"/>
      <c r="E555" s="14"/>
      <c r="F555" s="1"/>
      <c r="G555" s="12"/>
      <c r="H555" s="12" t="str">
        <f t="shared" si="2"/>
        <v xml:space="preserve">    </v>
      </c>
      <c r="I555" s="6"/>
      <c r="J555" s="12"/>
      <c r="K555" s="12"/>
      <c r="L555" s="12"/>
      <c r="M555" s="12"/>
      <c r="N555" s="6"/>
      <c r="O555" s="6"/>
    </row>
    <row r="556" spans="1:15" ht="15.5" x14ac:dyDescent="0.35">
      <c r="A556" s="12"/>
      <c r="B556" s="12"/>
      <c r="C556" s="13"/>
      <c r="D556" s="12"/>
      <c r="E556" s="14"/>
      <c r="F556" s="1"/>
      <c r="G556" s="12"/>
      <c r="H556" s="12" t="str">
        <f t="shared" si="2"/>
        <v xml:space="preserve">    </v>
      </c>
      <c r="I556" s="6"/>
      <c r="J556" s="12"/>
      <c r="K556" s="12"/>
      <c r="L556" s="12"/>
      <c r="M556" s="12"/>
      <c r="N556" s="6"/>
      <c r="O556" s="6"/>
    </row>
    <row r="557" spans="1:15" ht="15.5" x14ac:dyDescent="0.35">
      <c r="A557" s="12"/>
      <c r="B557" s="12"/>
      <c r="C557" s="13"/>
      <c r="D557" s="12"/>
      <c r="E557" s="14"/>
      <c r="F557" s="1"/>
      <c r="G557" s="12"/>
      <c r="H557" s="12" t="str">
        <f t="shared" si="2"/>
        <v xml:space="preserve">    </v>
      </c>
      <c r="I557" s="6"/>
      <c r="J557" s="12"/>
      <c r="K557" s="12"/>
      <c r="L557" s="12"/>
      <c r="M557" s="12"/>
      <c r="N557" s="6"/>
      <c r="O557" s="6"/>
    </row>
    <row r="558" spans="1:15" ht="15.5" x14ac:dyDescent="0.35">
      <c r="A558" s="12"/>
      <c r="B558" s="12"/>
      <c r="C558" s="13"/>
      <c r="D558" s="12"/>
      <c r="E558" s="14"/>
      <c r="F558" s="1"/>
      <c r="G558" s="12"/>
      <c r="H558" s="12" t="str">
        <f t="shared" si="2"/>
        <v xml:space="preserve">    </v>
      </c>
      <c r="I558" s="6"/>
      <c r="J558" s="12"/>
      <c r="K558" s="12"/>
      <c r="L558" s="12"/>
      <c r="M558" s="12"/>
      <c r="N558" s="6"/>
      <c r="O558" s="6"/>
    </row>
    <row r="559" spans="1:15" ht="15.5" x14ac:dyDescent="0.35">
      <c r="A559" s="12"/>
      <c r="B559" s="12"/>
      <c r="C559" s="13"/>
      <c r="D559" s="12"/>
      <c r="E559" s="14"/>
      <c r="F559" s="1"/>
      <c r="G559" s="12"/>
      <c r="H559" s="12" t="str">
        <f t="shared" si="2"/>
        <v xml:space="preserve">    </v>
      </c>
      <c r="I559" s="6"/>
      <c r="J559" s="12"/>
      <c r="K559" s="12"/>
      <c r="L559" s="12"/>
      <c r="M559" s="12"/>
      <c r="N559" s="6"/>
      <c r="O559" s="6"/>
    </row>
    <row r="560" spans="1:15" ht="15.5" x14ac:dyDescent="0.35">
      <c r="A560" s="12"/>
      <c r="B560" s="12"/>
      <c r="C560" s="13"/>
      <c r="D560" s="12"/>
      <c r="E560" s="14"/>
      <c r="F560" s="1"/>
      <c r="G560" s="12"/>
      <c r="H560" s="12" t="str">
        <f t="shared" si="2"/>
        <v xml:space="preserve">    </v>
      </c>
      <c r="I560" s="6"/>
      <c r="J560" s="12"/>
      <c r="K560" s="12"/>
      <c r="L560" s="12"/>
      <c r="M560" s="12"/>
      <c r="N560" s="6"/>
      <c r="O560" s="6"/>
    </row>
    <row r="561" spans="1:15" ht="15.5" x14ac:dyDescent="0.35">
      <c r="A561" s="12"/>
      <c r="B561" s="12"/>
      <c r="C561" s="13"/>
      <c r="D561" s="12"/>
      <c r="E561" s="14"/>
      <c r="F561" s="1"/>
      <c r="G561" s="12"/>
      <c r="H561" s="12" t="str">
        <f t="shared" si="2"/>
        <v xml:space="preserve">    </v>
      </c>
      <c r="I561" s="6"/>
      <c r="J561" s="12"/>
      <c r="K561" s="12"/>
      <c r="L561" s="12"/>
      <c r="M561" s="12"/>
      <c r="N561" s="6"/>
      <c r="O561" s="6"/>
    </row>
    <row r="562" spans="1:15" ht="15.5" x14ac:dyDescent="0.35">
      <c r="A562" s="12"/>
      <c r="B562" s="12"/>
      <c r="C562" s="13"/>
      <c r="D562" s="12"/>
      <c r="E562" s="14"/>
      <c r="F562" s="1"/>
      <c r="G562" s="12"/>
      <c r="H562" s="12" t="str">
        <f t="shared" si="2"/>
        <v xml:space="preserve">    </v>
      </c>
      <c r="I562" s="6"/>
      <c r="J562" s="12"/>
      <c r="K562" s="12"/>
      <c r="L562" s="12"/>
      <c r="M562" s="12"/>
      <c r="N562" s="6"/>
      <c r="O562" s="6"/>
    </row>
    <row r="563" spans="1:15" ht="15.5" x14ac:dyDescent="0.35">
      <c r="A563" s="12"/>
      <c r="B563" s="12"/>
      <c r="C563" s="13"/>
      <c r="D563" s="12"/>
      <c r="E563" s="14"/>
      <c r="F563" s="1"/>
      <c r="G563" s="12"/>
      <c r="H563" s="12" t="str">
        <f t="shared" si="2"/>
        <v xml:space="preserve">    </v>
      </c>
      <c r="I563" s="6"/>
      <c r="J563" s="12"/>
      <c r="K563" s="12"/>
      <c r="L563" s="12"/>
      <c r="M563" s="12"/>
      <c r="N563" s="6"/>
      <c r="O563" s="6"/>
    </row>
    <row r="564" spans="1:15" ht="15.5" x14ac:dyDescent="0.35">
      <c r="A564" s="12"/>
      <c r="B564" s="12"/>
      <c r="C564" s="13"/>
      <c r="D564" s="12"/>
      <c r="E564" s="14"/>
      <c r="F564" s="1"/>
      <c r="G564" s="12"/>
      <c r="H564" s="12" t="str">
        <f t="shared" si="2"/>
        <v xml:space="preserve">    </v>
      </c>
      <c r="I564" s="6"/>
      <c r="J564" s="12"/>
      <c r="K564" s="12"/>
      <c r="L564" s="12"/>
      <c r="M564" s="12"/>
      <c r="N564" s="6"/>
      <c r="O564" s="6"/>
    </row>
    <row r="565" spans="1:15" ht="15.5" x14ac:dyDescent="0.35">
      <c r="A565" s="12"/>
      <c r="B565" s="12"/>
      <c r="C565" s="13"/>
      <c r="D565" s="12"/>
      <c r="E565" s="14"/>
      <c r="F565" s="1"/>
      <c r="G565" s="12"/>
      <c r="H565" s="12" t="str">
        <f t="shared" si="2"/>
        <v xml:space="preserve">    </v>
      </c>
      <c r="I565" s="6"/>
      <c r="J565" s="12"/>
      <c r="K565" s="12"/>
      <c r="L565" s="12"/>
      <c r="M565" s="12"/>
      <c r="N565" s="6"/>
      <c r="O565" s="6"/>
    </row>
    <row r="566" spans="1:15" ht="15.5" x14ac:dyDescent="0.35">
      <c r="A566" s="12"/>
      <c r="B566" s="12"/>
      <c r="C566" s="13"/>
      <c r="D566" s="12"/>
      <c r="E566" s="14"/>
      <c r="F566" s="1"/>
      <c r="G566" s="12"/>
      <c r="H566" s="12" t="str">
        <f t="shared" si="2"/>
        <v xml:space="preserve">    </v>
      </c>
      <c r="I566" s="6"/>
      <c r="J566" s="12"/>
      <c r="K566" s="12"/>
      <c r="L566" s="12"/>
      <c r="M566" s="12"/>
      <c r="N566" s="6"/>
      <c r="O566" s="6"/>
    </row>
    <row r="567" spans="1:15" ht="15.5" x14ac:dyDescent="0.35">
      <c r="A567" s="12"/>
      <c r="B567" s="12"/>
      <c r="C567" s="13"/>
      <c r="D567" s="12"/>
      <c r="E567" s="14"/>
      <c r="F567" s="1"/>
      <c r="G567" s="12"/>
      <c r="H567" s="12" t="str">
        <f t="shared" si="2"/>
        <v xml:space="preserve">    </v>
      </c>
      <c r="I567" s="6"/>
      <c r="J567" s="12"/>
      <c r="K567" s="12"/>
      <c r="L567" s="12"/>
      <c r="M567" s="12"/>
      <c r="N567" s="6"/>
      <c r="O567" s="6"/>
    </row>
    <row r="568" spans="1:15" ht="15.5" x14ac:dyDescent="0.35">
      <c r="A568" s="12"/>
      <c r="B568" s="12"/>
      <c r="C568" s="13"/>
      <c r="D568" s="12"/>
      <c r="E568" s="14"/>
      <c r="F568" s="1"/>
      <c r="G568" s="12"/>
      <c r="H568" s="12" t="str">
        <f t="shared" si="2"/>
        <v xml:space="preserve">    </v>
      </c>
      <c r="I568" s="6"/>
      <c r="J568" s="12"/>
      <c r="K568" s="12"/>
      <c r="L568" s="12"/>
      <c r="M568" s="12"/>
      <c r="N568" s="6"/>
      <c r="O568" s="6"/>
    </row>
    <row r="569" spans="1:15" ht="15.5" x14ac:dyDescent="0.35">
      <c r="A569" s="12"/>
      <c r="B569" s="12"/>
      <c r="C569" s="13"/>
      <c r="D569" s="12"/>
      <c r="E569" s="14"/>
      <c r="F569" s="1"/>
      <c r="G569" s="12"/>
      <c r="H569" s="12" t="str">
        <f t="shared" si="2"/>
        <v xml:space="preserve">    </v>
      </c>
      <c r="I569" s="6"/>
      <c r="J569" s="12"/>
      <c r="K569" s="12"/>
      <c r="L569" s="12"/>
      <c r="M569" s="12"/>
      <c r="N569" s="6"/>
      <c r="O569" s="6"/>
    </row>
    <row r="570" spans="1:15" ht="15.5" x14ac:dyDescent="0.35">
      <c r="A570" s="12"/>
      <c r="B570" s="12"/>
      <c r="C570" s="13"/>
      <c r="D570" s="12"/>
      <c r="E570" s="14"/>
      <c r="F570" s="1"/>
      <c r="G570" s="12"/>
      <c r="H570" s="12" t="str">
        <f t="shared" si="2"/>
        <v xml:space="preserve">    </v>
      </c>
      <c r="I570" s="6"/>
      <c r="J570" s="12"/>
      <c r="K570" s="12"/>
      <c r="L570" s="12"/>
      <c r="M570" s="12"/>
      <c r="N570" s="6"/>
      <c r="O570" s="6"/>
    </row>
    <row r="571" spans="1:15" ht="15.5" x14ac:dyDescent="0.35">
      <c r="A571" s="12"/>
      <c r="B571" s="12"/>
      <c r="C571" s="13"/>
      <c r="D571" s="12"/>
      <c r="E571" s="14"/>
      <c r="F571" s="1"/>
      <c r="G571" s="12"/>
      <c r="H571" s="12" t="str">
        <f t="shared" si="2"/>
        <v xml:space="preserve">    </v>
      </c>
      <c r="I571" s="6"/>
      <c r="J571" s="12"/>
      <c r="K571" s="12"/>
      <c r="L571" s="12"/>
      <c r="M571" s="12"/>
      <c r="N571" s="6"/>
      <c r="O571" s="6"/>
    </row>
    <row r="572" spans="1:15" ht="15.5" x14ac:dyDescent="0.35">
      <c r="A572" s="12"/>
      <c r="B572" s="12"/>
      <c r="C572" s="13"/>
      <c r="D572" s="12"/>
      <c r="E572" s="14"/>
      <c r="F572" s="1"/>
      <c r="G572" s="12"/>
      <c r="H572" s="12" t="str">
        <f t="shared" si="2"/>
        <v xml:space="preserve">    </v>
      </c>
      <c r="I572" s="6"/>
      <c r="J572" s="12"/>
      <c r="K572" s="12"/>
      <c r="L572" s="12"/>
      <c r="M572" s="12"/>
      <c r="N572" s="6"/>
      <c r="O572" s="6"/>
    </row>
    <row r="573" spans="1:15" ht="15.5" x14ac:dyDescent="0.35">
      <c r="A573" s="12"/>
      <c r="B573" s="12"/>
      <c r="C573" s="13"/>
      <c r="D573" s="12"/>
      <c r="E573" s="14"/>
      <c r="F573" s="1"/>
      <c r="G573" s="12"/>
      <c r="H573" s="12" t="str">
        <f t="shared" si="2"/>
        <v xml:space="preserve">    </v>
      </c>
      <c r="I573" s="6"/>
      <c r="J573" s="12"/>
      <c r="K573" s="12"/>
      <c r="L573" s="12"/>
      <c r="M573" s="12"/>
      <c r="N573" s="6"/>
      <c r="O573" s="6"/>
    </row>
    <row r="574" spans="1:15" ht="15.5" x14ac:dyDescent="0.35">
      <c r="A574" s="12"/>
      <c r="B574" s="12"/>
      <c r="C574" s="13"/>
      <c r="D574" s="12"/>
      <c r="E574" s="14"/>
      <c r="F574" s="1"/>
      <c r="G574" s="12"/>
      <c r="H574" s="12" t="str">
        <f t="shared" si="2"/>
        <v xml:space="preserve">    </v>
      </c>
      <c r="I574" s="6"/>
      <c r="J574" s="12"/>
      <c r="K574" s="12"/>
      <c r="L574" s="12"/>
      <c r="M574" s="12"/>
      <c r="N574" s="6"/>
      <c r="O574" s="6"/>
    </row>
    <row r="575" spans="1:15" ht="15.5" x14ac:dyDescent="0.35">
      <c r="A575" s="12"/>
      <c r="B575" s="12"/>
      <c r="C575" s="13"/>
      <c r="D575" s="12"/>
      <c r="E575" s="14"/>
      <c r="F575" s="1"/>
      <c r="G575" s="12"/>
      <c r="H575" s="12" t="str">
        <f t="shared" si="2"/>
        <v xml:space="preserve">    </v>
      </c>
      <c r="I575" s="6"/>
      <c r="J575" s="12"/>
      <c r="K575" s="12"/>
      <c r="L575" s="12"/>
      <c r="M575" s="12"/>
      <c r="N575" s="6"/>
      <c r="O575" s="6"/>
    </row>
    <row r="576" spans="1:15" ht="15.5" x14ac:dyDescent="0.35">
      <c r="A576" s="12"/>
      <c r="B576" s="12"/>
      <c r="C576" s="13"/>
      <c r="D576" s="12"/>
      <c r="E576" s="14"/>
      <c r="F576" s="1"/>
      <c r="G576" s="12"/>
      <c r="H576" s="12" t="str">
        <f t="shared" si="2"/>
        <v xml:space="preserve">    </v>
      </c>
      <c r="I576" s="6"/>
      <c r="J576" s="12"/>
      <c r="K576" s="12"/>
      <c r="L576" s="12"/>
      <c r="M576" s="12"/>
      <c r="N576" s="6"/>
      <c r="O576" s="6"/>
    </row>
    <row r="577" spans="1:15" ht="15.5" x14ac:dyDescent="0.35">
      <c r="A577" s="12"/>
      <c r="B577" s="12"/>
      <c r="C577" s="13"/>
      <c r="D577" s="12"/>
      <c r="E577" s="14"/>
      <c r="F577" s="1"/>
      <c r="G577" s="12"/>
      <c r="H577" s="12" t="str">
        <f t="shared" si="2"/>
        <v xml:space="preserve">    </v>
      </c>
      <c r="I577" s="6"/>
      <c r="J577" s="12"/>
      <c r="K577" s="12"/>
      <c r="L577" s="12"/>
      <c r="M577" s="12"/>
      <c r="N577" s="6"/>
      <c r="O577" s="6"/>
    </row>
    <row r="578" spans="1:15" ht="15.5" x14ac:dyDescent="0.35">
      <c r="A578" s="12"/>
      <c r="B578" s="12"/>
      <c r="C578" s="13"/>
      <c r="D578" s="12"/>
      <c r="E578" s="14"/>
      <c r="F578" s="1"/>
      <c r="G578" s="12"/>
      <c r="H578" s="12" t="str">
        <f t="shared" si="2"/>
        <v xml:space="preserve">    </v>
      </c>
      <c r="I578" s="6"/>
      <c r="J578" s="12"/>
      <c r="K578" s="12"/>
      <c r="L578" s="12"/>
      <c r="M578" s="12"/>
      <c r="N578" s="6"/>
      <c r="O578" s="6"/>
    </row>
    <row r="579" spans="1:15" ht="15.5" x14ac:dyDescent="0.35">
      <c r="A579" s="12"/>
      <c r="B579" s="12"/>
      <c r="C579" s="13"/>
      <c r="D579" s="12"/>
      <c r="E579" s="14"/>
      <c r="F579" s="1"/>
      <c r="G579" s="12"/>
      <c r="H579" s="12" t="str">
        <f t="shared" si="2"/>
        <v xml:space="preserve">    </v>
      </c>
      <c r="I579" s="6"/>
      <c r="J579" s="12"/>
      <c r="K579" s="12"/>
      <c r="L579" s="12"/>
      <c r="M579" s="12"/>
      <c r="N579" s="6"/>
      <c r="O579" s="6"/>
    </row>
    <row r="580" spans="1:15" ht="15.5" x14ac:dyDescent="0.35">
      <c r="A580" s="12"/>
      <c r="B580" s="12"/>
      <c r="C580" s="13"/>
      <c r="D580" s="12"/>
      <c r="E580" s="14"/>
      <c r="F580" s="1"/>
      <c r="G580" s="12"/>
      <c r="H580" s="12" t="str">
        <f t="shared" si="2"/>
        <v xml:space="preserve">    </v>
      </c>
      <c r="I580" s="6"/>
      <c r="J580" s="12"/>
      <c r="K580" s="12"/>
      <c r="L580" s="12"/>
      <c r="M580" s="12"/>
      <c r="N580" s="6"/>
      <c r="O580" s="6"/>
    </row>
    <row r="581" spans="1:15" ht="15.5" x14ac:dyDescent="0.35">
      <c r="A581" s="12"/>
      <c r="B581" s="12"/>
      <c r="C581" s="13"/>
      <c r="D581" s="12"/>
      <c r="E581" s="14"/>
      <c r="F581" s="1"/>
      <c r="G581" s="12"/>
      <c r="H581" s="12" t="str">
        <f t="shared" si="2"/>
        <v xml:space="preserve">    </v>
      </c>
      <c r="I581" s="6"/>
      <c r="J581" s="12"/>
      <c r="K581" s="12"/>
      <c r="L581" s="12"/>
      <c r="M581" s="12"/>
      <c r="N581" s="6"/>
      <c r="O581" s="6"/>
    </row>
    <row r="582" spans="1:15" ht="15.5" x14ac:dyDescent="0.35">
      <c r="A582" s="12"/>
      <c r="B582" s="12"/>
      <c r="C582" s="13"/>
      <c r="D582" s="12"/>
      <c r="E582" s="14"/>
      <c r="F582" s="1"/>
      <c r="G582" s="12"/>
      <c r="H582" s="12" t="str">
        <f t="shared" si="2"/>
        <v xml:space="preserve">    </v>
      </c>
      <c r="I582" s="6"/>
      <c r="J582" s="12"/>
      <c r="K582" s="12"/>
      <c r="L582" s="12"/>
      <c r="M582" s="12"/>
      <c r="N582" s="6"/>
      <c r="O582" s="6"/>
    </row>
    <row r="583" spans="1:15" ht="15.5" x14ac:dyDescent="0.35">
      <c r="A583" s="12"/>
      <c r="B583" s="12"/>
      <c r="C583" s="13"/>
      <c r="D583" s="12"/>
      <c r="E583" s="14"/>
      <c r="F583" s="1"/>
      <c r="G583" s="12"/>
      <c r="H583" s="12" t="str">
        <f t="shared" si="2"/>
        <v xml:space="preserve">    </v>
      </c>
      <c r="I583" s="6"/>
      <c r="J583" s="12"/>
      <c r="K583" s="12"/>
      <c r="L583" s="12"/>
      <c r="M583" s="12"/>
      <c r="N583" s="6"/>
      <c r="O583" s="6"/>
    </row>
    <row r="584" spans="1:15" ht="15.5" x14ac:dyDescent="0.35">
      <c r="A584" s="12"/>
      <c r="B584" s="12"/>
      <c r="C584" s="13"/>
      <c r="D584" s="12"/>
      <c r="E584" s="14"/>
      <c r="F584" s="1"/>
      <c r="G584" s="12"/>
      <c r="H584" s="12" t="str">
        <f t="shared" si="2"/>
        <v xml:space="preserve">    </v>
      </c>
      <c r="I584" s="6"/>
      <c r="J584" s="12"/>
      <c r="K584" s="12"/>
      <c r="L584" s="12"/>
      <c r="M584" s="12"/>
      <c r="N584" s="6"/>
      <c r="O584" s="6"/>
    </row>
    <row r="585" spans="1:15" ht="15.5" x14ac:dyDescent="0.35">
      <c r="A585" s="12"/>
      <c r="B585" s="12"/>
      <c r="C585" s="13"/>
      <c r="D585" s="12"/>
      <c r="E585" s="14"/>
      <c r="F585" s="1"/>
      <c r="G585" s="12"/>
      <c r="H585" s="12" t="str">
        <f t="shared" si="2"/>
        <v xml:space="preserve">    </v>
      </c>
      <c r="I585" s="6"/>
      <c r="J585" s="12"/>
      <c r="K585" s="12"/>
      <c r="L585" s="12"/>
      <c r="M585" s="12"/>
      <c r="N585" s="6"/>
      <c r="O585" s="6"/>
    </row>
    <row r="586" spans="1:15" ht="15.5" x14ac:dyDescent="0.35">
      <c r="A586" s="12"/>
      <c r="B586" s="12"/>
      <c r="C586" s="13"/>
      <c r="D586" s="12"/>
      <c r="E586" s="14"/>
      <c r="F586" s="1"/>
      <c r="G586" s="12"/>
      <c r="H586" s="12" t="str">
        <f t="shared" si="2"/>
        <v xml:space="preserve">    </v>
      </c>
      <c r="I586" s="6"/>
      <c r="J586" s="12"/>
      <c r="K586" s="12"/>
      <c r="L586" s="12"/>
      <c r="M586" s="12"/>
      <c r="N586" s="6"/>
      <c r="O586" s="6"/>
    </row>
    <row r="587" spans="1:15" ht="15.5" x14ac:dyDescent="0.35">
      <c r="A587" s="12"/>
      <c r="B587" s="12"/>
      <c r="C587" s="13"/>
      <c r="D587" s="12"/>
      <c r="E587" s="14"/>
      <c r="F587" s="1"/>
      <c r="G587" s="12"/>
      <c r="H587" s="12" t="str">
        <f t="shared" si="2"/>
        <v xml:space="preserve">    </v>
      </c>
      <c r="I587" s="6"/>
      <c r="J587" s="12"/>
      <c r="K587" s="12"/>
      <c r="L587" s="12"/>
      <c r="M587" s="12"/>
      <c r="N587" s="6"/>
      <c r="O587" s="6"/>
    </row>
    <row r="588" spans="1:15" ht="15.5" x14ac:dyDescent="0.35">
      <c r="A588" s="12"/>
      <c r="B588" s="12"/>
      <c r="C588" s="13"/>
      <c r="D588" s="12"/>
      <c r="E588" s="14"/>
      <c r="F588" s="1"/>
      <c r="G588" s="12"/>
      <c r="H588" s="12" t="str">
        <f t="shared" si="2"/>
        <v xml:space="preserve">    </v>
      </c>
      <c r="I588" s="6"/>
      <c r="J588" s="12"/>
      <c r="K588" s="12"/>
      <c r="L588" s="12"/>
      <c r="M588" s="12"/>
      <c r="N588" s="6"/>
      <c r="O588" s="6"/>
    </row>
    <row r="589" spans="1:15" ht="15.5" x14ac:dyDescent="0.35">
      <c r="A589" s="12"/>
      <c r="B589" s="12"/>
      <c r="C589" s="13"/>
      <c r="D589" s="12"/>
      <c r="E589" s="14"/>
      <c r="F589" s="1"/>
      <c r="G589" s="12"/>
      <c r="H589" s="12" t="str">
        <f t="shared" si="2"/>
        <v xml:space="preserve">    </v>
      </c>
      <c r="I589" s="6"/>
      <c r="J589" s="12"/>
      <c r="K589" s="12"/>
      <c r="L589" s="12"/>
      <c r="M589" s="12"/>
      <c r="N589" s="6"/>
      <c r="O589" s="6"/>
    </row>
    <row r="590" spans="1:15" ht="15.5" x14ac:dyDescent="0.35">
      <c r="A590" s="12"/>
      <c r="B590" s="12"/>
      <c r="C590" s="13"/>
      <c r="D590" s="12"/>
      <c r="E590" s="14"/>
      <c r="F590" s="1"/>
      <c r="G590" s="12"/>
      <c r="H590" s="12" t="str">
        <f t="shared" si="2"/>
        <v xml:space="preserve">    </v>
      </c>
      <c r="I590" s="6"/>
      <c r="J590" s="12"/>
      <c r="K590" s="12"/>
      <c r="L590" s="12"/>
      <c r="M590" s="12"/>
      <c r="N590" s="6"/>
      <c r="O590" s="6"/>
    </row>
    <row r="591" spans="1:15" ht="15.5" x14ac:dyDescent="0.35">
      <c r="A591" s="12"/>
      <c r="B591" s="12"/>
      <c r="C591" s="13"/>
      <c r="D591" s="12"/>
      <c r="E591" s="14"/>
      <c r="F591" s="1"/>
      <c r="G591" s="12"/>
      <c r="H591" s="12" t="str">
        <f t="shared" si="2"/>
        <v xml:space="preserve">    </v>
      </c>
      <c r="I591" s="6"/>
      <c r="J591" s="12"/>
      <c r="K591" s="12"/>
      <c r="L591" s="12"/>
      <c r="M591" s="12"/>
      <c r="N591" s="6"/>
      <c r="O591" s="6"/>
    </row>
    <row r="592" spans="1:15" ht="15.5" x14ac:dyDescent="0.35">
      <c r="A592" s="12"/>
      <c r="B592" s="12"/>
      <c r="C592" s="13"/>
      <c r="D592" s="12"/>
      <c r="E592" s="14"/>
      <c r="F592" s="1"/>
      <c r="G592" s="12"/>
      <c r="H592" s="12" t="str">
        <f t="shared" si="2"/>
        <v xml:space="preserve">    </v>
      </c>
      <c r="I592" s="6"/>
      <c r="J592" s="12"/>
      <c r="K592" s="12"/>
      <c r="L592" s="12"/>
      <c r="M592" s="12"/>
      <c r="N592" s="6"/>
      <c r="O592" s="6"/>
    </row>
    <row r="593" spans="1:15" ht="15.5" x14ac:dyDescent="0.35">
      <c r="A593" s="12"/>
      <c r="B593" s="12"/>
      <c r="C593" s="13"/>
      <c r="D593" s="12"/>
      <c r="E593" s="14"/>
      <c r="F593" s="1"/>
      <c r="G593" s="12"/>
      <c r="H593" s="12" t="str">
        <f t="shared" si="2"/>
        <v xml:space="preserve">    </v>
      </c>
      <c r="I593" s="6"/>
      <c r="J593" s="12"/>
      <c r="K593" s="12"/>
      <c r="L593" s="12"/>
      <c r="M593" s="12"/>
      <c r="N593" s="6"/>
      <c r="O593" s="6"/>
    </row>
    <row r="594" spans="1:15" ht="15.5" x14ac:dyDescent="0.35">
      <c r="A594" s="12"/>
      <c r="B594" s="12"/>
      <c r="C594" s="13"/>
      <c r="D594" s="12"/>
      <c r="E594" s="14"/>
      <c r="F594" s="1"/>
      <c r="G594" s="12"/>
      <c r="H594" s="12" t="str">
        <f t="shared" si="2"/>
        <v xml:space="preserve">    </v>
      </c>
      <c r="I594" s="6"/>
      <c r="J594" s="12"/>
      <c r="K594" s="12"/>
      <c r="L594" s="12"/>
      <c r="M594" s="12"/>
      <c r="N594" s="6"/>
      <c r="O594" s="6"/>
    </row>
    <row r="595" spans="1:15" ht="15.5" x14ac:dyDescent="0.35">
      <c r="A595" s="12"/>
      <c r="B595" s="12"/>
      <c r="C595" s="13"/>
      <c r="D595" s="12"/>
      <c r="E595" s="14"/>
      <c r="F595" s="1"/>
      <c r="G595" s="12"/>
      <c r="H595" s="12" t="str">
        <f t="shared" si="2"/>
        <v xml:space="preserve">    </v>
      </c>
      <c r="I595" s="6"/>
      <c r="J595" s="12"/>
      <c r="K595" s="12"/>
      <c r="L595" s="12"/>
      <c r="M595" s="12"/>
      <c r="N595" s="6"/>
      <c r="O595" s="6"/>
    </row>
    <row r="596" spans="1:15" ht="15.5" x14ac:dyDescent="0.35">
      <c r="A596" s="12"/>
      <c r="B596" s="12"/>
      <c r="C596" s="13"/>
      <c r="D596" s="12"/>
      <c r="E596" s="14"/>
      <c r="F596" s="1"/>
      <c r="G596" s="12"/>
      <c r="H596" s="12" t="str">
        <f t="shared" si="2"/>
        <v xml:space="preserve">    </v>
      </c>
      <c r="I596" s="6"/>
      <c r="J596" s="12"/>
      <c r="K596" s="12"/>
      <c r="L596" s="12"/>
      <c r="M596" s="12"/>
      <c r="N596" s="6"/>
      <c r="O596" s="6"/>
    </row>
    <row r="597" spans="1:15" ht="15.5" x14ac:dyDescent="0.35">
      <c r="A597" s="12"/>
      <c r="B597" s="12"/>
      <c r="C597" s="13"/>
      <c r="D597" s="12"/>
      <c r="E597" s="14"/>
      <c r="F597" s="1"/>
      <c r="G597" s="12"/>
      <c r="H597" s="12" t="str">
        <f t="shared" si="2"/>
        <v xml:space="preserve">    </v>
      </c>
      <c r="I597" s="6"/>
      <c r="J597" s="12"/>
      <c r="K597" s="12"/>
      <c r="L597" s="12"/>
      <c r="M597" s="12"/>
      <c r="N597" s="6"/>
      <c r="O597" s="6"/>
    </row>
    <row r="598" spans="1:15" ht="15.5" x14ac:dyDescent="0.35">
      <c r="A598" s="12"/>
      <c r="B598" s="12"/>
      <c r="C598" s="13"/>
      <c r="D598" s="12"/>
      <c r="E598" s="14"/>
      <c r="F598" s="1"/>
      <c r="G598" s="12"/>
      <c r="H598" s="12" t="str">
        <f t="shared" si="2"/>
        <v xml:space="preserve">    </v>
      </c>
      <c r="I598" s="6"/>
      <c r="J598" s="12"/>
      <c r="K598" s="12"/>
      <c r="L598" s="12"/>
      <c r="M598" s="12"/>
      <c r="N598" s="6"/>
      <c r="O598" s="6"/>
    </row>
    <row r="599" spans="1:15" ht="15.5" x14ac:dyDescent="0.35">
      <c r="A599" s="12"/>
      <c r="B599" s="12"/>
      <c r="C599" s="13"/>
      <c r="D599" s="12"/>
      <c r="E599" s="14"/>
      <c r="F599" s="1"/>
      <c r="G599" s="12"/>
      <c r="H599" s="12" t="str">
        <f t="shared" si="2"/>
        <v xml:space="preserve">    </v>
      </c>
      <c r="I599" s="6"/>
      <c r="J599" s="12"/>
      <c r="K599" s="12"/>
      <c r="L599" s="12"/>
      <c r="M599" s="12"/>
      <c r="N599" s="6"/>
      <c r="O599" s="6"/>
    </row>
    <row r="600" spans="1:15" ht="15.5" x14ac:dyDescent="0.35">
      <c r="A600" s="12"/>
      <c r="B600" s="12"/>
      <c r="C600" s="13"/>
      <c r="D600" s="12"/>
      <c r="E600" s="14"/>
      <c r="F600" s="1"/>
      <c r="G600" s="12"/>
      <c r="H600" s="12" t="str">
        <f t="shared" si="2"/>
        <v xml:space="preserve">    </v>
      </c>
      <c r="I600" s="6"/>
      <c r="J600" s="12"/>
      <c r="K600" s="12"/>
      <c r="L600" s="12"/>
      <c r="M600" s="12"/>
      <c r="N600" s="6"/>
      <c r="O600" s="6"/>
    </row>
    <row r="601" spans="1:15" ht="15.5" x14ac:dyDescent="0.35">
      <c r="A601" s="12"/>
      <c r="B601" s="12"/>
      <c r="C601" s="13"/>
      <c r="D601" s="12"/>
      <c r="E601" s="14"/>
      <c r="F601" s="1"/>
      <c r="G601" s="12"/>
      <c r="H601" s="12" t="str">
        <f t="shared" si="2"/>
        <v xml:space="preserve">    </v>
      </c>
      <c r="I601" s="6"/>
      <c r="J601" s="12"/>
      <c r="K601" s="12"/>
      <c r="L601" s="12"/>
      <c r="M601" s="12"/>
      <c r="N601" s="6"/>
      <c r="O601" s="6"/>
    </row>
    <row r="602" spans="1:15" ht="15.5" x14ac:dyDescent="0.35">
      <c r="A602" s="12"/>
      <c r="B602" s="12"/>
      <c r="C602" s="13"/>
      <c r="D602" s="12"/>
      <c r="E602" s="14"/>
      <c r="F602" s="1"/>
      <c r="G602" s="12"/>
      <c r="H602" s="12" t="str">
        <f t="shared" si="2"/>
        <v xml:space="preserve">    </v>
      </c>
      <c r="I602" s="6"/>
      <c r="J602" s="12"/>
      <c r="K602" s="12"/>
      <c r="L602" s="12"/>
      <c r="M602" s="12"/>
      <c r="N602" s="6"/>
      <c r="O602" s="6"/>
    </row>
    <row r="603" spans="1:15" ht="15.5" x14ac:dyDescent="0.35">
      <c r="A603" s="12"/>
      <c r="B603" s="12"/>
      <c r="C603" s="13"/>
      <c r="D603" s="12"/>
      <c r="E603" s="14"/>
      <c r="F603" s="1"/>
      <c r="G603" s="12"/>
      <c r="H603" s="12" t="str">
        <f t="shared" si="2"/>
        <v xml:space="preserve">    </v>
      </c>
      <c r="I603" s="6"/>
      <c r="J603" s="12"/>
      <c r="K603" s="12"/>
      <c r="L603" s="12"/>
      <c r="M603" s="12"/>
      <c r="N603" s="6"/>
      <c r="O603" s="6"/>
    </row>
    <row r="604" spans="1:15" ht="15.5" x14ac:dyDescent="0.35">
      <c r="A604" s="12"/>
      <c r="B604" s="12"/>
      <c r="C604" s="13"/>
      <c r="D604" s="12"/>
      <c r="E604" s="14"/>
      <c r="F604" s="1"/>
      <c r="G604" s="12"/>
      <c r="H604" s="12" t="str">
        <f t="shared" si="2"/>
        <v xml:space="preserve">    </v>
      </c>
      <c r="I604" s="6"/>
      <c r="J604" s="12"/>
      <c r="K604" s="12"/>
      <c r="L604" s="12"/>
      <c r="M604" s="12"/>
      <c r="N604" s="6"/>
      <c r="O604" s="6"/>
    </row>
    <row r="605" spans="1:15" ht="15.5" x14ac:dyDescent="0.35">
      <c r="A605" s="12"/>
      <c r="B605" s="12"/>
      <c r="C605" s="13"/>
      <c r="D605" s="12"/>
      <c r="E605" s="14"/>
      <c r="F605" s="1"/>
      <c r="G605" s="12"/>
      <c r="H605" s="12" t="str">
        <f t="shared" si="2"/>
        <v xml:space="preserve">    </v>
      </c>
      <c r="I605" s="6"/>
      <c r="J605" s="12"/>
      <c r="K605" s="12"/>
      <c r="L605" s="12"/>
      <c r="M605" s="12"/>
      <c r="N605" s="6"/>
      <c r="O605" s="6"/>
    </row>
    <row r="606" spans="1:15" ht="15.5" x14ac:dyDescent="0.35">
      <c r="A606" s="12"/>
      <c r="B606" s="12"/>
      <c r="C606" s="13"/>
      <c r="D606" s="12"/>
      <c r="E606" s="14"/>
      <c r="F606" s="1"/>
      <c r="G606" s="12"/>
      <c r="H606" s="12" t="str">
        <f t="shared" si="2"/>
        <v xml:space="preserve">    </v>
      </c>
      <c r="I606" s="6"/>
      <c r="J606" s="12"/>
      <c r="K606" s="12"/>
      <c r="L606" s="12"/>
      <c r="M606" s="12"/>
      <c r="N606" s="6"/>
      <c r="O606" s="6"/>
    </row>
    <row r="607" spans="1:15" ht="15.5" x14ac:dyDescent="0.35">
      <c r="A607" s="12"/>
      <c r="B607" s="12"/>
      <c r="C607" s="13"/>
      <c r="D607" s="12"/>
      <c r="E607" s="14"/>
      <c r="F607" s="1"/>
      <c r="G607" s="12"/>
      <c r="H607" s="12" t="str">
        <f t="shared" si="2"/>
        <v xml:space="preserve">    </v>
      </c>
      <c r="I607" s="6"/>
      <c r="J607" s="12"/>
      <c r="K607" s="12"/>
      <c r="L607" s="12"/>
      <c r="M607" s="12"/>
      <c r="N607" s="6"/>
      <c r="O607" s="6"/>
    </row>
    <row r="608" spans="1:15" ht="15.5" x14ac:dyDescent="0.35">
      <c r="A608" s="12"/>
      <c r="B608" s="12"/>
      <c r="C608" s="13"/>
      <c r="D608" s="12"/>
      <c r="E608" s="14"/>
      <c r="F608" s="1"/>
      <c r="G608" s="12"/>
      <c r="H608" s="12" t="str">
        <f t="shared" si="2"/>
        <v xml:space="preserve">    </v>
      </c>
      <c r="I608" s="6"/>
      <c r="J608" s="12"/>
      <c r="K608" s="12"/>
      <c r="L608" s="12"/>
      <c r="M608" s="12"/>
      <c r="N608" s="6"/>
      <c r="O608" s="6"/>
    </row>
    <row r="609" spans="1:15" ht="15.5" x14ac:dyDescent="0.35">
      <c r="A609" s="12"/>
      <c r="B609" s="12"/>
      <c r="C609" s="13"/>
      <c r="D609" s="12"/>
      <c r="E609" s="14"/>
      <c r="F609" s="1"/>
      <c r="G609" s="12"/>
      <c r="H609" s="12" t="str">
        <f t="shared" si="2"/>
        <v xml:space="preserve">    </v>
      </c>
      <c r="I609" s="6"/>
      <c r="J609" s="12"/>
      <c r="K609" s="12"/>
      <c r="L609" s="12"/>
      <c r="M609" s="12"/>
      <c r="N609" s="6"/>
      <c r="O609" s="6"/>
    </row>
    <row r="610" spans="1:15" ht="15.5" x14ac:dyDescent="0.35">
      <c r="A610" s="12"/>
      <c r="B610" s="12"/>
      <c r="C610" s="13"/>
      <c r="D610" s="12"/>
      <c r="E610" s="14"/>
      <c r="F610" s="1"/>
      <c r="G610" s="12"/>
      <c r="H610" s="12" t="str">
        <f t="shared" si="2"/>
        <v xml:space="preserve">    </v>
      </c>
      <c r="I610" s="6"/>
      <c r="J610" s="12"/>
      <c r="K610" s="12"/>
      <c r="L610" s="12"/>
      <c r="M610" s="12"/>
      <c r="N610" s="6"/>
      <c r="O610" s="6"/>
    </row>
    <row r="611" spans="1:15" ht="15.5" x14ac:dyDescent="0.35">
      <c r="A611" s="12"/>
      <c r="B611" s="12"/>
      <c r="C611" s="13"/>
      <c r="D611" s="12"/>
      <c r="E611" s="14"/>
      <c r="F611" s="1"/>
      <c r="G611" s="12"/>
      <c r="H611" s="12" t="str">
        <f t="shared" si="2"/>
        <v xml:space="preserve">    </v>
      </c>
      <c r="I611" s="6"/>
      <c r="J611" s="12"/>
      <c r="K611" s="12"/>
      <c r="L611" s="12"/>
      <c r="M611" s="12"/>
      <c r="N611" s="6"/>
      <c r="O611" s="6"/>
    </row>
    <row r="612" spans="1:15" ht="15.5" x14ac:dyDescent="0.35">
      <c r="A612" s="12"/>
      <c r="B612" s="12"/>
      <c r="C612" s="13"/>
      <c r="D612" s="12"/>
      <c r="E612" s="14"/>
      <c r="F612" s="1"/>
      <c r="G612" s="12"/>
      <c r="H612" s="12" t="str">
        <f t="shared" si="2"/>
        <v xml:space="preserve">    </v>
      </c>
      <c r="I612" s="6"/>
      <c r="J612" s="12"/>
      <c r="K612" s="12"/>
      <c r="L612" s="12"/>
      <c r="M612" s="12"/>
      <c r="N612" s="6"/>
      <c r="O612" s="6"/>
    </row>
    <row r="613" spans="1:15" ht="15.5" x14ac:dyDescent="0.35">
      <c r="A613" s="12"/>
      <c r="B613" s="12"/>
      <c r="C613" s="13"/>
      <c r="D613" s="12"/>
      <c r="E613" s="14"/>
      <c r="F613" s="1"/>
      <c r="G613" s="12"/>
      <c r="H613" s="12" t="str">
        <f t="shared" si="2"/>
        <v xml:space="preserve">    </v>
      </c>
      <c r="I613" s="6"/>
      <c r="J613" s="12"/>
      <c r="K613" s="12"/>
      <c r="L613" s="12"/>
      <c r="M613" s="12"/>
      <c r="N613" s="6"/>
      <c r="O613" s="6"/>
    </row>
    <row r="614" spans="1:15" ht="15.5" x14ac:dyDescent="0.35">
      <c r="A614" s="12"/>
      <c r="B614" s="12"/>
      <c r="C614" s="13"/>
      <c r="D614" s="12"/>
      <c r="E614" s="14"/>
      <c r="F614" s="1"/>
      <c r="G614" s="12"/>
      <c r="H614" s="12" t="str">
        <f t="shared" si="2"/>
        <v xml:space="preserve">    </v>
      </c>
      <c r="I614" s="6"/>
      <c r="J614" s="12"/>
      <c r="K614" s="12"/>
      <c r="L614" s="12"/>
      <c r="M614" s="12"/>
      <c r="N614" s="6"/>
      <c r="O614" s="6"/>
    </row>
    <row r="615" spans="1:15" ht="15.5" x14ac:dyDescent="0.35">
      <c r="A615" s="12"/>
      <c r="B615" s="12"/>
      <c r="C615" s="13"/>
      <c r="D615" s="12"/>
      <c r="E615" s="14"/>
      <c r="F615" s="1"/>
      <c r="G615" s="12"/>
      <c r="H615" s="12" t="str">
        <f t="shared" si="2"/>
        <v xml:space="preserve">    </v>
      </c>
      <c r="I615" s="6"/>
      <c r="J615" s="12"/>
      <c r="K615" s="12"/>
      <c r="L615" s="12"/>
      <c r="M615" s="12"/>
      <c r="N615" s="6"/>
      <c r="O615" s="6"/>
    </row>
    <row r="616" spans="1:15" ht="15.5" x14ac:dyDescent="0.35">
      <c r="A616" s="12"/>
      <c r="B616" s="12"/>
      <c r="C616" s="13"/>
      <c r="D616" s="12"/>
      <c r="E616" s="14"/>
      <c r="F616" s="1"/>
      <c r="G616" s="12"/>
      <c r="H616" s="12" t="str">
        <f t="shared" si="2"/>
        <v xml:space="preserve">    </v>
      </c>
      <c r="I616" s="6"/>
      <c r="J616" s="12"/>
      <c r="K616" s="12"/>
      <c r="L616" s="12"/>
      <c r="M616" s="12"/>
      <c r="N616" s="6"/>
      <c r="O616" s="6"/>
    </row>
    <row r="617" spans="1:15" ht="15.5" x14ac:dyDescent="0.35">
      <c r="A617" s="12"/>
      <c r="B617" s="12"/>
      <c r="C617" s="13"/>
      <c r="D617" s="12"/>
      <c r="E617" s="14"/>
      <c r="F617" s="1"/>
      <c r="G617" s="12"/>
      <c r="H617" s="12" t="str">
        <f t="shared" si="2"/>
        <v xml:space="preserve">    </v>
      </c>
      <c r="I617" s="6"/>
      <c r="J617" s="12"/>
      <c r="K617" s="12"/>
      <c r="L617" s="12"/>
      <c r="M617" s="12"/>
      <c r="N617" s="6"/>
      <c r="O617" s="6"/>
    </row>
    <row r="618" spans="1:15" ht="15.5" x14ac:dyDescent="0.35">
      <c r="A618" s="12"/>
      <c r="B618" s="12"/>
      <c r="C618" s="13"/>
      <c r="D618" s="12"/>
      <c r="E618" s="14"/>
      <c r="F618" s="1"/>
      <c r="G618" s="12"/>
      <c r="H618" s="12" t="str">
        <f t="shared" si="2"/>
        <v xml:space="preserve">    </v>
      </c>
      <c r="I618" s="6"/>
      <c r="J618" s="12"/>
      <c r="K618" s="12"/>
      <c r="L618" s="12"/>
      <c r="M618" s="12"/>
      <c r="N618" s="6"/>
      <c r="O618" s="6"/>
    </row>
    <row r="619" spans="1:15" ht="15.5" x14ac:dyDescent="0.35">
      <c r="A619" s="12"/>
      <c r="B619" s="12"/>
      <c r="C619" s="13"/>
      <c r="D619" s="12"/>
      <c r="E619" s="14"/>
      <c r="F619" s="1"/>
      <c r="G619" s="12"/>
      <c r="H619" s="12" t="str">
        <f t="shared" si="2"/>
        <v xml:space="preserve">    </v>
      </c>
      <c r="I619" s="6"/>
      <c r="J619" s="12"/>
      <c r="K619" s="12"/>
      <c r="L619" s="12"/>
      <c r="M619" s="12"/>
      <c r="N619" s="6"/>
      <c r="O619" s="6"/>
    </row>
    <row r="620" spans="1:15" ht="15.5" x14ac:dyDescent="0.35">
      <c r="A620" s="12"/>
      <c r="B620" s="12"/>
      <c r="C620" s="13"/>
      <c r="D620" s="12"/>
      <c r="E620" s="14"/>
      <c r="F620" s="1"/>
      <c r="G620" s="12"/>
      <c r="H620" s="12" t="str">
        <f t="shared" si="2"/>
        <v xml:space="preserve">    </v>
      </c>
      <c r="I620" s="6"/>
      <c r="J620" s="12"/>
      <c r="K620" s="12"/>
      <c r="L620" s="12"/>
      <c r="M620" s="12"/>
      <c r="N620" s="6"/>
      <c r="O620" s="6"/>
    </row>
    <row r="621" spans="1:15" ht="15.5" x14ac:dyDescent="0.35">
      <c r="A621" s="12"/>
      <c r="B621" s="12"/>
      <c r="C621" s="13"/>
      <c r="D621" s="12"/>
      <c r="E621" s="14"/>
      <c r="F621" s="1"/>
      <c r="G621" s="12"/>
      <c r="H621" s="12" t="str">
        <f t="shared" si="2"/>
        <v xml:space="preserve">    </v>
      </c>
      <c r="I621" s="6"/>
      <c r="J621" s="12"/>
      <c r="K621" s="12"/>
      <c r="L621" s="12"/>
      <c r="M621" s="12"/>
      <c r="N621" s="6"/>
      <c r="O621" s="6"/>
    </row>
    <row r="622" spans="1:15" ht="15.5" x14ac:dyDescent="0.35">
      <c r="A622" s="12"/>
      <c r="B622" s="12"/>
      <c r="C622" s="13"/>
      <c r="D622" s="12"/>
      <c r="E622" s="14"/>
      <c r="F622" s="1"/>
      <c r="G622" s="12"/>
      <c r="H622" s="12" t="str">
        <f t="shared" si="2"/>
        <v xml:space="preserve">    </v>
      </c>
      <c r="I622" s="6"/>
      <c r="J622" s="12"/>
      <c r="K622" s="12"/>
      <c r="L622" s="12"/>
      <c r="M622" s="12"/>
      <c r="N622" s="6"/>
      <c r="O622" s="6"/>
    </row>
    <row r="623" spans="1:15" ht="15.5" x14ac:dyDescent="0.35">
      <c r="A623" s="12"/>
      <c r="B623" s="12"/>
      <c r="C623" s="13"/>
      <c r="D623" s="12"/>
      <c r="E623" s="14"/>
      <c r="F623" s="1"/>
      <c r="G623" s="12"/>
      <c r="H623" s="12" t="str">
        <f t="shared" si="2"/>
        <v xml:space="preserve">    </v>
      </c>
      <c r="I623" s="6"/>
      <c r="J623" s="12"/>
      <c r="K623" s="12"/>
      <c r="L623" s="12"/>
      <c r="M623" s="12"/>
      <c r="N623" s="6"/>
      <c r="O623" s="6"/>
    </row>
    <row r="624" spans="1:15" ht="15.5" x14ac:dyDescent="0.35">
      <c r="A624" s="12"/>
      <c r="B624" s="12"/>
      <c r="C624" s="13"/>
      <c r="D624" s="12"/>
      <c r="E624" s="14"/>
      <c r="F624" s="1"/>
      <c r="G624" s="12"/>
      <c r="H624" s="12" t="str">
        <f t="shared" si="2"/>
        <v xml:space="preserve">    </v>
      </c>
      <c r="I624" s="6"/>
      <c r="J624" s="12"/>
      <c r="K624" s="12"/>
      <c r="L624" s="12"/>
      <c r="M624" s="12"/>
      <c r="N624" s="6"/>
      <c r="O624" s="6"/>
    </row>
    <row r="625" spans="1:15" ht="15.5" x14ac:dyDescent="0.35">
      <c r="A625" s="12"/>
      <c r="B625" s="12"/>
      <c r="C625" s="13"/>
      <c r="D625" s="12"/>
      <c r="E625" s="14"/>
      <c r="F625" s="1"/>
      <c r="G625" s="12"/>
      <c r="H625" s="12" t="str">
        <f t="shared" si="2"/>
        <v xml:space="preserve">    </v>
      </c>
      <c r="I625" s="6"/>
      <c r="J625" s="12"/>
      <c r="K625" s="12"/>
      <c r="L625" s="12"/>
      <c r="M625" s="12"/>
      <c r="N625" s="6"/>
      <c r="O625" s="6"/>
    </row>
    <row r="626" spans="1:15" ht="15.5" x14ac:dyDescent="0.35">
      <c r="A626" s="12"/>
      <c r="B626" s="12"/>
      <c r="C626" s="13"/>
      <c r="D626" s="12"/>
      <c r="E626" s="14"/>
      <c r="F626" s="1"/>
      <c r="G626" s="12"/>
      <c r="H626" s="12" t="str">
        <f t="shared" si="2"/>
        <v xml:space="preserve">    </v>
      </c>
      <c r="I626" s="6"/>
      <c r="J626" s="12"/>
      <c r="K626" s="12"/>
      <c r="L626" s="12"/>
      <c r="M626" s="12"/>
      <c r="N626" s="6"/>
      <c r="O626" s="6"/>
    </row>
    <row r="627" spans="1:15" ht="15.5" x14ac:dyDescent="0.35">
      <c r="A627" s="12"/>
      <c r="B627" s="12"/>
      <c r="C627" s="13"/>
      <c r="D627" s="12"/>
      <c r="E627" s="14"/>
      <c r="F627" s="1"/>
      <c r="G627" s="12"/>
      <c r="H627" s="12" t="str">
        <f t="shared" si="2"/>
        <v xml:space="preserve">    </v>
      </c>
      <c r="I627" s="6"/>
      <c r="J627" s="12"/>
      <c r="K627" s="12"/>
      <c r="L627" s="12"/>
      <c r="M627" s="12"/>
      <c r="N627" s="6"/>
      <c r="O627" s="6"/>
    </row>
    <row r="628" spans="1:15" ht="15.5" x14ac:dyDescent="0.35">
      <c r="A628" s="12"/>
      <c r="B628" s="12"/>
      <c r="C628" s="13"/>
      <c r="D628" s="12"/>
      <c r="E628" s="14"/>
      <c r="F628" s="1"/>
      <c r="G628" s="12"/>
      <c r="H628" s="12" t="str">
        <f t="shared" si="2"/>
        <v xml:space="preserve">    </v>
      </c>
      <c r="I628" s="6"/>
      <c r="J628" s="12"/>
      <c r="K628" s="12"/>
      <c r="L628" s="12"/>
      <c r="M628" s="12"/>
      <c r="N628" s="6"/>
      <c r="O628" s="6"/>
    </row>
    <row r="629" spans="1:15" ht="15.5" x14ac:dyDescent="0.35">
      <c r="A629" s="12"/>
      <c r="B629" s="12"/>
      <c r="C629" s="13"/>
      <c r="D629" s="12"/>
      <c r="E629" s="14"/>
      <c r="F629" s="1"/>
      <c r="G629" s="12"/>
      <c r="H629" s="12" t="str">
        <f t="shared" si="2"/>
        <v xml:space="preserve">    </v>
      </c>
      <c r="I629" s="6"/>
      <c r="J629" s="12"/>
      <c r="K629" s="12"/>
      <c r="L629" s="12"/>
      <c r="M629" s="12"/>
      <c r="N629" s="6"/>
      <c r="O629" s="6"/>
    </row>
    <row r="630" spans="1:15" ht="15.5" x14ac:dyDescent="0.35">
      <c r="A630" s="12"/>
      <c r="B630" s="12"/>
      <c r="C630" s="13"/>
      <c r="D630" s="12"/>
      <c r="E630" s="14"/>
      <c r="F630" s="1"/>
      <c r="G630" s="12"/>
      <c r="H630" s="12" t="str">
        <f t="shared" si="2"/>
        <v xml:space="preserve">    </v>
      </c>
      <c r="I630" s="6"/>
      <c r="J630" s="12"/>
      <c r="K630" s="12"/>
      <c r="L630" s="12"/>
      <c r="M630" s="12"/>
      <c r="N630" s="6"/>
      <c r="O630" s="6"/>
    </row>
    <row r="631" spans="1:15" ht="15.5" x14ac:dyDescent="0.35">
      <c r="A631" s="12"/>
      <c r="B631" s="12"/>
      <c r="C631" s="13"/>
      <c r="D631" s="12"/>
      <c r="E631" s="14"/>
      <c r="F631" s="1"/>
      <c r="G631" s="12"/>
      <c r="H631" s="12" t="str">
        <f t="shared" si="2"/>
        <v xml:space="preserve">    </v>
      </c>
      <c r="I631" s="6"/>
      <c r="J631" s="12"/>
      <c r="K631" s="12"/>
      <c r="L631" s="12"/>
      <c r="M631" s="12"/>
      <c r="N631" s="6"/>
      <c r="O631" s="6"/>
    </row>
    <row r="632" spans="1:15" ht="15.5" x14ac:dyDescent="0.35">
      <c r="A632" s="12"/>
      <c r="B632" s="12"/>
      <c r="C632" s="13"/>
      <c r="D632" s="12"/>
      <c r="E632" s="14"/>
      <c r="F632" s="1"/>
      <c r="G632" s="12"/>
      <c r="H632" s="12" t="str">
        <f t="shared" si="2"/>
        <v xml:space="preserve">    </v>
      </c>
      <c r="I632" s="6"/>
      <c r="J632" s="12"/>
      <c r="K632" s="12"/>
      <c r="L632" s="12"/>
      <c r="M632" s="12"/>
      <c r="N632" s="6"/>
      <c r="O632" s="6"/>
    </row>
    <row r="633" spans="1:15" ht="15.5" x14ac:dyDescent="0.35">
      <c r="A633" s="12"/>
      <c r="B633" s="12"/>
      <c r="C633" s="13"/>
      <c r="D633" s="12"/>
      <c r="E633" s="14"/>
      <c r="F633" s="1"/>
      <c r="G633" s="12"/>
      <c r="H633" s="12" t="str">
        <f t="shared" si="2"/>
        <v xml:space="preserve">    </v>
      </c>
      <c r="I633" s="6"/>
      <c r="J633" s="12"/>
      <c r="K633" s="12"/>
      <c r="L633" s="12"/>
      <c r="M633" s="12"/>
      <c r="N633" s="6"/>
      <c r="O633" s="6"/>
    </row>
    <row r="634" spans="1:15" ht="15.5" x14ac:dyDescent="0.35">
      <c r="A634" s="12"/>
      <c r="B634" s="12"/>
      <c r="C634" s="13"/>
      <c r="D634" s="12"/>
      <c r="E634" s="14"/>
      <c r="F634" s="1"/>
      <c r="G634" s="12"/>
      <c r="H634" s="12" t="str">
        <f t="shared" si="2"/>
        <v xml:space="preserve">    </v>
      </c>
      <c r="I634" s="6"/>
      <c r="J634" s="12"/>
      <c r="K634" s="12"/>
      <c r="L634" s="12"/>
      <c r="M634" s="12"/>
      <c r="N634" s="6"/>
      <c r="O634" s="6"/>
    </row>
    <row r="635" spans="1:15" ht="15.5" x14ac:dyDescent="0.35">
      <c r="A635" s="12"/>
      <c r="B635" s="12"/>
      <c r="C635" s="13"/>
      <c r="D635" s="12"/>
      <c r="E635" s="14"/>
      <c r="F635" s="1"/>
      <c r="G635" s="12"/>
      <c r="H635" s="12" t="str">
        <f t="shared" si="2"/>
        <v xml:space="preserve">    </v>
      </c>
      <c r="I635" s="6"/>
      <c r="J635" s="12"/>
      <c r="K635" s="12"/>
      <c r="L635" s="12"/>
      <c r="M635" s="12"/>
      <c r="N635" s="6"/>
      <c r="O635" s="6"/>
    </row>
    <row r="636" spans="1:15" ht="15.5" x14ac:dyDescent="0.35">
      <c r="A636" s="12"/>
      <c r="B636" s="12"/>
      <c r="C636" s="13"/>
      <c r="D636" s="12"/>
      <c r="E636" s="14"/>
      <c r="F636" s="1"/>
      <c r="G636" s="12"/>
      <c r="H636" s="12" t="str">
        <f t="shared" si="2"/>
        <v xml:space="preserve">    </v>
      </c>
      <c r="I636" s="6"/>
      <c r="J636" s="12"/>
      <c r="K636" s="12"/>
      <c r="L636" s="12"/>
      <c r="M636" s="12"/>
      <c r="N636" s="6"/>
      <c r="O636" s="6"/>
    </row>
    <row r="637" spans="1:15" ht="15.5" x14ac:dyDescent="0.35">
      <c r="A637" s="12"/>
      <c r="B637" s="12"/>
      <c r="C637" s="13"/>
      <c r="D637" s="12"/>
      <c r="E637" s="14"/>
      <c r="F637" s="1"/>
      <c r="G637" s="12"/>
      <c r="H637" s="12" t="str">
        <f t="shared" si="2"/>
        <v xml:space="preserve">    </v>
      </c>
      <c r="I637" s="6"/>
      <c r="J637" s="12"/>
      <c r="K637" s="12"/>
      <c r="L637" s="12"/>
      <c r="M637" s="12"/>
      <c r="N637" s="6"/>
      <c r="O637" s="6"/>
    </row>
    <row r="638" spans="1:15" ht="15.5" x14ac:dyDescent="0.35">
      <c r="A638" s="12"/>
      <c r="B638" s="12"/>
      <c r="C638" s="13"/>
      <c r="D638" s="12"/>
      <c r="E638" s="14"/>
      <c r="F638" s="1"/>
      <c r="G638" s="12"/>
      <c r="H638" s="12" t="str">
        <f t="shared" si="2"/>
        <v xml:space="preserve">    </v>
      </c>
      <c r="I638" s="6"/>
      <c r="J638" s="12"/>
      <c r="K638" s="12"/>
      <c r="L638" s="12"/>
      <c r="M638" s="12"/>
      <c r="N638" s="6"/>
      <c r="O638" s="6"/>
    </row>
    <row r="639" spans="1:15" ht="15.5" x14ac:dyDescent="0.35">
      <c r="A639" s="12"/>
      <c r="B639" s="12"/>
      <c r="C639" s="13"/>
      <c r="D639" s="12"/>
      <c r="E639" s="14"/>
      <c r="F639" s="1"/>
      <c r="G639" s="12"/>
      <c r="H639" s="12" t="str">
        <f t="shared" si="2"/>
        <v xml:space="preserve">    </v>
      </c>
      <c r="I639" s="6"/>
      <c r="J639" s="12"/>
      <c r="K639" s="12"/>
      <c r="L639" s="12"/>
      <c r="M639" s="12"/>
      <c r="N639" s="6"/>
      <c r="O639" s="6"/>
    </row>
    <row r="640" spans="1:15" ht="15.5" x14ac:dyDescent="0.35">
      <c r="A640" s="12"/>
      <c r="B640" s="12"/>
      <c r="C640" s="13"/>
      <c r="D640" s="12"/>
      <c r="E640" s="14"/>
      <c r="F640" s="1"/>
      <c r="G640" s="12"/>
      <c r="H640" s="12" t="str">
        <f t="shared" si="2"/>
        <v xml:space="preserve">    </v>
      </c>
      <c r="I640" s="6"/>
      <c r="J640" s="12"/>
      <c r="K640" s="12"/>
      <c r="L640" s="12"/>
      <c r="M640" s="12"/>
      <c r="N640" s="6"/>
      <c r="O640" s="6"/>
    </row>
    <row r="641" spans="1:15" ht="15.5" x14ac:dyDescent="0.35">
      <c r="A641" s="12"/>
      <c r="B641" s="12"/>
      <c r="C641" s="13"/>
      <c r="D641" s="12"/>
      <c r="E641" s="14"/>
      <c r="F641" s="1"/>
      <c r="G641" s="12"/>
      <c r="H641" s="12" t="str">
        <f t="shared" si="2"/>
        <v xml:space="preserve">    </v>
      </c>
      <c r="I641" s="6"/>
      <c r="J641" s="12"/>
      <c r="K641" s="12"/>
      <c r="L641" s="12"/>
      <c r="M641" s="12"/>
      <c r="N641" s="6"/>
      <c r="O641" s="6"/>
    </row>
    <row r="642" spans="1:15" ht="15.5" x14ac:dyDescent="0.35">
      <c r="A642" s="12"/>
      <c r="B642" s="12"/>
      <c r="C642" s="13"/>
      <c r="D642" s="12"/>
      <c r="E642" s="14"/>
      <c r="F642" s="1"/>
      <c r="G642" s="12"/>
      <c r="H642" s="12" t="str">
        <f t="shared" si="2"/>
        <v xml:space="preserve">    </v>
      </c>
      <c r="I642" s="6"/>
      <c r="J642" s="12"/>
      <c r="K642" s="12"/>
      <c r="L642" s="12"/>
      <c r="M642" s="12"/>
      <c r="N642" s="6"/>
      <c r="O642" s="6"/>
    </row>
    <row r="643" spans="1:15" ht="15.5" x14ac:dyDescent="0.35">
      <c r="A643" s="12"/>
      <c r="B643" s="12"/>
      <c r="C643" s="13"/>
      <c r="D643" s="12"/>
      <c r="E643" s="14"/>
      <c r="F643" s="1"/>
      <c r="G643" s="12"/>
      <c r="H643" s="12" t="str">
        <f t="shared" si="2"/>
        <v xml:space="preserve">    </v>
      </c>
      <c r="I643" s="6"/>
      <c r="J643" s="12"/>
      <c r="K643" s="12"/>
      <c r="L643" s="12"/>
      <c r="M643" s="12"/>
      <c r="N643" s="6"/>
      <c r="O643" s="6"/>
    </row>
    <row r="644" spans="1:15" ht="15.5" x14ac:dyDescent="0.35">
      <c r="A644" s="12"/>
      <c r="B644" s="12"/>
      <c r="C644" s="13"/>
      <c r="D644" s="12"/>
      <c r="E644" s="14"/>
      <c r="F644" s="1"/>
      <c r="G644" s="12"/>
      <c r="H644" s="12" t="str">
        <f t="shared" si="2"/>
        <v xml:space="preserve">    </v>
      </c>
      <c r="I644" s="6"/>
      <c r="J644" s="12"/>
      <c r="K644" s="12"/>
      <c r="L644" s="12"/>
      <c r="M644" s="12"/>
      <c r="N644" s="6"/>
      <c r="O644" s="6"/>
    </row>
    <row r="645" spans="1:15" ht="15.5" x14ac:dyDescent="0.35">
      <c r="A645" s="12"/>
      <c r="B645" s="12"/>
      <c r="C645" s="13"/>
      <c r="D645" s="12"/>
      <c r="E645" s="14"/>
      <c r="F645" s="1"/>
      <c r="G645" s="12"/>
      <c r="H645" s="12" t="str">
        <f t="shared" si="2"/>
        <v xml:space="preserve">    </v>
      </c>
      <c r="I645" s="6"/>
      <c r="J645" s="12"/>
      <c r="K645" s="12"/>
      <c r="L645" s="12"/>
      <c r="M645" s="12"/>
      <c r="N645" s="6"/>
      <c r="O645" s="6"/>
    </row>
    <row r="646" spans="1:15" ht="15.5" x14ac:dyDescent="0.35">
      <c r="A646" s="12"/>
      <c r="B646" s="12"/>
      <c r="C646" s="13"/>
      <c r="D646" s="12"/>
      <c r="E646" s="14"/>
      <c r="F646" s="1"/>
      <c r="G646" s="12"/>
      <c r="H646" s="12" t="str">
        <f t="shared" si="2"/>
        <v xml:space="preserve">    </v>
      </c>
      <c r="I646" s="6"/>
      <c r="J646" s="12"/>
      <c r="K646" s="12"/>
      <c r="L646" s="12"/>
      <c r="M646" s="12"/>
      <c r="N646" s="6"/>
      <c r="O646" s="6"/>
    </row>
    <row r="647" spans="1:15" ht="15.5" x14ac:dyDescent="0.35">
      <c r="A647" s="12"/>
      <c r="B647" s="12"/>
      <c r="C647" s="13"/>
      <c r="D647" s="12"/>
      <c r="E647" s="14"/>
      <c r="F647" s="1"/>
      <c r="G647" s="12"/>
      <c r="H647" s="12" t="str">
        <f t="shared" si="2"/>
        <v xml:space="preserve">    </v>
      </c>
      <c r="I647" s="6"/>
      <c r="J647" s="12"/>
      <c r="K647" s="12"/>
      <c r="L647" s="12"/>
      <c r="M647" s="12"/>
      <c r="N647" s="6"/>
      <c r="O647" s="6"/>
    </row>
    <row r="648" spans="1:15" ht="15.5" x14ac:dyDescent="0.35">
      <c r="A648" s="12"/>
      <c r="B648" s="12"/>
      <c r="C648" s="13"/>
      <c r="D648" s="12"/>
      <c r="E648" s="14"/>
      <c r="F648" s="1"/>
      <c r="G648" s="12"/>
      <c r="H648" s="12" t="str">
        <f t="shared" si="2"/>
        <v xml:space="preserve">    </v>
      </c>
      <c r="I648" s="6"/>
      <c r="J648" s="12"/>
      <c r="K648" s="12"/>
      <c r="L648" s="12"/>
      <c r="M648" s="12"/>
      <c r="N648" s="6"/>
      <c r="O648" s="6"/>
    </row>
    <row r="649" spans="1:15" ht="15.5" x14ac:dyDescent="0.35">
      <c r="A649" s="12"/>
      <c r="B649" s="12"/>
      <c r="C649" s="13"/>
      <c r="D649" s="12"/>
      <c r="E649" s="14"/>
      <c r="F649" s="1"/>
      <c r="G649" s="12"/>
      <c r="H649" s="12" t="str">
        <f t="shared" si="2"/>
        <v xml:space="preserve">    </v>
      </c>
      <c r="I649" s="6"/>
      <c r="J649" s="12"/>
      <c r="K649" s="12"/>
      <c r="L649" s="12"/>
      <c r="M649" s="12"/>
      <c r="N649" s="6"/>
      <c r="O649" s="6"/>
    </row>
    <row r="650" spans="1:15" ht="15.5" x14ac:dyDescent="0.35">
      <c r="A650" s="12"/>
      <c r="B650" s="12"/>
      <c r="C650" s="13"/>
      <c r="D650" s="12"/>
      <c r="E650" s="14"/>
      <c r="F650" s="1"/>
      <c r="G650" s="12"/>
      <c r="H650" s="12" t="str">
        <f t="shared" si="2"/>
        <v xml:space="preserve">    </v>
      </c>
      <c r="I650" s="6"/>
      <c r="J650" s="12"/>
      <c r="K650" s="12"/>
      <c r="L650" s="12"/>
      <c r="M650" s="12"/>
      <c r="N650" s="6"/>
      <c r="O650" s="6"/>
    </row>
    <row r="651" spans="1:15" ht="15.5" x14ac:dyDescent="0.35">
      <c r="A651" s="12"/>
      <c r="B651" s="12"/>
      <c r="C651" s="13"/>
      <c r="D651" s="12"/>
      <c r="E651" s="14"/>
      <c r="F651" s="1"/>
      <c r="G651" s="12"/>
      <c r="H651" s="12" t="str">
        <f t="shared" si="2"/>
        <v xml:space="preserve">    </v>
      </c>
      <c r="I651" s="6"/>
      <c r="J651" s="12"/>
      <c r="K651" s="12"/>
      <c r="L651" s="12"/>
      <c r="M651" s="12"/>
      <c r="N651" s="6"/>
      <c r="O651" s="6"/>
    </row>
    <row r="652" spans="1:15" ht="15.5" x14ac:dyDescent="0.35">
      <c r="A652" s="12"/>
      <c r="B652" s="12"/>
      <c r="C652" s="13"/>
      <c r="D652" s="12"/>
      <c r="E652" s="14"/>
      <c r="F652" s="1"/>
      <c r="G652" s="12"/>
      <c r="H652" s="12" t="str">
        <f t="shared" si="2"/>
        <v xml:space="preserve">    </v>
      </c>
      <c r="I652" s="6"/>
      <c r="J652" s="12"/>
      <c r="K652" s="12"/>
      <c r="L652" s="12"/>
      <c r="M652" s="12"/>
      <c r="N652" s="6"/>
      <c r="O652" s="6"/>
    </row>
    <row r="653" spans="1:15" ht="15.5" x14ac:dyDescent="0.35">
      <c r="A653" s="12"/>
      <c r="B653" s="12"/>
      <c r="C653" s="13"/>
      <c r="D653" s="12"/>
      <c r="E653" s="14"/>
      <c r="F653" s="1"/>
      <c r="G653" s="12"/>
      <c r="H653" s="12" t="str">
        <f t="shared" si="2"/>
        <v xml:space="preserve">    </v>
      </c>
      <c r="I653" s="6"/>
      <c r="J653" s="12"/>
      <c r="K653" s="12"/>
      <c r="L653" s="12"/>
      <c r="M653" s="12"/>
      <c r="N653" s="6"/>
      <c r="O653" s="6"/>
    </row>
    <row r="654" spans="1:15" ht="15.5" x14ac:dyDescent="0.35">
      <c r="A654" s="12"/>
      <c r="B654" s="12"/>
      <c r="C654" s="13"/>
      <c r="D654" s="12"/>
      <c r="E654" s="14"/>
      <c r="F654" s="1"/>
      <c r="G654" s="12"/>
      <c r="H654" s="12" t="str">
        <f t="shared" si="2"/>
        <v xml:space="preserve">    </v>
      </c>
      <c r="I654" s="6"/>
      <c r="J654" s="12"/>
      <c r="K654" s="12"/>
      <c r="L654" s="12"/>
      <c r="M654" s="12"/>
      <c r="N654" s="6"/>
      <c r="O654" s="6"/>
    </row>
    <row r="655" spans="1:15" ht="15.5" x14ac:dyDescent="0.35">
      <c r="A655" s="12"/>
      <c r="B655" s="12"/>
      <c r="C655" s="13"/>
      <c r="D655" s="12"/>
      <c r="E655" s="14"/>
      <c r="F655" s="1"/>
      <c r="G655" s="12"/>
      <c r="H655" s="12" t="str">
        <f t="shared" si="2"/>
        <v xml:space="preserve">    </v>
      </c>
      <c r="I655" s="6"/>
      <c r="J655" s="12"/>
      <c r="K655" s="12"/>
      <c r="L655" s="12"/>
      <c r="M655" s="12"/>
      <c r="N655" s="6"/>
      <c r="O655" s="6"/>
    </row>
    <row r="656" spans="1:15" ht="15.5" x14ac:dyDescent="0.35">
      <c r="A656" s="12"/>
      <c r="B656" s="12"/>
      <c r="C656" s="13"/>
      <c r="D656" s="12"/>
      <c r="E656" s="14"/>
      <c r="F656" s="1"/>
      <c r="G656" s="12"/>
      <c r="H656" s="12" t="str">
        <f t="shared" si="2"/>
        <v xml:space="preserve">    </v>
      </c>
      <c r="I656" s="6"/>
      <c r="J656" s="12"/>
      <c r="K656" s="12"/>
      <c r="L656" s="12"/>
      <c r="M656" s="12"/>
      <c r="N656" s="6"/>
      <c r="O656" s="6"/>
    </row>
    <row r="657" spans="1:15" ht="15.5" x14ac:dyDescent="0.35">
      <c r="A657" s="12"/>
      <c r="B657" s="12"/>
      <c r="C657" s="13"/>
      <c r="D657" s="12"/>
      <c r="E657" s="14"/>
      <c r="F657" s="1"/>
      <c r="G657" s="12"/>
      <c r="H657" s="12" t="str">
        <f t="shared" si="2"/>
        <v xml:space="preserve">    </v>
      </c>
      <c r="I657" s="6"/>
      <c r="J657" s="12"/>
      <c r="K657" s="12"/>
      <c r="L657" s="12"/>
      <c r="M657" s="12"/>
      <c r="N657" s="6"/>
      <c r="O657" s="6"/>
    </row>
    <row r="658" spans="1:15" ht="15.5" x14ac:dyDescent="0.35">
      <c r="A658" s="12"/>
      <c r="B658" s="12"/>
      <c r="C658" s="13"/>
      <c r="D658" s="12"/>
      <c r="E658" s="14"/>
      <c r="F658" s="1"/>
      <c r="G658" s="12"/>
      <c r="H658" s="12" t="str">
        <f t="shared" si="2"/>
        <v xml:space="preserve">    </v>
      </c>
      <c r="I658" s="6"/>
      <c r="J658" s="12"/>
      <c r="K658" s="12"/>
      <c r="L658" s="12"/>
      <c r="M658" s="12"/>
      <c r="N658" s="6"/>
      <c r="O658" s="6"/>
    </row>
    <row r="659" spans="1:15" ht="15.5" x14ac:dyDescent="0.35">
      <c r="A659" s="12"/>
      <c r="B659" s="12"/>
      <c r="C659" s="13"/>
      <c r="D659" s="12"/>
      <c r="E659" s="14"/>
      <c r="F659" s="1"/>
      <c r="G659" s="12"/>
      <c r="H659" s="12" t="str">
        <f t="shared" si="2"/>
        <v xml:space="preserve">    </v>
      </c>
      <c r="I659" s="6"/>
      <c r="J659" s="12"/>
      <c r="K659" s="12"/>
      <c r="L659" s="12"/>
      <c r="M659" s="12"/>
      <c r="N659" s="6"/>
      <c r="O659" s="6"/>
    </row>
    <row r="660" spans="1:15" ht="15.5" x14ac:dyDescent="0.35">
      <c r="A660" s="12"/>
      <c r="B660" s="12"/>
      <c r="C660" s="13"/>
      <c r="D660" s="12"/>
      <c r="E660" s="14"/>
      <c r="F660" s="1"/>
      <c r="G660" s="12"/>
      <c r="H660" s="12" t="str">
        <f t="shared" si="2"/>
        <v xml:space="preserve">    </v>
      </c>
      <c r="I660" s="6"/>
      <c r="J660" s="12"/>
      <c r="K660" s="12"/>
      <c r="L660" s="12"/>
      <c r="M660" s="12"/>
      <c r="N660" s="6"/>
      <c r="O660" s="6"/>
    </row>
    <row r="661" spans="1:15" ht="15.5" x14ac:dyDescent="0.35">
      <c r="A661" s="12"/>
      <c r="B661" s="12"/>
      <c r="C661" s="13"/>
      <c r="D661" s="12"/>
      <c r="E661" s="14"/>
      <c r="F661" s="1"/>
      <c r="G661" s="12"/>
      <c r="H661" s="12" t="str">
        <f t="shared" si="2"/>
        <v xml:space="preserve">    </v>
      </c>
      <c r="I661" s="6"/>
      <c r="J661" s="12"/>
      <c r="K661" s="12"/>
      <c r="L661" s="12"/>
      <c r="M661" s="12"/>
      <c r="N661" s="6"/>
      <c r="O661" s="6"/>
    </row>
    <row r="662" spans="1:15" ht="15.5" x14ac:dyDescent="0.35">
      <c r="A662" s="12"/>
      <c r="B662" s="12"/>
      <c r="C662" s="13"/>
      <c r="D662" s="12"/>
      <c r="E662" s="14"/>
      <c r="F662" s="1"/>
      <c r="G662" s="12"/>
      <c r="H662" s="12" t="str">
        <f t="shared" si="2"/>
        <v xml:space="preserve">    </v>
      </c>
      <c r="I662" s="6"/>
      <c r="J662" s="12"/>
      <c r="K662" s="12"/>
      <c r="L662" s="12"/>
      <c r="M662" s="12"/>
      <c r="N662" s="6"/>
      <c r="O662" s="6"/>
    </row>
    <row r="663" spans="1:15" ht="15.5" x14ac:dyDescent="0.35">
      <c r="A663" s="12"/>
      <c r="B663" s="12"/>
      <c r="C663" s="13"/>
      <c r="D663" s="12"/>
      <c r="E663" s="14"/>
      <c r="F663" s="1"/>
      <c r="G663" s="12"/>
      <c r="H663" s="12" t="str">
        <f t="shared" si="2"/>
        <v xml:space="preserve">    </v>
      </c>
      <c r="I663" s="6"/>
      <c r="J663" s="12"/>
      <c r="K663" s="12"/>
      <c r="L663" s="12"/>
      <c r="M663" s="12"/>
      <c r="N663" s="6"/>
      <c r="O663" s="6"/>
    </row>
    <row r="664" spans="1:15" ht="15.5" x14ac:dyDescent="0.35">
      <c r="A664" s="12"/>
      <c r="B664" s="12"/>
      <c r="C664" s="13"/>
      <c r="D664" s="12"/>
      <c r="E664" s="14"/>
      <c r="F664" s="1"/>
      <c r="G664" s="12"/>
      <c r="H664" s="12" t="str">
        <f t="shared" si="2"/>
        <v xml:space="preserve">    </v>
      </c>
      <c r="I664" s="6"/>
      <c r="J664" s="12"/>
      <c r="K664" s="12"/>
      <c r="L664" s="12"/>
      <c r="M664" s="12"/>
      <c r="N664" s="6"/>
      <c r="O664" s="6"/>
    </row>
    <row r="665" spans="1:15" ht="15.5" x14ac:dyDescent="0.35">
      <c r="A665" s="12"/>
      <c r="B665" s="12"/>
      <c r="C665" s="13"/>
      <c r="D665" s="12"/>
      <c r="E665" s="14"/>
      <c r="F665" s="1"/>
      <c r="G665" s="12"/>
      <c r="H665" s="12" t="str">
        <f t="shared" si="2"/>
        <v xml:space="preserve">    </v>
      </c>
      <c r="I665" s="6"/>
      <c r="J665" s="12"/>
      <c r="K665" s="12"/>
      <c r="L665" s="12"/>
      <c r="M665" s="12"/>
      <c r="N665" s="6"/>
      <c r="O665" s="6"/>
    </row>
    <row r="666" spans="1:15" ht="15.5" x14ac:dyDescent="0.35">
      <c r="A666" s="12"/>
      <c r="B666" s="12"/>
      <c r="C666" s="13"/>
      <c r="D666" s="12"/>
      <c r="E666" s="14"/>
      <c r="F666" s="1"/>
      <c r="G666" s="12"/>
      <c r="H666" s="12" t="str">
        <f t="shared" si="2"/>
        <v xml:space="preserve">    </v>
      </c>
      <c r="I666" s="6"/>
      <c r="J666" s="12"/>
      <c r="K666" s="12"/>
      <c r="L666" s="12"/>
      <c r="M666" s="12"/>
      <c r="N666" s="6"/>
      <c r="O666" s="6"/>
    </row>
    <row r="667" spans="1:15" ht="15.5" x14ac:dyDescent="0.35">
      <c r="A667" s="12"/>
      <c r="B667" s="12"/>
      <c r="C667" s="13"/>
      <c r="D667" s="12"/>
      <c r="E667" s="14"/>
      <c r="F667" s="1"/>
      <c r="G667" s="12"/>
      <c r="H667" s="12" t="str">
        <f t="shared" si="2"/>
        <v xml:space="preserve">    </v>
      </c>
      <c r="I667" s="6"/>
      <c r="J667" s="12"/>
      <c r="K667" s="12"/>
      <c r="L667" s="12"/>
      <c r="M667" s="12"/>
      <c r="N667" s="6"/>
      <c r="O667" s="6"/>
    </row>
    <row r="668" spans="1:15" ht="15.5" x14ac:dyDescent="0.35">
      <c r="A668" s="12"/>
      <c r="B668" s="12"/>
      <c r="C668" s="13"/>
      <c r="D668" s="12"/>
      <c r="E668" s="14"/>
      <c r="F668" s="1"/>
      <c r="G668" s="12"/>
      <c r="H668" s="12" t="str">
        <f t="shared" si="2"/>
        <v xml:space="preserve">    </v>
      </c>
      <c r="I668" s="6"/>
      <c r="J668" s="12"/>
      <c r="K668" s="12"/>
      <c r="L668" s="12"/>
      <c r="M668" s="12"/>
      <c r="N668" s="6"/>
      <c r="O668" s="6"/>
    </row>
    <row r="669" spans="1:15" ht="15.5" x14ac:dyDescent="0.35">
      <c r="A669" s="12"/>
      <c r="B669" s="12"/>
      <c r="C669" s="13"/>
      <c r="D669" s="12"/>
      <c r="E669" s="14"/>
      <c r="F669" s="1"/>
      <c r="G669" s="12"/>
      <c r="H669" s="12" t="str">
        <f t="shared" si="2"/>
        <v xml:space="preserve">    </v>
      </c>
      <c r="I669" s="6"/>
      <c r="J669" s="12"/>
      <c r="K669" s="12"/>
      <c r="L669" s="12"/>
      <c r="M669" s="12"/>
      <c r="N669" s="6"/>
      <c r="O669" s="6"/>
    </row>
    <row r="670" spans="1:15" ht="15.5" x14ac:dyDescent="0.35">
      <c r="A670" s="12"/>
      <c r="B670" s="12"/>
      <c r="C670" s="13"/>
      <c r="D670" s="12"/>
      <c r="E670" s="14"/>
      <c r="F670" s="1"/>
      <c r="G670" s="12"/>
      <c r="H670" s="12" t="str">
        <f t="shared" si="2"/>
        <v xml:space="preserve">    </v>
      </c>
      <c r="I670" s="6"/>
      <c r="J670" s="12"/>
      <c r="K670" s="12"/>
      <c r="L670" s="12"/>
      <c r="M670" s="12"/>
      <c r="N670" s="6"/>
      <c r="O670" s="6"/>
    </row>
    <row r="671" spans="1:15" ht="15.5" x14ac:dyDescent="0.35">
      <c r="A671" s="12"/>
      <c r="B671" s="12"/>
      <c r="C671" s="13"/>
      <c r="D671" s="12"/>
      <c r="E671" s="14"/>
      <c r="F671" s="1"/>
      <c r="G671" s="12"/>
      <c r="H671" s="12" t="str">
        <f t="shared" si="2"/>
        <v xml:space="preserve">    </v>
      </c>
      <c r="I671" s="6"/>
      <c r="J671" s="12"/>
      <c r="K671" s="12"/>
      <c r="L671" s="12"/>
      <c r="M671" s="12"/>
      <c r="N671" s="6"/>
      <c r="O671" s="6"/>
    </row>
    <row r="672" spans="1:15" ht="15.5" x14ac:dyDescent="0.35">
      <c r="A672" s="12"/>
      <c r="B672" s="12"/>
      <c r="C672" s="13"/>
      <c r="D672" s="12"/>
      <c r="E672" s="14"/>
      <c r="F672" s="1"/>
      <c r="G672" s="12"/>
      <c r="H672" s="12" t="str">
        <f t="shared" si="2"/>
        <v xml:space="preserve">    </v>
      </c>
      <c r="I672" s="6"/>
      <c r="J672" s="12"/>
      <c r="K672" s="12"/>
      <c r="L672" s="12"/>
      <c r="M672" s="12"/>
      <c r="N672" s="6"/>
      <c r="O672" s="6"/>
    </row>
    <row r="673" spans="1:15" ht="15.5" x14ac:dyDescent="0.35">
      <c r="A673" s="12"/>
      <c r="B673" s="12"/>
      <c r="C673" s="13"/>
      <c r="D673" s="12"/>
      <c r="E673" s="14"/>
      <c r="F673" s="1"/>
      <c r="G673" s="12"/>
      <c r="H673" s="12" t="str">
        <f t="shared" si="2"/>
        <v xml:space="preserve">    </v>
      </c>
      <c r="I673" s="6"/>
      <c r="J673" s="12"/>
      <c r="K673" s="12"/>
      <c r="L673" s="12"/>
      <c r="M673" s="12"/>
      <c r="N673" s="6"/>
      <c r="O673" s="6"/>
    </row>
    <row r="674" spans="1:15" ht="15.5" x14ac:dyDescent="0.35">
      <c r="A674" s="12"/>
      <c r="B674" s="12"/>
      <c r="C674" s="13"/>
      <c r="D674" s="12"/>
      <c r="E674" s="14"/>
      <c r="F674" s="1"/>
      <c r="G674" s="12"/>
      <c r="H674" s="12" t="str">
        <f t="shared" si="2"/>
        <v xml:space="preserve">    </v>
      </c>
      <c r="I674" s="6"/>
      <c r="J674" s="12"/>
      <c r="K674" s="12"/>
      <c r="L674" s="12"/>
      <c r="M674" s="12"/>
      <c r="N674" s="6"/>
      <c r="O674" s="6"/>
    </row>
    <row r="675" spans="1:15" ht="15.5" x14ac:dyDescent="0.35">
      <c r="A675" s="12"/>
      <c r="B675" s="12"/>
      <c r="C675" s="13"/>
      <c r="D675" s="12"/>
      <c r="E675" s="14"/>
      <c r="F675" s="1"/>
      <c r="G675" s="12"/>
      <c r="H675" s="12" t="str">
        <f t="shared" si="2"/>
        <v xml:space="preserve">    </v>
      </c>
      <c r="I675" s="6"/>
      <c r="J675" s="12"/>
      <c r="K675" s="12"/>
      <c r="L675" s="12"/>
      <c r="M675" s="12"/>
      <c r="N675" s="6"/>
      <c r="O675" s="6"/>
    </row>
    <row r="676" spans="1:15" ht="15.5" x14ac:dyDescent="0.35">
      <c r="A676" s="12"/>
      <c r="B676" s="12"/>
      <c r="C676" s="13"/>
      <c r="D676" s="12"/>
      <c r="E676" s="14"/>
      <c r="F676" s="1"/>
      <c r="G676" s="12"/>
      <c r="H676" s="12" t="str">
        <f t="shared" si="2"/>
        <v xml:space="preserve">    </v>
      </c>
      <c r="I676" s="6"/>
      <c r="J676" s="12"/>
      <c r="K676" s="12"/>
      <c r="L676" s="12"/>
      <c r="M676" s="12"/>
      <c r="N676" s="6"/>
      <c r="O676" s="6"/>
    </row>
    <row r="677" spans="1:15" ht="15.5" x14ac:dyDescent="0.35">
      <c r="A677" s="12"/>
      <c r="B677" s="12"/>
      <c r="C677" s="13"/>
      <c r="D677" s="12"/>
      <c r="E677" s="14"/>
      <c r="F677" s="1"/>
      <c r="G677" s="12"/>
      <c r="H677" s="12" t="str">
        <f t="shared" si="2"/>
        <v xml:space="preserve">    </v>
      </c>
      <c r="I677" s="6"/>
      <c r="J677" s="12"/>
      <c r="K677" s="12"/>
      <c r="L677" s="12"/>
      <c r="M677" s="12"/>
      <c r="N677" s="6"/>
      <c r="O677" s="6"/>
    </row>
    <row r="678" spans="1:15" ht="15.5" x14ac:dyDescent="0.35">
      <c r="A678" s="12"/>
      <c r="B678" s="12"/>
      <c r="C678" s="13"/>
      <c r="D678" s="12"/>
      <c r="E678" s="14"/>
      <c r="F678" s="1"/>
      <c r="G678" s="12"/>
      <c r="H678" s="12" t="str">
        <f t="shared" si="2"/>
        <v xml:space="preserve">    </v>
      </c>
      <c r="I678" s="6"/>
      <c r="J678" s="12"/>
      <c r="K678" s="12"/>
      <c r="L678" s="12"/>
      <c r="M678" s="12"/>
      <c r="N678" s="6"/>
      <c r="O678" s="6"/>
    </row>
    <row r="679" spans="1:15" ht="15.5" x14ac:dyDescent="0.35">
      <c r="A679" s="12"/>
      <c r="B679" s="12"/>
      <c r="C679" s="13"/>
      <c r="D679" s="12"/>
      <c r="E679" s="14"/>
      <c r="F679" s="1"/>
      <c r="G679" s="12"/>
      <c r="H679" s="12" t="str">
        <f t="shared" si="2"/>
        <v xml:space="preserve">    </v>
      </c>
      <c r="I679" s="6"/>
      <c r="J679" s="12"/>
      <c r="K679" s="12"/>
      <c r="L679" s="12"/>
      <c r="M679" s="12"/>
      <c r="N679" s="6"/>
      <c r="O679" s="6"/>
    </row>
    <row r="680" spans="1:15" ht="15.5" x14ac:dyDescent="0.35">
      <c r="A680" s="12"/>
      <c r="B680" s="12"/>
      <c r="C680" s="13"/>
      <c r="D680" s="12"/>
      <c r="E680" s="14"/>
      <c r="F680" s="1"/>
      <c r="G680" s="12"/>
      <c r="H680" s="12" t="str">
        <f t="shared" si="2"/>
        <v xml:space="preserve">    </v>
      </c>
      <c r="I680" s="6"/>
      <c r="J680" s="12"/>
      <c r="K680" s="12"/>
      <c r="L680" s="12"/>
      <c r="M680" s="12"/>
      <c r="N680" s="6"/>
      <c r="O680" s="6"/>
    </row>
    <row r="681" spans="1:15" ht="15.5" x14ac:dyDescent="0.35">
      <c r="A681" s="12"/>
      <c r="B681" s="12"/>
      <c r="C681" s="13"/>
      <c r="D681" s="12"/>
      <c r="E681" s="14"/>
      <c r="F681" s="1"/>
      <c r="G681" s="12"/>
      <c r="H681" s="12" t="str">
        <f t="shared" si="2"/>
        <v xml:space="preserve">    </v>
      </c>
      <c r="I681" s="6"/>
      <c r="J681" s="12"/>
      <c r="K681" s="12"/>
      <c r="L681" s="12"/>
      <c r="M681" s="12"/>
      <c r="N681" s="6"/>
      <c r="O681" s="6"/>
    </row>
    <row r="682" spans="1:15" ht="15.5" x14ac:dyDescent="0.35">
      <c r="A682" s="12"/>
      <c r="B682" s="12"/>
      <c r="C682" s="13"/>
      <c r="D682" s="12"/>
      <c r="E682" s="14"/>
      <c r="F682" s="1"/>
      <c r="G682" s="12"/>
      <c r="H682" s="12" t="str">
        <f t="shared" si="2"/>
        <v xml:space="preserve">    </v>
      </c>
      <c r="I682" s="6"/>
      <c r="J682" s="12"/>
      <c r="K682" s="12"/>
      <c r="L682" s="12"/>
      <c r="M682" s="12"/>
      <c r="N682" s="6"/>
      <c r="O682" s="6"/>
    </row>
    <row r="683" spans="1:15" ht="15.5" x14ac:dyDescent="0.35">
      <c r="A683" s="12"/>
      <c r="B683" s="12"/>
      <c r="C683" s="13"/>
      <c r="D683" s="12"/>
      <c r="E683" s="14"/>
      <c r="F683" s="1"/>
      <c r="G683" s="12"/>
      <c r="H683" s="12" t="str">
        <f t="shared" si="2"/>
        <v xml:space="preserve">    </v>
      </c>
      <c r="I683" s="6"/>
      <c r="J683" s="12"/>
      <c r="K683" s="12"/>
      <c r="L683" s="12"/>
      <c r="M683" s="12"/>
      <c r="N683" s="6"/>
      <c r="O683" s="6"/>
    </row>
    <row r="684" spans="1:15" ht="15.5" x14ac:dyDescent="0.35">
      <c r="A684" s="12"/>
      <c r="B684" s="12"/>
      <c r="C684" s="13"/>
      <c r="D684" s="12"/>
      <c r="E684" s="14"/>
      <c r="F684" s="1"/>
      <c r="G684" s="12"/>
      <c r="H684" s="12" t="str">
        <f t="shared" si="2"/>
        <v xml:space="preserve">    </v>
      </c>
      <c r="I684" s="6"/>
      <c r="J684" s="12"/>
      <c r="K684" s="12"/>
      <c r="L684" s="12"/>
      <c r="M684" s="12"/>
      <c r="N684" s="6"/>
      <c r="O684" s="6"/>
    </row>
    <row r="685" spans="1:15" ht="15.5" x14ac:dyDescent="0.35">
      <c r="A685" s="12"/>
      <c r="B685" s="12"/>
      <c r="C685" s="13"/>
      <c r="D685" s="12"/>
      <c r="E685" s="14"/>
      <c r="F685" s="1"/>
      <c r="G685" s="12"/>
      <c r="H685" s="12" t="str">
        <f t="shared" si="2"/>
        <v xml:space="preserve">    </v>
      </c>
      <c r="I685" s="6"/>
      <c r="J685" s="12"/>
      <c r="K685" s="12"/>
      <c r="L685" s="12"/>
      <c r="M685" s="12"/>
      <c r="N685" s="6"/>
      <c r="O685" s="6"/>
    </row>
    <row r="686" spans="1:15" ht="15.5" x14ac:dyDescent="0.35">
      <c r="A686" s="12"/>
      <c r="B686" s="12"/>
      <c r="C686" s="13"/>
      <c r="D686" s="12"/>
      <c r="E686" s="14"/>
      <c r="F686" s="1"/>
      <c r="G686" s="12"/>
      <c r="H686" s="12" t="str">
        <f t="shared" si="2"/>
        <v xml:space="preserve">    </v>
      </c>
      <c r="I686" s="6"/>
      <c r="J686" s="12"/>
      <c r="K686" s="12"/>
      <c r="L686" s="12"/>
      <c r="M686" s="12"/>
      <c r="N686" s="6"/>
      <c r="O686" s="6"/>
    </row>
    <row r="687" spans="1:15" ht="15.5" x14ac:dyDescent="0.35">
      <c r="A687" s="12"/>
      <c r="B687" s="12"/>
      <c r="C687" s="13"/>
      <c r="D687" s="12"/>
      <c r="E687" s="14"/>
      <c r="F687" s="1"/>
      <c r="G687" s="12"/>
      <c r="H687" s="12" t="str">
        <f t="shared" si="2"/>
        <v xml:space="preserve">    </v>
      </c>
      <c r="I687" s="6"/>
      <c r="J687" s="12"/>
      <c r="K687" s="12"/>
      <c r="L687" s="12"/>
      <c r="M687" s="12"/>
      <c r="N687" s="6"/>
      <c r="O687" s="6"/>
    </row>
    <row r="688" spans="1:15" ht="15.5" x14ac:dyDescent="0.35">
      <c r="A688" s="12"/>
      <c r="B688" s="12"/>
      <c r="C688" s="13"/>
      <c r="D688" s="12"/>
      <c r="E688" s="14"/>
      <c r="F688" s="1"/>
      <c r="G688" s="12"/>
      <c r="H688" s="12" t="str">
        <f t="shared" si="2"/>
        <v xml:space="preserve">    </v>
      </c>
      <c r="I688" s="6"/>
      <c r="J688" s="12"/>
      <c r="K688" s="12"/>
      <c r="L688" s="12"/>
      <c r="M688" s="12"/>
      <c r="N688" s="6"/>
      <c r="O688" s="6"/>
    </row>
    <row r="689" spans="1:15" ht="15.5" x14ac:dyDescent="0.35">
      <c r="A689" s="12"/>
      <c r="B689" s="12"/>
      <c r="C689" s="13"/>
      <c r="D689" s="12"/>
      <c r="E689" s="14"/>
      <c r="F689" s="1"/>
      <c r="G689" s="12"/>
      <c r="H689" s="12" t="str">
        <f t="shared" si="2"/>
        <v xml:space="preserve">    </v>
      </c>
      <c r="I689" s="6"/>
      <c r="J689" s="12"/>
      <c r="K689" s="12"/>
      <c r="L689" s="12"/>
      <c r="M689" s="12"/>
      <c r="N689" s="6"/>
      <c r="O689" s="6"/>
    </row>
    <row r="690" spans="1:15" ht="15.5" x14ac:dyDescent="0.35">
      <c r="A690" s="12"/>
      <c r="B690" s="12"/>
      <c r="C690" s="13"/>
      <c r="D690" s="12"/>
      <c r="E690" s="14"/>
      <c r="F690" s="1"/>
      <c r="G690" s="12"/>
      <c r="H690" s="12" t="str">
        <f t="shared" si="2"/>
        <v xml:space="preserve">    </v>
      </c>
      <c r="I690" s="6"/>
      <c r="J690" s="12"/>
      <c r="K690" s="12"/>
      <c r="L690" s="12"/>
      <c r="M690" s="12"/>
      <c r="N690" s="6"/>
      <c r="O690" s="6"/>
    </row>
    <row r="691" spans="1:15" ht="15.5" x14ac:dyDescent="0.35">
      <c r="A691" s="12"/>
      <c r="B691" s="12"/>
      <c r="C691" s="13"/>
      <c r="D691" s="12"/>
      <c r="E691" s="14"/>
      <c r="F691" s="1"/>
      <c r="G691" s="12"/>
      <c r="H691" s="12" t="str">
        <f t="shared" si="2"/>
        <v xml:space="preserve">    </v>
      </c>
      <c r="I691" s="6"/>
      <c r="J691" s="12"/>
      <c r="K691" s="12"/>
      <c r="L691" s="12"/>
      <c r="M691" s="12"/>
      <c r="N691" s="6"/>
      <c r="O691" s="6"/>
    </row>
    <row r="692" spans="1:15" ht="15.5" x14ac:dyDescent="0.35">
      <c r="A692" s="12"/>
      <c r="B692" s="12"/>
      <c r="C692" s="13"/>
      <c r="D692" s="12"/>
      <c r="E692" s="14"/>
      <c r="F692" s="1"/>
      <c r="G692" s="12"/>
      <c r="H692" s="12" t="str">
        <f t="shared" si="2"/>
        <v xml:space="preserve">    </v>
      </c>
      <c r="I692" s="6"/>
      <c r="J692" s="12"/>
      <c r="K692" s="12"/>
      <c r="L692" s="12"/>
      <c r="M692" s="12"/>
      <c r="N692" s="6"/>
      <c r="O692" s="6"/>
    </row>
    <row r="693" spans="1:15" ht="15.5" x14ac:dyDescent="0.35">
      <c r="A693" s="12"/>
      <c r="B693" s="12"/>
      <c r="C693" s="13"/>
      <c r="D693" s="12"/>
      <c r="E693" s="14"/>
      <c r="F693" s="1"/>
      <c r="G693" s="12"/>
      <c r="H693" s="12" t="str">
        <f t="shared" si="2"/>
        <v xml:space="preserve">    </v>
      </c>
      <c r="I693" s="6"/>
      <c r="J693" s="12"/>
      <c r="K693" s="12"/>
      <c r="L693" s="12"/>
      <c r="M693" s="12"/>
      <c r="N693" s="6"/>
      <c r="O693" s="6"/>
    </row>
    <row r="694" spans="1:15" ht="15.5" x14ac:dyDescent="0.35">
      <c r="A694" s="12"/>
      <c r="B694" s="12"/>
      <c r="C694" s="13"/>
      <c r="D694" s="12"/>
      <c r="E694" s="14"/>
      <c r="F694" s="1"/>
      <c r="G694" s="12"/>
      <c r="H694" s="12" t="str">
        <f t="shared" si="2"/>
        <v xml:space="preserve">    </v>
      </c>
      <c r="I694" s="6"/>
      <c r="J694" s="12"/>
      <c r="K694" s="12"/>
      <c r="L694" s="12"/>
      <c r="M694" s="12"/>
      <c r="N694" s="6"/>
      <c r="O694" s="6"/>
    </row>
    <row r="695" spans="1:15" ht="15.5" x14ac:dyDescent="0.35">
      <c r="A695" s="12"/>
      <c r="B695" s="12"/>
      <c r="C695" s="13"/>
      <c r="D695" s="12"/>
      <c r="E695" s="14"/>
      <c r="F695" s="1"/>
      <c r="G695" s="12"/>
      <c r="H695" s="12" t="str">
        <f t="shared" si="2"/>
        <v xml:space="preserve">    </v>
      </c>
      <c r="I695" s="6"/>
      <c r="J695" s="12"/>
      <c r="K695" s="12"/>
      <c r="L695" s="12"/>
      <c r="M695" s="12"/>
      <c r="N695" s="6"/>
      <c r="O695" s="6"/>
    </row>
    <row r="696" spans="1:15" ht="15.5" x14ac:dyDescent="0.35">
      <c r="A696" s="12"/>
      <c r="B696" s="12"/>
      <c r="C696" s="13"/>
      <c r="D696" s="12"/>
      <c r="E696" s="14"/>
      <c r="F696" s="1"/>
      <c r="G696" s="12"/>
      <c r="H696" s="12" t="str">
        <f t="shared" si="2"/>
        <v xml:space="preserve">    </v>
      </c>
      <c r="I696" s="6"/>
      <c r="J696" s="12"/>
      <c r="K696" s="12"/>
      <c r="L696" s="12"/>
      <c r="M696" s="12"/>
      <c r="N696" s="6"/>
      <c r="O696" s="6"/>
    </row>
    <row r="697" spans="1:15" ht="15.5" x14ac:dyDescent="0.35">
      <c r="A697" s="12"/>
      <c r="B697" s="12"/>
      <c r="C697" s="13"/>
      <c r="D697" s="12"/>
      <c r="E697" s="14"/>
      <c r="F697" s="1"/>
      <c r="G697" s="12"/>
      <c r="H697" s="12" t="str">
        <f t="shared" si="2"/>
        <v xml:space="preserve">    </v>
      </c>
      <c r="I697" s="6"/>
      <c r="J697" s="12"/>
      <c r="K697" s="12"/>
      <c r="L697" s="12"/>
      <c r="M697" s="12"/>
      <c r="N697" s="6"/>
      <c r="O697" s="6"/>
    </row>
    <row r="698" spans="1:15" ht="15.5" x14ac:dyDescent="0.35">
      <c r="A698" s="12"/>
      <c r="B698" s="12"/>
      <c r="C698" s="13"/>
      <c r="D698" s="12"/>
      <c r="E698" s="14"/>
      <c r="F698" s="1"/>
      <c r="G698" s="12"/>
      <c r="H698" s="12" t="str">
        <f t="shared" si="2"/>
        <v xml:space="preserve">    </v>
      </c>
      <c r="I698" s="6"/>
      <c r="J698" s="12"/>
      <c r="K698" s="12"/>
      <c r="L698" s="12"/>
      <c r="M698" s="12"/>
      <c r="N698" s="6"/>
      <c r="O698" s="6"/>
    </row>
    <row r="699" spans="1:15" ht="15.5" x14ac:dyDescent="0.35">
      <c r="A699" s="12"/>
      <c r="B699" s="12"/>
      <c r="C699" s="13"/>
      <c r="D699" s="12"/>
      <c r="E699" s="14"/>
      <c r="F699" s="1"/>
      <c r="G699" s="12"/>
      <c r="H699" s="12" t="str">
        <f t="shared" si="2"/>
        <v xml:space="preserve">    </v>
      </c>
      <c r="I699" s="6"/>
      <c r="J699" s="12"/>
      <c r="K699" s="12"/>
      <c r="L699" s="12"/>
      <c r="M699" s="12"/>
      <c r="N699" s="6"/>
      <c r="O699" s="6"/>
    </row>
    <row r="700" spans="1:15" ht="15.5" x14ac:dyDescent="0.35">
      <c r="A700" s="12"/>
      <c r="B700" s="12"/>
      <c r="C700" s="13"/>
      <c r="D700" s="12"/>
      <c r="E700" s="14"/>
      <c r="F700" s="1"/>
      <c r="G700" s="12"/>
      <c r="H700" s="12" t="str">
        <f t="shared" si="2"/>
        <v xml:space="preserve">    </v>
      </c>
      <c r="I700" s="6"/>
      <c r="J700" s="12"/>
      <c r="K700" s="12"/>
      <c r="L700" s="12"/>
      <c r="M700" s="12"/>
      <c r="N700" s="6"/>
      <c r="O700" s="6"/>
    </row>
    <row r="701" spans="1:15" ht="15.5" x14ac:dyDescent="0.35">
      <c r="A701" s="12"/>
      <c r="B701" s="12"/>
      <c r="C701" s="13"/>
      <c r="D701" s="12"/>
      <c r="E701" s="14"/>
      <c r="F701" s="1"/>
      <c r="G701" s="12"/>
      <c r="H701" s="12" t="str">
        <f t="shared" si="2"/>
        <v xml:space="preserve">    </v>
      </c>
      <c r="I701" s="6"/>
      <c r="J701" s="12"/>
      <c r="K701" s="12"/>
      <c r="L701" s="12"/>
      <c r="M701" s="12"/>
      <c r="N701" s="6"/>
      <c r="O701" s="6"/>
    </row>
    <row r="702" spans="1:15" ht="15.5" x14ac:dyDescent="0.35">
      <c r="A702" s="12"/>
      <c r="B702" s="12"/>
      <c r="C702" s="13"/>
      <c r="D702" s="12"/>
      <c r="E702" s="14"/>
      <c r="F702" s="1"/>
      <c r="G702" s="12"/>
      <c r="H702" s="12" t="str">
        <f t="shared" si="2"/>
        <v xml:space="preserve">    </v>
      </c>
      <c r="I702" s="6"/>
      <c r="J702" s="12"/>
      <c r="K702" s="12"/>
      <c r="L702" s="12"/>
      <c r="M702" s="12"/>
      <c r="N702" s="6"/>
      <c r="O702" s="6"/>
    </row>
    <row r="703" spans="1:15" ht="15.5" x14ac:dyDescent="0.35">
      <c r="A703" s="12"/>
      <c r="B703" s="12"/>
      <c r="C703" s="13"/>
      <c r="D703" s="12"/>
      <c r="E703" s="14"/>
      <c r="F703" s="1"/>
      <c r="G703" s="12"/>
      <c r="H703" s="12" t="str">
        <f t="shared" si="2"/>
        <v xml:space="preserve">    </v>
      </c>
      <c r="I703" s="6"/>
      <c r="J703" s="12"/>
      <c r="K703" s="12"/>
      <c r="L703" s="12"/>
      <c r="M703" s="12"/>
      <c r="N703" s="6"/>
      <c r="O703" s="6"/>
    </row>
    <row r="704" spans="1:15" ht="15.5" x14ac:dyDescent="0.35">
      <c r="A704" s="12"/>
      <c r="B704" s="12"/>
      <c r="C704" s="13"/>
      <c r="D704" s="12"/>
      <c r="E704" s="14"/>
      <c r="F704" s="1"/>
      <c r="G704" s="12"/>
      <c r="H704" s="12" t="str">
        <f t="shared" si="2"/>
        <v xml:space="preserve">    </v>
      </c>
      <c r="I704" s="6"/>
      <c r="J704" s="12"/>
      <c r="K704" s="12"/>
      <c r="L704" s="12"/>
      <c r="M704" s="12"/>
      <c r="N704" s="6"/>
      <c r="O704" s="6"/>
    </row>
    <row r="705" spans="1:15" ht="15.5" x14ac:dyDescent="0.35">
      <c r="A705" s="12"/>
      <c r="B705" s="12"/>
      <c r="C705" s="13"/>
      <c r="D705" s="12"/>
      <c r="E705" s="14"/>
      <c r="F705" s="1"/>
      <c r="G705" s="12"/>
      <c r="H705" s="12" t="str">
        <f t="shared" si="2"/>
        <v xml:space="preserve">    </v>
      </c>
      <c r="I705" s="6"/>
      <c r="J705" s="12"/>
      <c r="K705" s="12"/>
      <c r="L705" s="12"/>
      <c r="M705" s="12"/>
      <c r="N705" s="6"/>
      <c r="O705" s="6"/>
    </row>
    <row r="706" spans="1:15" ht="15.5" x14ac:dyDescent="0.35">
      <c r="A706" s="12"/>
      <c r="B706" s="12"/>
      <c r="C706" s="13"/>
      <c r="D706" s="12"/>
      <c r="E706" s="14"/>
      <c r="F706" s="1"/>
      <c r="G706" s="12"/>
      <c r="H706" s="12" t="str">
        <f t="shared" si="2"/>
        <v xml:space="preserve">    </v>
      </c>
      <c r="I706" s="6"/>
      <c r="J706" s="12"/>
      <c r="K706" s="12"/>
      <c r="L706" s="12"/>
      <c r="M706" s="12"/>
      <c r="N706" s="6"/>
      <c r="O706" s="6"/>
    </row>
    <row r="707" spans="1:15" ht="15.5" x14ac:dyDescent="0.35">
      <c r="A707" s="12"/>
      <c r="B707" s="12"/>
      <c r="C707" s="13"/>
      <c r="D707" s="12"/>
      <c r="E707" s="14"/>
      <c r="F707" s="1"/>
      <c r="G707" s="12"/>
      <c r="H707" s="12" t="str">
        <f t="shared" si="2"/>
        <v xml:space="preserve">    </v>
      </c>
      <c r="I707" s="6"/>
      <c r="J707" s="12"/>
      <c r="K707" s="12"/>
      <c r="L707" s="12"/>
      <c r="M707" s="12"/>
      <c r="N707" s="6"/>
      <c r="O707" s="6"/>
    </row>
    <row r="708" spans="1:15" ht="15.5" x14ac:dyDescent="0.35">
      <c r="A708" s="12"/>
      <c r="B708" s="12"/>
      <c r="C708" s="13"/>
      <c r="D708" s="12"/>
      <c r="E708" s="14"/>
      <c r="F708" s="1"/>
      <c r="G708" s="12"/>
      <c r="H708" s="12" t="str">
        <f t="shared" si="2"/>
        <v xml:space="preserve">    </v>
      </c>
      <c r="I708" s="6"/>
      <c r="J708" s="12"/>
      <c r="K708" s="12"/>
      <c r="L708" s="12"/>
      <c r="M708" s="12"/>
      <c r="N708" s="6"/>
      <c r="O708" s="6"/>
    </row>
    <row r="709" spans="1:15" ht="15.5" x14ac:dyDescent="0.35">
      <c r="A709" s="12"/>
      <c r="B709" s="12"/>
      <c r="C709" s="13"/>
      <c r="D709" s="12"/>
      <c r="E709" s="14"/>
      <c r="F709" s="1"/>
      <c r="G709" s="12"/>
      <c r="H709" s="12" t="str">
        <f t="shared" si="2"/>
        <v xml:space="preserve">    </v>
      </c>
      <c r="I709" s="6"/>
      <c r="J709" s="12"/>
      <c r="K709" s="12"/>
      <c r="L709" s="12"/>
      <c r="M709" s="12"/>
      <c r="N709" s="6"/>
      <c r="O709" s="6"/>
    </row>
    <row r="710" spans="1:15" ht="15.5" x14ac:dyDescent="0.35">
      <c r="A710" s="12"/>
      <c r="B710" s="12"/>
      <c r="C710" s="13"/>
      <c r="D710" s="12"/>
      <c r="E710" s="14"/>
      <c r="F710" s="1"/>
      <c r="G710" s="12"/>
      <c r="H710" s="12" t="str">
        <f t="shared" si="2"/>
        <v xml:space="preserve">    </v>
      </c>
      <c r="I710" s="6"/>
      <c r="J710" s="12"/>
      <c r="K710" s="12"/>
      <c r="L710" s="12"/>
      <c r="M710" s="12"/>
      <c r="N710" s="6"/>
      <c r="O710" s="6"/>
    </row>
    <row r="711" spans="1:15" ht="15.5" x14ac:dyDescent="0.35">
      <c r="A711" s="12"/>
      <c r="B711" s="12"/>
      <c r="C711" s="13"/>
      <c r="D711" s="12"/>
      <c r="E711" s="14"/>
      <c r="F711" s="1"/>
      <c r="G711" s="12"/>
      <c r="H711" s="12" t="str">
        <f t="shared" si="2"/>
        <v xml:space="preserve">    </v>
      </c>
      <c r="I711" s="6"/>
      <c r="J711" s="12"/>
      <c r="K711" s="12"/>
      <c r="L711" s="12"/>
      <c r="M711" s="12"/>
      <c r="N711" s="6"/>
      <c r="O711" s="6"/>
    </row>
    <row r="712" spans="1:15" ht="15.5" x14ac:dyDescent="0.35">
      <c r="A712" s="12"/>
      <c r="B712" s="12"/>
      <c r="C712" s="13"/>
      <c r="D712" s="12"/>
      <c r="E712" s="14"/>
      <c r="F712" s="1"/>
      <c r="G712" s="12"/>
      <c r="H712" s="12" t="str">
        <f t="shared" si="2"/>
        <v xml:space="preserve">    </v>
      </c>
      <c r="I712" s="6"/>
      <c r="J712" s="12"/>
      <c r="K712" s="12"/>
      <c r="L712" s="12"/>
      <c r="M712" s="12"/>
      <c r="N712" s="6"/>
      <c r="O712" s="6"/>
    </row>
    <row r="713" spans="1:15" ht="15.5" x14ac:dyDescent="0.35">
      <c r="A713" s="12"/>
      <c r="B713" s="12"/>
      <c r="C713" s="13"/>
      <c r="D713" s="12"/>
      <c r="E713" s="14"/>
      <c r="F713" s="1"/>
      <c r="G713" s="12"/>
      <c r="H713" s="12" t="str">
        <f t="shared" si="2"/>
        <v xml:space="preserve">    </v>
      </c>
      <c r="I713" s="6"/>
      <c r="J713" s="12"/>
      <c r="K713" s="12"/>
      <c r="L713" s="12"/>
      <c r="M713" s="12"/>
      <c r="N713" s="6"/>
      <c r="O713" s="6"/>
    </row>
    <row r="714" spans="1:15" ht="15.5" x14ac:dyDescent="0.35">
      <c r="A714" s="12"/>
      <c r="B714" s="12"/>
      <c r="C714" s="13"/>
      <c r="D714" s="12"/>
      <c r="E714" s="14"/>
      <c r="F714" s="1"/>
      <c r="G714" s="12"/>
      <c r="H714" s="12" t="str">
        <f t="shared" si="2"/>
        <v xml:space="preserve">    </v>
      </c>
      <c r="I714" s="6"/>
      <c r="J714" s="12"/>
      <c r="K714" s="12"/>
      <c r="L714" s="12"/>
      <c r="M714" s="12"/>
      <c r="N714" s="6"/>
      <c r="O714" s="6"/>
    </row>
    <row r="715" spans="1:15" ht="15.5" x14ac:dyDescent="0.35">
      <c r="A715" s="12"/>
      <c r="B715" s="12"/>
      <c r="C715" s="13"/>
      <c r="D715" s="12"/>
      <c r="E715" s="14"/>
      <c r="F715" s="1"/>
      <c r="G715" s="12"/>
      <c r="H715" s="12" t="str">
        <f t="shared" si="2"/>
        <v xml:space="preserve">    </v>
      </c>
      <c r="I715" s="6"/>
      <c r="J715" s="12"/>
      <c r="K715" s="12"/>
      <c r="L715" s="12"/>
      <c r="M715" s="12"/>
      <c r="N715" s="6"/>
      <c r="O715" s="6"/>
    </row>
    <row r="716" spans="1:15" ht="15.5" x14ac:dyDescent="0.35">
      <c r="A716" s="12"/>
      <c r="B716" s="12"/>
      <c r="C716" s="13"/>
      <c r="D716" s="12"/>
      <c r="E716" s="14"/>
      <c r="F716" s="1"/>
      <c r="G716" s="12"/>
      <c r="H716" s="12" t="str">
        <f t="shared" si="2"/>
        <v xml:space="preserve">    </v>
      </c>
      <c r="I716" s="6"/>
      <c r="J716" s="12"/>
      <c r="K716" s="12"/>
      <c r="L716" s="12"/>
      <c r="M716" s="12"/>
      <c r="N716" s="6"/>
      <c r="O716" s="6"/>
    </row>
    <row r="717" spans="1:15" ht="15.5" x14ac:dyDescent="0.35">
      <c r="A717" s="12"/>
      <c r="B717" s="12"/>
      <c r="C717" s="13"/>
      <c r="D717" s="12"/>
      <c r="E717" s="14"/>
      <c r="F717" s="1"/>
      <c r="G717" s="12"/>
      <c r="H717" s="12" t="str">
        <f t="shared" si="2"/>
        <v xml:space="preserve">    </v>
      </c>
      <c r="I717" s="6"/>
      <c r="J717" s="12"/>
      <c r="K717" s="12"/>
      <c r="L717" s="12"/>
      <c r="M717" s="12"/>
      <c r="N717" s="6"/>
      <c r="O717" s="6"/>
    </row>
    <row r="718" spans="1:15" ht="15.5" x14ac:dyDescent="0.35">
      <c r="A718" s="12"/>
      <c r="B718" s="12"/>
      <c r="C718" s="13"/>
      <c r="D718" s="12"/>
      <c r="E718" s="14"/>
      <c r="F718" s="1"/>
      <c r="G718" s="12"/>
      <c r="H718" s="12" t="str">
        <f t="shared" si="2"/>
        <v xml:space="preserve">    </v>
      </c>
      <c r="I718" s="6"/>
      <c r="J718" s="12"/>
      <c r="K718" s="12"/>
      <c r="L718" s="12"/>
      <c r="M718" s="12"/>
      <c r="N718" s="6"/>
      <c r="O718" s="6"/>
    </row>
    <row r="719" spans="1:15" ht="15.5" x14ac:dyDescent="0.35">
      <c r="A719" s="12"/>
      <c r="B719" s="12"/>
      <c r="C719" s="13"/>
      <c r="D719" s="12"/>
      <c r="E719" s="14"/>
      <c r="F719" s="1"/>
      <c r="G719" s="12"/>
      <c r="H719" s="12" t="str">
        <f t="shared" si="2"/>
        <v xml:space="preserve">    </v>
      </c>
      <c r="I719" s="6"/>
      <c r="J719" s="12"/>
      <c r="K719" s="12"/>
      <c r="L719" s="12"/>
      <c r="M719" s="12"/>
      <c r="N719" s="6"/>
      <c r="O719" s="6"/>
    </row>
    <row r="720" spans="1:15" ht="15.5" x14ac:dyDescent="0.35">
      <c r="A720" s="12"/>
      <c r="B720" s="12"/>
      <c r="C720" s="13"/>
      <c r="D720" s="12"/>
      <c r="E720" s="14"/>
      <c r="F720" s="1"/>
      <c r="G720" s="12"/>
      <c r="H720" s="12" t="str">
        <f t="shared" si="2"/>
        <v xml:space="preserve">    </v>
      </c>
      <c r="I720" s="6"/>
      <c r="J720" s="12"/>
      <c r="K720" s="12"/>
      <c r="L720" s="12"/>
      <c r="M720" s="12"/>
      <c r="N720" s="6"/>
      <c r="O720" s="6"/>
    </row>
    <row r="721" spans="1:15" ht="15.5" x14ac:dyDescent="0.35">
      <c r="A721" s="12"/>
      <c r="B721" s="12"/>
      <c r="C721" s="13"/>
      <c r="D721" s="12"/>
      <c r="E721" s="14"/>
      <c r="F721" s="1"/>
      <c r="G721" s="12"/>
      <c r="H721" s="12" t="str">
        <f t="shared" si="2"/>
        <v xml:space="preserve">    </v>
      </c>
      <c r="I721" s="6"/>
      <c r="J721" s="12"/>
      <c r="K721" s="12"/>
      <c r="L721" s="12"/>
      <c r="M721" s="12"/>
      <c r="N721" s="6"/>
      <c r="O721" s="6"/>
    </row>
    <row r="722" spans="1:15" ht="15.5" x14ac:dyDescent="0.35">
      <c r="A722" s="12"/>
      <c r="B722" s="12"/>
      <c r="C722" s="13"/>
      <c r="D722" s="12"/>
      <c r="E722" s="14"/>
      <c r="F722" s="1"/>
      <c r="G722" s="12"/>
      <c r="H722" s="12" t="str">
        <f t="shared" si="2"/>
        <v xml:space="preserve">    </v>
      </c>
      <c r="I722" s="6"/>
      <c r="J722" s="12"/>
      <c r="K722" s="12"/>
      <c r="L722" s="12"/>
      <c r="M722" s="12"/>
      <c r="N722" s="6"/>
      <c r="O722" s="6"/>
    </row>
    <row r="723" spans="1:15" ht="15.5" x14ac:dyDescent="0.35">
      <c r="A723" s="12"/>
      <c r="B723" s="12"/>
      <c r="C723" s="13"/>
      <c r="D723" s="12"/>
      <c r="E723" s="14"/>
      <c r="F723" s="1"/>
      <c r="G723" s="12"/>
      <c r="H723" s="12" t="str">
        <f t="shared" si="2"/>
        <v xml:space="preserve">    </v>
      </c>
      <c r="I723" s="6"/>
      <c r="J723" s="12"/>
      <c r="K723" s="12"/>
      <c r="L723" s="12"/>
      <c r="M723" s="12"/>
      <c r="N723" s="6"/>
      <c r="O723" s="6"/>
    </row>
    <row r="724" spans="1:15" ht="15.5" x14ac:dyDescent="0.35">
      <c r="A724" s="12"/>
      <c r="B724" s="12"/>
      <c r="C724" s="13"/>
      <c r="D724" s="12"/>
      <c r="E724" s="14"/>
      <c r="F724" s="1"/>
      <c r="G724" s="12"/>
      <c r="H724" s="12" t="str">
        <f t="shared" si="2"/>
        <v xml:space="preserve">    </v>
      </c>
      <c r="I724" s="6"/>
      <c r="J724" s="12"/>
      <c r="K724" s="12"/>
      <c r="L724" s="12"/>
      <c r="M724" s="12"/>
      <c r="N724" s="6"/>
      <c r="O724" s="6"/>
    </row>
    <row r="725" spans="1:15" ht="15.5" x14ac:dyDescent="0.35">
      <c r="A725" s="12"/>
      <c r="B725" s="12"/>
      <c r="C725" s="13"/>
      <c r="D725" s="12"/>
      <c r="E725" s="14"/>
      <c r="F725" s="1"/>
      <c r="G725" s="12"/>
      <c r="H725" s="12" t="str">
        <f t="shared" si="2"/>
        <v xml:space="preserve">    </v>
      </c>
      <c r="I725" s="6"/>
      <c r="J725" s="12"/>
      <c r="K725" s="12"/>
      <c r="L725" s="12"/>
      <c r="M725" s="12"/>
      <c r="N725" s="6"/>
      <c r="O725" s="6"/>
    </row>
    <row r="726" spans="1:15" ht="15.5" x14ac:dyDescent="0.35">
      <c r="A726" s="12"/>
      <c r="B726" s="12"/>
      <c r="C726" s="13"/>
      <c r="D726" s="12"/>
      <c r="E726" s="14"/>
      <c r="F726" s="1"/>
      <c r="G726" s="12"/>
      <c r="H726" s="12" t="str">
        <f t="shared" si="2"/>
        <v xml:space="preserve">    </v>
      </c>
      <c r="I726" s="6"/>
      <c r="J726" s="12"/>
      <c r="K726" s="12"/>
      <c r="L726" s="12"/>
      <c r="M726" s="12"/>
      <c r="N726" s="6"/>
      <c r="O726" s="6"/>
    </row>
    <row r="727" spans="1:15" ht="15.5" x14ac:dyDescent="0.35">
      <c r="A727" s="12"/>
      <c r="B727" s="12"/>
      <c r="C727" s="13"/>
      <c r="D727" s="12"/>
      <c r="E727" s="14"/>
      <c r="F727" s="1"/>
      <c r="G727" s="12"/>
      <c r="H727" s="12" t="str">
        <f t="shared" si="2"/>
        <v xml:space="preserve">    </v>
      </c>
      <c r="I727" s="6"/>
      <c r="J727" s="12"/>
      <c r="K727" s="12"/>
      <c r="L727" s="12"/>
      <c r="M727" s="12"/>
      <c r="N727" s="6"/>
      <c r="O727" s="6"/>
    </row>
    <row r="728" spans="1:15" ht="15.5" x14ac:dyDescent="0.35">
      <c r="A728" s="12"/>
      <c r="B728" s="12"/>
      <c r="C728" s="13"/>
      <c r="D728" s="12"/>
      <c r="E728" s="14"/>
      <c r="F728" s="1"/>
      <c r="G728" s="12"/>
      <c r="H728" s="12" t="str">
        <f t="shared" si="2"/>
        <v xml:space="preserve">    </v>
      </c>
      <c r="I728" s="6"/>
      <c r="J728" s="12"/>
      <c r="K728" s="12"/>
      <c r="L728" s="12"/>
      <c r="M728" s="12"/>
      <c r="N728" s="6"/>
      <c r="O728" s="6"/>
    </row>
    <row r="729" spans="1:15" ht="15.5" x14ac:dyDescent="0.35">
      <c r="A729" s="12"/>
      <c r="B729" s="12"/>
      <c r="C729" s="13"/>
      <c r="D729" s="12"/>
      <c r="E729" s="14"/>
      <c r="F729" s="1"/>
      <c r="G729" s="12"/>
      <c r="H729" s="12" t="str">
        <f t="shared" si="2"/>
        <v xml:space="preserve">    </v>
      </c>
      <c r="I729" s="6"/>
      <c r="J729" s="12"/>
      <c r="K729" s="12"/>
      <c r="L729" s="12"/>
      <c r="M729" s="12"/>
      <c r="N729" s="6"/>
      <c r="O729" s="6"/>
    </row>
    <row r="730" spans="1:15" ht="15.5" x14ac:dyDescent="0.35">
      <c r="A730" s="12"/>
      <c r="B730" s="12"/>
      <c r="C730" s="13"/>
      <c r="D730" s="12"/>
      <c r="E730" s="14"/>
      <c r="F730" s="1"/>
      <c r="G730" s="12"/>
      <c r="H730" s="12" t="str">
        <f t="shared" si="2"/>
        <v xml:space="preserve">    </v>
      </c>
      <c r="I730" s="6"/>
      <c r="J730" s="12"/>
      <c r="K730" s="12"/>
      <c r="L730" s="12"/>
      <c r="M730" s="12"/>
      <c r="N730" s="6"/>
      <c r="O730" s="6"/>
    </row>
    <row r="731" spans="1:15" ht="15.5" x14ac:dyDescent="0.35">
      <c r="A731" s="12"/>
      <c r="B731" s="12"/>
      <c r="C731" s="13"/>
      <c r="D731" s="12"/>
      <c r="E731" s="14"/>
      <c r="F731" s="1"/>
      <c r="G731" s="12"/>
      <c r="H731" s="12" t="str">
        <f t="shared" si="2"/>
        <v xml:space="preserve">    </v>
      </c>
      <c r="I731" s="6"/>
      <c r="J731" s="12"/>
      <c r="K731" s="12"/>
      <c r="L731" s="12"/>
      <c r="M731" s="12"/>
      <c r="N731" s="6"/>
      <c r="O731" s="6"/>
    </row>
    <row r="732" spans="1:15" ht="15.5" x14ac:dyDescent="0.35">
      <c r="A732" s="12"/>
      <c r="B732" s="12"/>
      <c r="C732" s="13"/>
      <c r="D732" s="12"/>
      <c r="E732" s="14"/>
      <c r="F732" s="1"/>
      <c r="G732" s="12"/>
      <c r="H732" s="12" t="str">
        <f t="shared" si="2"/>
        <v xml:space="preserve">    </v>
      </c>
      <c r="I732" s="6"/>
      <c r="J732" s="12"/>
      <c r="K732" s="12"/>
      <c r="L732" s="12"/>
      <c r="M732" s="12"/>
      <c r="N732" s="6"/>
      <c r="O732" s="6"/>
    </row>
    <row r="733" spans="1:15" ht="15.5" x14ac:dyDescent="0.35">
      <c r="A733" s="12"/>
      <c r="B733" s="12"/>
      <c r="C733" s="13"/>
      <c r="D733" s="12"/>
      <c r="E733" s="14"/>
      <c r="F733" s="1"/>
      <c r="G733" s="12"/>
      <c r="H733" s="12" t="str">
        <f t="shared" si="2"/>
        <v xml:space="preserve">    </v>
      </c>
      <c r="I733" s="6"/>
      <c r="J733" s="12"/>
      <c r="K733" s="12"/>
      <c r="L733" s="12"/>
      <c r="M733" s="12"/>
      <c r="N733" s="6"/>
      <c r="O733" s="6"/>
    </row>
    <row r="734" spans="1:15" ht="15.5" x14ac:dyDescent="0.35">
      <c r="A734" s="12"/>
      <c r="B734" s="12"/>
      <c r="C734" s="13"/>
      <c r="D734" s="12"/>
      <c r="E734" s="14"/>
      <c r="F734" s="1"/>
      <c r="G734" s="12"/>
      <c r="H734" s="12" t="str">
        <f t="shared" si="2"/>
        <v xml:space="preserve">    </v>
      </c>
      <c r="I734" s="6"/>
      <c r="J734" s="12"/>
      <c r="K734" s="12"/>
      <c r="L734" s="12"/>
      <c r="M734" s="12"/>
      <c r="N734" s="6"/>
      <c r="O734" s="6"/>
    </row>
    <row r="735" spans="1:15" ht="15.5" x14ac:dyDescent="0.35">
      <c r="A735" s="12"/>
      <c r="B735" s="12"/>
      <c r="C735" s="13"/>
      <c r="D735" s="12"/>
      <c r="E735" s="14"/>
      <c r="F735" s="1"/>
      <c r="G735" s="12"/>
      <c r="H735" s="12" t="str">
        <f t="shared" si="2"/>
        <v xml:space="preserve">    </v>
      </c>
      <c r="I735" s="6"/>
      <c r="J735" s="12"/>
      <c r="K735" s="12"/>
      <c r="L735" s="12"/>
      <c r="M735" s="12"/>
      <c r="N735" s="6"/>
      <c r="O735" s="6"/>
    </row>
    <row r="736" spans="1:15" ht="15.5" x14ac:dyDescent="0.35">
      <c r="A736" s="12"/>
      <c r="B736" s="12"/>
      <c r="C736" s="13"/>
      <c r="D736" s="12"/>
      <c r="E736" s="14"/>
      <c r="F736" s="1"/>
      <c r="G736" s="12"/>
      <c r="H736" s="12" t="str">
        <f t="shared" si="2"/>
        <v xml:space="preserve">    </v>
      </c>
      <c r="I736" s="6"/>
      <c r="J736" s="12"/>
      <c r="K736" s="12"/>
      <c r="L736" s="12"/>
      <c r="M736" s="12"/>
      <c r="N736" s="6"/>
      <c r="O736" s="6"/>
    </row>
    <row r="737" spans="1:15" ht="15.5" x14ac:dyDescent="0.35">
      <c r="A737" s="12"/>
      <c r="B737" s="12"/>
      <c r="C737" s="13"/>
      <c r="D737" s="12"/>
      <c r="E737" s="14"/>
      <c r="F737" s="1"/>
      <c r="G737" s="12"/>
      <c r="H737" s="12" t="str">
        <f t="shared" si="2"/>
        <v xml:space="preserve">    </v>
      </c>
      <c r="I737" s="6"/>
      <c r="J737" s="12"/>
      <c r="K737" s="12"/>
      <c r="L737" s="12"/>
      <c r="M737" s="12"/>
      <c r="N737" s="6"/>
      <c r="O737" s="6"/>
    </row>
    <row r="738" spans="1:15" ht="15.5" x14ac:dyDescent="0.35">
      <c r="A738" s="12"/>
      <c r="B738" s="12"/>
      <c r="C738" s="13"/>
      <c r="D738" s="12"/>
      <c r="E738" s="14"/>
      <c r="F738" s="1"/>
      <c r="G738" s="12"/>
      <c r="H738" s="12" t="str">
        <f t="shared" si="2"/>
        <v xml:space="preserve">    </v>
      </c>
      <c r="I738" s="6"/>
      <c r="J738" s="12"/>
      <c r="K738" s="12"/>
      <c r="L738" s="12"/>
      <c r="M738" s="12"/>
      <c r="N738" s="6"/>
      <c r="O738" s="6"/>
    </row>
    <row r="739" spans="1:15" ht="15.5" x14ac:dyDescent="0.35">
      <c r="A739" s="12"/>
      <c r="B739" s="12"/>
      <c r="C739" s="13"/>
      <c r="D739" s="12"/>
      <c r="E739" s="14"/>
      <c r="F739" s="1"/>
      <c r="G739" s="12"/>
      <c r="H739" s="12" t="str">
        <f t="shared" si="2"/>
        <v xml:space="preserve">    </v>
      </c>
      <c r="I739" s="6"/>
      <c r="J739" s="12"/>
      <c r="K739" s="12"/>
      <c r="L739" s="12"/>
      <c r="M739" s="12"/>
      <c r="N739" s="6"/>
      <c r="O739" s="6"/>
    </row>
    <row r="740" spans="1:15" ht="15.5" x14ac:dyDescent="0.35">
      <c r="A740" s="12"/>
      <c r="B740" s="12"/>
      <c r="C740" s="13"/>
      <c r="D740" s="12"/>
      <c r="E740" s="14"/>
      <c r="F740" s="1"/>
      <c r="G740" s="12"/>
      <c r="H740" s="12" t="str">
        <f t="shared" si="2"/>
        <v xml:space="preserve">    </v>
      </c>
      <c r="I740" s="6"/>
      <c r="J740" s="12"/>
      <c r="K740" s="12"/>
      <c r="L740" s="12"/>
      <c r="M740" s="12"/>
      <c r="N740" s="6"/>
      <c r="O740" s="6"/>
    </row>
    <row r="741" spans="1:15" ht="15.5" x14ac:dyDescent="0.35">
      <c r="A741" s="12"/>
      <c r="B741" s="12"/>
      <c r="C741" s="13"/>
      <c r="D741" s="12"/>
      <c r="E741" s="14"/>
      <c r="F741" s="1"/>
      <c r="G741" s="12"/>
      <c r="H741" s="12" t="str">
        <f t="shared" si="2"/>
        <v xml:space="preserve">    </v>
      </c>
      <c r="I741" s="6"/>
      <c r="J741" s="12"/>
      <c r="K741" s="12"/>
      <c r="L741" s="12"/>
      <c r="M741" s="12"/>
      <c r="N741" s="6"/>
      <c r="O741" s="6"/>
    </row>
    <row r="742" spans="1:15" ht="15.5" x14ac:dyDescent="0.35">
      <c r="A742" s="12"/>
      <c r="B742" s="12"/>
      <c r="C742" s="13"/>
      <c r="D742" s="12"/>
      <c r="E742" s="14"/>
      <c r="F742" s="1"/>
      <c r="G742" s="12"/>
      <c r="H742" s="12" t="str">
        <f t="shared" si="2"/>
        <v xml:space="preserve">    </v>
      </c>
      <c r="I742" s="6"/>
      <c r="J742" s="12"/>
      <c r="K742" s="12"/>
      <c r="L742" s="12"/>
      <c r="M742" s="12"/>
      <c r="N742" s="6"/>
      <c r="O742" s="6"/>
    </row>
    <row r="743" spans="1:15" ht="15.5" x14ac:dyDescent="0.35">
      <c r="A743" s="12"/>
      <c r="B743" s="12"/>
      <c r="C743" s="13"/>
      <c r="D743" s="12"/>
      <c r="E743" s="14"/>
      <c r="F743" s="1"/>
      <c r="G743" s="12"/>
      <c r="H743" s="12" t="str">
        <f t="shared" si="2"/>
        <v xml:space="preserve">    </v>
      </c>
      <c r="I743" s="6"/>
      <c r="J743" s="12"/>
      <c r="K743" s="12"/>
      <c r="L743" s="12"/>
      <c r="M743" s="12"/>
      <c r="N743" s="6"/>
      <c r="O743" s="6"/>
    </row>
    <row r="744" spans="1:15" ht="15.5" x14ac:dyDescent="0.35">
      <c r="A744" s="12"/>
      <c r="B744" s="12"/>
      <c r="C744" s="13"/>
      <c r="D744" s="12"/>
      <c r="E744" s="14"/>
      <c r="F744" s="1"/>
      <c r="G744" s="12"/>
      <c r="H744" s="12" t="str">
        <f t="shared" si="2"/>
        <v xml:space="preserve">    </v>
      </c>
      <c r="I744" s="6"/>
      <c r="J744" s="12"/>
      <c r="K744" s="12"/>
      <c r="L744" s="12"/>
      <c r="M744" s="12"/>
      <c r="N744" s="6"/>
      <c r="O744" s="6"/>
    </row>
    <row r="745" spans="1:15" ht="15.5" x14ac:dyDescent="0.35">
      <c r="A745" s="12"/>
      <c r="B745" s="12"/>
      <c r="C745" s="13"/>
      <c r="D745" s="12"/>
      <c r="E745" s="14"/>
      <c r="F745" s="1"/>
      <c r="G745" s="12"/>
      <c r="H745" s="12" t="str">
        <f t="shared" si="2"/>
        <v xml:space="preserve">    </v>
      </c>
      <c r="I745" s="6"/>
      <c r="J745" s="12"/>
      <c r="K745" s="12"/>
      <c r="L745" s="12"/>
      <c r="M745" s="12"/>
      <c r="N745" s="6"/>
      <c r="O745" s="6"/>
    </row>
    <row r="746" spans="1:15" ht="15.5" x14ac:dyDescent="0.35">
      <c r="A746" s="12"/>
      <c r="B746" s="12"/>
      <c r="C746" s="13"/>
      <c r="D746" s="12"/>
      <c r="E746" s="14"/>
      <c r="F746" s="1"/>
      <c r="G746" s="12"/>
      <c r="H746" s="12" t="str">
        <f t="shared" si="2"/>
        <v xml:space="preserve">    </v>
      </c>
      <c r="I746" s="6"/>
      <c r="J746" s="12"/>
      <c r="K746" s="12"/>
      <c r="L746" s="12"/>
      <c r="M746" s="12"/>
      <c r="N746" s="6"/>
      <c r="O746" s="6"/>
    </row>
    <row r="747" spans="1:15" ht="15.5" x14ac:dyDescent="0.35">
      <c r="A747" s="12"/>
      <c r="B747" s="12"/>
      <c r="C747" s="13"/>
      <c r="D747" s="12"/>
      <c r="E747" s="14"/>
      <c r="F747" s="1"/>
      <c r="G747" s="12"/>
      <c r="H747" s="12" t="str">
        <f t="shared" si="2"/>
        <v xml:space="preserve">    </v>
      </c>
      <c r="I747" s="6"/>
      <c r="J747" s="12"/>
      <c r="K747" s="12"/>
      <c r="L747" s="12"/>
      <c r="M747" s="12"/>
      <c r="N747" s="6"/>
      <c r="O747" s="6"/>
    </row>
    <row r="748" spans="1:15" ht="15.5" x14ac:dyDescent="0.35">
      <c r="A748" s="12"/>
      <c r="B748" s="12"/>
      <c r="C748" s="13"/>
      <c r="D748" s="12"/>
      <c r="E748" s="14"/>
      <c r="F748" s="1"/>
      <c r="G748" s="12"/>
      <c r="H748" s="12" t="str">
        <f t="shared" si="2"/>
        <v xml:space="preserve">    </v>
      </c>
      <c r="I748" s="6"/>
      <c r="J748" s="12"/>
      <c r="K748" s="12"/>
      <c r="L748" s="12"/>
      <c r="M748" s="12"/>
      <c r="N748" s="6"/>
      <c r="O748" s="6"/>
    </row>
    <row r="749" spans="1:15" ht="15.5" x14ac:dyDescent="0.35">
      <c r="A749" s="12"/>
      <c r="B749" s="12"/>
      <c r="C749" s="13"/>
      <c r="D749" s="12"/>
      <c r="E749" s="14"/>
      <c r="F749" s="1"/>
      <c r="G749" s="12"/>
      <c r="H749" s="12" t="str">
        <f t="shared" si="2"/>
        <v xml:space="preserve">    </v>
      </c>
      <c r="I749" s="6"/>
      <c r="J749" s="12"/>
      <c r="K749" s="12"/>
      <c r="L749" s="12"/>
      <c r="M749" s="12"/>
      <c r="N749" s="6"/>
      <c r="O749" s="6"/>
    </row>
    <row r="750" spans="1:15" ht="15.5" x14ac:dyDescent="0.35">
      <c r="A750" s="12"/>
      <c r="B750" s="12"/>
      <c r="C750" s="13"/>
      <c r="D750" s="12"/>
      <c r="E750" s="14"/>
      <c r="F750" s="1"/>
      <c r="G750" s="12"/>
      <c r="H750" s="12" t="str">
        <f t="shared" si="2"/>
        <v xml:space="preserve">    </v>
      </c>
      <c r="I750" s="6"/>
      <c r="J750" s="12"/>
      <c r="K750" s="12"/>
      <c r="L750" s="12"/>
      <c r="M750" s="12"/>
      <c r="N750" s="6"/>
      <c r="O750" s="6"/>
    </row>
    <row r="751" spans="1:15" ht="15.5" x14ac:dyDescent="0.35">
      <c r="A751" s="12"/>
      <c r="B751" s="12"/>
      <c r="C751" s="13"/>
      <c r="D751" s="12"/>
      <c r="E751" s="14"/>
      <c r="F751" s="1"/>
      <c r="G751" s="12"/>
      <c r="H751" s="12" t="str">
        <f t="shared" si="2"/>
        <v xml:space="preserve">    </v>
      </c>
      <c r="I751" s="6"/>
      <c r="J751" s="12"/>
      <c r="K751" s="12"/>
      <c r="L751" s="12"/>
      <c r="M751" s="12"/>
      <c r="N751" s="6"/>
      <c r="O751" s="6"/>
    </row>
    <row r="752" spans="1:15" ht="15.5" x14ac:dyDescent="0.35">
      <c r="A752" s="12"/>
      <c r="B752" s="12"/>
      <c r="C752" s="13"/>
      <c r="D752" s="12"/>
      <c r="E752" s="14"/>
      <c r="F752" s="1"/>
      <c r="G752" s="12"/>
      <c r="H752" s="12" t="str">
        <f t="shared" si="2"/>
        <v xml:space="preserve">    </v>
      </c>
      <c r="I752" s="6"/>
      <c r="J752" s="12"/>
      <c r="K752" s="12"/>
      <c r="L752" s="12"/>
      <c r="M752" s="12"/>
      <c r="N752" s="6"/>
      <c r="O752" s="6"/>
    </row>
    <row r="753" spans="1:15" ht="15.5" x14ac:dyDescent="0.35">
      <c r="A753" s="12"/>
      <c r="B753" s="12"/>
      <c r="C753" s="13"/>
      <c r="D753" s="12"/>
      <c r="E753" s="14"/>
      <c r="F753" s="1"/>
      <c r="G753" s="12"/>
      <c r="H753" s="12" t="str">
        <f t="shared" si="2"/>
        <v xml:space="preserve">    </v>
      </c>
      <c r="I753" s="6"/>
      <c r="J753" s="12"/>
      <c r="K753" s="12"/>
      <c r="L753" s="12"/>
      <c r="M753" s="12"/>
      <c r="N753" s="6"/>
      <c r="O753" s="6"/>
    </row>
    <row r="754" spans="1:15" ht="15.5" x14ac:dyDescent="0.35">
      <c r="A754" s="12"/>
      <c r="B754" s="12"/>
      <c r="C754" s="13"/>
      <c r="D754" s="12"/>
      <c r="E754" s="14"/>
      <c r="F754" s="1"/>
      <c r="G754" s="12"/>
      <c r="H754" s="12" t="str">
        <f t="shared" si="2"/>
        <v xml:space="preserve">    </v>
      </c>
      <c r="I754" s="6"/>
      <c r="J754" s="12"/>
      <c r="K754" s="12"/>
      <c r="L754" s="12"/>
      <c r="M754" s="12"/>
      <c r="N754" s="6"/>
      <c r="O754" s="6"/>
    </row>
    <row r="755" spans="1:15" ht="15.5" x14ac:dyDescent="0.35">
      <c r="A755" s="12"/>
      <c r="B755" s="12"/>
      <c r="C755" s="13"/>
      <c r="D755" s="12"/>
      <c r="E755" s="14"/>
      <c r="F755" s="1"/>
      <c r="G755" s="12"/>
      <c r="H755" s="12" t="str">
        <f t="shared" si="2"/>
        <v xml:space="preserve">    </v>
      </c>
      <c r="I755" s="6"/>
      <c r="J755" s="12"/>
      <c r="K755" s="12"/>
      <c r="L755" s="12"/>
      <c r="M755" s="12"/>
      <c r="N755" s="6"/>
      <c r="O755" s="6"/>
    </row>
    <row r="756" spans="1:15" ht="15.5" x14ac:dyDescent="0.35">
      <c r="A756" s="12"/>
      <c r="B756" s="12"/>
      <c r="C756" s="13"/>
      <c r="D756" s="12"/>
      <c r="E756" s="14"/>
      <c r="F756" s="1"/>
      <c r="G756" s="12"/>
      <c r="H756" s="12" t="str">
        <f t="shared" si="2"/>
        <v xml:space="preserve">    </v>
      </c>
      <c r="I756" s="6"/>
      <c r="J756" s="12"/>
      <c r="K756" s="12"/>
      <c r="L756" s="12"/>
      <c r="M756" s="12"/>
      <c r="N756" s="6"/>
      <c r="O756" s="6"/>
    </row>
    <row r="757" spans="1:15" ht="15.5" x14ac:dyDescent="0.35">
      <c r="A757" s="12"/>
      <c r="B757" s="12"/>
      <c r="C757" s="13"/>
      <c r="D757" s="12"/>
      <c r="E757" s="14"/>
      <c r="F757" s="1"/>
      <c r="G757" s="12"/>
      <c r="H757" s="12" t="str">
        <f t="shared" si="2"/>
        <v xml:space="preserve">    </v>
      </c>
      <c r="I757" s="6"/>
      <c r="J757" s="12"/>
      <c r="K757" s="12"/>
      <c r="L757" s="12"/>
      <c r="M757" s="12"/>
      <c r="N757" s="6"/>
      <c r="O757" s="6"/>
    </row>
    <row r="758" spans="1:15" ht="15.5" x14ac:dyDescent="0.35">
      <c r="A758" s="12"/>
      <c r="B758" s="12"/>
      <c r="C758" s="13"/>
      <c r="D758" s="12"/>
      <c r="E758" s="14"/>
      <c r="F758" s="1"/>
      <c r="G758" s="12"/>
      <c r="H758" s="12" t="str">
        <f t="shared" si="2"/>
        <v xml:space="preserve">    </v>
      </c>
      <c r="I758" s="6"/>
      <c r="J758" s="12"/>
      <c r="K758" s="12"/>
      <c r="L758" s="12"/>
      <c r="M758" s="12"/>
      <c r="N758" s="6"/>
      <c r="O758" s="6"/>
    </row>
    <row r="759" spans="1:15" ht="15.5" x14ac:dyDescent="0.35">
      <c r="A759" s="12"/>
      <c r="B759" s="12"/>
      <c r="C759" s="13"/>
      <c r="D759" s="12"/>
      <c r="E759" s="14"/>
      <c r="F759" s="1"/>
      <c r="G759" s="12"/>
      <c r="H759" s="12" t="str">
        <f t="shared" si="2"/>
        <v xml:space="preserve">    </v>
      </c>
      <c r="I759" s="6"/>
      <c r="J759" s="12"/>
      <c r="K759" s="12"/>
      <c r="L759" s="12"/>
      <c r="M759" s="12"/>
      <c r="N759" s="6"/>
      <c r="O759" s="6"/>
    </row>
    <row r="760" spans="1:15" ht="15.5" x14ac:dyDescent="0.35">
      <c r="A760" s="12"/>
      <c r="B760" s="12"/>
      <c r="C760" s="13"/>
      <c r="D760" s="12"/>
      <c r="E760" s="14"/>
      <c r="F760" s="1"/>
      <c r="G760" s="12"/>
      <c r="H760" s="12" t="str">
        <f t="shared" si="2"/>
        <v xml:space="preserve">    </v>
      </c>
      <c r="I760" s="6"/>
      <c r="J760" s="12"/>
      <c r="K760" s="12"/>
      <c r="L760" s="12"/>
      <c r="M760" s="12"/>
      <c r="N760" s="6"/>
      <c r="O760" s="6"/>
    </row>
    <row r="761" spans="1:15" ht="15.5" x14ac:dyDescent="0.35">
      <c r="A761" s="12"/>
      <c r="B761" s="12"/>
      <c r="C761" s="13"/>
      <c r="D761" s="12"/>
      <c r="E761" s="14"/>
      <c r="F761" s="1"/>
      <c r="G761" s="12"/>
      <c r="H761" s="12" t="str">
        <f t="shared" si="2"/>
        <v xml:space="preserve">    </v>
      </c>
      <c r="I761" s="6"/>
      <c r="J761" s="12"/>
      <c r="K761" s="12"/>
      <c r="L761" s="12"/>
      <c r="M761" s="12"/>
      <c r="N761" s="6"/>
      <c r="O761" s="6"/>
    </row>
    <row r="762" spans="1:15" ht="15.5" x14ac:dyDescent="0.35">
      <c r="A762" s="12"/>
      <c r="B762" s="12"/>
      <c r="C762" s="13"/>
      <c r="D762" s="12"/>
      <c r="E762" s="14"/>
      <c r="F762" s="1"/>
      <c r="G762" s="12"/>
      <c r="H762" s="12" t="str">
        <f t="shared" si="2"/>
        <v xml:space="preserve">    </v>
      </c>
      <c r="I762" s="6"/>
      <c r="J762" s="12"/>
      <c r="K762" s="12"/>
      <c r="L762" s="12"/>
      <c r="M762" s="12"/>
      <c r="N762" s="6"/>
      <c r="O762" s="6"/>
    </row>
    <row r="763" spans="1:15" ht="15.5" x14ac:dyDescent="0.35">
      <c r="A763" s="12"/>
      <c r="B763" s="12"/>
      <c r="C763" s="13"/>
      <c r="D763" s="12"/>
      <c r="E763" s="14"/>
      <c r="F763" s="1"/>
      <c r="G763" s="12"/>
      <c r="H763" s="12" t="str">
        <f t="shared" si="2"/>
        <v xml:space="preserve">    </v>
      </c>
      <c r="I763" s="6"/>
      <c r="J763" s="12"/>
      <c r="K763" s="12"/>
      <c r="L763" s="12"/>
      <c r="M763" s="12"/>
      <c r="N763" s="6"/>
      <c r="O763" s="6"/>
    </row>
    <row r="764" spans="1:15" ht="15.5" x14ac:dyDescent="0.35">
      <c r="A764" s="12"/>
      <c r="B764" s="12"/>
      <c r="C764" s="13"/>
      <c r="D764" s="12"/>
      <c r="E764" s="14"/>
      <c r="F764" s="1"/>
      <c r="G764" s="12"/>
      <c r="H764" s="12" t="str">
        <f t="shared" si="2"/>
        <v xml:space="preserve">    </v>
      </c>
      <c r="I764" s="6"/>
      <c r="J764" s="12"/>
      <c r="K764" s="12"/>
      <c r="L764" s="12"/>
      <c r="M764" s="12"/>
      <c r="N764" s="6"/>
      <c r="O764" s="6"/>
    </row>
    <row r="765" spans="1:15" ht="15.5" x14ac:dyDescent="0.35">
      <c r="A765" s="12"/>
      <c r="B765" s="12"/>
      <c r="C765" s="13"/>
      <c r="D765" s="12"/>
      <c r="E765" s="14"/>
      <c r="F765" s="1"/>
      <c r="G765" s="12"/>
      <c r="H765" s="12" t="str">
        <f t="shared" si="2"/>
        <v xml:space="preserve">    </v>
      </c>
      <c r="I765" s="6"/>
      <c r="J765" s="12"/>
      <c r="K765" s="12"/>
      <c r="L765" s="12"/>
      <c r="M765" s="12"/>
      <c r="N765" s="6"/>
      <c r="O765" s="6"/>
    </row>
    <row r="766" spans="1:15" ht="15.5" x14ac:dyDescent="0.35">
      <c r="A766" s="12"/>
      <c r="B766" s="12"/>
      <c r="C766" s="13"/>
      <c r="D766" s="12"/>
      <c r="E766" s="14"/>
      <c r="F766" s="1"/>
      <c r="G766" s="12"/>
      <c r="H766" s="12" t="str">
        <f t="shared" si="2"/>
        <v xml:space="preserve">    </v>
      </c>
      <c r="I766" s="6"/>
      <c r="J766" s="12"/>
      <c r="K766" s="12"/>
      <c r="L766" s="12"/>
      <c r="M766" s="12"/>
      <c r="N766" s="6"/>
      <c r="O766" s="6"/>
    </row>
    <row r="767" spans="1:15" ht="15.5" x14ac:dyDescent="0.35">
      <c r="A767" s="12"/>
      <c r="B767" s="12"/>
      <c r="C767" s="13"/>
      <c r="D767" s="12"/>
      <c r="E767" s="14"/>
      <c r="F767" s="1"/>
      <c r="G767" s="12"/>
      <c r="H767" s="12" t="str">
        <f t="shared" ref="H767:H1021" si="3">(E767&amp;"  "&amp;F767&amp;"  "&amp;G767)</f>
        <v xml:space="preserve">    </v>
      </c>
      <c r="I767" s="6"/>
      <c r="J767" s="12"/>
      <c r="K767" s="12"/>
      <c r="L767" s="12"/>
      <c r="M767" s="12"/>
      <c r="N767" s="6"/>
      <c r="O767" s="6"/>
    </row>
    <row r="768" spans="1:15" ht="15.5" x14ac:dyDescent="0.35">
      <c r="A768" s="12"/>
      <c r="B768" s="12"/>
      <c r="C768" s="13"/>
      <c r="D768" s="12"/>
      <c r="E768" s="14"/>
      <c r="F768" s="1"/>
      <c r="G768" s="12"/>
      <c r="H768" s="12" t="str">
        <f t="shared" si="3"/>
        <v xml:space="preserve">    </v>
      </c>
      <c r="I768" s="6"/>
      <c r="J768" s="12"/>
      <c r="K768" s="12"/>
      <c r="L768" s="12"/>
      <c r="M768" s="12"/>
      <c r="N768" s="6"/>
      <c r="O768" s="6"/>
    </row>
    <row r="769" spans="1:15" ht="15.5" x14ac:dyDescent="0.35">
      <c r="A769" s="12"/>
      <c r="B769" s="12"/>
      <c r="C769" s="13"/>
      <c r="D769" s="12"/>
      <c r="E769" s="14"/>
      <c r="F769" s="1"/>
      <c r="G769" s="12"/>
      <c r="H769" s="12" t="str">
        <f t="shared" si="3"/>
        <v xml:space="preserve">    </v>
      </c>
      <c r="I769" s="6"/>
      <c r="J769" s="12"/>
      <c r="K769" s="12"/>
      <c r="L769" s="12"/>
      <c r="M769" s="12"/>
      <c r="N769" s="6"/>
      <c r="O769" s="6"/>
    </row>
    <row r="770" spans="1:15" ht="15.5" x14ac:dyDescent="0.35">
      <c r="A770" s="12"/>
      <c r="B770" s="12"/>
      <c r="C770" s="13"/>
      <c r="D770" s="12"/>
      <c r="E770" s="14"/>
      <c r="F770" s="1"/>
      <c r="G770" s="12"/>
      <c r="H770" s="12" t="str">
        <f t="shared" si="3"/>
        <v xml:space="preserve">    </v>
      </c>
      <c r="I770" s="6"/>
      <c r="J770" s="12"/>
      <c r="K770" s="12"/>
      <c r="L770" s="12"/>
      <c r="M770" s="12"/>
      <c r="N770" s="6"/>
      <c r="O770" s="6"/>
    </row>
    <row r="771" spans="1:15" ht="15.5" x14ac:dyDescent="0.35">
      <c r="A771" s="12"/>
      <c r="B771" s="12"/>
      <c r="C771" s="13"/>
      <c r="D771" s="12"/>
      <c r="E771" s="14"/>
      <c r="F771" s="1"/>
      <c r="G771" s="12"/>
      <c r="H771" s="12" t="str">
        <f t="shared" si="3"/>
        <v xml:space="preserve">    </v>
      </c>
      <c r="I771" s="6"/>
      <c r="J771" s="12"/>
      <c r="K771" s="12"/>
      <c r="L771" s="12"/>
      <c r="M771" s="12"/>
      <c r="N771" s="6"/>
      <c r="O771" s="6"/>
    </row>
    <row r="772" spans="1:15" ht="15.5" x14ac:dyDescent="0.35">
      <c r="A772" s="12"/>
      <c r="B772" s="12"/>
      <c r="C772" s="13"/>
      <c r="D772" s="12"/>
      <c r="E772" s="14"/>
      <c r="F772" s="1"/>
      <c r="G772" s="12"/>
      <c r="H772" s="12" t="str">
        <f t="shared" si="3"/>
        <v xml:space="preserve">    </v>
      </c>
      <c r="I772" s="6"/>
      <c r="J772" s="12"/>
      <c r="K772" s="12"/>
      <c r="L772" s="12"/>
      <c r="M772" s="12"/>
      <c r="N772" s="6"/>
      <c r="O772" s="6"/>
    </row>
    <row r="773" spans="1:15" ht="15.5" x14ac:dyDescent="0.35">
      <c r="A773" s="12"/>
      <c r="B773" s="12"/>
      <c r="C773" s="13"/>
      <c r="D773" s="12"/>
      <c r="E773" s="14"/>
      <c r="F773" s="1"/>
      <c r="G773" s="12"/>
      <c r="H773" s="12" t="str">
        <f t="shared" si="3"/>
        <v xml:space="preserve">    </v>
      </c>
      <c r="I773" s="6"/>
      <c r="J773" s="12"/>
      <c r="K773" s="12"/>
      <c r="L773" s="12"/>
      <c r="M773" s="12"/>
      <c r="N773" s="6"/>
      <c r="O773" s="6"/>
    </row>
    <row r="774" spans="1:15" ht="15.5" x14ac:dyDescent="0.35">
      <c r="A774" s="12"/>
      <c r="B774" s="12"/>
      <c r="C774" s="13"/>
      <c r="D774" s="12"/>
      <c r="E774" s="14"/>
      <c r="F774" s="1"/>
      <c r="G774" s="12"/>
      <c r="H774" s="12" t="str">
        <f t="shared" si="3"/>
        <v xml:space="preserve">    </v>
      </c>
      <c r="I774" s="6"/>
      <c r="J774" s="12"/>
      <c r="K774" s="12"/>
      <c r="L774" s="12"/>
      <c r="M774" s="12"/>
      <c r="N774" s="6"/>
      <c r="O774" s="6"/>
    </row>
    <row r="775" spans="1:15" ht="15.5" x14ac:dyDescent="0.35">
      <c r="A775" s="12"/>
      <c r="B775" s="12"/>
      <c r="C775" s="13"/>
      <c r="D775" s="12"/>
      <c r="E775" s="14"/>
      <c r="F775" s="1"/>
      <c r="G775" s="12"/>
      <c r="H775" s="12" t="str">
        <f t="shared" si="3"/>
        <v xml:space="preserve">    </v>
      </c>
      <c r="I775" s="6"/>
      <c r="J775" s="12"/>
      <c r="K775" s="12"/>
      <c r="L775" s="12"/>
      <c r="M775" s="12"/>
      <c r="N775" s="6"/>
      <c r="O775" s="6"/>
    </row>
    <row r="776" spans="1:15" ht="15.5" x14ac:dyDescent="0.35">
      <c r="A776" s="12"/>
      <c r="B776" s="12"/>
      <c r="C776" s="13"/>
      <c r="D776" s="12"/>
      <c r="E776" s="14"/>
      <c r="F776" s="1"/>
      <c r="G776" s="12"/>
      <c r="H776" s="12" t="str">
        <f t="shared" si="3"/>
        <v xml:space="preserve">    </v>
      </c>
      <c r="I776" s="6"/>
      <c r="J776" s="12"/>
      <c r="K776" s="12"/>
      <c r="L776" s="12"/>
      <c r="M776" s="12"/>
      <c r="N776" s="6"/>
      <c r="O776" s="6"/>
    </row>
    <row r="777" spans="1:15" ht="15.5" x14ac:dyDescent="0.35">
      <c r="A777" s="12"/>
      <c r="B777" s="12"/>
      <c r="C777" s="13"/>
      <c r="D777" s="12"/>
      <c r="E777" s="14"/>
      <c r="F777" s="1"/>
      <c r="G777" s="12"/>
      <c r="H777" s="12" t="str">
        <f t="shared" si="3"/>
        <v xml:space="preserve">    </v>
      </c>
      <c r="I777" s="6"/>
      <c r="J777" s="12"/>
      <c r="K777" s="12"/>
      <c r="L777" s="12"/>
      <c r="M777" s="12"/>
      <c r="N777" s="6"/>
      <c r="O777" s="6"/>
    </row>
    <row r="778" spans="1:15" ht="15.5" x14ac:dyDescent="0.35">
      <c r="A778" s="12"/>
      <c r="B778" s="12"/>
      <c r="C778" s="13"/>
      <c r="D778" s="12"/>
      <c r="E778" s="14"/>
      <c r="F778" s="1"/>
      <c r="G778" s="12"/>
      <c r="H778" s="12" t="str">
        <f t="shared" si="3"/>
        <v xml:space="preserve">    </v>
      </c>
      <c r="I778" s="6"/>
      <c r="J778" s="12"/>
      <c r="K778" s="12"/>
      <c r="L778" s="12"/>
      <c r="M778" s="12"/>
      <c r="N778" s="6"/>
      <c r="O778" s="6"/>
    </row>
    <row r="779" spans="1:15" ht="15.5" x14ac:dyDescent="0.35">
      <c r="A779" s="12"/>
      <c r="B779" s="12"/>
      <c r="C779" s="13"/>
      <c r="D779" s="12"/>
      <c r="E779" s="14"/>
      <c r="F779" s="1"/>
      <c r="G779" s="12"/>
      <c r="H779" s="12" t="str">
        <f t="shared" si="3"/>
        <v xml:space="preserve">    </v>
      </c>
      <c r="I779" s="6"/>
      <c r="J779" s="12"/>
      <c r="K779" s="12"/>
      <c r="L779" s="12"/>
      <c r="M779" s="12"/>
      <c r="N779" s="6"/>
      <c r="O779" s="6"/>
    </row>
    <row r="780" spans="1:15" ht="15.5" x14ac:dyDescent="0.35">
      <c r="A780" s="12"/>
      <c r="B780" s="12"/>
      <c r="C780" s="13"/>
      <c r="D780" s="12"/>
      <c r="E780" s="14"/>
      <c r="F780" s="1"/>
      <c r="G780" s="12"/>
      <c r="H780" s="12" t="str">
        <f t="shared" si="3"/>
        <v xml:space="preserve">    </v>
      </c>
      <c r="I780" s="6"/>
      <c r="J780" s="12"/>
      <c r="K780" s="12"/>
      <c r="L780" s="12"/>
      <c r="M780" s="12"/>
      <c r="N780" s="6"/>
      <c r="O780" s="6"/>
    </row>
    <row r="781" spans="1:15" ht="15.5" x14ac:dyDescent="0.35">
      <c r="A781" s="12"/>
      <c r="B781" s="12"/>
      <c r="C781" s="13"/>
      <c r="D781" s="12"/>
      <c r="E781" s="14"/>
      <c r="F781" s="1"/>
      <c r="G781" s="12"/>
      <c r="H781" s="12" t="str">
        <f t="shared" si="3"/>
        <v xml:space="preserve">    </v>
      </c>
      <c r="I781" s="6"/>
      <c r="J781" s="12"/>
      <c r="K781" s="12"/>
      <c r="L781" s="12"/>
      <c r="M781" s="12"/>
      <c r="N781" s="6"/>
      <c r="O781" s="6"/>
    </row>
    <row r="782" spans="1:15" ht="15.5" x14ac:dyDescent="0.35">
      <c r="A782" s="12"/>
      <c r="B782" s="12"/>
      <c r="C782" s="13"/>
      <c r="D782" s="12"/>
      <c r="E782" s="14"/>
      <c r="F782" s="1"/>
      <c r="G782" s="12"/>
      <c r="H782" s="12" t="str">
        <f t="shared" si="3"/>
        <v xml:space="preserve">    </v>
      </c>
      <c r="I782" s="6"/>
      <c r="J782" s="12"/>
      <c r="K782" s="12"/>
      <c r="L782" s="12"/>
      <c r="M782" s="12"/>
      <c r="N782" s="6"/>
      <c r="O782" s="6"/>
    </row>
    <row r="783" spans="1:15" ht="15.5" x14ac:dyDescent="0.35">
      <c r="A783" s="12"/>
      <c r="B783" s="12"/>
      <c r="C783" s="13"/>
      <c r="D783" s="12"/>
      <c r="E783" s="14"/>
      <c r="F783" s="1"/>
      <c r="G783" s="12"/>
      <c r="H783" s="12" t="str">
        <f t="shared" si="3"/>
        <v xml:space="preserve">    </v>
      </c>
      <c r="I783" s="6"/>
      <c r="J783" s="12"/>
      <c r="K783" s="12"/>
      <c r="L783" s="12"/>
      <c r="M783" s="12"/>
      <c r="N783" s="6"/>
      <c r="O783" s="6"/>
    </row>
    <row r="784" spans="1:15" ht="15.5" x14ac:dyDescent="0.35">
      <c r="A784" s="12"/>
      <c r="B784" s="12"/>
      <c r="C784" s="13"/>
      <c r="D784" s="12"/>
      <c r="E784" s="14"/>
      <c r="F784" s="1"/>
      <c r="G784" s="12"/>
      <c r="H784" s="12" t="str">
        <f t="shared" si="3"/>
        <v xml:space="preserve">    </v>
      </c>
      <c r="I784" s="6"/>
      <c r="J784" s="12"/>
      <c r="K784" s="12"/>
      <c r="L784" s="12"/>
      <c r="M784" s="12"/>
      <c r="N784" s="6"/>
      <c r="O784" s="6"/>
    </row>
    <row r="785" spans="1:15" ht="15.5" x14ac:dyDescent="0.35">
      <c r="A785" s="12"/>
      <c r="B785" s="12"/>
      <c r="C785" s="13"/>
      <c r="D785" s="12"/>
      <c r="E785" s="14"/>
      <c r="F785" s="1"/>
      <c r="G785" s="12"/>
      <c r="H785" s="12" t="str">
        <f t="shared" si="3"/>
        <v xml:space="preserve">    </v>
      </c>
      <c r="I785" s="6"/>
      <c r="J785" s="12"/>
      <c r="K785" s="12"/>
      <c r="L785" s="12"/>
      <c r="M785" s="12"/>
      <c r="N785" s="6"/>
      <c r="O785" s="6"/>
    </row>
    <row r="786" spans="1:15" ht="15.5" x14ac:dyDescent="0.35">
      <c r="A786" s="12"/>
      <c r="B786" s="12"/>
      <c r="C786" s="13"/>
      <c r="D786" s="12"/>
      <c r="E786" s="14"/>
      <c r="F786" s="1"/>
      <c r="G786" s="12"/>
      <c r="H786" s="12" t="str">
        <f t="shared" si="3"/>
        <v xml:space="preserve">    </v>
      </c>
      <c r="I786" s="6"/>
      <c r="J786" s="12"/>
      <c r="K786" s="12"/>
      <c r="L786" s="12"/>
      <c r="M786" s="12"/>
      <c r="N786" s="6"/>
      <c r="O786" s="6"/>
    </row>
    <row r="787" spans="1:15" ht="15.5" x14ac:dyDescent="0.35">
      <c r="A787" s="12"/>
      <c r="B787" s="12"/>
      <c r="C787" s="13"/>
      <c r="D787" s="12"/>
      <c r="E787" s="14"/>
      <c r="F787" s="1"/>
      <c r="G787" s="12"/>
      <c r="H787" s="12" t="str">
        <f t="shared" si="3"/>
        <v xml:space="preserve">    </v>
      </c>
      <c r="I787" s="6"/>
      <c r="J787" s="12"/>
      <c r="K787" s="12"/>
      <c r="L787" s="12"/>
      <c r="M787" s="12"/>
      <c r="N787" s="6"/>
      <c r="O787" s="6"/>
    </row>
    <row r="788" spans="1:15" ht="15.5" x14ac:dyDescent="0.35">
      <c r="A788" s="12"/>
      <c r="B788" s="12"/>
      <c r="C788" s="13"/>
      <c r="D788" s="12"/>
      <c r="E788" s="14"/>
      <c r="F788" s="1"/>
      <c r="G788" s="12"/>
      <c r="H788" s="12" t="str">
        <f t="shared" si="3"/>
        <v xml:space="preserve">    </v>
      </c>
      <c r="I788" s="6"/>
      <c r="J788" s="12"/>
      <c r="K788" s="12"/>
      <c r="L788" s="12"/>
      <c r="M788" s="12"/>
      <c r="N788" s="6"/>
      <c r="O788" s="6"/>
    </row>
    <row r="789" spans="1:15" ht="15.5" x14ac:dyDescent="0.35">
      <c r="A789" s="12"/>
      <c r="B789" s="12"/>
      <c r="C789" s="13"/>
      <c r="D789" s="12"/>
      <c r="E789" s="14"/>
      <c r="F789" s="1"/>
      <c r="G789" s="12"/>
      <c r="H789" s="12" t="str">
        <f t="shared" si="3"/>
        <v xml:space="preserve">    </v>
      </c>
      <c r="I789" s="6"/>
      <c r="J789" s="12"/>
      <c r="K789" s="12"/>
      <c r="L789" s="12"/>
      <c r="M789" s="12"/>
      <c r="N789" s="6"/>
      <c r="O789" s="6"/>
    </row>
    <row r="790" spans="1:15" ht="15.5" x14ac:dyDescent="0.35">
      <c r="A790" s="12"/>
      <c r="B790" s="12"/>
      <c r="C790" s="13"/>
      <c r="D790" s="12"/>
      <c r="E790" s="14"/>
      <c r="F790" s="1"/>
      <c r="G790" s="12"/>
      <c r="H790" s="12" t="str">
        <f t="shared" si="3"/>
        <v xml:space="preserve">    </v>
      </c>
      <c r="I790" s="6"/>
      <c r="J790" s="12"/>
      <c r="K790" s="12"/>
      <c r="L790" s="12"/>
      <c r="M790" s="12"/>
      <c r="N790" s="6"/>
      <c r="O790" s="6"/>
    </row>
    <row r="791" spans="1:15" ht="15.5" x14ac:dyDescent="0.35">
      <c r="A791" s="12"/>
      <c r="B791" s="12"/>
      <c r="C791" s="13"/>
      <c r="D791" s="12"/>
      <c r="E791" s="14"/>
      <c r="F791" s="1"/>
      <c r="G791" s="12"/>
      <c r="H791" s="12" t="str">
        <f t="shared" si="3"/>
        <v xml:space="preserve">    </v>
      </c>
      <c r="I791" s="6"/>
      <c r="J791" s="12"/>
      <c r="K791" s="12"/>
      <c r="L791" s="12"/>
      <c r="M791" s="12"/>
      <c r="N791" s="6"/>
      <c r="O791" s="6"/>
    </row>
    <row r="792" spans="1:15" ht="15.5" x14ac:dyDescent="0.35">
      <c r="A792" s="12"/>
      <c r="B792" s="12"/>
      <c r="C792" s="13"/>
      <c r="D792" s="12"/>
      <c r="E792" s="14"/>
      <c r="F792" s="1"/>
      <c r="G792" s="12"/>
      <c r="H792" s="12" t="str">
        <f t="shared" si="3"/>
        <v xml:space="preserve">    </v>
      </c>
      <c r="I792" s="6"/>
      <c r="J792" s="12"/>
      <c r="K792" s="12"/>
      <c r="L792" s="12"/>
      <c r="M792" s="12"/>
      <c r="N792" s="6"/>
      <c r="O792" s="6"/>
    </row>
    <row r="793" spans="1:15" ht="15.5" x14ac:dyDescent="0.35">
      <c r="A793" s="12"/>
      <c r="B793" s="12"/>
      <c r="C793" s="13"/>
      <c r="D793" s="12"/>
      <c r="E793" s="14"/>
      <c r="F793" s="1"/>
      <c r="G793" s="12"/>
      <c r="H793" s="12" t="str">
        <f t="shared" si="3"/>
        <v xml:space="preserve">    </v>
      </c>
      <c r="I793" s="6"/>
      <c r="J793" s="12"/>
      <c r="K793" s="12"/>
      <c r="L793" s="12"/>
      <c r="M793" s="12"/>
      <c r="N793" s="6"/>
      <c r="O793" s="6"/>
    </row>
    <row r="794" spans="1:15" ht="15.5" x14ac:dyDescent="0.35">
      <c r="A794" s="12"/>
      <c r="B794" s="12"/>
      <c r="C794" s="13"/>
      <c r="D794" s="12"/>
      <c r="E794" s="14"/>
      <c r="F794" s="1"/>
      <c r="G794" s="12"/>
      <c r="H794" s="12" t="str">
        <f t="shared" si="3"/>
        <v xml:space="preserve">    </v>
      </c>
      <c r="I794" s="6"/>
      <c r="J794" s="12"/>
      <c r="K794" s="12"/>
      <c r="L794" s="12"/>
      <c r="M794" s="12"/>
      <c r="N794" s="6"/>
      <c r="O794" s="6"/>
    </row>
    <row r="795" spans="1:15" ht="15.5" x14ac:dyDescent="0.35">
      <c r="A795" s="12"/>
      <c r="B795" s="12"/>
      <c r="C795" s="13"/>
      <c r="D795" s="12"/>
      <c r="E795" s="14"/>
      <c r="F795" s="1"/>
      <c r="G795" s="12"/>
      <c r="H795" s="12" t="str">
        <f t="shared" si="3"/>
        <v xml:space="preserve">    </v>
      </c>
      <c r="I795" s="6"/>
      <c r="J795" s="12"/>
      <c r="K795" s="12"/>
      <c r="L795" s="12"/>
      <c r="M795" s="12"/>
      <c r="N795" s="6"/>
      <c r="O795" s="6"/>
    </row>
    <row r="796" spans="1:15" ht="15.5" x14ac:dyDescent="0.35">
      <c r="A796" s="12"/>
      <c r="B796" s="12"/>
      <c r="C796" s="13"/>
      <c r="D796" s="12"/>
      <c r="E796" s="14"/>
      <c r="F796" s="1"/>
      <c r="G796" s="12"/>
      <c r="H796" s="12" t="str">
        <f t="shared" si="3"/>
        <v xml:space="preserve">    </v>
      </c>
      <c r="I796" s="6"/>
      <c r="J796" s="12"/>
      <c r="K796" s="12"/>
      <c r="L796" s="12"/>
      <c r="M796" s="12"/>
      <c r="N796" s="6"/>
      <c r="O796" s="6"/>
    </row>
    <row r="797" spans="1:15" ht="15.5" x14ac:dyDescent="0.35">
      <c r="A797" s="12"/>
      <c r="B797" s="12"/>
      <c r="C797" s="13"/>
      <c r="D797" s="12"/>
      <c r="E797" s="14"/>
      <c r="F797" s="1"/>
      <c r="G797" s="12"/>
      <c r="H797" s="12" t="str">
        <f t="shared" si="3"/>
        <v xml:space="preserve">    </v>
      </c>
      <c r="I797" s="6"/>
      <c r="J797" s="12"/>
      <c r="K797" s="12"/>
      <c r="L797" s="12"/>
      <c r="M797" s="12"/>
      <c r="N797" s="6"/>
      <c r="O797" s="6"/>
    </row>
    <row r="798" spans="1:15" ht="15.5" x14ac:dyDescent="0.35">
      <c r="A798" s="12"/>
      <c r="B798" s="12"/>
      <c r="C798" s="13"/>
      <c r="D798" s="12"/>
      <c r="E798" s="14"/>
      <c r="F798" s="1"/>
      <c r="G798" s="12"/>
      <c r="H798" s="12" t="str">
        <f t="shared" si="3"/>
        <v xml:space="preserve">    </v>
      </c>
      <c r="I798" s="6"/>
      <c r="J798" s="12"/>
      <c r="K798" s="12"/>
      <c r="L798" s="12"/>
      <c r="M798" s="12"/>
      <c r="N798" s="6"/>
      <c r="O798" s="6"/>
    </row>
    <row r="799" spans="1:15" ht="15.5" x14ac:dyDescent="0.35">
      <c r="A799" s="12"/>
      <c r="B799" s="12"/>
      <c r="C799" s="13"/>
      <c r="D799" s="12"/>
      <c r="E799" s="14"/>
      <c r="F799" s="1"/>
      <c r="G799" s="12"/>
      <c r="H799" s="12" t="str">
        <f t="shared" si="3"/>
        <v xml:space="preserve">    </v>
      </c>
      <c r="I799" s="6"/>
      <c r="J799" s="12"/>
      <c r="K799" s="12"/>
      <c r="L799" s="12"/>
      <c r="M799" s="12"/>
      <c r="N799" s="6"/>
      <c r="O799" s="6"/>
    </row>
    <row r="800" spans="1:15" ht="15.5" x14ac:dyDescent="0.35">
      <c r="A800" s="12"/>
      <c r="B800" s="12"/>
      <c r="C800" s="13"/>
      <c r="D800" s="12"/>
      <c r="E800" s="14"/>
      <c r="F800" s="1"/>
      <c r="G800" s="12"/>
      <c r="H800" s="12" t="str">
        <f t="shared" si="3"/>
        <v xml:space="preserve">    </v>
      </c>
      <c r="I800" s="6"/>
      <c r="J800" s="12"/>
      <c r="K800" s="12"/>
      <c r="L800" s="12"/>
      <c r="M800" s="12"/>
      <c r="N800" s="6"/>
      <c r="O800" s="6"/>
    </row>
    <row r="801" spans="1:15" ht="15.5" x14ac:dyDescent="0.35">
      <c r="A801" s="12"/>
      <c r="B801" s="12"/>
      <c r="C801" s="13"/>
      <c r="D801" s="12"/>
      <c r="E801" s="14"/>
      <c r="F801" s="1"/>
      <c r="G801" s="12"/>
      <c r="H801" s="12" t="str">
        <f t="shared" si="3"/>
        <v xml:space="preserve">    </v>
      </c>
      <c r="I801" s="6"/>
      <c r="J801" s="12"/>
      <c r="K801" s="12"/>
      <c r="L801" s="12"/>
      <c r="M801" s="12"/>
      <c r="N801" s="6"/>
      <c r="O801" s="6"/>
    </row>
    <row r="802" spans="1:15" ht="15.5" x14ac:dyDescent="0.35">
      <c r="A802" s="12"/>
      <c r="B802" s="12"/>
      <c r="C802" s="13"/>
      <c r="D802" s="12"/>
      <c r="E802" s="14"/>
      <c r="F802" s="1"/>
      <c r="G802" s="12"/>
      <c r="H802" s="12" t="str">
        <f t="shared" si="3"/>
        <v xml:space="preserve">    </v>
      </c>
      <c r="I802" s="6"/>
      <c r="J802" s="12"/>
      <c r="K802" s="12"/>
      <c r="L802" s="12"/>
      <c r="M802" s="12"/>
      <c r="N802" s="6"/>
      <c r="O802" s="6"/>
    </row>
    <row r="803" spans="1:15" ht="15.5" x14ac:dyDescent="0.35">
      <c r="A803" s="12"/>
      <c r="B803" s="12"/>
      <c r="C803" s="13"/>
      <c r="D803" s="12"/>
      <c r="E803" s="14"/>
      <c r="F803" s="1"/>
      <c r="G803" s="12"/>
      <c r="H803" s="12" t="str">
        <f t="shared" si="3"/>
        <v xml:space="preserve">    </v>
      </c>
      <c r="I803" s="6"/>
      <c r="J803" s="12"/>
      <c r="K803" s="12"/>
      <c r="L803" s="12"/>
      <c r="M803" s="12"/>
      <c r="N803" s="6"/>
      <c r="O803" s="6"/>
    </row>
    <row r="804" spans="1:15" ht="15.5" x14ac:dyDescent="0.35">
      <c r="A804" s="12"/>
      <c r="B804" s="12"/>
      <c r="C804" s="13"/>
      <c r="D804" s="12"/>
      <c r="E804" s="14"/>
      <c r="F804" s="1"/>
      <c r="G804" s="12"/>
      <c r="H804" s="12" t="str">
        <f t="shared" si="3"/>
        <v xml:space="preserve">    </v>
      </c>
      <c r="I804" s="6"/>
      <c r="J804" s="12"/>
      <c r="K804" s="12"/>
      <c r="L804" s="12"/>
      <c r="M804" s="12"/>
      <c r="N804" s="6"/>
      <c r="O804" s="6"/>
    </row>
    <row r="805" spans="1:15" ht="15.5" x14ac:dyDescent="0.35">
      <c r="A805" s="12"/>
      <c r="B805" s="12"/>
      <c r="C805" s="13"/>
      <c r="D805" s="12"/>
      <c r="E805" s="14"/>
      <c r="F805" s="1"/>
      <c r="G805" s="12"/>
      <c r="H805" s="12" t="str">
        <f t="shared" si="3"/>
        <v xml:space="preserve">    </v>
      </c>
      <c r="I805" s="6"/>
      <c r="J805" s="12"/>
      <c r="K805" s="12"/>
      <c r="L805" s="12"/>
      <c r="M805" s="12"/>
      <c r="N805" s="6"/>
      <c r="O805" s="6"/>
    </row>
    <row r="806" spans="1:15" ht="15.5" x14ac:dyDescent="0.35">
      <c r="A806" s="12"/>
      <c r="B806" s="12"/>
      <c r="C806" s="13"/>
      <c r="D806" s="12"/>
      <c r="E806" s="14"/>
      <c r="F806" s="1"/>
      <c r="G806" s="12"/>
      <c r="H806" s="12" t="str">
        <f t="shared" si="3"/>
        <v xml:space="preserve">    </v>
      </c>
      <c r="I806" s="6"/>
      <c r="J806" s="12"/>
      <c r="K806" s="12"/>
      <c r="L806" s="12"/>
      <c r="M806" s="12"/>
      <c r="N806" s="6"/>
      <c r="O806" s="6"/>
    </row>
    <row r="807" spans="1:15" ht="15.5" x14ac:dyDescent="0.35">
      <c r="A807" s="12"/>
      <c r="B807" s="12"/>
      <c r="C807" s="13"/>
      <c r="D807" s="12"/>
      <c r="E807" s="14"/>
      <c r="F807" s="1"/>
      <c r="G807" s="12"/>
      <c r="H807" s="12" t="str">
        <f t="shared" si="3"/>
        <v xml:space="preserve">    </v>
      </c>
      <c r="I807" s="6"/>
      <c r="J807" s="12"/>
      <c r="K807" s="12"/>
      <c r="L807" s="12"/>
      <c r="M807" s="12"/>
      <c r="N807" s="6"/>
      <c r="O807" s="6"/>
    </row>
    <row r="808" spans="1:15" ht="15.5" x14ac:dyDescent="0.35">
      <c r="A808" s="12"/>
      <c r="B808" s="12"/>
      <c r="C808" s="13"/>
      <c r="D808" s="12"/>
      <c r="E808" s="14"/>
      <c r="F808" s="1"/>
      <c r="G808" s="12"/>
      <c r="H808" s="12" t="str">
        <f t="shared" si="3"/>
        <v xml:space="preserve">    </v>
      </c>
      <c r="I808" s="6"/>
      <c r="J808" s="12"/>
      <c r="K808" s="12"/>
      <c r="L808" s="12"/>
      <c r="M808" s="12"/>
      <c r="N808" s="6"/>
      <c r="O808" s="6"/>
    </row>
    <row r="809" spans="1:15" ht="15.5" x14ac:dyDescent="0.35">
      <c r="A809" s="12"/>
      <c r="B809" s="12"/>
      <c r="C809" s="13"/>
      <c r="D809" s="12"/>
      <c r="E809" s="14"/>
      <c r="F809" s="1"/>
      <c r="G809" s="12"/>
      <c r="H809" s="12" t="str">
        <f t="shared" si="3"/>
        <v xml:space="preserve">    </v>
      </c>
      <c r="I809" s="6"/>
      <c r="J809" s="12"/>
      <c r="K809" s="12"/>
      <c r="L809" s="12"/>
      <c r="M809" s="12"/>
      <c r="N809" s="6"/>
      <c r="O809" s="6"/>
    </row>
    <row r="810" spans="1:15" ht="15.5" x14ac:dyDescent="0.35">
      <c r="A810" s="12"/>
      <c r="B810" s="12"/>
      <c r="C810" s="13"/>
      <c r="D810" s="12"/>
      <c r="E810" s="14"/>
      <c r="F810" s="1"/>
      <c r="G810" s="12"/>
      <c r="H810" s="12" t="str">
        <f t="shared" si="3"/>
        <v xml:space="preserve">    </v>
      </c>
      <c r="I810" s="6"/>
      <c r="J810" s="12"/>
      <c r="K810" s="12"/>
      <c r="L810" s="12"/>
      <c r="M810" s="12"/>
      <c r="N810" s="6"/>
      <c r="O810" s="6"/>
    </row>
    <row r="811" spans="1:15" ht="15.5" x14ac:dyDescent="0.35">
      <c r="A811" s="12"/>
      <c r="B811" s="12"/>
      <c r="C811" s="13"/>
      <c r="D811" s="12"/>
      <c r="E811" s="14"/>
      <c r="F811" s="1"/>
      <c r="G811" s="12"/>
      <c r="H811" s="12" t="str">
        <f t="shared" si="3"/>
        <v xml:space="preserve">    </v>
      </c>
      <c r="I811" s="6"/>
      <c r="J811" s="12"/>
      <c r="K811" s="12"/>
      <c r="L811" s="12"/>
      <c r="M811" s="12"/>
      <c r="N811" s="6"/>
      <c r="O811" s="6"/>
    </row>
    <row r="812" spans="1:15" ht="15.5" x14ac:dyDescent="0.35">
      <c r="A812" s="12"/>
      <c r="B812" s="12"/>
      <c r="C812" s="13"/>
      <c r="D812" s="12"/>
      <c r="E812" s="14"/>
      <c r="F812" s="1"/>
      <c r="G812" s="12"/>
      <c r="H812" s="12" t="str">
        <f t="shared" si="3"/>
        <v xml:space="preserve">    </v>
      </c>
      <c r="I812" s="6"/>
      <c r="J812" s="12"/>
      <c r="K812" s="12"/>
      <c r="L812" s="12"/>
      <c r="M812" s="12"/>
      <c r="N812" s="6"/>
      <c r="O812" s="6"/>
    </row>
    <row r="813" spans="1:15" ht="15.5" x14ac:dyDescent="0.35">
      <c r="A813" s="12"/>
      <c r="B813" s="12"/>
      <c r="C813" s="13"/>
      <c r="D813" s="12"/>
      <c r="E813" s="14"/>
      <c r="F813" s="1"/>
      <c r="G813" s="12"/>
      <c r="H813" s="12" t="str">
        <f t="shared" si="3"/>
        <v xml:space="preserve">    </v>
      </c>
      <c r="I813" s="6"/>
      <c r="J813" s="12"/>
      <c r="K813" s="12"/>
      <c r="L813" s="12"/>
      <c r="M813" s="12"/>
      <c r="N813" s="6"/>
      <c r="O813" s="6"/>
    </row>
    <row r="814" spans="1:15" ht="15.5" x14ac:dyDescent="0.35">
      <c r="A814" s="12"/>
      <c r="B814" s="12"/>
      <c r="C814" s="13"/>
      <c r="D814" s="12"/>
      <c r="E814" s="14"/>
      <c r="F814" s="1"/>
      <c r="G814" s="12"/>
      <c r="H814" s="12" t="str">
        <f t="shared" si="3"/>
        <v xml:space="preserve">    </v>
      </c>
      <c r="I814" s="6"/>
      <c r="J814" s="12"/>
      <c r="K814" s="12"/>
      <c r="L814" s="12"/>
      <c r="M814" s="12"/>
      <c r="N814" s="6"/>
      <c r="O814" s="6"/>
    </row>
    <row r="815" spans="1:15" ht="15.5" x14ac:dyDescent="0.35">
      <c r="A815" s="12"/>
      <c r="B815" s="12"/>
      <c r="C815" s="13"/>
      <c r="D815" s="12"/>
      <c r="E815" s="14"/>
      <c r="F815" s="1"/>
      <c r="G815" s="12"/>
      <c r="H815" s="12" t="str">
        <f t="shared" si="3"/>
        <v xml:space="preserve">    </v>
      </c>
      <c r="I815" s="6"/>
      <c r="J815" s="12"/>
      <c r="K815" s="12"/>
      <c r="L815" s="12"/>
      <c r="M815" s="12"/>
      <c r="N815" s="6"/>
      <c r="O815" s="6"/>
    </row>
    <row r="816" spans="1:15" ht="15.5" x14ac:dyDescent="0.35">
      <c r="A816" s="12"/>
      <c r="B816" s="12"/>
      <c r="C816" s="13"/>
      <c r="D816" s="12"/>
      <c r="E816" s="14"/>
      <c r="F816" s="1"/>
      <c r="G816" s="12"/>
      <c r="H816" s="12" t="str">
        <f t="shared" si="3"/>
        <v xml:space="preserve">    </v>
      </c>
      <c r="I816" s="6"/>
      <c r="J816" s="12"/>
      <c r="K816" s="12"/>
      <c r="L816" s="12"/>
      <c r="M816" s="12"/>
      <c r="N816" s="6"/>
      <c r="O816" s="6"/>
    </row>
    <row r="817" spans="1:15" ht="15.5" x14ac:dyDescent="0.35">
      <c r="A817" s="12"/>
      <c r="B817" s="12"/>
      <c r="C817" s="13"/>
      <c r="D817" s="12"/>
      <c r="E817" s="14"/>
      <c r="F817" s="1"/>
      <c r="G817" s="12"/>
      <c r="H817" s="12" t="str">
        <f t="shared" si="3"/>
        <v xml:space="preserve">    </v>
      </c>
      <c r="I817" s="6"/>
      <c r="J817" s="12"/>
      <c r="K817" s="12"/>
      <c r="L817" s="12"/>
      <c r="M817" s="12"/>
      <c r="N817" s="6"/>
      <c r="O817" s="6"/>
    </row>
    <row r="818" spans="1:15" ht="15.5" x14ac:dyDescent="0.35">
      <c r="A818" s="12"/>
      <c r="B818" s="12"/>
      <c r="C818" s="13"/>
      <c r="D818" s="12"/>
      <c r="E818" s="14"/>
      <c r="F818" s="1"/>
      <c r="G818" s="12"/>
      <c r="H818" s="12" t="str">
        <f t="shared" si="3"/>
        <v xml:space="preserve">    </v>
      </c>
      <c r="I818" s="6"/>
      <c r="J818" s="12"/>
      <c r="K818" s="12"/>
      <c r="L818" s="12"/>
      <c r="M818" s="12"/>
      <c r="N818" s="6"/>
      <c r="O818" s="6"/>
    </row>
    <row r="819" spans="1:15" ht="15.5" x14ac:dyDescent="0.35">
      <c r="A819" s="12"/>
      <c r="B819" s="12"/>
      <c r="C819" s="13"/>
      <c r="D819" s="12"/>
      <c r="E819" s="14"/>
      <c r="F819" s="1"/>
      <c r="G819" s="12"/>
      <c r="H819" s="12" t="str">
        <f t="shared" si="3"/>
        <v xml:space="preserve">    </v>
      </c>
      <c r="I819" s="6"/>
      <c r="J819" s="12"/>
      <c r="K819" s="12"/>
      <c r="L819" s="12"/>
      <c r="M819" s="12"/>
      <c r="N819" s="6"/>
      <c r="O819" s="6"/>
    </row>
    <row r="820" spans="1:15" ht="15.5" x14ac:dyDescent="0.35">
      <c r="A820" s="12"/>
      <c r="B820" s="12"/>
      <c r="C820" s="13"/>
      <c r="D820" s="12"/>
      <c r="E820" s="14"/>
      <c r="F820" s="1"/>
      <c r="G820" s="12"/>
      <c r="H820" s="12" t="str">
        <f t="shared" si="3"/>
        <v xml:space="preserve">    </v>
      </c>
      <c r="I820" s="6"/>
      <c r="J820" s="12"/>
      <c r="K820" s="12"/>
      <c r="L820" s="12"/>
      <c r="M820" s="12"/>
      <c r="N820" s="6"/>
      <c r="O820" s="6"/>
    </row>
    <row r="821" spans="1:15" ht="15.5" x14ac:dyDescent="0.35">
      <c r="A821" s="12"/>
      <c r="B821" s="12"/>
      <c r="C821" s="13"/>
      <c r="D821" s="12"/>
      <c r="E821" s="14"/>
      <c r="F821" s="1"/>
      <c r="G821" s="12"/>
      <c r="H821" s="12" t="str">
        <f t="shared" si="3"/>
        <v xml:space="preserve">    </v>
      </c>
      <c r="I821" s="6"/>
      <c r="J821" s="12"/>
      <c r="K821" s="12"/>
      <c r="L821" s="12"/>
      <c r="M821" s="12"/>
      <c r="N821" s="6"/>
      <c r="O821" s="6"/>
    </row>
    <row r="822" spans="1:15" ht="15.5" x14ac:dyDescent="0.35">
      <c r="A822" s="12"/>
      <c r="B822" s="12"/>
      <c r="C822" s="13"/>
      <c r="D822" s="12"/>
      <c r="E822" s="14"/>
      <c r="F822" s="1"/>
      <c r="G822" s="12"/>
      <c r="H822" s="12" t="str">
        <f t="shared" si="3"/>
        <v xml:space="preserve">    </v>
      </c>
      <c r="I822" s="6"/>
      <c r="J822" s="12"/>
      <c r="K822" s="12"/>
      <c r="L822" s="12"/>
      <c r="M822" s="12"/>
      <c r="N822" s="6"/>
      <c r="O822" s="6"/>
    </row>
    <row r="823" spans="1:15" ht="15.5" x14ac:dyDescent="0.35">
      <c r="A823" s="12"/>
      <c r="B823" s="12"/>
      <c r="C823" s="13"/>
      <c r="D823" s="12"/>
      <c r="E823" s="14"/>
      <c r="F823" s="1"/>
      <c r="G823" s="12"/>
      <c r="H823" s="12" t="str">
        <f t="shared" si="3"/>
        <v xml:space="preserve">    </v>
      </c>
      <c r="I823" s="6"/>
      <c r="J823" s="12"/>
      <c r="K823" s="12"/>
      <c r="L823" s="12"/>
      <c r="M823" s="12"/>
      <c r="N823" s="6"/>
      <c r="O823" s="6"/>
    </row>
    <row r="824" spans="1:15" ht="15.5" x14ac:dyDescent="0.35">
      <c r="A824" s="12"/>
      <c r="B824" s="12"/>
      <c r="C824" s="13"/>
      <c r="D824" s="12"/>
      <c r="E824" s="14"/>
      <c r="F824" s="1"/>
      <c r="G824" s="12"/>
      <c r="H824" s="12" t="str">
        <f t="shared" si="3"/>
        <v xml:space="preserve">    </v>
      </c>
      <c r="I824" s="6"/>
      <c r="J824" s="12"/>
      <c r="K824" s="12"/>
      <c r="L824" s="12"/>
      <c r="M824" s="12"/>
      <c r="N824" s="6"/>
      <c r="O824" s="6"/>
    </row>
    <row r="825" spans="1:15" ht="15.5" x14ac:dyDescent="0.35">
      <c r="A825" s="12"/>
      <c r="B825" s="12"/>
      <c r="C825" s="13"/>
      <c r="D825" s="12"/>
      <c r="E825" s="14"/>
      <c r="F825" s="1"/>
      <c r="G825" s="12"/>
      <c r="H825" s="12" t="str">
        <f t="shared" si="3"/>
        <v xml:space="preserve">    </v>
      </c>
      <c r="I825" s="6"/>
      <c r="J825" s="12"/>
      <c r="K825" s="12"/>
      <c r="L825" s="12"/>
      <c r="M825" s="12"/>
      <c r="N825" s="6"/>
      <c r="O825" s="6"/>
    </row>
    <row r="826" spans="1:15" ht="15.5" x14ac:dyDescent="0.35">
      <c r="A826" s="12"/>
      <c r="B826" s="12"/>
      <c r="C826" s="13"/>
      <c r="D826" s="12"/>
      <c r="E826" s="14"/>
      <c r="F826" s="1"/>
      <c r="G826" s="12"/>
      <c r="H826" s="12" t="str">
        <f t="shared" si="3"/>
        <v xml:space="preserve">    </v>
      </c>
      <c r="I826" s="6"/>
      <c r="J826" s="12"/>
      <c r="K826" s="12"/>
      <c r="L826" s="12"/>
      <c r="M826" s="12"/>
      <c r="N826" s="6"/>
      <c r="O826" s="6"/>
    </row>
    <row r="827" spans="1:15" ht="15.5" x14ac:dyDescent="0.35">
      <c r="A827" s="12"/>
      <c r="B827" s="12"/>
      <c r="C827" s="13"/>
      <c r="D827" s="12"/>
      <c r="E827" s="14"/>
      <c r="F827" s="1"/>
      <c r="G827" s="12"/>
      <c r="H827" s="12" t="str">
        <f t="shared" si="3"/>
        <v xml:space="preserve">    </v>
      </c>
      <c r="I827" s="6"/>
      <c r="J827" s="12"/>
      <c r="K827" s="12"/>
      <c r="L827" s="12"/>
      <c r="M827" s="12"/>
      <c r="N827" s="6"/>
      <c r="O827" s="6"/>
    </row>
    <row r="828" spans="1:15" ht="15.5" x14ac:dyDescent="0.35">
      <c r="A828" s="12"/>
      <c r="B828" s="12"/>
      <c r="C828" s="13"/>
      <c r="D828" s="12"/>
      <c r="E828" s="14"/>
      <c r="F828" s="1"/>
      <c r="G828" s="12"/>
      <c r="H828" s="12" t="str">
        <f t="shared" si="3"/>
        <v xml:space="preserve">    </v>
      </c>
      <c r="I828" s="6"/>
      <c r="J828" s="12"/>
      <c r="K828" s="12"/>
      <c r="L828" s="12"/>
      <c r="M828" s="12"/>
      <c r="N828" s="6"/>
      <c r="O828" s="6"/>
    </row>
    <row r="829" spans="1:15" ht="15.5" x14ac:dyDescent="0.35">
      <c r="A829" s="12"/>
      <c r="B829" s="12"/>
      <c r="C829" s="13"/>
      <c r="D829" s="12"/>
      <c r="E829" s="14"/>
      <c r="F829" s="1"/>
      <c r="G829" s="12"/>
      <c r="H829" s="12" t="str">
        <f t="shared" si="3"/>
        <v xml:space="preserve">    </v>
      </c>
      <c r="I829" s="6"/>
      <c r="J829" s="12"/>
      <c r="K829" s="12"/>
      <c r="L829" s="12"/>
      <c r="M829" s="12"/>
      <c r="N829" s="6"/>
      <c r="O829" s="6"/>
    </row>
    <row r="830" spans="1:15" ht="15.5" x14ac:dyDescent="0.35">
      <c r="A830" s="12"/>
      <c r="B830" s="12"/>
      <c r="C830" s="13"/>
      <c r="D830" s="12"/>
      <c r="E830" s="14"/>
      <c r="F830" s="1"/>
      <c r="G830" s="12"/>
      <c r="H830" s="12" t="str">
        <f t="shared" si="3"/>
        <v xml:space="preserve">    </v>
      </c>
      <c r="I830" s="6"/>
      <c r="J830" s="12"/>
      <c r="K830" s="12"/>
      <c r="L830" s="12"/>
      <c r="M830" s="12"/>
      <c r="N830" s="6"/>
      <c r="O830" s="6"/>
    </row>
    <row r="831" spans="1:15" ht="15.5" x14ac:dyDescent="0.35">
      <c r="A831" s="12"/>
      <c r="B831" s="12"/>
      <c r="C831" s="13"/>
      <c r="D831" s="12"/>
      <c r="E831" s="14"/>
      <c r="F831" s="1"/>
      <c r="G831" s="12"/>
      <c r="H831" s="12" t="str">
        <f t="shared" si="3"/>
        <v xml:space="preserve">    </v>
      </c>
      <c r="I831" s="6"/>
      <c r="J831" s="12"/>
      <c r="K831" s="12"/>
      <c r="L831" s="12"/>
      <c r="M831" s="12"/>
      <c r="N831" s="6"/>
      <c r="O831" s="6"/>
    </row>
    <row r="832" spans="1:15" ht="15.5" x14ac:dyDescent="0.35">
      <c r="A832" s="12"/>
      <c r="B832" s="12"/>
      <c r="C832" s="13"/>
      <c r="D832" s="12"/>
      <c r="E832" s="14"/>
      <c r="F832" s="1"/>
      <c r="G832" s="12"/>
      <c r="H832" s="12" t="str">
        <f t="shared" si="3"/>
        <v xml:space="preserve">    </v>
      </c>
      <c r="I832" s="6"/>
      <c r="J832" s="12"/>
      <c r="K832" s="12"/>
      <c r="L832" s="12"/>
      <c r="M832" s="12"/>
      <c r="N832" s="6"/>
      <c r="O832" s="6"/>
    </row>
    <row r="833" spans="1:15" ht="15.5" x14ac:dyDescent="0.35">
      <c r="A833" s="12"/>
      <c r="B833" s="12"/>
      <c r="C833" s="13"/>
      <c r="D833" s="12"/>
      <c r="E833" s="14"/>
      <c r="F833" s="1"/>
      <c r="G833" s="12"/>
      <c r="H833" s="12" t="str">
        <f t="shared" si="3"/>
        <v xml:space="preserve">    </v>
      </c>
      <c r="I833" s="6"/>
      <c r="J833" s="12"/>
      <c r="K833" s="12"/>
      <c r="L833" s="12"/>
      <c r="M833" s="12"/>
      <c r="N833" s="6"/>
      <c r="O833" s="6"/>
    </row>
    <row r="834" spans="1:15" ht="15.5" x14ac:dyDescent="0.35">
      <c r="A834" s="12"/>
      <c r="B834" s="12"/>
      <c r="C834" s="13"/>
      <c r="D834" s="12"/>
      <c r="E834" s="14"/>
      <c r="F834" s="1"/>
      <c r="G834" s="12"/>
      <c r="H834" s="12" t="str">
        <f t="shared" si="3"/>
        <v xml:space="preserve">    </v>
      </c>
      <c r="I834" s="6"/>
      <c r="J834" s="12"/>
      <c r="K834" s="12"/>
      <c r="L834" s="12"/>
      <c r="M834" s="12"/>
      <c r="N834" s="6"/>
      <c r="O834" s="6"/>
    </row>
    <row r="835" spans="1:15" ht="15.5" x14ac:dyDescent="0.35">
      <c r="E835" s="14"/>
      <c r="F835" s="1"/>
      <c r="H835" s="12" t="str">
        <f t="shared" si="3"/>
        <v xml:space="preserve">    </v>
      </c>
      <c r="I835" s="6"/>
      <c r="N835" s="6"/>
      <c r="O835" s="6"/>
    </row>
    <row r="836" spans="1:15" ht="15.5" x14ac:dyDescent="0.35">
      <c r="E836" s="14"/>
      <c r="F836" s="1"/>
      <c r="H836" s="12" t="str">
        <f t="shared" si="3"/>
        <v xml:space="preserve">    </v>
      </c>
      <c r="I836" s="6"/>
      <c r="N836" s="6"/>
      <c r="O836" s="6"/>
    </row>
    <row r="837" spans="1:15" ht="15.5" x14ac:dyDescent="0.35">
      <c r="E837" s="14"/>
      <c r="F837" s="1"/>
      <c r="H837" s="12" t="str">
        <f t="shared" si="3"/>
        <v xml:space="preserve">    </v>
      </c>
      <c r="I837" s="6"/>
      <c r="N837" s="6"/>
      <c r="O837" s="6"/>
    </row>
    <row r="838" spans="1:15" ht="15.5" x14ac:dyDescent="0.35">
      <c r="E838" s="14"/>
      <c r="F838" s="1"/>
      <c r="H838" s="12" t="str">
        <f t="shared" si="3"/>
        <v xml:space="preserve">    </v>
      </c>
      <c r="I838" s="6"/>
      <c r="N838" s="6"/>
      <c r="O838" s="6"/>
    </row>
    <row r="839" spans="1:15" ht="15.5" x14ac:dyDescent="0.35">
      <c r="E839" s="14"/>
      <c r="F839" s="1"/>
      <c r="H839" s="12" t="str">
        <f t="shared" si="3"/>
        <v xml:space="preserve">    </v>
      </c>
      <c r="I839" s="6"/>
      <c r="N839" s="6"/>
      <c r="O839" s="6"/>
    </row>
    <row r="840" spans="1:15" ht="15.5" x14ac:dyDescent="0.35">
      <c r="E840" s="14"/>
      <c r="F840" s="1"/>
      <c r="H840" s="12" t="str">
        <f t="shared" si="3"/>
        <v xml:space="preserve">    </v>
      </c>
      <c r="I840" s="6"/>
      <c r="N840" s="6"/>
      <c r="O840" s="6"/>
    </row>
    <row r="841" spans="1:15" ht="15.5" x14ac:dyDescent="0.35">
      <c r="E841" s="14"/>
      <c r="F841" s="1"/>
      <c r="H841" s="12" t="str">
        <f t="shared" si="3"/>
        <v xml:space="preserve">    </v>
      </c>
      <c r="I841" s="6"/>
      <c r="N841" s="6"/>
      <c r="O841" s="6"/>
    </row>
    <row r="842" spans="1:15" ht="15.5" x14ac:dyDescent="0.35">
      <c r="E842" s="14"/>
      <c r="F842" s="1"/>
      <c r="H842" s="12" t="str">
        <f t="shared" si="3"/>
        <v xml:space="preserve">    </v>
      </c>
      <c r="I842" s="6"/>
      <c r="N842" s="6"/>
      <c r="O842" s="6"/>
    </row>
    <row r="843" spans="1:15" ht="15.5" x14ac:dyDescent="0.35">
      <c r="E843" s="14"/>
      <c r="F843" s="1"/>
      <c r="H843" s="12" t="str">
        <f t="shared" si="3"/>
        <v xml:space="preserve">    </v>
      </c>
      <c r="I843" s="6"/>
      <c r="N843" s="6"/>
      <c r="O843" s="6"/>
    </row>
    <row r="844" spans="1:15" ht="15.5" x14ac:dyDescent="0.35">
      <c r="E844" s="14"/>
      <c r="F844" s="1"/>
      <c r="H844" s="12" t="str">
        <f t="shared" si="3"/>
        <v xml:space="preserve">    </v>
      </c>
      <c r="I844" s="6"/>
      <c r="N844" s="6"/>
      <c r="O844" s="6"/>
    </row>
    <row r="845" spans="1:15" ht="15.5" x14ac:dyDescent="0.35">
      <c r="E845" s="14"/>
      <c r="F845" s="1"/>
      <c r="H845" s="12" t="str">
        <f t="shared" si="3"/>
        <v xml:space="preserve">    </v>
      </c>
      <c r="I845" s="6"/>
      <c r="N845" s="6"/>
      <c r="O845" s="6"/>
    </row>
    <row r="846" spans="1:15" ht="15.5" x14ac:dyDescent="0.35">
      <c r="E846" s="14"/>
      <c r="F846" s="1"/>
      <c r="H846" s="12" t="str">
        <f t="shared" si="3"/>
        <v xml:space="preserve">    </v>
      </c>
      <c r="I846" s="6"/>
      <c r="N846" s="6"/>
      <c r="O846" s="6"/>
    </row>
    <row r="847" spans="1:15" ht="15.5" x14ac:dyDescent="0.35">
      <c r="E847" s="14"/>
      <c r="F847" s="1"/>
      <c r="H847" s="12" t="str">
        <f t="shared" si="3"/>
        <v xml:space="preserve">    </v>
      </c>
      <c r="I847" s="6"/>
      <c r="N847" s="6"/>
      <c r="O847" s="6"/>
    </row>
    <row r="848" spans="1:15" ht="15.5" x14ac:dyDescent="0.35">
      <c r="E848" s="14"/>
      <c r="F848" s="1"/>
      <c r="H848" s="12" t="str">
        <f t="shared" si="3"/>
        <v xml:space="preserve">    </v>
      </c>
      <c r="I848" s="6"/>
      <c r="N848" s="6"/>
      <c r="O848" s="6"/>
    </row>
    <row r="849" spans="5:15" ht="15.5" x14ac:dyDescent="0.35">
      <c r="E849" s="14"/>
      <c r="F849" s="1"/>
      <c r="H849" s="12" t="str">
        <f t="shared" si="3"/>
        <v xml:space="preserve">    </v>
      </c>
      <c r="I849" s="6"/>
      <c r="N849" s="6"/>
      <c r="O849" s="6"/>
    </row>
    <row r="850" spans="5:15" ht="15.5" x14ac:dyDescent="0.35">
      <c r="E850" s="14"/>
      <c r="F850" s="1"/>
      <c r="H850" s="12" t="str">
        <f t="shared" si="3"/>
        <v xml:space="preserve">    </v>
      </c>
      <c r="I850" s="6"/>
      <c r="N850" s="6"/>
      <c r="O850" s="6"/>
    </row>
    <row r="851" spans="5:15" ht="15.5" x14ac:dyDescent="0.35">
      <c r="E851" s="14"/>
      <c r="F851" s="1"/>
      <c r="H851" s="12" t="str">
        <f t="shared" si="3"/>
        <v xml:space="preserve">    </v>
      </c>
      <c r="I851" s="6"/>
      <c r="N851" s="6"/>
      <c r="O851" s="6"/>
    </row>
    <row r="852" spans="5:15" ht="15.5" x14ac:dyDescent="0.35">
      <c r="E852" s="14"/>
      <c r="F852" s="1"/>
      <c r="H852" s="12" t="str">
        <f t="shared" si="3"/>
        <v xml:space="preserve">    </v>
      </c>
      <c r="I852" s="6"/>
      <c r="N852" s="6"/>
      <c r="O852" s="6"/>
    </row>
    <row r="853" spans="5:15" ht="15.5" x14ac:dyDescent="0.35">
      <c r="E853" s="14"/>
      <c r="F853" s="1"/>
      <c r="H853" s="12" t="str">
        <f t="shared" si="3"/>
        <v xml:space="preserve">    </v>
      </c>
      <c r="I853" s="6"/>
      <c r="N853" s="6"/>
      <c r="O853" s="6"/>
    </row>
    <row r="854" spans="5:15" ht="15.5" x14ac:dyDescent="0.35">
      <c r="E854" s="14"/>
      <c r="F854" s="1"/>
      <c r="H854" s="12" t="str">
        <f t="shared" si="3"/>
        <v xml:space="preserve">    </v>
      </c>
      <c r="I854" s="6"/>
      <c r="N854" s="6"/>
      <c r="O854" s="6"/>
    </row>
    <row r="855" spans="5:15" ht="15.5" x14ac:dyDescent="0.35">
      <c r="E855" s="14"/>
      <c r="F855" s="1"/>
      <c r="H855" s="12" t="str">
        <f t="shared" si="3"/>
        <v xml:space="preserve">    </v>
      </c>
      <c r="I855" s="6"/>
      <c r="N855" s="6"/>
      <c r="O855" s="6"/>
    </row>
    <row r="856" spans="5:15" ht="15.5" x14ac:dyDescent="0.35">
      <c r="E856" s="14"/>
      <c r="F856" s="1"/>
      <c r="H856" s="12" t="str">
        <f t="shared" si="3"/>
        <v xml:space="preserve">    </v>
      </c>
      <c r="I856" s="12"/>
      <c r="N856" s="6"/>
      <c r="O856" s="6"/>
    </row>
    <row r="857" spans="5:15" ht="15.5" x14ac:dyDescent="0.35">
      <c r="E857" s="14"/>
      <c r="F857" s="1"/>
      <c r="H857" s="12" t="str">
        <f t="shared" si="3"/>
        <v xml:space="preserve">    </v>
      </c>
      <c r="I857" s="12"/>
      <c r="N857" s="6"/>
      <c r="O857" s="6"/>
    </row>
    <row r="858" spans="5:15" ht="15.5" x14ac:dyDescent="0.35">
      <c r="E858" s="14"/>
      <c r="F858" s="1"/>
      <c r="H858" s="12" t="str">
        <f t="shared" si="3"/>
        <v xml:space="preserve">    </v>
      </c>
      <c r="I858" s="12"/>
      <c r="N858" s="6"/>
      <c r="O858" s="6"/>
    </row>
    <row r="859" spans="5:15" ht="15.5" x14ac:dyDescent="0.35">
      <c r="E859" s="14"/>
      <c r="F859" s="1"/>
      <c r="H859" s="12" t="str">
        <f t="shared" si="3"/>
        <v xml:space="preserve">    </v>
      </c>
      <c r="I859" s="12"/>
      <c r="N859" s="6"/>
      <c r="O859" s="6"/>
    </row>
    <row r="860" spans="5:15" ht="15.5" x14ac:dyDescent="0.35">
      <c r="E860" s="14"/>
      <c r="F860" s="1"/>
      <c r="H860" s="12" t="str">
        <f t="shared" si="3"/>
        <v xml:space="preserve">    </v>
      </c>
      <c r="I860" s="12"/>
      <c r="N860" s="6"/>
      <c r="O860" s="6"/>
    </row>
    <row r="861" spans="5:15" ht="15.5" x14ac:dyDescent="0.35">
      <c r="E861" s="14"/>
      <c r="F861" s="1"/>
      <c r="H861" s="12" t="str">
        <f t="shared" si="3"/>
        <v xml:space="preserve">    </v>
      </c>
      <c r="I861" s="12"/>
      <c r="N861" s="6"/>
      <c r="O861" s="6"/>
    </row>
    <row r="862" spans="5:15" ht="15.5" x14ac:dyDescent="0.35">
      <c r="E862" s="14"/>
      <c r="F862" s="1"/>
      <c r="H862" s="12" t="str">
        <f t="shared" si="3"/>
        <v xml:space="preserve">    </v>
      </c>
      <c r="I862" s="12"/>
      <c r="N862" s="6"/>
      <c r="O862" s="6"/>
    </row>
    <row r="863" spans="5:15" ht="15.5" x14ac:dyDescent="0.35">
      <c r="E863" s="14"/>
      <c r="F863" s="1"/>
      <c r="H863" s="12" t="str">
        <f t="shared" si="3"/>
        <v xml:space="preserve">    </v>
      </c>
      <c r="I863" s="12"/>
      <c r="N863" s="6"/>
      <c r="O863" s="6"/>
    </row>
    <row r="864" spans="5:15" ht="15.5" x14ac:dyDescent="0.35">
      <c r="E864" s="14"/>
      <c r="F864" s="1"/>
      <c r="H864" s="12" t="str">
        <f t="shared" si="3"/>
        <v xml:space="preserve">    </v>
      </c>
      <c r="I864" s="12"/>
      <c r="N864" s="6"/>
      <c r="O864" s="6"/>
    </row>
    <row r="865" spans="5:15" ht="15.5" x14ac:dyDescent="0.35">
      <c r="E865" s="14"/>
      <c r="F865" s="1"/>
      <c r="H865" s="12" t="str">
        <f t="shared" si="3"/>
        <v xml:space="preserve">    </v>
      </c>
      <c r="I865" s="12"/>
      <c r="N865" s="6"/>
      <c r="O865" s="6"/>
    </row>
    <row r="866" spans="5:15" ht="15.5" x14ac:dyDescent="0.35">
      <c r="E866" s="14"/>
      <c r="F866" s="1"/>
      <c r="H866" s="12" t="str">
        <f t="shared" si="3"/>
        <v xml:space="preserve">    </v>
      </c>
      <c r="I866" s="12"/>
      <c r="N866" s="6"/>
      <c r="O866" s="6"/>
    </row>
    <row r="867" spans="5:15" ht="15.5" x14ac:dyDescent="0.35">
      <c r="E867" s="14"/>
      <c r="F867" s="1"/>
      <c r="H867" s="12" t="str">
        <f t="shared" si="3"/>
        <v xml:space="preserve">    </v>
      </c>
      <c r="I867" s="12"/>
      <c r="N867" s="6"/>
      <c r="O867" s="6"/>
    </row>
    <row r="868" spans="5:15" ht="15.5" x14ac:dyDescent="0.35">
      <c r="E868" s="14"/>
      <c r="F868" s="1"/>
      <c r="H868" s="12" t="str">
        <f t="shared" si="3"/>
        <v xml:space="preserve">    </v>
      </c>
      <c r="I868" s="12"/>
      <c r="N868" s="6"/>
      <c r="O868" s="6"/>
    </row>
    <row r="869" spans="5:15" ht="15.5" x14ac:dyDescent="0.35">
      <c r="E869" s="14"/>
      <c r="F869" s="1"/>
      <c r="H869" s="12" t="str">
        <f t="shared" si="3"/>
        <v xml:space="preserve">    </v>
      </c>
      <c r="I869" s="12"/>
      <c r="N869" s="6"/>
      <c r="O869" s="6"/>
    </row>
    <row r="870" spans="5:15" ht="15.5" x14ac:dyDescent="0.35">
      <c r="E870" s="14"/>
      <c r="F870" s="1"/>
      <c r="H870" s="12" t="str">
        <f t="shared" si="3"/>
        <v xml:space="preserve">    </v>
      </c>
      <c r="I870" s="12"/>
      <c r="N870" s="6"/>
      <c r="O870" s="6"/>
    </row>
    <row r="871" spans="5:15" ht="15.5" x14ac:dyDescent="0.35">
      <c r="E871" s="14"/>
      <c r="F871" s="1"/>
      <c r="H871" s="12" t="str">
        <f t="shared" si="3"/>
        <v xml:space="preserve">    </v>
      </c>
      <c r="I871" s="12"/>
      <c r="N871" s="6"/>
      <c r="O871" s="6"/>
    </row>
    <row r="872" spans="5:15" ht="15.5" x14ac:dyDescent="0.35">
      <c r="E872" s="14"/>
      <c r="F872" s="1"/>
      <c r="H872" s="12" t="str">
        <f t="shared" si="3"/>
        <v xml:space="preserve">    </v>
      </c>
      <c r="I872" s="12"/>
      <c r="N872" s="6"/>
      <c r="O872" s="6"/>
    </row>
    <row r="873" spans="5:15" ht="15.5" x14ac:dyDescent="0.35">
      <c r="E873" s="14"/>
      <c r="F873" s="1"/>
      <c r="H873" s="12" t="str">
        <f t="shared" si="3"/>
        <v xml:space="preserve">    </v>
      </c>
      <c r="I873" s="12"/>
      <c r="N873" s="6"/>
      <c r="O873" s="6"/>
    </row>
    <row r="874" spans="5:15" ht="15.5" x14ac:dyDescent="0.35">
      <c r="E874" s="14"/>
      <c r="F874" s="1"/>
      <c r="H874" s="12" t="str">
        <f t="shared" si="3"/>
        <v xml:space="preserve">    </v>
      </c>
      <c r="I874" s="12"/>
      <c r="N874" s="6"/>
      <c r="O874" s="6"/>
    </row>
    <row r="875" spans="5:15" ht="15.5" x14ac:dyDescent="0.35">
      <c r="E875" s="14"/>
      <c r="F875" s="1"/>
      <c r="H875" s="12" t="str">
        <f t="shared" si="3"/>
        <v xml:space="preserve">    </v>
      </c>
      <c r="I875" s="12"/>
      <c r="N875" s="6"/>
      <c r="O875" s="6"/>
    </row>
    <row r="876" spans="5:15" ht="15.5" x14ac:dyDescent="0.35">
      <c r="E876" s="14"/>
      <c r="F876" s="1"/>
      <c r="H876" s="12" t="str">
        <f t="shared" si="3"/>
        <v xml:space="preserve">    </v>
      </c>
      <c r="I876" s="12"/>
      <c r="N876" s="6"/>
      <c r="O876" s="6"/>
    </row>
    <row r="877" spans="5:15" ht="15.5" x14ac:dyDescent="0.35">
      <c r="E877" s="14"/>
      <c r="F877" s="1"/>
      <c r="H877" s="12" t="str">
        <f t="shared" si="3"/>
        <v xml:space="preserve">    </v>
      </c>
      <c r="I877" s="12"/>
      <c r="N877" s="6"/>
      <c r="O877" s="6"/>
    </row>
    <row r="878" spans="5:15" ht="15.5" x14ac:dyDescent="0.35">
      <c r="E878" s="14"/>
      <c r="F878" s="1"/>
      <c r="H878" s="12" t="str">
        <f t="shared" si="3"/>
        <v xml:space="preserve">    </v>
      </c>
      <c r="I878" s="12"/>
      <c r="N878" s="6"/>
      <c r="O878" s="6"/>
    </row>
    <row r="879" spans="5:15" ht="15.5" x14ac:dyDescent="0.35">
      <c r="E879" s="14"/>
      <c r="F879" s="1"/>
      <c r="H879" s="12" t="str">
        <f t="shared" si="3"/>
        <v xml:space="preserve">    </v>
      </c>
      <c r="I879" s="12"/>
      <c r="N879" s="6"/>
      <c r="O879" s="6"/>
    </row>
    <row r="880" spans="5:15" ht="15.5" x14ac:dyDescent="0.35">
      <c r="E880" s="14"/>
      <c r="F880" s="1"/>
      <c r="H880" s="12" t="str">
        <f t="shared" si="3"/>
        <v xml:space="preserve">    </v>
      </c>
      <c r="I880" s="12"/>
      <c r="N880" s="6"/>
      <c r="O880" s="6"/>
    </row>
    <row r="881" spans="5:15" ht="15.5" x14ac:dyDescent="0.35">
      <c r="E881" s="14"/>
      <c r="F881" s="1"/>
      <c r="H881" s="12" t="str">
        <f t="shared" si="3"/>
        <v xml:space="preserve">    </v>
      </c>
      <c r="I881" s="12"/>
      <c r="N881" s="6"/>
      <c r="O881" s="6"/>
    </row>
    <row r="882" spans="5:15" ht="15.5" x14ac:dyDescent="0.35">
      <c r="E882" s="14"/>
      <c r="F882" s="1"/>
      <c r="H882" s="12" t="str">
        <f t="shared" si="3"/>
        <v xml:space="preserve">    </v>
      </c>
      <c r="I882" s="12"/>
      <c r="N882" s="6"/>
      <c r="O882" s="6"/>
    </row>
    <row r="883" spans="5:15" ht="15.5" x14ac:dyDescent="0.35">
      <c r="E883" s="14"/>
      <c r="F883" s="1"/>
      <c r="H883" s="12" t="str">
        <f t="shared" si="3"/>
        <v xml:space="preserve">    </v>
      </c>
      <c r="I883" s="12"/>
      <c r="N883" s="6"/>
      <c r="O883" s="6"/>
    </row>
    <row r="884" spans="5:15" ht="15.5" x14ac:dyDescent="0.35">
      <c r="E884" s="14"/>
      <c r="F884" s="1"/>
      <c r="H884" s="12" t="str">
        <f t="shared" si="3"/>
        <v xml:space="preserve">    </v>
      </c>
      <c r="I884" s="12"/>
      <c r="N884" s="6"/>
      <c r="O884" s="6"/>
    </row>
    <row r="885" spans="5:15" ht="15.5" x14ac:dyDescent="0.35">
      <c r="E885" s="14"/>
      <c r="F885" s="1"/>
      <c r="H885" s="12" t="str">
        <f t="shared" si="3"/>
        <v xml:space="preserve">    </v>
      </c>
      <c r="I885" s="12"/>
      <c r="N885" s="6"/>
      <c r="O885" s="6"/>
    </row>
    <row r="886" spans="5:15" ht="15.5" x14ac:dyDescent="0.35">
      <c r="E886" s="14"/>
      <c r="F886" s="1"/>
      <c r="H886" s="12" t="str">
        <f t="shared" si="3"/>
        <v xml:space="preserve">    </v>
      </c>
      <c r="I886" s="12"/>
      <c r="N886" s="6"/>
      <c r="O886" s="6"/>
    </row>
    <row r="887" spans="5:15" ht="15.5" x14ac:dyDescent="0.35">
      <c r="E887" s="14"/>
      <c r="F887" s="1"/>
      <c r="H887" s="12" t="str">
        <f t="shared" si="3"/>
        <v xml:space="preserve">    </v>
      </c>
      <c r="I887" s="12"/>
      <c r="N887" s="6"/>
      <c r="O887" s="6"/>
    </row>
    <row r="888" spans="5:15" ht="15.5" x14ac:dyDescent="0.35">
      <c r="E888" s="14"/>
      <c r="F888" s="1"/>
      <c r="H888" s="12" t="str">
        <f t="shared" si="3"/>
        <v xml:space="preserve">    </v>
      </c>
      <c r="I888" s="12"/>
      <c r="N888" s="6"/>
      <c r="O888" s="6"/>
    </row>
    <row r="889" spans="5:15" ht="15.5" x14ac:dyDescent="0.35">
      <c r="E889" s="14"/>
      <c r="F889" s="1"/>
      <c r="H889" s="12" t="str">
        <f t="shared" si="3"/>
        <v xml:space="preserve">    </v>
      </c>
      <c r="I889" s="12"/>
      <c r="N889" s="6"/>
      <c r="O889" s="6"/>
    </row>
    <row r="890" spans="5:15" ht="15.5" x14ac:dyDescent="0.35">
      <c r="E890" s="14"/>
      <c r="F890" s="1"/>
      <c r="H890" s="12" t="str">
        <f t="shared" si="3"/>
        <v xml:space="preserve">    </v>
      </c>
      <c r="I890" s="12"/>
      <c r="N890" s="6"/>
      <c r="O890" s="6"/>
    </row>
    <row r="891" spans="5:15" ht="15.5" x14ac:dyDescent="0.35">
      <c r="E891" s="14"/>
      <c r="F891" s="1"/>
      <c r="H891" s="12" t="str">
        <f t="shared" si="3"/>
        <v xml:space="preserve">    </v>
      </c>
      <c r="I891" s="12"/>
      <c r="N891" s="6"/>
      <c r="O891" s="6"/>
    </row>
    <row r="892" spans="5:15" ht="15.5" x14ac:dyDescent="0.35">
      <c r="E892" s="14"/>
      <c r="F892" s="1"/>
      <c r="H892" s="12" t="str">
        <f t="shared" si="3"/>
        <v xml:space="preserve">    </v>
      </c>
      <c r="I892" s="12"/>
      <c r="N892" s="6"/>
      <c r="O892" s="6"/>
    </row>
    <row r="893" spans="5:15" ht="15.5" x14ac:dyDescent="0.35">
      <c r="E893" s="14"/>
      <c r="F893" s="1"/>
      <c r="H893" s="12" t="str">
        <f t="shared" si="3"/>
        <v xml:space="preserve">    </v>
      </c>
      <c r="I893" s="12"/>
      <c r="N893" s="6"/>
      <c r="O893" s="6"/>
    </row>
    <row r="894" spans="5:15" ht="15.5" x14ac:dyDescent="0.35">
      <c r="E894" s="14"/>
      <c r="F894" s="1"/>
      <c r="H894" s="12" t="str">
        <f t="shared" si="3"/>
        <v xml:space="preserve">    </v>
      </c>
      <c r="I894" s="12"/>
      <c r="N894" s="6"/>
      <c r="O894" s="6"/>
    </row>
    <row r="895" spans="5:15" ht="15.5" x14ac:dyDescent="0.35">
      <c r="E895" s="14"/>
      <c r="F895" s="1"/>
      <c r="H895" s="12" t="str">
        <f t="shared" si="3"/>
        <v xml:space="preserve">    </v>
      </c>
      <c r="I895" s="12"/>
      <c r="N895" s="6"/>
      <c r="O895" s="6"/>
    </row>
    <row r="896" spans="5:15" ht="15.5" x14ac:dyDescent="0.35">
      <c r="E896" s="14"/>
      <c r="F896" s="1"/>
      <c r="H896" s="12" t="str">
        <f t="shared" si="3"/>
        <v xml:space="preserve">    </v>
      </c>
      <c r="I896" s="12"/>
      <c r="N896" s="6"/>
      <c r="O896" s="6"/>
    </row>
    <row r="897" spans="5:15" ht="15.5" x14ac:dyDescent="0.35">
      <c r="E897" s="14"/>
      <c r="F897" s="1"/>
      <c r="H897" s="12" t="str">
        <f t="shared" si="3"/>
        <v xml:space="preserve">    </v>
      </c>
      <c r="I897" s="12"/>
      <c r="N897" s="6"/>
      <c r="O897" s="6"/>
    </row>
    <row r="898" spans="5:15" ht="15.5" x14ac:dyDescent="0.35">
      <c r="E898" s="14"/>
      <c r="F898" s="1"/>
      <c r="H898" s="12" t="str">
        <f t="shared" si="3"/>
        <v xml:space="preserve">    </v>
      </c>
      <c r="I898" s="12"/>
      <c r="N898" s="6"/>
      <c r="O898" s="6"/>
    </row>
    <row r="899" spans="5:15" ht="15.5" x14ac:dyDescent="0.35">
      <c r="E899" s="14"/>
      <c r="F899" s="1"/>
      <c r="H899" s="12" t="str">
        <f t="shared" si="3"/>
        <v xml:space="preserve">    </v>
      </c>
      <c r="I899" s="12"/>
      <c r="N899" s="6"/>
      <c r="O899" s="6"/>
    </row>
    <row r="900" spans="5:15" ht="15.5" x14ac:dyDescent="0.35">
      <c r="E900" s="14"/>
      <c r="F900" s="1"/>
      <c r="H900" s="12" t="str">
        <f t="shared" si="3"/>
        <v xml:space="preserve">    </v>
      </c>
      <c r="I900" s="12"/>
      <c r="N900" s="6"/>
      <c r="O900" s="6"/>
    </row>
    <row r="901" spans="5:15" ht="15.5" x14ac:dyDescent="0.35">
      <c r="E901" s="14"/>
      <c r="F901" s="1"/>
      <c r="H901" s="12" t="str">
        <f t="shared" si="3"/>
        <v xml:space="preserve">    </v>
      </c>
      <c r="I901" s="12"/>
      <c r="N901" s="6"/>
      <c r="O901" s="6"/>
    </row>
    <row r="902" spans="5:15" ht="15.5" x14ac:dyDescent="0.35">
      <c r="E902" s="14"/>
      <c r="F902" s="1"/>
      <c r="H902" s="12" t="str">
        <f t="shared" si="3"/>
        <v xml:space="preserve">    </v>
      </c>
      <c r="I902" s="12"/>
      <c r="N902" s="6"/>
      <c r="O902" s="6"/>
    </row>
    <row r="903" spans="5:15" ht="15.5" x14ac:dyDescent="0.35">
      <c r="E903" s="14"/>
      <c r="F903" s="1"/>
      <c r="H903" s="12" t="str">
        <f t="shared" si="3"/>
        <v xml:space="preserve">    </v>
      </c>
      <c r="I903" s="12"/>
      <c r="N903" s="6"/>
      <c r="O903" s="6"/>
    </row>
    <row r="904" spans="5:15" ht="15.5" x14ac:dyDescent="0.35">
      <c r="E904" s="14"/>
      <c r="F904" s="1"/>
      <c r="H904" s="12" t="str">
        <f t="shared" si="3"/>
        <v xml:space="preserve">    </v>
      </c>
      <c r="I904" s="12"/>
      <c r="N904" s="6"/>
      <c r="O904" s="6"/>
    </row>
    <row r="905" spans="5:15" ht="15.5" x14ac:dyDescent="0.35">
      <c r="E905" s="14"/>
      <c r="F905" s="1"/>
      <c r="H905" s="12" t="str">
        <f t="shared" si="3"/>
        <v xml:space="preserve">    </v>
      </c>
      <c r="I905" s="12"/>
      <c r="N905" s="6"/>
      <c r="O905" s="6"/>
    </row>
    <row r="906" spans="5:15" ht="15.5" x14ac:dyDescent="0.35">
      <c r="E906" s="14"/>
      <c r="F906" s="1"/>
      <c r="H906" s="12" t="str">
        <f t="shared" si="3"/>
        <v xml:space="preserve">    </v>
      </c>
      <c r="I906" s="12"/>
      <c r="N906" s="6"/>
      <c r="O906" s="6"/>
    </row>
    <row r="907" spans="5:15" ht="15.5" x14ac:dyDescent="0.35">
      <c r="E907" s="14"/>
      <c r="F907" s="1"/>
      <c r="H907" s="12" t="str">
        <f t="shared" si="3"/>
        <v xml:space="preserve">    </v>
      </c>
      <c r="I907" s="12"/>
      <c r="N907" s="6"/>
      <c r="O907" s="6"/>
    </row>
    <row r="908" spans="5:15" ht="15.5" x14ac:dyDescent="0.35">
      <c r="E908" s="14"/>
      <c r="F908" s="1"/>
      <c r="H908" s="12" t="str">
        <f t="shared" si="3"/>
        <v xml:space="preserve">    </v>
      </c>
      <c r="I908" s="12"/>
      <c r="N908" s="6"/>
      <c r="O908" s="6"/>
    </row>
    <row r="909" spans="5:15" ht="15.5" x14ac:dyDescent="0.35">
      <c r="E909" s="14"/>
      <c r="F909" s="1"/>
      <c r="H909" s="12" t="str">
        <f t="shared" si="3"/>
        <v xml:space="preserve">    </v>
      </c>
      <c r="I909" s="12"/>
      <c r="N909" s="6"/>
      <c r="O909" s="6"/>
    </row>
    <row r="910" spans="5:15" ht="15.5" x14ac:dyDescent="0.35">
      <c r="E910" s="14"/>
      <c r="F910" s="1"/>
      <c r="H910" s="12" t="str">
        <f t="shared" si="3"/>
        <v xml:space="preserve">    </v>
      </c>
      <c r="I910" s="12"/>
      <c r="N910" s="6"/>
      <c r="O910" s="6"/>
    </row>
    <row r="911" spans="5:15" ht="15.5" x14ac:dyDescent="0.35">
      <c r="E911" s="14"/>
      <c r="F911" s="1"/>
      <c r="H911" s="12" t="str">
        <f t="shared" si="3"/>
        <v xml:space="preserve">    </v>
      </c>
      <c r="I911" s="12"/>
      <c r="N911" s="6"/>
      <c r="O911" s="6"/>
    </row>
    <row r="912" spans="5:15" ht="15.5" x14ac:dyDescent="0.35">
      <c r="E912" s="14"/>
      <c r="F912" s="1"/>
      <c r="H912" s="12" t="str">
        <f t="shared" si="3"/>
        <v xml:space="preserve">    </v>
      </c>
      <c r="I912" s="12"/>
      <c r="N912" s="6"/>
      <c r="O912" s="6"/>
    </row>
    <row r="913" spans="5:15" ht="15.5" x14ac:dyDescent="0.35">
      <c r="E913" s="14"/>
      <c r="F913" s="1"/>
      <c r="H913" s="12" t="str">
        <f t="shared" si="3"/>
        <v xml:space="preserve">    </v>
      </c>
      <c r="I913" s="12"/>
      <c r="N913" s="6"/>
      <c r="O913" s="6"/>
    </row>
    <row r="914" spans="5:15" ht="15.5" x14ac:dyDescent="0.35">
      <c r="E914" s="14"/>
      <c r="F914" s="1"/>
      <c r="H914" s="12" t="str">
        <f t="shared" si="3"/>
        <v xml:space="preserve">    </v>
      </c>
      <c r="I914" s="12"/>
      <c r="N914" s="6"/>
      <c r="O914" s="6"/>
    </row>
    <row r="915" spans="5:15" ht="15.5" x14ac:dyDescent="0.35">
      <c r="E915" s="14"/>
      <c r="F915" s="1"/>
      <c r="H915" s="12" t="str">
        <f t="shared" si="3"/>
        <v xml:space="preserve">    </v>
      </c>
      <c r="I915" s="12"/>
      <c r="N915" s="6"/>
      <c r="O915" s="6"/>
    </row>
    <row r="916" spans="5:15" ht="15.5" x14ac:dyDescent="0.35">
      <c r="E916" s="14"/>
      <c r="F916" s="1"/>
      <c r="H916" s="12" t="str">
        <f t="shared" si="3"/>
        <v xml:space="preserve">    </v>
      </c>
      <c r="I916" s="12"/>
      <c r="N916" s="6"/>
      <c r="O916" s="6"/>
    </row>
    <row r="917" spans="5:15" ht="15.5" x14ac:dyDescent="0.35">
      <c r="E917" s="14"/>
      <c r="F917" s="1"/>
      <c r="H917" s="12" t="str">
        <f t="shared" si="3"/>
        <v xml:space="preserve">    </v>
      </c>
      <c r="I917" s="12"/>
      <c r="N917" s="6"/>
      <c r="O917" s="6"/>
    </row>
    <row r="918" spans="5:15" ht="15.5" x14ac:dyDescent="0.35">
      <c r="E918" s="14"/>
      <c r="F918" s="1"/>
      <c r="H918" s="12" t="str">
        <f t="shared" si="3"/>
        <v xml:space="preserve">    </v>
      </c>
      <c r="I918" s="12"/>
      <c r="N918" s="6"/>
      <c r="O918" s="6"/>
    </row>
    <row r="919" spans="5:15" ht="15.5" x14ac:dyDescent="0.35">
      <c r="E919" s="14"/>
      <c r="F919" s="1"/>
      <c r="H919" s="12" t="str">
        <f t="shared" si="3"/>
        <v xml:space="preserve">    </v>
      </c>
      <c r="I919" s="12"/>
      <c r="N919" s="6"/>
      <c r="O919" s="6"/>
    </row>
    <row r="920" spans="5:15" ht="15.5" x14ac:dyDescent="0.35">
      <c r="E920" s="14"/>
      <c r="F920" s="1"/>
      <c r="H920" s="12" t="str">
        <f t="shared" si="3"/>
        <v xml:space="preserve">    </v>
      </c>
      <c r="I920" s="12"/>
      <c r="N920" s="6"/>
      <c r="O920" s="6"/>
    </row>
    <row r="921" spans="5:15" ht="15.5" x14ac:dyDescent="0.35">
      <c r="E921" s="14"/>
      <c r="F921" s="1"/>
      <c r="H921" s="12" t="str">
        <f t="shared" si="3"/>
        <v xml:space="preserve">    </v>
      </c>
      <c r="I921" s="12"/>
      <c r="N921" s="6"/>
      <c r="O921" s="6"/>
    </row>
    <row r="922" spans="5:15" ht="15.5" x14ac:dyDescent="0.35">
      <c r="E922" s="14"/>
      <c r="F922" s="1"/>
      <c r="H922" s="12" t="str">
        <f t="shared" si="3"/>
        <v xml:space="preserve">    </v>
      </c>
      <c r="I922" s="12"/>
      <c r="N922" s="6"/>
      <c r="O922" s="6"/>
    </row>
    <row r="923" spans="5:15" ht="15.5" x14ac:dyDescent="0.35">
      <c r="E923" s="14"/>
      <c r="F923" s="1"/>
      <c r="H923" s="12" t="str">
        <f t="shared" si="3"/>
        <v xml:space="preserve">    </v>
      </c>
      <c r="I923" s="12"/>
      <c r="N923" s="6"/>
      <c r="O923" s="6"/>
    </row>
    <row r="924" spans="5:15" ht="15.5" x14ac:dyDescent="0.35">
      <c r="E924" s="14"/>
      <c r="F924" s="1"/>
      <c r="H924" s="12" t="str">
        <f t="shared" si="3"/>
        <v xml:space="preserve">    </v>
      </c>
      <c r="I924" s="12"/>
      <c r="N924" s="6"/>
      <c r="O924" s="6"/>
    </row>
    <row r="925" spans="5:15" ht="15.5" x14ac:dyDescent="0.35">
      <c r="E925" s="14"/>
      <c r="F925" s="1"/>
      <c r="H925" s="12" t="str">
        <f t="shared" si="3"/>
        <v xml:space="preserve">    </v>
      </c>
      <c r="I925" s="12"/>
      <c r="N925" s="6"/>
      <c r="O925" s="6"/>
    </row>
    <row r="926" spans="5:15" ht="15.5" x14ac:dyDescent="0.35">
      <c r="E926" s="14"/>
      <c r="F926" s="1"/>
      <c r="H926" s="12" t="str">
        <f t="shared" si="3"/>
        <v xml:space="preserve">    </v>
      </c>
      <c r="I926" s="12"/>
      <c r="N926" s="6"/>
      <c r="O926" s="6"/>
    </row>
    <row r="927" spans="5:15" ht="15.5" x14ac:dyDescent="0.35">
      <c r="E927" s="14"/>
      <c r="F927" s="1"/>
      <c r="H927" s="12" t="str">
        <f t="shared" si="3"/>
        <v xml:space="preserve">    </v>
      </c>
      <c r="I927" s="12"/>
      <c r="N927" s="6"/>
      <c r="O927" s="6"/>
    </row>
    <row r="928" spans="5:15" ht="15.5" x14ac:dyDescent="0.35">
      <c r="E928" s="14"/>
      <c r="F928" s="1"/>
      <c r="H928" s="12" t="str">
        <f t="shared" si="3"/>
        <v xml:space="preserve">    </v>
      </c>
      <c r="I928" s="12"/>
      <c r="N928" s="6"/>
      <c r="O928" s="6"/>
    </row>
    <row r="929" spans="5:15" ht="15.5" x14ac:dyDescent="0.35">
      <c r="E929" s="14"/>
      <c r="F929" s="1"/>
      <c r="H929" s="12" t="str">
        <f t="shared" si="3"/>
        <v xml:space="preserve">    </v>
      </c>
      <c r="I929" s="12"/>
      <c r="N929" s="6"/>
      <c r="O929" s="6"/>
    </row>
    <row r="930" spans="5:15" ht="15.5" x14ac:dyDescent="0.35">
      <c r="E930" s="14"/>
      <c r="F930" s="1"/>
      <c r="H930" s="12" t="str">
        <f t="shared" si="3"/>
        <v xml:space="preserve">    </v>
      </c>
      <c r="I930" s="12"/>
      <c r="N930" s="6"/>
      <c r="O930" s="6"/>
    </row>
    <row r="931" spans="5:15" ht="15.5" x14ac:dyDescent="0.35">
      <c r="E931" s="14"/>
      <c r="F931" s="1"/>
      <c r="H931" s="12" t="str">
        <f t="shared" si="3"/>
        <v xml:space="preserve">    </v>
      </c>
      <c r="I931" s="12"/>
      <c r="N931" s="6"/>
      <c r="O931" s="6"/>
    </row>
    <row r="932" spans="5:15" ht="15.5" x14ac:dyDescent="0.35">
      <c r="E932" s="14"/>
      <c r="F932" s="1"/>
      <c r="H932" s="12" t="str">
        <f t="shared" si="3"/>
        <v xml:space="preserve">    </v>
      </c>
      <c r="I932" s="12"/>
      <c r="N932" s="6"/>
      <c r="O932" s="6"/>
    </row>
    <row r="933" spans="5:15" ht="15.5" x14ac:dyDescent="0.35">
      <c r="E933" s="14"/>
      <c r="F933" s="1"/>
      <c r="H933" s="12" t="str">
        <f t="shared" si="3"/>
        <v xml:space="preserve">    </v>
      </c>
      <c r="I933" s="12"/>
      <c r="N933" s="6"/>
      <c r="O933" s="6"/>
    </row>
    <row r="934" spans="5:15" ht="15.5" x14ac:dyDescent="0.35">
      <c r="E934" s="14"/>
      <c r="F934" s="1"/>
      <c r="H934" s="12" t="str">
        <f t="shared" si="3"/>
        <v xml:space="preserve">    </v>
      </c>
      <c r="I934" s="12"/>
      <c r="N934" s="6"/>
      <c r="O934" s="6"/>
    </row>
    <row r="935" spans="5:15" ht="15.5" x14ac:dyDescent="0.35">
      <c r="E935" s="14"/>
      <c r="F935" s="1"/>
      <c r="H935" s="12" t="str">
        <f t="shared" si="3"/>
        <v xml:space="preserve">    </v>
      </c>
      <c r="I935" s="12"/>
      <c r="N935" s="6"/>
      <c r="O935" s="6"/>
    </row>
    <row r="936" spans="5:15" ht="15.5" x14ac:dyDescent="0.35">
      <c r="E936" s="14"/>
      <c r="F936" s="1"/>
      <c r="H936" s="12" t="str">
        <f t="shared" si="3"/>
        <v xml:space="preserve">    </v>
      </c>
      <c r="I936" s="12"/>
      <c r="N936" s="6"/>
      <c r="O936" s="6"/>
    </row>
    <row r="937" spans="5:15" ht="15.5" x14ac:dyDescent="0.35">
      <c r="E937" s="14"/>
      <c r="F937" s="1"/>
      <c r="H937" s="12" t="str">
        <f t="shared" si="3"/>
        <v xml:space="preserve">    </v>
      </c>
      <c r="I937" s="12"/>
      <c r="N937" s="6"/>
      <c r="O937" s="6"/>
    </row>
    <row r="938" spans="5:15" ht="15.5" x14ac:dyDescent="0.35">
      <c r="E938" s="14"/>
      <c r="F938" s="1"/>
      <c r="H938" s="12" t="str">
        <f t="shared" si="3"/>
        <v xml:space="preserve">    </v>
      </c>
      <c r="I938" s="12"/>
      <c r="N938" s="6"/>
      <c r="O938" s="6"/>
    </row>
    <row r="939" spans="5:15" ht="15.5" x14ac:dyDescent="0.35">
      <c r="E939" s="14"/>
      <c r="F939" s="1"/>
      <c r="H939" s="12" t="str">
        <f t="shared" si="3"/>
        <v xml:space="preserve">    </v>
      </c>
      <c r="I939" s="12"/>
      <c r="N939" s="6"/>
      <c r="O939" s="6"/>
    </row>
    <row r="940" spans="5:15" ht="15.5" x14ac:dyDescent="0.35">
      <c r="E940" s="14"/>
      <c r="F940" s="1"/>
      <c r="H940" s="12" t="str">
        <f t="shared" si="3"/>
        <v xml:space="preserve">    </v>
      </c>
      <c r="I940" s="12"/>
      <c r="N940" s="6"/>
      <c r="O940" s="6"/>
    </row>
    <row r="941" spans="5:15" ht="15.5" x14ac:dyDescent="0.35">
      <c r="E941" s="14"/>
      <c r="F941" s="1"/>
      <c r="H941" s="12" t="str">
        <f t="shared" si="3"/>
        <v xml:space="preserve">    </v>
      </c>
      <c r="I941" s="12"/>
      <c r="N941" s="6"/>
      <c r="O941" s="6"/>
    </row>
    <row r="942" spans="5:15" ht="15.5" x14ac:dyDescent="0.35">
      <c r="E942" s="14"/>
      <c r="F942" s="1"/>
      <c r="H942" s="12" t="str">
        <f t="shared" si="3"/>
        <v xml:space="preserve">    </v>
      </c>
      <c r="I942" s="12"/>
      <c r="N942" s="6"/>
      <c r="O942" s="6"/>
    </row>
    <row r="943" spans="5:15" ht="15.5" x14ac:dyDescent="0.35">
      <c r="E943" s="14"/>
      <c r="F943" s="1"/>
      <c r="H943" s="12" t="str">
        <f t="shared" si="3"/>
        <v xml:space="preserve">    </v>
      </c>
      <c r="I943" s="12"/>
      <c r="N943" s="6"/>
      <c r="O943" s="6"/>
    </row>
    <row r="944" spans="5:15" ht="15.5" x14ac:dyDescent="0.35">
      <c r="E944" s="14"/>
      <c r="F944" s="1"/>
      <c r="H944" s="12" t="str">
        <f t="shared" si="3"/>
        <v xml:space="preserve">    </v>
      </c>
      <c r="I944" s="12"/>
      <c r="N944" s="6"/>
      <c r="O944" s="6"/>
    </row>
    <row r="945" spans="5:15" ht="15.5" x14ac:dyDescent="0.35">
      <c r="E945" s="14"/>
      <c r="F945" s="1"/>
      <c r="H945" s="12" t="str">
        <f t="shared" si="3"/>
        <v xml:space="preserve">    </v>
      </c>
      <c r="I945" s="12"/>
      <c r="N945" s="6"/>
      <c r="O945" s="6"/>
    </row>
    <row r="946" spans="5:15" ht="15.5" x14ac:dyDescent="0.35">
      <c r="E946" s="14"/>
      <c r="F946" s="1"/>
      <c r="H946" s="12" t="str">
        <f t="shared" si="3"/>
        <v xml:space="preserve">    </v>
      </c>
      <c r="I946" s="12"/>
      <c r="N946" s="6"/>
      <c r="O946" s="6"/>
    </row>
    <row r="947" spans="5:15" ht="15.5" x14ac:dyDescent="0.35">
      <c r="E947" s="14"/>
      <c r="F947" s="1"/>
      <c r="H947" s="12" t="str">
        <f t="shared" si="3"/>
        <v xml:space="preserve">    </v>
      </c>
      <c r="I947" s="12"/>
      <c r="N947" s="6"/>
      <c r="O947" s="6"/>
    </row>
    <row r="948" spans="5:15" ht="15.5" x14ac:dyDescent="0.35">
      <c r="E948" s="14"/>
      <c r="F948" s="1"/>
      <c r="H948" s="12" t="str">
        <f t="shared" si="3"/>
        <v xml:space="preserve">    </v>
      </c>
      <c r="I948" s="12"/>
      <c r="N948" s="6"/>
      <c r="O948" s="6"/>
    </row>
    <row r="949" spans="5:15" ht="15.5" x14ac:dyDescent="0.35">
      <c r="E949" s="14"/>
      <c r="F949" s="1"/>
      <c r="H949" s="12" t="str">
        <f t="shared" si="3"/>
        <v xml:space="preserve">    </v>
      </c>
      <c r="I949" s="12"/>
      <c r="N949" s="6"/>
      <c r="O949" s="6"/>
    </row>
    <row r="950" spans="5:15" ht="15.5" x14ac:dyDescent="0.35">
      <c r="E950" s="14"/>
      <c r="F950" s="1"/>
      <c r="H950" s="12" t="str">
        <f t="shared" si="3"/>
        <v xml:space="preserve">    </v>
      </c>
      <c r="I950" s="12"/>
      <c r="N950" s="6"/>
      <c r="O950" s="6"/>
    </row>
    <row r="951" spans="5:15" ht="15.5" x14ac:dyDescent="0.35">
      <c r="E951" s="14"/>
      <c r="F951" s="1"/>
      <c r="H951" s="12" t="str">
        <f t="shared" si="3"/>
        <v xml:space="preserve">    </v>
      </c>
      <c r="I951" s="12"/>
      <c r="N951" s="6"/>
      <c r="O951" s="6"/>
    </row>
    <row r="952" spans="5:15" ht="15.5" x14ac:dyDescent="0.35">
      <c r="E952" s="14"/>
      <c r="F952" s="1"/>
      <c r="H952" s="12" t="str">
        <f t="shared" si="3"/>
        <v xml:space="preserve">    </v>
      </c>
      <c r="I952" s="12"/>
      <c r="N952" s="6"/>
      <c r="O952" s="6"/>
    </row>
    <row r="953" spans="5:15" ht="15.5" x14ac:dyDescent="0.35">
      <c r="E953" s="14"/>
      <c r="F953" s="1"/>
      <c r="H953" s="12" t="str">
        <f t="shared" si="3"/>
        <v xml:space="preserve">    </v>
      </c>
      <c r="I953" s="12"/>
      <c r="N953" s="6"/>
      <c r="O953" s="6"/>
    </row>
    <row r="954" spans="5:15" ht="15.5" x14ac:dyDescent="0.35">
      <c r="E954" s="14"/>
      <c r="F954" s="1"/>
      <c r="H954" s="12" t="str">
        <f t="shared" si="3"/>
        <v xml:space="preserve">    </v>
      </c>
      <c r="I954" s="12"/>
      <c r="N954" s="6"/>
      <c r="O954" s="6"/>
    </row>
    <row r="955" spans="5:15" ht="15.5" x14ac:dyDescent="0.35">
      <c r="E955" s="14"/>
      <c r="F955" s="1"/>
      <c r="H955" s="12" t="str">
        <f t="shared" si="3"/>
        <v xml:space="preserve">    </v>
      </c>
      <c r="I955" s="12"/>
      <c r="N955" s="6"/>
      <c r="O955" s="6"/>
    </row>
    <row r="956" spans="5:15" ht="15.5" x14ac:dyDescent="0.35">
      <c r="E956" s="14"/>
      <c r="F956" s="1"/>
      <c r="H956" s="12" t="str">
        <f t="shared" si="3"/>
        <v xml:space="preserve">    </v>
      </c>
      <c r="I956" s="12"/>
      <c r="N956" s="6"/>
      <c r="O956" s="6"/>
    </row>
    <row r="957" spans="5:15" ht="15.5" x14ac:dyDescent="0.35">
      <c r="E957" s="14"/>
      <c r="F957" s="1"/>
      <c r="H957" s="12" t="str">
        <f t="shared" si="3"/>
        <v xml:space="preserve">    </v>
      </c>
      <c r="I957" s="12"/>
      <c r="N957" s="6"/>
      <c r="O957" s="6"/>
    </row>
    <row r="958" spans="5:15" ht="15.5" x14ac:dyDescent="0.35">
      <c r="E958" s="14"/>
      <c r="F958" s="1"/>
      <c r="H958" s="12" t="str">
        <f t="shared" si="3"/>
        <v xml:space="preserve">    </v>
      </c>
      <c r="I958" s="12"/>
      <c r="N958" s="6"/>
      <c r="O958" s="6"/>
    </row>
    <row r="959" spans="5:15" ht="15.5" x14ac:dyDescent="0.35">
      <c r="E959" s="14"/>
      <c r="F959" s="1"/>
      <c r="H959" s="12" t="str">
        <f t="shared" si="3"/>
        <v xml:space="preserve">    </v>
      </c>
      <c r="I959" s="12"/>
      <c r="N959" s="6"/>
      <c r="O959" s="6"/>
    </row>
    <row r="960" spans="5:15" ht="15.5" x14ac:dyDescent="0.35">
      <c r="E960" s="14"/>
      <c r="F960" s="1"/>
      <c r="H960" s="12" t="str">
        <f t="shared" si="3"/>
        <v xml:space="preserve">    </v>
      </c>
      <c r="I960" s="12"/>
      <c r="N960" s="6"/>
      <c r="O960" s="6"/>
    </row>
    <row r="961" spans="5:15" ht="15.5" x14ac:dyDescent="0.35">
      <c r="E961" s="14"/>
      <c r="F961" s="1"/>
      <c r="H961" s="12" t="str">
        <f t="shared" si="3"/>
        <v xml:space="preserve">    </v>
      </c>
      <c r="I961" s="12"/>
      <c r="N961" s="6"/>
      <c r="O961" s="6"/>
    </row>
    <row r="962" spans="5:15" ht="15.5" x14ac:dyDescent="0.35">
      <c r="E962" s="14"/>
      <c r="F962" s="1"/>
      <c r="H962" s="12" t="str">
        <f t="shared" si="3"/>
        <v xml:space="preserve">    </v>
      </c>
      <c r="I962" s="12"/>
      <c r="N962" s="6"/>
      <c r="O962" s="6"/>
    </row>
    <row r="963" spans="5:15" ht="15.5" x14ac:dyDescent="0.35">
      <c r="E963" s="14"/>
      <c r="F963" s="1"/>
      <c r="H963" s="12" t="str">
        <f t="shared" si="3"/>
        <v xml:space="preserve">    </v>
      </c>
      <c r="I963" s="12"/>
      <c r="N963" s="6"/>
      <c r="O963" s="6"/>
    </row>
    <row r="964" spans="5:15" ht="15.5" x14ac:dyDescent="0.35">
      <c r="E964" s="14"/>
      <c r="F964" s="1"/>
      <c r="H964" s="12" t="str">
        <f t="shared" si="3"/>
        <v xml:space="preserve">    </v>
      </c>
      <c r="I964" s="12"/>
      <c r="N964" s="6"/>
      <c r="O964" s="6"/>
    </row>
    <row r="965" spans="5:15" ht="15.5" x14ac:dyDescent="0.35">
      <c r="E965" s="14"/>
      <c r="F965" s="1"/>
      <c r="H965" s="12" t="str">
        <f t="shared" si="3"/>
        <v xml:space="preserve">    </v>
      </c>
      <c r="I965" s="12"/>
      <c r="N965" s="6"/>
      <c r="O965" s="6"/>
    </row>
    <row r="966" spans="5:15" ht="15.5" x14ac:dyDescent="0.35">
      <c r="E966" s="14"/>
      <c r="F966" s="1"/>
      <c r="H966" s="12" t="str">
        <f t="shared" si="3"/>
        <v xml:space="preserve">    </v>
      </c>
      <c r="I966" s="12"/>
      <c r="N966" s="6"/>
      <c r="O966" s="6"/>
    </row>
    <row r="967" spans="5:15" ht="15.5" x14ac:dyDescent="0.35">
      <c r="E967" s="14"/>
      <c r="F967" s="1"/>
      <c r="H967" s="12" t="str">
        <f t="shared" si="3"/>
        <v xml:space="preserve">    </v>
      </c>
      <c r="I967" s="12"/>
      <c r="N967" s="6"/>
      <c r="O967" s="6"/>
    </row>
    <row r="968" spans="5:15" ht="15.5" x14ac:dyDescent="0.35">
      <c r="E968" s="14"/>
      <c r="F968" s="1"/>
      <c r="H968" s="12" t="str">
        <f t="shared" si="3"/>
        <v xml:space="preserve">    </v>
      </c>
      <c r="I968" s="12"/>
      <c r="N968" s="6"/>
      <c r="O968" s="6"/>
    </row>
    <row r="969" spans="5:15" ht="15.5" x14ac:dyDescent="0.35">
      <c r="E969" s="14"/>
      <c r="F969" s="1"/>
      <c r="H969" s="12" t="str">
        <f t="shared" si="3"/>
        <v xml:space="preserve">    </v>
      </c>
      <c r="I969" s="12"/>
      <c r="N969" s="6"/>
      <c r="O969" s="6"/>
    </row>
    <row r="970" spans="5:15" ht="15.5" x14ac:dyDescent="0.35">
      <c r="E970" s="14"/>
      <c r="F970" s="1"/>
      <c r="H970" s="12" t="str">
        <f t="shared" si="3"/>
        <v xml:space="preserve">    </v>
      </c>
      <c r="I970" s="12"/>
      <c r="N970" s="6"/>
      <c r="O970" s="6"/>
    </row>
    <row r="971" spans="5:15" ht="15.5" x14ac:dyDescent="0.35">
      <c r="E971" s="14"/>
      <c r="F971" s="1"/>
      <c r="H971" s="12" t="str">
        <f t="shared" si="3"/>
        <v xml:space="preserve">    </v>
      </c>
      <c r="I971" s="12"/>
      <c r="N971" s="6"/>
      <c r="O971" s="6"/>
    </row>
    <row r="972" spans="5:15" ht="15.5" x14ac:dyDescent="0.35">
      <c r="E972" s="14"/>
      <c r="F972" s="1"/>
      <c r="H972" s="12" t="str">
        <f t="shared" si="3"/>
        <v xml:space="preserve">    </v>
      </c>
      <c r="I972" s="12"/>
      <c r="N972" s="6"/>
      <c r="O972" s="6"/>
    </row>
    <row r="973" spans="5:15" ht="15.5" x14ac:dyDescent="0.35">
      <c r="E973" s="14"/>
      <c r="F973" s="1"/>
      <c r="H973" s="12" t="str">
        <f t="shared" si="3"/>
        <v xml:space="preserve">    </v>
      </c>
      <c r="I973" s="12"/>
      <c r="N973" s="6"/>
      <c r="O973" s="6"/>
    </row>
    <row r="974" spans="5:15" ht="15.5" x14ac:dyDescent="0.35">
      <c r="E974" s="14"/>
      <c r="F974" s="1"/>
      <c r="H974" s="12" t="str">
        <f t="shared" si="3"/>
        <v xml:space="preserve">    </v>
      </c>
      <c r="I974" s="12"/>
      <c r="N974" s="6"/>
      <c r="O974" s="6"/>
    </row>
    <row r="975" spans="5:15" ht="15.5" x14ac:dyDescent="0.35">
      <c r="E975" s="14"/>
      <c r="F975" s="1"/>
      <c r="H975" s="12" t="str">
        <f t="shared" si="3"/>
        <v xml:space="preserve">    </v>
      </c>
      <c r="I975" s="12"/>
      <c r="N975" s="6"/>
      <c r="O975" s="6"/>
    </row>
    <row r="976" spans="5:15" ht="15.5" x14ac:dyDescent="0.35">
      <c r="E976" s="14"/>
      <c r="F976" s="1"/>
      <c r="H976" s="12" t="str">
        <f t="shared" si="3"/>
        <v xml:space="preserve">    </v>
      </c>
      <c r="I976" s="12"/>
      <c r="N976" s="6"/>
      <c r="O976" s="6"/>
    </row>
    <row r="977" spans="5:15" ht="15.5" x14ac:dyDescent="0.35">
      <c r="E977" s="14"/>
      <c r="F977" s="1"/>
      <c r="H977" s="12" t="str">
        <f t="shared" si="3"/>
        <v xml:space="preserve">    </v>
      </c>
      <c r="I977" s="12"/>
      <c r="N977" s="6"/>
      <c r="O977" s="6"/>
    </row>
    <row r="978" spans="5:15" ht="15.5" x14ac:dyDescent="0.35">
      <c r="E978" s="14"/>
      <c r="F978" s="1"/>
      <c r="H978" s="12" t="str">
        <f t="shared" si="3"/>
        <v xml:space="preserve">    </v>
      </c>
      <c r="I978" s="12"/>
      <c r="N978" s="6"/>
      <c r="O978" s="6"/>
    </row>
    <row r="979" spans="5:15" ht="15.5" x14ac:dyDescent="0.35">
      <c r="E979" s="14"/>
      <c r="F979" s="1"/>
      <c r="H979" s="12" t="str">
        <f t="shared" si="3"/>
        <v xml:space="preserve">    </v>
      </c>
      <c r="I979" s="12"/>
      <c r="N979" s="6"/>
      <c r="O979" s="6"/>
    </row>
    <row r="980" spans="5:15" ht="15.5" x14ac:dyDescent="0.35">
      <c r="E980" s="14"/>
      <c r="F980" s="1"/>
      <c r="H980" s="12" t="str">
        <f t="shared" si="3"/>
        <v xml:space="preserve">    </v>
      </c>
      <c r="I980" s="12"/>
      <c r="N980" s="6"/>
      <c r="O980" s="6"/>
    </row>
    <row r="981" spans="5:15" ht="15.5" x14ac:dyDescent="0.35">
      <c r="E981" s="14"/>
      <c r="F981" s="1"/>
      <c r="H981" s="12" t="str">
        <f t="shared" si="3"/>
        <v xml:space="preserve">    </v>
      </c>
      <c r="I981" s="12"/>
      <c r="N981" s="6"/>
      <c r="O981" s="6"/>
    </row>
    <row r="982" spans="5:15" ht="15.5" x14ac:dyDescent="0.35">
      <c r="E982" s="14"/>
      <c r="F982" s="1"/>
      <c r="H982" s="12" t="str">
        <f t="shared" si="3"/>
        <v xml:space="preserve">    </v>
      </c>
      <c r="I982" s="12"/>
      <c r="N982" s="6"/>
      <c r="O982" s="6"/>
    </row>
    <row r="983" spans="5:15" ht="15.5" x14ac:dyDescent="0.35">
      <c r="E983" s="14"/>
      <c r="F983" s="1"/>
      <c r="H983" s="12" t="str">
        <f t="shared" si="3"/>
        <v xml:space="preserve">    </v>
      </c>
      <c r="I983" s="12"/>
      <c r="N983" s="6"/>
      <c r="O983" s="6"/>
    </row>
    <row r="984" spans="5:15" ht="15.5" x14ac:dyDescent="0.35">
      <c r="E984" s="14"/>
      <c r="F984" s="1"/>
      <c r="H984" s="12" t="str">
        <f t="shared" si="3"/>
        <v xml:space="preserve">    </v>
      </c>
      <c r="I984" s="12"/>
      <c r="N984" s="6"/>
      <c r="O984" s="6"/>
    </row>
    <row r="985" spans="5:15" ht="15.5" x14ac:dyDescent="0.35">
      <c r="E985" s="14"/>
      <c r="F985" s="1"/>
      <c r="H985" s="12" t="str">
        <f t="shared" si="3"/>
        <v xml:space="preserve">    </v>
      </c>
      <c r="I985" s="12"/>
      <c r="N985" s="6"/>
      <c r="O985" s="6"/>
    </row>
    <row r="986" spans="5:15" ht="15.5" x14ac:dyDescent="0.35">
      <c r="E986" s="14"/>
      <c r="F986" s="1"/>
      <c r="H986" s="12" t="str">
        <f t="shared" si="3"/>
        <v xml:space="preserve">    </v>
      </c>
      <c r="I986" s="12"/>
      <c r="N986" s="6"/>
      <c r="O986" s="6"/>
    </row>
    <row r="987" spans="5:15" ht="15.5" x14ac:dyDescent="0.35">
      <c r="E987" s="14"/>
      <c r="F987" s="1"/>
      <c r="H987" s="12" t="str">
        <f t="shared" si="3"/>
        <v xml:space="preserve">    </v>
      </c>
      <c r="I987" s="12"/>
      <c r="N987" s="6"/>
      <c r="O987" s="6"/>
    </row>
    <row r="988" spans="5:15" ht="15.5" x14ac:dyDescent="0.35">
      <c r="E988" s="14"/>
      <c r="F988" s="1"/>
      <c r="H988" s="12" t="str">
        <f t="shared" si="3"/>
        <v xml:space="preserve">    </v>
      </c>
      <c r="I988" s="12"/>
      <c r="N988" s="6"/>
      <c r="O988" s="6"/>
    </row>
    <row r="989" spans="5:15" ht="15.5" x14ac:dyDescent="0.35">
      <c r="E989" s="14"/>
      <c r="F989" s="1"/>
      <c r="H989" s="12" t="str">
        <f t="shared" si="3"/>
        <v xml:space="preserve">    </v>
      </c>
      <c r="I989" s="12"/>
      <c r="N989" s="6"/>
      <c r="O989" s="6"/>
    </row>
    <row r="990" spans="5:15" ht="15.5" x14ac:dyDescent="0.35">
      <c r="E990" s="14"/>
      <c r="F990" s="1"/>
      <c r="H990" s="12" t="str">
        <f t="shared" si="3"/>
        <v xml:space="preserve">    </v>
      </c>
      <c r="I990" s="12"/>
      <c r="N990" s="6"/>
      <c r="O990" s="6"/>
    </row>
    <row r="991" spans="5:15" ht="15.5" x14ac:dyDescent="0.35">
      <c r="E991" s="14"/>
      <c r="F991" s="1"/>
      <c r="H991" s="12" t="str">
        <f t="shared" si="3"/>
        <v xml:space="preserve">    </v>
      </c>
      <c r="I991" s="12"/>
      <c r="N991" s="6"/>
      <c r="O991" s="6"/>
    </row>
    <row r="992" spans="5:15" ht="15.5" x14ac:dyDescent="0.35">
      <c r="E992" s="14"/>
      <c r="F992" s="1"/>
      <c r="H992" s="12" t="str">
        <f t="shared" si="3"/>
        <v xml:space="preserve">    </v>
      </c>
      <c r="I992" s="12"/>
      <c r="N992" s="6"/>
      <c r="O992" s="6"/>
    </row>
    <row r="993" spans="5:15" ht="15.5" x14ac:dyDescent="0.35">
      <c r="E993" s="14"/>
      <c r="F993" s="1"/>
      <c r="H993" s="12" t="str">
        <f t="shared" si="3"/>
        <v xml:space="preserve">    </v>
      </c>
      <c r="I993" s="12"/>
      <c r="N993" s="6"/>
      <c r="O993" s="6"/>
    </row>
    <row r="994" spans="5:15" ht="15.5" x14ac:dyDescent="0.35">
      <c r="E994" s="14"/>
      <c r="F994" s="1"/>
      <c r="H994" s="12" t="str">
        <f t="shared" si="3"/>
        <v xml:space="preserve">    </v>
      </c>
      <c r="I994" s="12"/>
      <c r="N994" s="6"/>
      <c r="O994" s="6"/>
    </row>
    <row r="995" spans="5:15" ht="15.5" x14ac:dyDescent="0.35">
      <c r="E995" s="14"/>
      <c r="F995" s="1"/>
      <c r="H995" s="12" t="str">
        <f t="shared" si="3"/>
        <v xml:space="preserve">    </v>
      </c>
      <c r="I995" s="12"/>
      <c r="N995" s="6"/>
      <c r="O995" s="6"/>
    </row>
    <row r="996" spans="5:15" ht="15.5" x14ac:dyDescent="0.35">
      <c r="E996" s="14"/>
      <c r="F996" s="1"/>
      <c r="H996" s="12" t="str">
        <f t="shared" si="3"/>
        <v xml:space="preserve">    </v>
      </c>
      <c r="I996" s="12"/>
      <c r="N996" s="6"/>
      <c r="O996" s="6"/>
    </row>
    <row r="997" spans="5:15" ht="15.5" x14ac:dyDescent="0.35">
      <c r="E997" s="14"/>
      <c r="F997" s="1"/>
      <c r="H997" s="12" t="str">
        <f t="shared" si="3"/>
        <v xml:space="preserve">    </v>
      </c>
      <c r="I997" s="12"/>
      <c r="N997" s="6"/>
      <c r="O997" s="6"/>
    </row>
    <row r="998" spans="5:15" ht="15.5" x14ac:dyDescent="0.35">
      <c r="E998" s="14"/>
      <c r="F998" s="1"/>
      <c r="H998" s="12" t="str">
        <f t="shared" si="3"/>
        <v xml:space="preserve">    </v>
      </c>
      <c r="I998" s="12"/>
      <c r="N998" s="6"/>
      <c r="O998" s="6"/>
    </row>
    <row r="999" spans="5:15" ht="15.5" x14ac:dyDescent="0.35">
      <c r="E999" s="14"/>
      <c r="F999" s="1"/>
      <c r="H999" s="12" t="str">
        <f t="shared" si="3"/>
        <v xml:space="preserve">    </v>
      </c>
      <c r="I999" s="12"/>
      <c r="N999" s="6"/>
      <c r="O999" s="6"/>
    </row>
    <row r="1000" spans="5:15" ht="15.5" x14ac:dyDescent="0.35">
      <c r="E1000" s="14"/>
      <c r="F1000" s="1"/>
      <c r="H1000" s="12" t="str">
        <f t="shared" si="3"/>
        <v xml:space="preserve">    </v>
      </c>
      <c r="I1000" s="12"/>
      <c r="N1000" s="6"/>
      <c r="O1000" s="6"/>
    </row>
    <row r="1001" spans="5:15" ht="15.5" x14ac:dyDescent="0.35">
      <c r="E1001" s="14"/>
      <c r="F1001" s="1"/>
      <c r="H1001" s="12" t="str">
        <f t="shared" si="3"/>
        <v xml:space="preserve">    </v>
      </c>
      <c r="I1001" s="12"/>
      <c r="N1001" s="6"/>
      <c r="O1001" s="6"/>
    </row>
    <row r="1002" spans="5:15" ht="15.5" x14ac:dyDescent="0.35">
      <c r="E1002" s="14"/>
      <c r="F1002" s="1"/>
      <c r="H1002" s="12" t="str">
        <f t="shared" si="3"/>
        <v xml:space="preserve">    </v>
      </c>
      <c r="I1002" s="12"/>
      <c r="N1002" s="6"/>
      <c r="O1002" s="6"/>
    </row>
    <row r="1003" spans="5:15" ht="15.5" x14ac:dyDescent="0.35">
      <c r="E1003" s="14"/>
      <c r="F1003" s="1"/>
      <c r="H1003" s="12" t="str">
        <f t="shared" si="3"/>
        <v xml:space="preserve">    </v>
      </c>
      <c r="I1003" s="12"/>
      <c r="N1003" s="6"/>
      <c r="O1003" s="6"/>
    </row>
    <row r="1004" spans="5:15" ht="15.5" x14ac:dyDescent="0.35">
      <c r="E1004" s="14"/>
      <c r="F1004" s="1"/>
      <c r="H1004" s="12" t="str">
        <f t="shared" si="3"/>
        <v xml:space="preserve">    </v>
      </c>
      <c r="I1004" s="12"/>
      <c r="N1004" s="6"/>
      <c r="O1004" s="6"/>
    </row>
    <row r="1005" spans="5:15" ht="15.5" x14ac:dyDescent="0.35">
      <c r="E1005" s="14"/>
      <c r="F1005" s="1"/>
      <c r="H1005" s="12" t="str">
        <f t="shared" si="3"/>
        <v xml:space="preserve">    </v>
      </c>
      <c r="I1005" s="12"/>
      <c r="N1005" s="6"/>
      <c r="O1005" s="6"/>
    </row>
    <row r="1006" spans="5:15" ht="15.5" x14ac:dyDescent="0.35">
      <c r="E1006" s="14"/>
      <c r="F1006" s="1"/>
      <c r="H1006" s="12" t="str">
        <f t="shared" si="3"/>
        <v xml:space="preserve">    </v>
      </c>
      <c r="I1006" s="12"/>
      <c r="N1006" s="6"/>
      <c r="O1006" s="6"/>
    </row>
    <row r="1007" spans="5:15" ht="15.5" x14ac:dyDescent="0.35">
      <c r="E1007" s="14"/>
      <c r="F1007" s="1"/>
      <c r="H1007" s="12" t="str">
        <f t="shared" si="3"/>
        <v xml:space="preserve">    </v>
      </c>
      <c r="I1007" s="12"/>
      <c r="N1007" s="6"/>
      <c r="O1007" s="6"/>
    </row>
    <row r="1008" spans="5:15" ht="15.5" x14ac:dyDescent="0.35">
      <c r="E1008" s="14"/>
      <c r="F1008" s="1"/>
      <c r="H1008" s="12" t="str">
        <f t="shared" si="3"/>
        <v xml:space="preserve">    </v>
      </c>
      <c r="I1008" s="12"/>
      <c r="N1008" s="6"/>
      <c r="O1008" s="6"/>
    </row>
    <row r="1009" spans="5:15" ht="15.5" x14ac:dyDescent="0.35">
      <c r="E1009" s="14"/>
      <c r="F1009" s="1"/>
      <c r="H1009" s="12" t="str">
        <f t="shared" si="3"/>
        <v xml:space="preserve">    </v>
      </c>
      <c r="I1009" s="12"/>
      <c r="N1009" s="6"/>
      <c r="O1009" s="6"/>
    </row>
    <row r="1010" spans="5:15" ht="15.5" x14ac:dyDescent="0.35">
      <c r="E1010" s="14"/>
      <c r="F1010" s="1"/>
      <c r="H1010" s="12" t="str">
        <f t="shared" si="3"/>
        <v xml:space="preserve">    </v>
      </c>
      <c r="I1010" s="12"/>
      <c r="N1010" s="6"/>
      <c r="O1010" s="6"/>
    </row>
    <row r="1011" spans="5:15" ht="15.5" x14ac:dyDescent="0.35">
      <c r="E1011" s="14"/>
      <c r="F1011" s="1"/>
      <c r="H1011" s="12" t="str">
        <f t="shared" si="3"/>
        <v xml:space="preserve">    </v>
      </c>
      <c r="I1011" s="12"/>
      <c r="N1011" s="6"/>
      <c r="O1011" s="6"/>
    </row>
    <row r="1012" spans="5:15" ht="15.5" x14ac:dyDescent="0.35">
      <c r="E1012" s="14"/>
      <c r="F1012" s="1"/>
      <c r="H1012" s="12" t="str">
        <f t="shared" si="3"/>
        <v xml:space="preserve">    </v>
      </c>
      <c r="I1012" s="12"/>
      <c r="N1012" s="6"/>
      <c r="O1012" s="6"/>
    </row>
    <row r="1013" spans="5:15" ht="15.5" x14ac:dyDescent="0.35">
      <c r="E1013" s="14"/>
      <c r="F1013" s="1"/>
      <c r="H1013" s="12" t="str">
        <f t="shared" si="3"/>
        <v xml:space="preserve">    </v>
      </c>
      <c r="I1013" s="12"/>
      <c r="N1013" s="6"/>
      <c r="O1013" s="6"/>
    </row>
    <row r="1014" spans="5:15" ht="15.5" x14ac:dyDescent="0.35">
      <c r="E1014" s="14"/>
      <c r="F1014" s="1"/>
      <c r="H1014" s="12" t="str">
        <f t="shared" si="3"/>
        <v xml:space="preserve">    </v>
      </c>
      <c r="I1014" s="12"/>
      <c r="N1014" s="6"/>
      <c r="O1014" s="6"/>
    </row>
    <row r="1015" spans="5:15" ht="15.5" x14ac:dyDescent="0.35">
      <c r="E1015" s="14"/>
      <c r="F1015" s="1"/>
      <c r="H1015" s="12" t="str">
        <f t="shared" si="3"/>
        <v xml:space="preserve">    </v>
      </c>
      <c r="I1015" s="12"/>
      <c r="N1015" s="6"/>
      <c r="O1015" s="6"/>
    </row>
    <row r="1016" spans="5:15" ht="15.5" x14ac:dyDescent="0.35">
      <c r="E1016" s="14"/>
      <c r="F1016" s="1"/>
      <c r="H1016" s="12" t="str">
        <f t="shared" si="3"/>
        <v xml:space="preserve">    </v>
      </c>
      <c r="I1016" s="12"/>
      <c r="N1016" s="6"/>
      <c r="O1016" s="6"/>
    </row>
    <row r="1017" spans="5:15" ht="15.5" x14ac:dyDescent="0.35">
      <c r="E1017" s="14"/>
      <c r="F1017" s="1"/>
      <c r="H1017" s="12" t="str">
        <f t="shared" si="3"/>
        <v xml:space="preserve">    </v>
      </c>
      <c r="I1017" s="12"/>
      <c r="N1017" s="6"/>
      <c r="O1017" s="6"/>
    </row>
    <row r="1018" spans="5:15" ht="15.5" x14ac:dyDescent="0.35">
      <c r="E1018" s="14"/>
      <c r="F1018" s="1"/>
      <c r="H1018" s="12" t="str">
        <f t="shared" si="3"/>
        <v xml:space="preserve">    </v>
      </c>
      <c r="I1018" s="12"/>
      <c r="N1018" s="6"/>
      <c r="O1018" s="6"/>
    </row>
    <row r="1019" spans="5:15" ht="15.5" x14ac:dyDescent="0.35">
      <c r="E1019" s="14"/>
      <c r="F1019" s="1"/>
      <c r="H1019" s="12" t="str">
        <f t="shared" si="3"/>
        <v xml:space="preserve">    </v>
      </c>
      <c r="I1019" s="12"/>
      <c r="N1019" s="6"/>
      <c r="O1019" s="6"/>
    </row>
    <row r="1020" spans="5:15" ht="15.5" x14ac:dyDescent="0.35">
      <c r="E1020" s="14"/>
      <c r="F1020" s="1"/>
      <c r="H1020" s="12" t="str">
        <f t="shared" si="3"/>
        <v xml:space="preserve">    </v>
      </c>
      <c r="I1020" s="12"/>
      <c r="N1020" s="6"/>
      <c r="O1020" s="6"/>
    </row>
    <row r="1021" spans="5:15" ht="15.5" x14ac:dyDescent="0.35">
      <c r="E1021" s="14"/>
      <c r="F1021" s="1"/>
      <c r="H1021" s="12" t="str">
        <f t="shared" si="3"/>
        <v xml:space="preserve">    </v>
      </c>
      <c r="I1021" s="12"/>
      <c r="N1021" s="6"/>
      <c r="O1021" s="6"/>
    </row>
    <row r="1022" spans="5:15" ht="15.5" x14ac:dyDescent="0.35">
      <c r="E1022" s="14"/>
      <c r="F1022" s="1"/>
      <c r="H1022" s="12" t="str">
        <f t="shared" ref="H1022:H1276" si="4">(E1022&amp;"  "&amp;F1022&amp;"  "&amp;G1022)</f>
        <v xml:space="preserve">    </v>
      </c>
      <c r="I1022" s="12"/>
      <c r="N1022" s="6"/>
      <c r="O1022" s="6"/>
    </row>
    <row r="1023" spans="5:15" ht="15.5" x14ac:dyDescent="0.35">
      <c r="E1023" s="14"/>
      <c r="F1023" s="1"/>
      <c r="H1023" s="12" t="str">
        <f t="shared" si="4"/>
        <v xml:space="preserve">    </v>
      </c>
      <c r="I1023" s="12"/>
      <c r="N1023" s="6"/>
      <c r="O1023" s="6"/>
    </row>
    <row r="1024" spans="5:15" ht="15.5" x14ac:dyDescent="0.35">
      <c r="E1024" s="14"/>
      <c r="F1024" s="1"/>
      <c r="H1024" s="12" t="str">
        <f t="shared" si="4"/>
        <v xml:space="preserve">    </v>
      </c>
      <c r="I1024" s="12"/>
      <c r="N1024" s="6"/>
      <c r="O1024" s="6"/>
    </row>
    <row r="1025" spans="5:15" ht="15.5" x14ac:dyDescent="0.35">
      <c r="E1025" s="14"/>
      <c r="F1025" s="1"/>
      <c r="H1025" s="12" t="str">
        <f t="shared" si="4"/>
        <v xml:space="preserve">    </v>
      </c>
      <c r="I1025" s="12"/>
      <c r="N1025" s="6"/>
      <c r="O1025" s="6"/>
    </row>
    <row r="1026" spans="5:15" ht="15.5" x14ac:dyDescent="0.35">
      <c r="E1026" s="14"/>
      <c r="F1026" s="1"/>
      <c r="H1026" s="12" t="str">
        <f t="shared" si="4"/>
        <v xml:space="preserve">    </v>
      </c>
      <c r="I1026" s="12"/>
      <c r="N1026" s="6"/>
      <c r="O1026" s="6"/>
    </row>
    <row r="1027" spans="5:15" ht="15.5" x14ac:dyDescent="0.35">
      <c r="E1027" s="14"/>
      <c r="F1027" s="1"/>
      <c r="H1027" s="12" t="str">
        <f t="shared" si="4"/>
        <v xml:space="preserve">    </v>
      </c>
      <c r="I1027" s="12"/>
      <c r="N1027" s="6"/>
      <c r="O1027" s="6"/>
    </row>
    <row r="1028" spans="5:15" ht="15.5" x14ac:dyDescent="0.35">
      <c r="E1028" s="14"/>
      <c r="F1028" s="1"/>
      <c r="H1028" s="12" t="str">
        <f t="shared" si="4"/>
        <v xml:space="preserve">    </v>
      </c>
      <c r="I1028" s="12"/>
      <c r="N1028" s="6"/>
      <c r="O1028" s="6"/>
    </row>
    <row r="1029" spans="5:15" ht="15.5" x14ac:dyDescent="0.35">
      <c r="E1029" s="14"/>
      <c r="F1029" s="1"/>
      <c r="H1029" s="12" t="str">
        <f t="shared" si="4"/>
        <v xml:space="preserve">    </v>
      </c>
      <c r="I1029" s="12"/>
      <c r="N1029" s="6"/>
      <c r="O1029" s="6"/>
    </row>
    <row r="1030" spans="5:15" ht="15.5" x14ac:dyDescent="0.35">
      <c r="E1030" s="14"/>
      <c r="F1030" s="1"/>
      <c r="H1030" s="12" t="str">
        <f t="shared" si="4"/>
        <v xml:space="preserve">    </v>
      </c>
      <c r="I1030" s="12"/>
      <c r="N1030" s="6"/>
      <c r="O1030" s="6"/>
    </row>
    <row r="1031" spans="5:15" ht="15.5" x14ac:dyDescent="0.35">
      <c r="E1031" s="14"/>
      <c r="F1031" s="1"/>
      <c r="H1031" s="12" t="str">
        <f t="shared" si="4"/>
        <v xml:space="preserve">    </v>
      </c>
      <c r="I1031" s="12"/>
      <c r="N1031" s="6"/>
      <c r="O1031" s="6"/>
    </row>
    <row r="1032" spans="5:15" ht="15.5" x14ac:dyDescent="0.35">
      <c r="E1032" s="14"/>
      <c r="F1032" s="1"/>
      <c r="H1032" s="12" t="str">
        <f t="shared" si="4"/>
        <v xml:space="preserve">    </v>
      </c>
      <c r="I1032" s="12"/>
      <c r="N1032" s="6"/>
      <c r="O1032" s="6"/>
    </row>
    <row r="1033" spans="5:15" ht="15.5" x14ac:dyDescent="0.35">
      <c r="E1033" s="14"/>
      <c r="F1033" s="1"/>
      <c r="H1033" s="12" t="str">
        <f t="shared" si="4"/>
        <v xml:space="preserve">    </v>
      </c>
      <c r="I1033" s="12"/>
      <c r="N1033" s="6"/>
      <c r="O1033" s="6"/>
    </row>
    <row r="1034" spans="5:15" ht="15.5" x14ac:dyDescent="0.35">
      <c r="E1034" s="14"/>
      <c r="F1034" s="1"/>
      <c r="H1034" s="12" t="str">
        <f t="shared" si="4"/>
        <v xml:space="preserve">    </v>
      </c>
      <c r="I1034" s="12"/>
      <c r="N1034" s="6"/>
      <c r="O1034" s="6"/>
    </row>
    <row r="1035" spans="5:15" ht="15.5" x14ac:dyDescent="0.35">
      <c r="E1035" s="14"/>
      <c r="F1035" s="1"/>
      <c r="H1035" s="12" t="str">
        <f t="shared" si="4"/>
        <v xml:space="preserve">    </v>
      </c>
      <c r="I1035" s="12"/>
      <c r="N1035" s="6"/>
      <c r="O1035" s="6"/>
    </row>
    <row r="1036" spans="5:15" ht="15.5" x14ac:dyDescent="0.35">
      <c r="E1036" s="14"/>
      <c r="F1036" s="1"/>
      <c r="H1036" s="12" t="str">
        <f t="shared" si="4"/>
        <v xml:space="preserve">    </v>
      </c>
      <c r="I1036" s="12"/>
      <c r="N1036" s="6"/>
      <c r="O1036" s="6"/>
    </row>
    <row r="1037" spans="5:15" ht="15.5" x14ac:dyDescent="0.35">
      <c r="E1037" s="14"/>
      <c r="F1037" s="1"/>
      <c r="H1037" s="12" t="str">
        <f t="shared" si="4"/>
        <v xml:space="preserve">    </v>
      </c>
      <c r="I1037" s="12"/>
      <c r="N1037" s="6"/>
      <c r="O1037" s="6"/>
    </row>
    <row r="1038" spans="5:15" ht="15.5" x14ac:dyDescent="0.35">
      <c r="E1038" s="14"/>
      <c r="F1038" s="1"/>
      <c r="H1038" s="12" t="str">
        <f t="shared" si="4"/>
        <v xml:space="preserve">    </v>
      </c>
      <c r="I1038" s="12"/>
      <c r="N1038" s="6"/>
      <c r="O1038" s="6"/>
    </row>
    <row r="1039" spans="5:15" ht="15.5" x14ac:dyDescent="0.35">
      <c r="E1039" s="14"/>
      <c r="F1039" s="1"/>
      <c r="H1039" s="12" t="str">
        <f t="shared" si="4"/>
        <v xml:space="preserve">    </v>
      </c>
      <c r="I1039" s="12"/>
      <c r="N1039" s="6"/>
      <c r="O1039" s="6"/>
    </row>
    <row r="1040" spans="5:15" ht="15.5" x14ac:dyDescent="0.35">
      <c r="E1040" s="14"/>
      <c r="F1040" s="1"/>
      <c r="H1040" s="12" t="str">
        <f t="shared" si="4"/>
        <v xml:space="preserve">    </v>
      </c>
      <c r="I1040" s="12"/>
      <c r="N1040" s="6"/>
      <c r="O1040" s="6"/>
    </row>
    <row r="1041" spans="5:15" ht="15.5" x14ac:dyDescent="0.35">
      <c r="E1041" s="14"/>
      <c r="F1041" s="1"/>
      <c r="H1041" s="12" t="str">
        <f t="shared" si="4"/>
        <v xml:space="preserve">    </v>
      </c>
      <c r="I1041" s="12"/>
      <c r="N1041" s="6"/>
      <c r="O1041" s="6"/>
    </row>
    <row r="1042" spans="5:15" ht="15.5" x14ac:dyDescent="0.35">
      <c r="E1042" s="14"/>
      <c r="F1042" s="1"/>
      <c r="H1042" s="12" t="str">
        <f t="shared" si="4"/>
        <v xml:space="preserve">    </v>
      </c>
      <c r="I1042" s="12"/>
      <c r="N1042" s="6"/>
      <c r="O1042" s="6"/>
    </row>
    <row r="1043" spans="5:15" ht="15.5" x14ac:dyDescent="0.35">
      <c r="E1043" s="14"/>
      <c r="F1043" s="1"/>
      <c r="H1043" s="12" t="str">
        <f t="shared" si="4"/>
        <v xml:space="preserve">    </v>
      </c>
      <c r="I1043" s="12"/>
      <c r="N1043" s="6"/>
      <c r="O1043" s="6"/>
    </row>
    <row r="1044" spans="5:15" ht="15.5" x14ac:dyDescent="0.35">
      <c r="E1044" s="14"/>
      <c r="F1044" s="1"/>
      <c r="H1044" s="12" t="str">
        <f t="shared" si="4"/>
        <v xml:space="preserve">    </v>
      </c>
      <c r="I1044" s="12"/>
      <c r="N1044" s="6"/>
      <c r="O1044" s="6"/>
    </row>
    <row r="1045" spans="5:15" ht="15.5" x14ac:dyDescent="0.35">
      <c r="E1045" s="14"/>
      <c r="F1045" s="1"/>
      <c r="H1045" s="12" t="str">
        <f t="shared" si="4"/>
        <v xml:space="preserve">    </v>
      </c>
      <c r="I1045" s="12"/>
      <c r="N1045" s="6"/>
      <c r="O1045" s="6"/>
    </row>
    <row r="1046" spans="5:15" ht="15.5" x14ac:dyDescent="0.35">
      <c r="E1046" s="14"/>
      <c r="F1046" s="1"/>
      <c r="H1046" s="12" t="str">
        <f t="shared" si="4"/>
        <v xml:space="preserve">    </v>
      </c>
      <c r="I1046" s="12"/>
      <c r="N1046" s="6"/>
      <c r="O1046" s="6"/>
    </row>
    <row r="1047" spans="5:15" ht="15.5" x14ac:dyDescent="0.35">
      <c r="E1047" s="14"/>
      <c r="F1047" s="1"/>
      <c r="H1047" s="12" t="str">
        <f t="shared" si="4"/>
        <v xml:space="preserve">    </v>
      </c>
      <c r="I1047" s="12"/>
      <c r="N1047" s="6"/>
      <c r="O1047" s="6"/>
    </row>
    <row r="1048" spans="5:15" ht="15.5" x14ac:dyDescent="0.35">
      <c r="E1048" s="14"/>
      <c r="F1048" s="1"/>
      <c r="H1048" s="12" t="str">
        <f t="shared" si="4"/>
        <v xml:space="preserve">    </v>
      </c>
      <c r="I1048" s="12"/>
      <c r="N1048" s="6"/>
      <c r="O1048" s="6"/>
    </row>
    <row r="1049" spans="5:15" ht="15.5" x14ac:dyDescent="0.35">
      <c r="E1049" s="14"/>
      <c r="F1049" s="1"/>
      <c r="H1049" s="12" t="str">
        <f t="shared" si="4"/>
        <v xml:space="preserve">    </v>
      </c>
      <c r="I1049" s="12"/>
      <c r="N1049" s="6"/>
      <c r="O1049" s="6"/>
    </row>
    <row r="1050" spans="5:15" ht="15.5" x14ac:dyDescent="0.35">
      <c r="E1050" s="14"/>
      <c r="F1050" s="1"/>
      <c r="H1050" s="12" t="str">
        <f t="shared" si="4"/>
        <v xml:space="preserve">    </v>
      </c>
      <c r="I1050" s="12"/>
      <c r="N1050" s="6"/>
      <c r="O1050" s="6"/>
    </row>
    <row r="1051" spans="5:15" ht="15.5" x14ac:dyDescent="0.35">
      <c r="E1051" s="14"/>
      <c r="F1051" s="1"/>
      <c r="H1051" s="12" t="str">
        <f t="shared" si="4"/>
        <v xml:space="preserve">    </v>
      </c>
      <c r="I1051" s="12"/>
      <c r="N1051" s="6"/>
      <c r="O1051" s="6"/>
    </row>
    <row r="1052" spans="5:15" ht="15.5" x14ac:dyDescent="0.35">
      <c r="E1052" s="14"/>
      <c r="F1052" s="1"/>
      <c r="H1052" s="12" t="str">
        <f t="shared" si="4"/>
        <v xml:space="preserve">    </v>
      </c>
      <c r="I1052" s="12"/>
      <c r="N1052" s="6"/>
      <c r="O1052" s="6"/>
    </row>
    <row r="1053" spans="5:15" ht="15.5" x14ac:dyDescent="0.35">
      <c r="E1053" s="14"/>
      <c r="F1053" s="1"/>
      <c r="H1053" s="12" t="str">
        <f t="shared" si="4"/>
        <v xml:space="preserve">    </v>
      </c>
      <c r="I1053" s="12"/>
      <c r="N1053" s="6"/>
      <c r="O1053" s="6"/>
    </row>
    <row r="1054" spans="5:15" ht="15.5" x14ac:dyDescent="0.35">
      <c r="E1054" s="14"/>
      <c r="F1054" s="1"/>
      <c r="H1054" s="12" t="str">
        <f t="shared" si="4"/>
        <v xml:space="preserve">    </v>
      </c>
      <c r="I1054" s="12"/>
      <c r="N1054" s="6"/>
      <c r="O1054" s="6"/>
    </row>
    <row r="1055" spans="5:15" ht="15.5" x14ac:dyDescent="0.35">
      <c r="E1055" s="14"/>
      <c r="F1055" s="1"/>
      <c r="H1055" s="12" t="str">
        <f t="shared" si="4"/>
        <v xml:space="preserve">    </v>
      </c>
      <c r="I1055" s="12"/>
      <c r="N1055" s="6"/>
      <c r="O1055" s="6"/>
    </row>
    <row r="1056" spans="5:15" ht="15.5" x14ac:dyDescent="0.35">
      <c r="E1056" s="14"/>
      <c r="F1056" s="1"/>
      <c r="H1056" s="12" t="str">
        <f t="shared" si="4"/>
        <v xml:space="preserve">    </v>
      </c>
      <c r="I1056" s="12"/>
      <c r="N1056" s="6"/>
      <c r="O1056" s="6"/>
    </row>
    <row r="1057" spans="5:15" ht="15.5" x14ac:dyDescent="0.35">
      <c r="E1057" s="14"/>
      <c r="F1057" s="1"/>
      <c r="H1057" s="12" t="str">
        <f t="shared" si="4"/>
        <v xml:space="preserve">    </v>
      </c>
      <c r="I1057" s="12"/>
      <c r="N1057" s="6"/>
      <c r="O1057" s="6"/>
    </row>
    <row r="1058" spans="5:15" ht="15.5" x14ac:dyDescent="0.35">
      <c r="E1058" s="14"/>
      <c r="F1058" s="1"/>
      <c r="H1058" s="12" t="str">
        <f t="shared" si="4"/>
        <v xml:space="preserve">    </v>
      </c>
      <c r="I1058" s="12"/>
      <c r="N1058" s="6"/>
      <c r="O1058" s="6"/>
    </row>
    <row r="1059" spans="5:15" ht="15.5" x14ac:dyDescent="0.35">
      <c r="E1059" s="14"/>
      <c r="F1059" s="1"/>
      <c r="H1059" s="12" t="str">
        <f t="shared" si="4"/>
        <v xml:space="preserve">    </v>
      </c>
      <c r="I1059" s="12"/>
      <c r="N1059" s="6"/>
      <c r="O1059" s="6"/>
    </row>
    <row r="1060" spans="5:15" ht="15.5" x14ac:dyDescent="0.35">
      <c r="E1060" s="14"/>
      <c r="F1060" s="1"/>
      <c r="H1060" s="12" t="str">
        <f t="shared" si="4"/>
        <v xml:space="preserve">    </v>
      </c>
      <c r="I1060" s="12"/>
      <c r="N1060" s="6"/>
      <c r="O1060" s="6"/>
    </row>
    <row r="1061" spans="5:15" ht="15.5" x14ac:dyDescent="0.35">
      <c r="E1061" s="14"/>
      <c r="F1061" s="1"/>
      <c r="H1061" s="12" t="str">
        <f t="shared" si="4"/>
        <v xml:space="preserve">    </v>
      </c>
      <c r="I1061" s="12"/>
      <c r="N1061" s="6"/>
      <c r="O1061" s="6"/>
    </row>
    <row r="1062" spans="5:15" ht="15.5" x14ac:dyDescent="0.35">
      <c r="E1062" s="14"/>
      <c r="F1062" s="1"/>
      <c r="H1062" s="12" t="str">
        <f t="shared" si="4"/>
        <v xml:space="preserve">    </v>
      </c>
      <c r="I1062" s="12"/>
      <c r="N1062" s="6"/>
      <c r="O1062" s="6"/>
    </row>
    <row r="1063" spans="5:15" ht="15.5" x14ac:dyDescent="0.35">
      <c r="E1063" s="14"/>
      <c r="F1063" s="1"/>
      <c r="H1063" s="12" t="str">
        <f t="shared" si="4"/>
        <v xml:space="preserve">    </v>
      </c>
      <c r="I1063" s="12"/>
      <c r="N1063" s="6"/>
      <c r="O1063" s="6"/>
    </row>
    <row r="1064" spans="5:15" ht="15.5" x14ac:dyDescent="0.35">
      <c r="E1064" s="14"/>
      <c r="F1064" s="1"/>
      <c r="H1064" s="12" t="str">
        <f t="shared" si="4"/>
        <v xml:space="preserve">    </v>
      </c>
      <c r="I1064" s="12"/>
      <c r="N1064" s="6"/>
      <c r="O1064" s="6"/>
    </row>
    <row r="1065" spans="5:15" ht="15.5" x14ac:dyDescent="0.35">
      <c r="E1065" s="14"/>
      <c r="F1065" s="1"/>
      <c r="H1065" s="12" t="str">
        <f t="shared" si="4"/>
        <v xml:space="preserve">    </v>
      </c>
      <c r="I1065" s="12"/>
      <c r="N1065" s="6"/>
      <c r="O1065" s="6"/>
    </row>
    <row r="1066" spans="5:15" ht="15.5" x14ac:dyDescent="0.35">
      <c r="E1066" s="14"/>
      <c r="F1066" s="1"/>
      <c r="H1066" s="12" t="str">
        <f t="shared" si="4"/>
        <v xml:space="preserve">    </v>
      </c>
      <c r="I1066" s="12"/>
      <c r="N1066" s="6"/>
      <c r="O1066" s="6"/>
    </row>
    <row r="1067" spans="5:15" ht="15.5" x14ac:dyDescent="0.35">
      <c r="E1067" s="14"/>
      <c r="F1067" s="1"/>
      <c r="H1067" s="12" t="str">
        <f t="shared" si="4"/>
        <v xml:space="preserve">    </v>
      </c>
      <c r="I1067" s="12"/>
      <c r="N1067" s="6"/>
      <c r="O1067" s="6"/>
    </row>
    <row r="1068" spans="5:15" ht="15.5" x14ac:dyDescent="0.35">
      <c r="E1068" s="14"/>
      <c r="F1068" s="1"/>
      <c r="H1068" s="12" t="str">
        <f t="shared" si="4"/>
        <v xml:space="preserve">    </v>
      </c>
      <c r="I1068" s="12"/>
      <c r="N1068" s="6"/>
      <c r="O1068" s="6"/>
    </row>
    <row r="1069" spans="5:15" ht="15.5" x14ac:dyDescent="0.35">
      <c r="E1069" s="14"/>
      <c r="F1069" s="1"/>
      <c r="H1069" s="12" t="str">
        <f t="shared" si="4"/>
        <v xml:space="preserve">    </v>
      </c>
      <c r="I1069" s="12"/>
      <c r="N1069" s="6"/>
      <c r="O1069" s="6"/>
    </row>
    <row r="1070" spans="5:15" ht="15.5" x14ac:dyDescent="0.35">
      <c r="E1070" s="14"/>
      <c r="F1070" s="1"/>
      <c r="H1070" s="12" t="str">
        <f t="shared" si="4"/>
        <v xml:space="preserve">    </v>
      </c>
      <c r="I1070" s="12"/>
      <c r="N1070" s="6"/>
      <c r="O1070" s="6"/>
    </row>
    <row r="1071" spans="5:15" ht="15.5" x14ac:dyDescent="0.35">
      <c r="E1071" s="14"/>
      <c r="F1071" s="1"/>
      <c r="H1071" s="12" t="str">
        <f t="shared" si="4"/>
        <v xml:space="preserve">    </v>
      </c>
      <c r="I1071" s="12"/>
      <c r="N1071" s="6"/>
      <c r="O1071" s="6"/>
    </row>
    <row r="1072" spans="5:15" ht="15.5" x14ac:dyDescent="0.35">
      <c r="E1072" s="14"/>
      <c r="F1072" s="1"/>
      <c r="H1072" s="12" t="str">
        <f t="shared" si="4"/>
        <v xml:space="preserve">    </v>
      </c>
      <c r="I1072" s="12"/>
      <c r="N1072" s="6"/>
      <c r="O1072" s="6"/>
    </row>
    <row r="1073" spans="5:15" ht="15.5" x14ac:dyDescent="0.35">
      <c r="E1073" s="14"/>
      <c r="F1073" s="1"/>
      <c r="H1073" s="12" t="str">
        <f t="shared" si="4"/>
        <v xml:space="preserve">    </v>
      </c>
      <c r="I1073" s="12"/>
      <c r="N1073" s="6"/>
      <c r="O1073" s="6"/>
    </row>
    <row r="1074" spans="5:15" ht="15.5" x14ac:dyDescent="0.35">
      <c r="E1074" s="14"/>
      <c r="F1074" s="1"/>
      <c r="H1074" s="12" t="str">
        <f t="shared" si="4"/>
        <v xml:space="preserve">    </v>
      </c>
      <c r="I1074" s="12"/>
      <c r="N1074" s="6"/>
      <c r="O1074" s="6"/>
    </row>
    <row r="1075" spans="5:15" ht="15.5" x14ac:dyDescent="0.35">
      <c r="E1075" s="14"/>
      <c r="F1075" s="1"/>
      <c r="H1075" s="12" t="str">
        <f t="shared" si="4"/>
        <v xml:space="preserve">    </v>
      </c>
      <c r="I1075" s="12"/>
      <c r="N1075" s="6"/>
      <c r="O1075" s="6"/>
    </row>
    <row r="1076" spans="5:15" ht="15.5" x14ac:dyDescent="0.35">
      <c r="E1076" s="14"/>
      <c r="F1076" s="1"/>
      <c r="H1076" s="12" t="str">
        <f t="shared" si="4"/>
        <v xml:space="preserve">    </v>
      </c>
      <c r="I1076" s="12"/>
      <c r="N1076" s="6"/>
      <c r="O1076" s="6"/>
    </row>
    <row r="1077" spans="5:15" ht="15.5" x14ac:dyDescent="0.35">
      <c r="E1077" s="14"/>
      <c r="F1077" s="1"/>
      <c r="H1077" s="12" t="str">
        <f t="shared" si="4"/>
        <v xml:space="preserve">    </v>
      </c>
      <c r="I1077" s="12"/>
      <c r="N1077" s="6"/>
      <c r="O1077" s="6"/>
    </row>
    <row r="1078" spans="5:15" ht="15.5" x14ac:dyDescent="0.35">
      <c r="E1078" s="14"/>
      <c r="F1078" s="1"/>
      <c r="H1078" s="12" t="str">
        <f t="shared" si="4"/>
        <v xml:space="preserve">    </v>
      </c>
      <c r="I1078" s="12"/>
      <c r="N1078" s="6"/>
      <c r="O1078" s="6"/>
    </row>
    <row r="1079" spans="5:15" ht="15.5" x14ac:dyDescent="0.35">
      <c r="E1079" s="14"/>
      <c r="F1079" s="1"/>
      <c r="H1079" s="12" t="str">
        <f t="shared" si="4"/>
        <v xml:space="preserve">    </v>
      </c>
      <c r="I1079" s="12"/>
      <c r="N1079" s="6"/>
      <c r="O1079" s="6"/>
    </row>
    <row r="1080" spans="5:15" ht="15.5" x14ac:dyDescent="0.35">
      <c r="E1080" s="14"/>
      <c r="F1080" s="1"/>
      <c r="H1080" s="12" t="str">
        <f t="shared" si="4"/>
        <v xml:space="preserve">    </v>
      </c>
      <c r="I1080" s="12"/>
      <c r="N1080" s="6"/>
      <c r="O1080" s="6"/>
    </row>
    <row r="1081" spans="5:15" ht="15.5" x14ac:dyDescent="0.35">
      <c r="E1081" s="14"/>
      <c r="F1081" s="1"/>
      <c r="H1081" s="12" t="str">
        <f t="shared" si="4"/>
        <v xml:space="preserve">    </v>
      </c>
      <c r="I1081" s="12"/>
      <c r="N1081" s="6"/>
      <c r="O1081" s="6"/>
    </row>
    <row r="1082" spans="5:15" ht="15.5" x14ac:dyDescent="0.35">
      <c r="E1082" s="14"/>
      <c r="F1082" s="1"/>
      <c r="H1082" s="12" t="str">
        <f t="shared" si="4"/>
        <v xml:space="preserve">    </v>
      </c>
      <c r="I1082" s="12"/>
      <c r="N1082" s="6"/>
      <c r="O1082" s="6"/>
    </row>
    <row r="1083" spans="5:15" ht="15.5" x14ac:dyDescent="0.35">
      <c r="E1083" s="14"/>
      <c r="F1083" s="1"/>
      <c r="H1083" s="12" t="str">
        <f t="shared" si="4"/>
        <v xml:space="preserve">    </v>
      </c>
      <c r="I1083" s="12"/>
      <c r="N1083" s="6"/>
      <c r="O1083" s="6"/>
    </row>
    <row r="1084" spans="5:15" ht="15.5" x14ac:dyDescent="0.35">
      <c r="E1084" s="14"/>
      <c r="F1084" s="1"/>
      <c r="H1084" s="12" t="str">
        <f t="shared" si="4"/>
        <v xml:space="preserve">    </v>
      </c>
      <c r="I1084" s="12"/>
      <c r="N1084" s="6"/>
      <c r="O1084" s="6"/>
    </row>
    <row r="1085" spans="5:15" ht="15.5" x14ac:dyDescent="0.35">
      <c r="E1085" s="14"/>
      <c r="F1085" s="1"/>
      <c r="H1085" s="12" t="str">
        <f t="shared" si="4"/>
        <v xml:space="preserve">    </v>
      </c>
      <c r="I1085" s="12"/>
      <c r="N1085" s="6"/>
      <c r="O1085" s="6"/>
    </row>
    <row r="1086" spans="5:15" ht="15.5" x14ac:dyDescent="0.35">
      <c r="E1086" s="14"/>
      <c r="F1086" s="1"/>
      <c r="H1086" s="12" t="str">
        <f t="shared" si="4"/>
        <v xml:space="preserve">    </v>
      </c>
      <c r="I1086" s="12"/>
      <c r="N1086" s="6"/>
      <c r="O1086" s="6"/>
    </row>
    <row r="1087" spans="5:15" ht="15.5" x14ac:dyDescent="0.35">
      <c r="E1087" s="14"/>
      <c r="F1087" s="1"/>
      <c r="H1087" s="12" t="str">
        <f t="shared" si="4"/>
        <v xml:space="preserve">    </v>
      </c>
      <c r="I1087" s="12"/>
      <c r="N1087" s="6"/>
      <c r="O1087" s="6"/>
    </row>
    <row r="1088" spans="5:15" ht="15.5" x14ac:dyDescent="0.35">
      <c r="E1088" s="14"/>
      <c r="F1088" s="1"/>
      <c r="H1088" s="12" t="str">
        <f t="shared" si="4"/>
        <v xml:space="preserve">    </v>
      </c>
      <c r="I1088" s="12"/>
      <c r="N1088" s="6"/>
      <c r="O1088" s="6"/>
    </row>
    <row r="1089" spans="5:15" ht="15.5" x14ac:dyDescent="0.35">
      <c r="E1089" s="14"/>
      <c r="F1089" s="1"/>
      <c r="H1089" s="12" t="str">
        <f t="shared" si="4"/>
        <v xml:space="preserve">    </v>
      </c>
      <c r="I1089" s="12"/>
      <c r="N1089" s="6"/>
      <c r="O1089" s="6"/>
    </row>
    <row r="1090" spans="5:15" ht="15.5" x14ac:dyDescent="0.35">
      <c r="E1090" s="14"/>
      <c r="F1090" s="1"/>
      <c r="H1090" s="12" t="str">
        <f t="shared" si="4"/>
        <v xml:space="preserve">    </v>
      </c>
      <c r="I1090" s="12"/>
      <c r="N1090" s="6"/>
      <c r="O1090" s="6"/>
    </row>
    <row r="1091" spans="5:15" ht="15.5" x14ac:dyDescent="0.35">
      <c r="E1091" s="14"/>
      <c r="F1091" s="1"/>
      <c r="H1091" s="12" t="str">
        <f t="shared" si="4"/>
        <v xml:space="preserve">    </v>
      </c>
      <c r="I1091" s="12"/>
      <c r="N1091" s="6"/>
      <c r="O1091" s="6"/>
    </row>
    <row r="1092" spans="5:15" ht="15.5" x14ac:dyDescent="0.35">
      <c r="E1092" s="14"/>
      <c r="F1092" s="1"/>
      <c r="H1092" s="12" t="str">
        <f t="shared" si="4"/>
        <v xml:space="preserve">    </v>
      </c>
      <c r="I1092" s="12"/>
      <c r="N1092" s="6"/>
      <c r="O1092" s="6"/>
    </row>
    <row r="1093" spans="5:15" ht="15.5" x14ac:dyDescent="0.35">
      <c r="E1093" s="14"/>
      <c r="F1093" s="1"/>
      <c r="H1093" s="12" t="str">
        <f t="shared" si="4"/>
        <v xml:space="preserve">    </v>
      </c>
      <c r="I1093" s="12"/>
      <c r="N1093" s="6"/>
      <c r="O1093" s="6"/>
    </row>
    <row r="1094" spans="5:15" ht="15.5" x14ac:dyDescent="0.35">
      <c r="E1094" s="14"/>
      <c r="F1094" s="1"/>
      <c r="H1094" s="12" t="str">
        <f t="shared" si="4"/>
        <v xml:space="preserve">    </v>
      </c>
      <c r="I1094" s="12"/>
      <c r="N1094" s="6"/>
      <c r="O1094" s="6"/>
    </row>
    <row r="1095" spans="5:15" ht="15.5" x14ac:dyDescent="0.35">
      <c r="E1095" s="14"/>
      <c r="F1095" s="1"/>
      <c r="H1095" s="12" t="str">
        <f t="shared" si="4"/>
        <v xml:space="preserve">    </v>
      </c>
      <c r="I1095" s="12"/>
      <c r="N1095" s="6"/>
      <c r="O1095" s="6"/>
    </row>
    <row r="1096" spans="5:15" ht="15.5" x14ac:dyDescent="0.35">
      <c r="E1096" s="14"/>
      <c r="F1096" s="1"/>
      <c r="H1096" s="12" t="str">
        <f t="shared" si="4"/>
        <v xml:space="preserve">    </v>
      </c>
      <c r="I1096" s="12"/>
      <c r="N1096" s="6"/>
      <c r="O1096" s="6"/>
    </row>
    <row r="1097" spans="5:15" ht="15.5" x14ac:dyDescent="0.35">
      <c r="E1097" s="14"/>
      <c r="F1097" s="1"/>
      <c r="H1097" s="12" t="str">
        <f t="shared" si="4"/>
        <v xml:space="preserve">    </v>
      </c>
      <c r="I1097" s="12"/>
      <c r="N1097" s="6"/>
      <c r="O1097" s="6"/>
    </row>
    <row r="1098" spans="5:15" ht="15.5" x14ac:dyDescent="0.35">
      <c r="E1098" s="14"/>
      <c r="F1098" s="1"/>
      <c r="H1098" s="12" t="str">
        <f t="shared" si="4"/>
        <v xml:space="preserve">    </v>
      </c>
      <c r="I1098" s="12"/>
      <c r="N1098" s="6"/>
      <c r="O1098" s="6"/>
    </row>
    <row r="1099" spans="5:15" ht="15.5" x14ac:dyDescent="0.35">
      <c r="E1099" s="14"/>
      <c r="F1099" s="1"/>
      <c r="H1099" s="12" t="str">
        <f t="shared" si="4"/>
        <v xml:space="preserve">    </v>
      </c>
      <c r="I1099" s="12"/>
      <c r="N1099" s="6"/>
      <c r="O1099" s="6"/>
    </row>
    <row r="1100" spans="5:15" ht="15.5" x14ac:dyDescent="0.35">
      <c r="E1100" s="14"/>
      <c r="F1100" s="1"/>
      <c r="H1100" s="12" t="str">
        <f t="shared" si="4"/>
        <v xml:space="preserve">    </v>
      </c>
      <c r="I1100" s="12"/>
      <c r="N1100" s="6"/>
      <c r="O1100" s="6"/>
    </row>
    <row r="1101" spans="5:15" ht="15.5" x14ac:dyDescent="0.35">
      <c r="E1101" s="14"/>
      <c r="F1101" s="1"/>
      <c r="H1101" s="12" t="str">
        <f t="shared" si="4"/>
        <v xml:space="preserve">    </v>
      </c>
      <c r="I1101" s="12"/>
      <c r="N1101" s="6"/>
      <c r="O1101" s="6"/>
    </row>
    <row r="1102" spans="5:15" ht="15.5" x14ac:dyDescent="0.35">
      <c r="E1102" s="14"/>
      <c r="F1102" s="1"/>
      <c r="H1102" s="12" t="str">
        <f t="shared" si="4"/>
        <v xml:space="preserve">    </v>
      </c>
      <c r="I1102" s="12"/>
      <c r="N1102" s="6"/>
      <c r="O1102" s="6"/>
    </row>
    <row r="1103" spans="5:15" ht="15.5" x14ac:dyDescent="0.35">
      <c r="E1103" s="14"/>
      <c r="F1103" s="1"/>
      <c r="H1103" s="12" t="str">
        <f t="shared" si="4"/>
        <v xml:space="preserve">    </v>
      </c>
      <c r="I1103" s="12"/>
      <c r="N1103" s="6"/>
      <c r="O1103" s="6"/>
    </row>
    <row r="1104" spans="5:15" ht="15.5" x14ac:dyDescent="0.35">
      <c r="E1104" s="14"/>
      <c r="F1104" s="1"/>
      <c r="H1104" s="12" t="str">
        <f t="shared" si="4"/>
        <v xml:space="preserve">    </v>
      </c>
      <c r="I1104" s="12"/>
      <c r="N1104" s="6"/>
      <c r="O1104" s="6"/>
    </row>
    <row r="1105" spans="5:15" ht="15.5" x14ac:dyDescent="0.35">
      <c r="E1105" s="14"/>
      <c r="F1105" s="1"/>
      <c r="H1105" s="12" t="str">
        <f t="shared" si="4"/>
        <v xml:space="preserve">    </v>
      </c>
      <c r="I1105" s="12"/>
      <c r="N1105" s="6"/>
      <c r="O1105" s="6"/>
    </row>
    <row r="1106" spans="5:15" ht="15.5" x14ac:dyDescent="0.35">
      <c r="E1106" s="14"/>
      <c r="F1106" s="1"/>
      <c r="H1106" s="12" t="str">
        <f t="shared" si="4"/>
        <v xml:space="preserve">    </v>
      </c>
      <c r="I1106" s="12"/>
      <c r="N1106" s="6"/>
      <c r="O1106" s="6"/>
    </row>
    <row r="1107" spans="5:15" ht="15.5" x14ac:dyDescent="0.35">
      <c r="E1107" s="14"/>
      <c r="F1107" s="1"/>
      <c r="H1107" s="12" t="str">
        <f t="shared" si="4"/>
        <v xml:space="preserve">    </v>
      </c>
      <c r="I1107" s="12"/>
      <c r="N1107" s="6"/>
      <c r="O1107" s="6"/>
    </row>
    <row r="1108" spans="5:15" ht="15.5" x14ac:dyDescent="0.35">
      <c r="E1108" s="14"/>
      <c r="F1108" s="1"/>
      <c r="H1108" s="12" t="str">
        <f t="shared" si="4"/>
        <v xml:space="preserve">    </v>
      </c>
      <c r="I1108" s="12"/>
      <c r="N1108" s="6"/>
      <c r="O1108" s="6"/>
    </row>
    <row r="1109" spans="5:15" ht="15.5" x14ac:dyDescent="0.35">
      <c r="E1109" s="14"/>
      <c r="F1109" s="1"/>
      <c r="H1109" s="12" t="str">
        <f t="shared" si="4"/>
        <v xml:space="preserve">    </v>
      </c>
      <c r="I1109" s="12"/>
      <c r="N1109" s="6"/>
      <c r="O1109" s="6"/>
    </row>
    <row r="1110" spans="5:15" ht="15.5" x14ac:dyDescent="0.35">
      <c r="E1110" s="14"/>
      <c r="F1110" s="1"/>
      <c r="H1110" s="12" t="str">
        <f t="shared" si="4"/>
        <v xml:space="preserve">    </v>
      </c>
      <c r="I1110" s="12"/>
      <c r="N1110" s="6"/>
      <c r="O1110" s="6"/>
    </row>
    <row r="1111" spans="5:15" ht="15.5" x14ac:dyDescent="0.35">
      <c r="E1111" s="14"/>
      <c r="F1111" s="1"/>
      <c r="H1111" s="12" t="str">
        <f t="shared" si="4"/>
        <v xml:space="preserve">    </v>
      </c>
      <c r="I1111" s="12"/>
      <c r="N1111" s="6"/>
      <c r="O1111" s="6"/>
    </row>
    <row r="1112" spans="5:15" ht="15.5" x14ac:dyDescent="0.35">
      <c r="E1112" s="14"/>
      <c r="F1112" s="1"/>
      <c r="H1112" s="12" t="str">
        <f t="shared" si="4"/>
        <v xml:space="preserve">    </v>
      </c>
      <c r="I1112" s="12"/>
      <c r="N1112" s="6"/>
      <c r="O1112" s="6"/>
    </row>
    <row r="1113" spans="5:15" ht="15.5" x14ac:dyDescent="0.35">
      <c r="E1113" s="14"/>
      <c r="F1113" s="1"/>
      <c r="H1113" s="12" t="str">
        <f t="shared" si="4"/>
        <v xml:space="preserve">    </v>
      </c>
      <c r="I1113" s="12"/>
      <c r="N1113" s="6"/>
      <c r="O1113" s="6"/>
    </row>
    <row r="1114" spans="5:15" ht="15.5" x14ac:dyDescent="0.35">
      <c r="E1114" s="14"/>
      <c r="F1114" s="1"/>
      <c r="H1114" s="12" t="str">
        <f t="shared" si="4"/>
        <v xml:space="preserve">    </v>
      </c>
      <c r="I1114" s="12"/>
      <c r="N1114" s="6"/>
      <c r="O1114" s="6"/>
    </row>
    <row r="1115" spans="5:15" ht="15.5" x14ac:dyDescent="0.35">
      <c r="E1115" s="14"/>
      <c r="F1115" s="1"/>
      <c r="H1115" s="12" t="str">
        <f t="shared" si="4"/>
        <v xml:space="preserve">    </v>
      </c>
      <c r="I1115" s="12"/>
      <c r="N1115" s="6"/>
      <c r="O1115" s="6"/>
    </row>
    <row r="1116" spans="5:15" ht="15.5" x14ac:dyDescent="0.35">
      <c r="E1116" s="14"/>
      <c r="F1116" s="1"/>
      <c r="H1116" s="12" t="str">
        <f t="shared" si="4"/>
        <v xml:space="preserve">    </v>
      </c>
      <c r="I1116" s="12"/>
      <c r="N1116" s="6"/>
      <c r="O1116" s="6"/>
    </row>
    <row r="1117" spans="5:15" ht="15.5" x14ac:dyDescent="0.35">
      <c r="E1117" s="14"/>
      <c r="F1117" s="1"/>
      <c r="H1117" s="12" t="str">
        <f t="shared" si="4"/>
        <v xml:space="preserve">    </v>
      </c>
      <c r="I1117" s="12"/>
      <c r="N1117" s="6"/>
      <c r="O1117" s="6"/>
    </row>
    <row r="1118" spans="5:15" ht="15.5" x14ac:dyDescent="0.35">
      <c r="E1118" s="14"/>
      <c r="F1118" s="1"/>
      <c r="H1118" s="12" t="str">
        <f t="shared" si="4"/>
        <v xml:space="preserve">    </v>
      </c>
      <c r="I1118" s="12"/>
      <c r="N1118" s="6"/>
      <c r="O1118" s="6"/>
    </row>
    <row r="1119" spans="5:15" ht="15.5" x14ac:dyDescent="0.35">
      <c r="E1119" s="14"/>
      <c r="F1119" s="1"/>
      <c r="H1119" s="12" t="str">
        <f t="shared" si="4"/>
        <v xml:space="preserve">    </v>
      </c>
      <c r="I1119" s="12"/>
      <c r="N1119" s="6"/>
      <c r="O1119" s="6"/>
    </row>
    <row r="1120" spans="5:15" ht="15.5" x14ac:dyDescent="0.35">
      <c r="E1120" s="14"/>
      <c r="F1120" s="1"/>
      <c r="H1120" s="12" t="str">
        <f t="shared" si="4"/>
        <v xml:space="preserve">    </v>
      </c>
      <c r="I1120" s="12"/>
      <c r="N1120" s="6"/>
      <c r="O1120" s="6"/>
    </row>
    <row r="1121" spans="5:15" ht="15.5" x14ac:dyDescent="0.35">
      <c r="E1121" s="14"/>
      <c r="F1121" s="1"/>
      <c r="H1121" s="12" t="str">
        <f t="shared" si="4"/>
        <v xml:space="preserve">    </v>
      </c>
      <c r="I1121" s="12"/>
      <c r="N1121" s="6"/>
      <c r="O1121" s="6"/>
    </row>
    <row r="1122" spans="5:15" ht="15.5" x14ac:dyDescent="0.35">
      <c r="E1122" s="14"/>
      <c r="F1122" s="1"/>
      <c r="H1122" s="12" t="str">
        <f t="shared" si="4"/>
        <v xml:space="preserve">    </v>
      </c>
      <c r="I1122" s="12"/>
      <c r="N1122" s="6"/>
      <c r="O1122" s="6"/>
    </row>
    <row r="1123" spans="5:15" ht="15.5" x14ac:dyDescent="0.35">
      <c r="E1123" s="14"/>
      <c r="F1123" s="1"/>
      <c r="H1123" s="12" t="str">
        <f t="shared" si="4"/>
        <v xml:space="preserve">    </v>
      </c>
      <c r="I1123" s="12"/>
      <c r="N1123" s="6"/>
      <c r="O1123" s="6"/>
    </row>
    <row r="1124" spans="5:15" ht="15.5" x14ac:dyDescent="0.35">
      <c r="E1124" s="14"/>
      <c r="F1124" s="1"/>
      <c r="H1124" s="12" t="str">
        <f t="shared" si="4"/>
        <v xml:space="preserve">    </v>
      </c>
      <c r="I1124" s="12"/>
      <c r="N1124" s="6"/>
      <c r="O1124" s="6"/>
    </row>
    <row r="1125" spans="5:15" ht="15.5" x14ac:dyDescent="0.35">
      <c r="E1125" s="14"/>
      <c r="F1125" s="1"/>
      <c r="H1125" s="12" t="str">
        <f t="shared" si="4"/>
        <v xml:space="preserve">    </v>
      </c>
      <c r="I1125" s="12"/>
      <c r="N1125" s="6"/>
      <c r="O1125" s="6"/>
    </row>
    <row r="1126" spans="5:15" ht="15.5" x14ac:dyDescent="0.35">
      <c r="E1126" s="14"/>
      <c r="F1126" s="1"/>
      <c r="H1126" s="12" t="str">
        <f t="shared" si="4"/>
        <v xml:space="preserve">    </v>
      </c>
      <c r="I1126" s="12"/>
      <c r="N1126" s="6"/>
      <c r="O1126" s="6"/>
    </row>
    <row r="1127" spans="5:15" ht="15.5" x14ac:dyDescent="0.35">
      <c r="E1127" s="14"/>
      <c r="F1127" s="1"/>
      <c r="H1127" s="12" t="str">
        <f t="shared" si="4"/>
        <v xml:space="preserve">    </v>
      </c>
      <c r="I1127" s="12"/>
      <c r="N1127" s="6"/>
      <c r="O1127" s="6"/>
    </row>
    <row r="1128" spans="5:15" ht="15.5" x14ac:dyDescent="0.35">
      <c r="E1128" s="14"/>
      <c r="F1128" s="1"/>
      <c r="H1128" s="12" t="str">
        <f t="shared" si="4"/>
        <v xml:space="preserve">    </v>
      </c>
      <c r="I1128" s="12"/>
      <c r="N1128" s="6"/>
      <c r="O1128" s="6"/>
    </row>
    <row r="1129" spans="5:15" ht="15.5" x14ac:dyDescent="0.35">
      <c r="E1129" s="14"/>
      <c r="F1129" s="1"/>
      <c r="H1129" s="12" t="str">
        <f t="shared" si="4"/>
        <v xml:space="preserve">    </v>
      </c>
      <c r="I1129" s="12"/>
      <c r="N1129" s="6"/>
      <c r="O1129" s="6"/>
    </row>
    <row r="1130" spans="5:15" ht="15.5" x14ac:dyDescent="0.35">
      <c r="E1130" s="14"/>
      <c r="F1130" s="1"/>
      <c r="H1130" s="12" t="str">
        <f t="shared" si="4"/>
        <v xml:space="preserve">    </v>
      </c>
      <c r="I1130" s="12"/>
      <c r="N1130" s="6"/>
      <c r="O1130" s="6"/>
    </row>
    <row r="1131" spans="5:15" ht="15.5" x14ac:dyDescent="0.35">
      <c r="E1131" s="14"/>
      <c r="F1131" s="1"/>
      <c r="H1131" s="12" t="str">
        <f t="shared" si="4"/>
        <v xml:space="preserve">    </v>
      </c>
      <c r="I1131" s="12"/>
      <c r="N1131" s="6"/>
      <c r="O1131" s="6"/>
    </row>
    <row r="1132" spans="5:15" ht="15.5" x14ac:dyDescent="0.35">
      <c r="E1132" s="14"/>
      <c r="F1132" s="1"/>
      <c r="H1132" s="12" t="str">
        <f t="shared" si="4"/>
        <v xml:space="preserve">    </v>
      </c>
      <c r="I1132" s="12"/>
      <c r="N1132" s="6"/>
      <c r="O1132" s="6"/>
    </row>
    <row r="1133" spans="5:15" ht="15.5" x14ac:dyDescent="0.35">
      <c r="E1133" s="14"/>
      <c r="F1133" s="1"/>
      <c r="H1133" s="12" t="str">
        <f t="shared" si="4"/>
        <v xml:space="preserve">    </v>
      </c>
      <c r="I1133" s="12"/>
      <c r="N1133" s="6"/>
      <c r="O1133" s="6"/>
    </row>
    <row r="1134" spans="5:15" ht="15.5" x14ac:dyDescent="0.35">
      <c r="E1134" s="14"/>
      <c r="F1134" s="1"/>
      <c r="H1134" s="12" t="str">
        <f t="shared" si="4"/>
        <v xml:space="preserve">    </v>
      </c>
      <c r="I1134" s="12"/>
      <c r="N1134" s="6"/>
      <c r="O1134" s="6"/>
    </row>
    <row r="1135" spans="5:15" ht="15.5" x14ac:dyDescent="0.35">
      <c r="E1135" s="14"/>
      <c r="F1135" s="1"/>
      <c r="H1135" s="12" t="str">
        <f t="shared" si="4"/>
        <v xml:space="preserve">    </v>
      </c>
      <c r="I1135" s="12"/>
      <c r="N1135" s="6"/>
      <c r="O1135" s="6"/>
    </row>
    <row r="1136" spans="5:15" ht="15.5" x14ac:dyDescent="0.35">
      <c r="E1136" s="14"/>
      <c r="F1136" s="1"/>
      <c r="H1136" s="12" t="str">
        <f t="shared" si="4"/>
        <v xml:space="preserve">    </v>
      </c>
      <c r="I1136" s="12"/>
      <c r="N1136" s="6"/>
      <c r="O1136" s="6"/>
    </row>
    <row r="1137" spans="5:15" ht="15.5" x14ac:dyDescent="0.35">
      <c r="E1137" s="14"/>
      <c r="F1137" s="1"/>
      <c r="H1137" s="12" t="str">
        <f t="shared" si="4"/>
        <v xml:space="preserve">    </v>
      </c>
      <c r="I1137" s="12"/>
      <c r="N1137" s="6"/>
      <c r="O1137" s="6"/>
    </row>
    <row r="1138" spans="5:15" ht="15.5" x14ac:dyDescent="0.35">
      <c r="E1138" s="14"/>
      <c r="F1138" s="1"/>
      <c r="H1138" s="12" t="str">
        <f t="shared" si="4"/>
        <v xml:space="preserve">    </v>
      </c>
      <c r="I1138" s="12"/>
      <c r="N1138" s="6"/>
      <c r="O1138" s="6"/>
    </row>
    <row r="1139" spans="5:15" ht="15.5" x14ac:dyDescent="0.35">
      <c r="E1139" s="14"/>
      <c r="F1139" s="1"/>
      <c r="H1139" s="12" t="str">
        <f t="shared" si="4"/>
        <v xml:space="preserve">    </v>
      </c>
      <c r="I1139" s="12"/>
      <c r="N1139" s="6"/>
      <c r="O1139" s="6"/>
    </row>
    <row r="1140" spans="5:15" ht="15.5" x14ac:dyDescent="0.35">
      <c r="E1140" s="14"/>
      <c r="F1140" s="1"/>
      <c r="H1140" s="12" t="str">
        <f t="shared" si="4"/>
        <v xml:space="preserve">    </v>
      </c>
      <c r="I1140" s="12"/>
      <c r="N1140" s="6"/>
      <c r="O1140" s="6"/>
    </row>
    <row r="1141" spans="5:15" ht="15.5" x14ac:dyDescent="0.35">
      <c r="E1141" s="14"/>
      <c r="F1141" s="1"/>
      <c r="H1141" s="12" t="str">
        <f t="shared" si="4"/>
        <v xml:space="preserve">    </v>
      </c>
      <c r="I1141" s="12"/>
      <c r="N1141" s="6"/>
      <c r="O1141" s="6"/>
    </row>
    <row r="1142" spans="5:15" ht="15.5" x14ac:dyDescent="0.35">
      <c r="E1142" s="14"/>
      <c r="F1142" s="1"/>
      <c r="H1142" s="12" t="str">
        <f t="shared" si="4"/>
        <v xml:space="preserve">    </v>
      </c>
      <c r="I1142" s="12"/>
      <c r="N1142" s="6"/>
      <c r="O1142" s="6"/>
    </row>
    <row r="1143" spans="5:15" ht="15.5" x14ac:dyDescent="0.35">
      <c r="E1143" s="14"/>
      <c r="F1143" s="1"/>
      <c r="H1143" s="12" t="str">
        <f t="shared" si="4"/>
        <v xml:space="preserve">    </v>
      </c>
      <c r="I1143" s="12"/>
      <c r="N1143" s="6"/>
      <c r="O1143" s="6"/>
    </row>
    <row r="1144" spans="5:15" ht="15.5" x14ac:dyDescent="0.35">
      <c r="E1144" s="14"/>
      <c r="F1144" s="1"/>
      <c r="H1144" s="12" t="str">
        <f t="shared" si="4"/>
        <v xml:space="preserve">    </v>
      </c>
      <c r="I1144" s="12"/>
      <c r="N1144" s="6"/>
      <c r="O1144" s="6"/>
    </row>
    <row r="1145" spans="5:15" ht="15.5" x14ac:dyDescent="0.35">
      <c r="E1145" s="14"/>
      <c r="F1145" s="1"/>
      <c r="H1145" s="12" t="str">
        <f t="shared" si="4"/>
        <v xml:space="preserve">    </v>
      </c>
      <c r="I1145" s="12"/>
      <c r="N1145" s="6"/>
      <c r="O1145" s="6"/>
    </row>
    <row r="1146" spans="5:15" ht="15.5" x14ac:dyDescent="0.35">
      <c r="E1146" s="14"/>
      <c r="F1146" s="1"/>
      <c r="H1146" s="12" t="str">
        <f t="shared" si="4"/>
        <v xml:space="preserve">    </v>
      </c>
      <c r="I1146" s="12"/>
      <c r="N1146" s="6"/>
      <c r="O1146" s="6"/>
    </row>
    <row r="1147" spans="5:15" ht="15.5" x14ac:dyDescent="0.35">
      <c r="E1147" s="14"/>
      <c r="F1147" s="1"/>
      <c r="H1147" s="12" t="str">
        <f t="shared" si="4"/>
        <v xml:space="preserve">    </v>
      </c>
      <c r="I1147" s="12"/>
      <c r="N1147" s="6"/>
      <c r="O1147" s="6"/>
    </row>
    <row r="1148" spans="5:15" ht="15.5" x14ac:dyDescent="0.35">
      <c r="E1148" s="14"/>
      <c r="F1148" s="1"/>
      <c r="H1148" s="12" t="str">
        <f t="shared" si="4"/>
        <v xml:space="preserve">    </v>
      </c>
      <c r="I1148" s="12"/>
      <c r="N1148" s="6"/>
      <c r="O1148" s="6"/>
    </row>
    <row r="1149" spans="5:15" ht="15.5" x14ac:dyDescent="0.35">
      <c r="E1149" s="14"/>
      <c r="F1149" s="1"/>
      <c r="H1149" s="12" t="str">
        <f t="shared" si="4"/>
        <v xml:space="preserve">    </v>
      </c>
      <c r="I1149" s="12"/>
      <c r="N1149" s="6"/>
      <c r="O1149" s="6"/>
    </row>
    <row r="1150" spans="5:15" ht="15.5" x14ac:dyDescent="0.35">
      <c r="E1150" s="14"/>
      <c r="F1150" s="1"/>
      <c r="H1150" s="12" t="str">
        <f t="shared" si="4"/>
        <v xml:space="preserve">    </v>
      </c>
      <c r="I1150" s="12"/>
      <c r="N1150" s="6"/>
      <c r="O1150" s="6"/>
    </row>
    <row r="1151" spans="5:15" ht="15.5" x14ac:dyDescent="0.35">
      <c r="E1151" s="14"/>
      <c r="F1151" s="1"/>
      <c r="H1151" s="12" t="str">
        <f t="shared" si="4"/>
        <v xml:space="preserve">    </v>
      </c>
      <c r="I1151" s="12"/>
      <c r="N1151" s="6"/>
      <c r="O1151" s="6"/>
    </row>
    <row r="1152" spans="5:15" ht="15.5" x14ac:dyDescent="0.35">
      <c r="E1152" s="14"/>
      <c r="F1152" s="1"/>
      <c r="H1152" s="12" t="str">
        <f t="shared" si="4"/>
        <v xml:space="preserve">    </v>
      </c>
      <c r="I1152" s="12"/>
      <c r="N1152" s="6"/>
      <c r="O1152" s="6"/>
    </row>
    <row r="1153" spans="5:15" ht="15.5" x14ac:dyDescent="0.35">
      <c r="E1153" s="14"/>
      <c r="F1153" s="1"/>
      <c r="H1153" s="12" t="str">
        <f t="shared" si="4"/>
        <v xml:space="preserve">    </v>
      </c>
      <c r="I1153" s="12"/>
      <c r="N1153" s="6"/>
      <c r="O1153" s="6"/>
    </row>
    <row r="1154" spans="5:15" ht="15.5" x14ac:dyDescent="0.35">
      <c r="E1154" s="14"/>
      <c r="F1154" s="1"/>
      <c r="H1154" s="12" t="str">
        <f t="shared" si="4"/>
        <v xml:space="preserve">    </v>
      </c>
      <c r="I1154" s="12"/>
      <c r="N1154" s="6"/>
      <c r="O1154" s="6"/>
    </row>
    <row r="1155" spans="5:15" ht="15.5" x14ac:dyDescent="0.35">
      <c r="E1155" s="14"/>
      <c r="F1155" s="1"/>
      <c r="H1155" s="12" t="str">
        <f t="shared" si="4"/>
        <v xml:space="preserve">    </v>
      </c>
      <c r="I1155" s="12"/>
      <c r="N1155" s="6"/>
      <c r="O1155" s="6"/>
    </row>
    <row r="1156" spans="5:15" ht="15.5" x14ac:dyDescent="0.35">
      <c r="E1156" s="14"/>
      <c r="F1156" s="1"/>
      <c r="H1156" s="12" t="str">
        <f t="shared" si="4"/>
        <v xml:space="preserve">    </v>
      </c>
      <c r="I1156" s="12"/>
      <c r="N1156" s="6"/>
      <c r="O1156" s="6"/>
    </row>
    <row r="1157" spans="5:15" ht="15.5" x14ac:dyDescent="0.35">
      <c r="E1157" s="14"/>
      <c r="F1157" s="1"/>
      <c r="H1157" s="12" t="str">
        <f t="shared" si="4"/>
        <v xml:space="preserve">    </v>
      </c>
      <c r="I1157" s="12"/>
      <c r="N1157" s="6"/>
      <c r="O1157" s="6"/>
    </row>
    <row r="1158" spans="5:15" ht="15.5" x14ac:dyDescent="0.35">
      <c r="E1158" s="14"/>
      <c r="F1158" s="1"/>
      <c r="H1158" s="12" t="str">
        <f t="shared" si="4"/>
        <v xml:space="preserve">    </v>
      </c>
      <c r="I1158" s="12"/>
      <c r="N1158" s="6"/>
      <c r="O1158" s="6"/>
    </row>
    <row r="1159" spans="5:15" ht="15.5" x14ac:dyDescent="0.35">
      <c r="E1159" s="14"/>
      <c r="F1159" s="1"/>
      <c r="H1159" s="12" t="str">
        <f t="shared" si="4"/>
        <v xml:space="preserve">    </v>
      </c>
      <c r="I1159" s="12"/>
      <c r="N1159" s="6"/>
      <c r="O1159" s="6"/>
    </row>
    <row r="1160" spans="5:15" ht="15.5" x14ac:dyDescent="0.35">
      <c r="E1160" s="14"/>
      <c r="F1160" s="1"/>
      <c r="H1160" s="12" t="str">
        <f t="shared" si="4"/>
        <v xml:space="preserve">    </v>
      </c>
      <c r="I1160" s="12"/>
      <c r="N1160" s="6"/>
      <c r="O1160" s="6"/>
    </row>
    <row r="1161" spans="5:15" ht="15.5" x14ac:dyDescent="0.35">
      <c r="E1161" s="14"/>
      <c r="F1161" s="1"/>
      <c r="H1161" s="12" t="str">
        <f t="shared" si="4"/>
        <v xml:space="preserve">    </v>
      </c>
      <c r="I1161" s="12"/>
      <c r="N1161" s="6"/>
      <c r="O1161" s="6"/>
    </row>
    <row r="1162" spans="5:15" ht="15.5" x14ac:dyDescent="0.35">
      <c r="E1162" s="14"/>
      <c r="F1162" s="1"/>
      <c r="H1162" s="12" t="str">
        <f t="shared" si="4"/>
        <v xml:space="preserve">    </v>
      </c>
      <c r="I1162" s="12"/>
      <c r="N1162" s="6"/>
      <c r="O1162" s="6"/>
    </row>
    <row r="1163" spans="5:15" ht="15.5" x14ac:dyDescent="0.35">
      <c r="E1163" s="14"/>
      <c r="F1163" s="1"/>
      <c r="H1163" s="12" t="str">
        <f t="shared" si="4"/>
        <v xml:space="preserve">    </v>
      </c>
      <c r="I1163" s="12"/>
      <c r="N1163" s="6"/>
      <c r="O1163" s="6"/>
    </row>
    <row r="1164" spans="5:15" ht="15.5" x14ac:dyDescent="0.35">
      <c r="E1164" s="14"/>
      <c r="F1164" s="1"/>
      <c r="H1164" s="12" t="str">
        <f t="shared" si="4"/>
        <v xml:space="preserve">    </v>
      </c>
      <c r="I1164" s="12"/>
      <c r="N1164" s="6"/>
      <c r="O1164" s="6"/>
    </row>
    <row r="1165" spans="5:15" ht="15.5" x14ac:dyDescent="0.35">
      <c r="E1165" s="14"/>
      <c r="F1165" s="1"/>
      <c r="H1165" s="12" t="str">
        <f t="shared" si="4"/>
        <v xml:space="preserve">    </v>
      </c>
      <c r="I1165" s="12"/>
      <c r="N1165" s="6"/>
      <c r="O1165" s="6"/>
    </row>
    <row r="1166" spans="5:15" ht="15.5" x14ac:dyDescent="0.35">
      <c r="E1166" s="14"/>
      <c r="F1166" s="1"/>
      <c r="H1166" s="12" t="str">
        <f t="shared" si="4"/>
        <v xml:space="preserve">    </v>
      </c>
      <c r="I1166" s="12"/>
      <c r="N1166" s="6"/>
      <c r="O1166" s="6"/>
    </row>
    <row r="1167" spans="5:15" ht="15.5" x14ac:dyDescent="0.35">
      <c r="E1167" s="14"/>
      <c r="F1167" s="1"/>
      <c r="H1167" s="12" t="str">
        <f t="shared" si="4"/>
        <v xml:space="preserve">    </v>
      </c>
      <c r="I1167" s="12"/>
      <c r="N1167" s="6"/>
      <c r="O1167" s="6"/>
    </row>
    <row r="1168" spans="5:15" ht="15.5" x14ac:dyDescent="0.35">
      <c r="E1168" s="14"/>
      <c r="F1168" s="1"/>
      <c r="H1168" s="12" t="str">
        <f t="shared" si="4"/>
        <v xml:space="preserve">    </v>
      </c>
      <c r="I1168" s="12"/>
      <c r="N1168" s="6"/>
      <c r="O1168" s="6"/>
    </row>
    <row r="1169" spans="5:15" ht="15.5" x14ac:dyDescent="0.35">
      <c r="E1169" s="14"/>
      <c r="F1169" s="1"/>
      <c r="H1169" s="12" t="str">
        <f t="shared" si="4"/>
        <v xml:space="preserve">    </v>
      </c>
      <c r="I1169" s="12"/>
      <c r="N1169" s="6"/>
      <c r="O1169" s="6"/>
    </row>
    <row r="1170" spans="5:15" ht="15.5" x14ac:dyDescent="0.35">
      <c r="E1170" s="14"/>
      <c r="F1170" s="1"/>
      <c r="H1170" s="12" t="str">
        <f t="shared" si="4"/>
        <v xml:space="preserve">    </v>
      </c>
      <c r="I1170" s="12"/>
      <c r="N1170" s="6"/>
      <c r="O1170" s="6"/>
    </row>
    <row r="1171" spans="5:15" ht="15.5" x14ac:dyDescent="0.35">
      <c r="E1171" s="14"/>
      <c r="F1171" s="1"/>
      <c r="H1171" s="12" t="str">
        <f t="shared" si="4"/>
        <v xml:space="preserve">    </v>
      </c>
      <c r="I1171" s="12"/>
      <c r="N1171" s="6"/>
      <c r="O1171" s="6"/>
    </row>
    <row r="1172" spans="5:15" ht="15.5" x14ac:dyDescent="0.35">
      <c r="E1172" s="14"/>
      <c r="F1172" s="1"/>
      <c r="H1172" s="12" t="str">
        <f t="shared" si="4"/>
        <v xml:space="preserve">    </v>
      </c>
      <c r="I1172" s="12"/>
      <c r="N1172" s="6"/>
      <c r="O1172" s="6"/>
    </row>
    <row r="1173" spans="5:15" ht="15.5" x14ac:dyDescent="0.35">
      <c r="E1173" s="14"/>
      <c r="F1173" s="1"/>
      <c r="H1173" s="12" t="str">
        <f t="shared" si="4"/>
        <v xml:space="preserve">    </v>
      </c>
      <c r="I1173" s="12"/>
      <c r="N1173" s="6"/>
      <c r="O1173" s="6"/>
    </row>
    <row r="1174" spans="5:15" ht="15.5" x14ac:dyDescent="0.35">
      <c r="E1174" s="14"/>
      <c r="F1174" s="1"/>
      <c r="H1174" s="12" t="str">
        <f t="shared" si="4"/>
        <v xml:space="preserve">    </v>
      </c>
      <c r="I1174" s="12"/>
      <c r="N1174" s="6"/>
      <c r="O1174" s="6"/>
    </row>
    <row r="1175" spans="5:15" ht="15.5" x14ac:dyDescent="0.35">
      <c r="E1175" s="14"/>
      <c r="F1175" s="1"/>
      <c r="H1175" s="12" t="str">
        <f t="shared" si="4"/>
        <v xml:space="preserve">    </v>
      </c>
      <c r="I1175" s="12"/>
      <c r="N1175" s="6"/>
      <c r="O1175" s="6"/>
    </row>
    <row r="1176" spans="5:15" ht="15.5" x14ac:dyDescent="0.35">
      <c r="E1176" s="14"/>
      <c r="F1176" s="1"/>
      <c r="H1176" s="12" t="str">
        <f t="shared" si="4"/>
        <v xml:space="preserve">    </v>
      </c>
      <c r="I1176" s="12"/>
      <c r="N1176" s="6"/>
      <c r="O1176" s="6"/>
    </row>
    <row r="1177" spans="5:15" ht="15.5" x14ac:dyDescent="0.35">
      <c r="E1177" s="14"/>
      <c r="F1177" s="1"/>
      <c r="H1177" s="12" t="str">
        <f t="shared" si="4"/>
        <v xml:space="preserve">    </v>
      </c>
      <c r="I1177" s="12"/>
      <c r="N1177" s="6"/>
      <c r="O1177" s="6"/>
    </row>
    <row r="1178" spans="5:15" ht="15.5" x14ac:dyDescent="0.35">
      <c r="E1178" s="14"/>
      <c r="F1178" s="1"/>
      <c r="H1178" s="12" t="str">
        <f t="shared" si="4"/>
        <v xml:space="preserve">    </v>
      </c>
      <c r="I1178" s="12"/>
      <c r="N1178" s="6"/>
      <c r="O1178" s="6"/>
    </row>
    <row r="1179" spans="5:15" ht="15.5" x14ac:dyDescent="0.35">
      <c r="E1179" s="14"/>
      <c r="F1179" s="1"/>
      <c r="H1179" s="12" t="str">
        <f t="shared" si="4"/>
        <v xml:space="preserve">    </v>
      </c>
      <c r="I1179" s="12"/>
      <c r="N1179" s="6"/>
      <c r="O1179" s="6"/>
    </row>
    <row r="1180" spans="5:15" ht="15.5" x14ac:dyDescent="0.35">
      <c r="E1180" s="14"/>
      <c r="F1180" s="1"/>
      <c r="H1180" s="12" t="str">
        <f t="shared" si="4"/>
        <v xml:space="preserve">    </v>
      </c>
      <c r="I1180" s="12"/>
      <c r="N1180" s="6"/>
      <c r="O1180" s="6"/>
    </row>
    <row r="1181" spans="5:15" ht="15.5" x14ac:dyDescent="0.35">
      <c r="E1181" s="14"/>
      <c r="F1181" s="1"/>
      <c r="H1181" s="12" t="str">
        <f t="shared" si="4"/>
        <v xml:space="preserve">    </v>
      </c>
      <c r="I1181" s="12"/>
      <c r="N1181" s="6"/>
      <c r="O1181" s="6"/>
    </row>
    <row r="1182" spans="5:15" ht="15.5" x14ac:dyDescent="0.35">
      <c r="E1182" s="14"/>
      <c r="F1182" s="1"/>
      <c r="H1182" s="12" t="str">
        <f t="shared" si="4"/>
        <v xml:space="preserve">    </v>
      </c>
      <c r="I1182" s="12"/>
      <c r="N1182" s="6"/>
      <c r="O1182" s="6"/>
    </row>
    <row r="1183" spans="5:15" ht="15.5" x14ac:dyDescent="0.35">
      <c r="E1183" s="14"/>
      <c r="F1183" s="1"/>
      <c r="H1183" s="12" t="str">
        <f t="shared" si="4"/>
        <v xml:space="preserve">    </v>
      </c>
      <c r="I1183" s="12"/>
      <c r="N1183" s="6"/>
      <c r="O1183" s="6"/>
    </row>
    <row r="1184" spans="5:15" ht="15.5" x14ac:dyDescent="0.35">
      <c r="E1184" s="14"/>
      <c r="F1184" s="1"/>
      <c r="H1184" s="12" t="str">
        <f t="shared" si="4"/>
        <v xml:space="preserve">    </v>
      </c>
      <c r="I1184" s="12"/>
      <c r="N1184" s="6"/>
      <c r="O1184" s="6"/>
    </row>
    <row r="1185" spans="5:15" ht="15.5" x14ac:dyDescent="0.35">
      <c r="E1185" s="14"/>
      <c r="F1185" s="1"/>
      <c r="H1185" s="12" t="str">
        <f t="shared" si="4"/>
        <v xml:space="preserve">    </v>
      </c>
      <c r="I1185" s="12"/>
      <c r="N1185" s="6"/>
      <c r="O1185" s="6"/>
    </row>
    <row r="1186" spans="5:15" ht="15.5" x14ac:dyDescent="0.35">
      <c r="E1186" s="14"/>
      <c r="F1186" s="1"/>
      <c r="H1186" s="12" t="str">
        <f t="shared" si="4"/>
        <v xml:space="preserve">    </v>
      </c>
      <c r="I1186" s="12"/>
      <c r="N1186" s="6"/>
      <c r="O1186" s="6"/>
    </row>
    <row r="1187" spans="5:15" ht="15.5" x14ac:dyDescent="0.35">
      <c r="E1187" s="14"/>
      <c r="F1187" s="1"/>
      <c r="H1187" s="12" t="str">
        <f t="shared" si="4"/>
        <v xml:space="preserve">    </v>
      </c>
      <c r="I1187" s="12"/>
      <c r="N1187" s="6"/>
      <c r="O1187" s="6"/>
    </row>
    <row r="1188" spans="5:15" ht="15.5" x14ac:dyDescent="0.35">
      <c r="E1188" s="14"/>
      <c r="F1188" s="1"/>
      <c r="H1188" s="12" t="str">
        <f t="shared" si="4"/>
        <v xml:space="preserve">    </v>
      </c>
      <c r="I1188" s="12"/>
      <c r="N1188" s="6"/>
      <c r="O1188" s="6"/>
    </row>
    <row r="1189" spans="5:15" ht="15.5" x14ac:dyDescent="0.35">
      <c r="E1189" s="14"/>
      <c r="F1189" s="1"/>
      <c r="H1189" s="12" t="str">
        <f t="shared" si="4"/>
        <v xml:space="preserve">    </v>
      </c>
      <c r="I1189" s="12"/>
      <c r="N1189" s="6"/>
      <c r="O1189" s="6"/>
    </row>
    <row r="1190" spans="5:15" ht="15.5" x14ac:dyDescent="0.35">
      <c r="E1190" s="14"/>
      <c r="F1190" s="1"/>
      <c r="H1190" s="12" t="str">
        <f t="shared" si="4"/>
        <v xml:space="preserve">    </v>
      </c>
      <c r="I1190" s="12"/>
      <c r="N1190" s="6"/>
      <c r="O1190" s="6"/>
    </row>
    <row r="1191" spans="5:15" ht="15.5" x14ac:dyDescent="0.35">
      <c r="E1191" s="14"/>
      <c r="F1191" s="1"/>
      <c r="H1191" s="12" t="str">
        <f t="shared" si="4"/>
        <v xml:space="preserve">    </v>
      </c>
      <c r="I1191" s="12"/>
      <c r="N1191" s="6"/>
      <c r="O1191" s="6"/>
    </row>
    <row r="1192" spans="5:15" ht="15.5" x14ac:dyDescent="0.35">
      <c r="E1192" s="14"/>
      <c r="F1192" s="1"/>
      <c r="H1192" s="12" t="str">
        <f t="shared" si="4"/>
        <v xml:space="preserve">    </v>
      </c>
      <c r="I1192" s="12"/>
      <c r="N1192" s="6"/>
      <c r="O1192" s="6"/>
    </row>
    <row r="1193" spans="5:15" ht="15.5" x14ac:dyDescent="0.35">
      <c r="E1193" s="14"/>
      <c r="F1193" s="1"/>
      <c r="H1193" s="12" t="str">
        <f t="shared" si="4"/>
        <v xml:space="preserve">    </v>
      </c>
      <c r="I1193" s="12"/>
      <c r="N1193" s="6"/>
      <c r="O1193" s="6"/>
    </row>
    <row r="1194" spans="5:15" ht="15.5" x14ac:dyDescent="0.35">
      <c r="E1194" s="14"/>
      <c r="F1194" s="1"/>
      <c r="H1194" s="12" t="str">
        <f t="shared" si="4"/>
        <v xml:space="preserve">    </v>
      </c>
      <c r="I1194" s="12"/>
      <c r="N1194" s="6"/>
      <c r="O1194" s="6"/>
    </row>
    <row r="1195" spans="5:15" ht="15.5" x14ac:dyDescent="0.35">
      <c r="E1195" s="14"/>
      <c r="F1195" s="1"/>
      <c r="H1195" s="12" t="str">
        <f t="shared" si="4"/>
        <v xml:space="preserve">    </v>
      </c>
      <c r="I1195" s="12"/>
      <c r="N1195" s="6"/>
      <c r="O1195" s="6"/>
    </row>
    <row r="1196" spans="5:15" ht="15.5" x14ac:dyDescent="0.35">
      <c r="E1196" s="14"/>
      <c r="F1196" s="1"/>
      <c r="H1196" s="12" t="str">
        <f t="shared" si="4"/>
        <v xml:space="preserve">    </v>
      </c>
      <c r="I1196" s="12"/>
      <c r="N1196" s="6"/>
      <c r="O1196" s="6"/>
    </row>
    <row r="1197" spans="5:15" ht="15.5" x14ac:dyDescent="0.35">
      <c r="E1197" s="14"/>
      <c r="F1197" s="1"/>
      <c r="H1197" s="12" t="str">
        <f t="shared" si="4"/>
        <v xml:space="preserve">    </v>
      </c>
      <c r="I1197" s="12"/>
      <c r="N1197" s="6"/>
      <c r="O1197" s="6"/>
    </row>
    <row r="1198" spans="5:15" ht="15.5" x14ac:dyDescent="0.35">
      <c r="E1198" s="14"/>
      <c r="F1198" s="1"/>
      <c r="H1198" s="12" t="str">
        <f t="shared" si="4"/>
        <v xml:space="preserve">    </v>
      </c>
      <c r="I1198" s="12"/>
      <c r="N1198" s="6"/>
      <c r="O1198" s="6"/>
    </row>
    <row r="1199" spans="5:15" ht="15.5" x14ac:dyDescent="0.35">
      <c r="E1199" s="14"/>
      <c r="F1199" s="1"/>
      <c r="H1199" s="12" t="str">
        <f t="shared" si="4"/>
        <v xml:space="preserve">    </v>
      </c>
      <c r="I1199" s="12"/>
      <c r="N1199" s="6"/>
      <c r="O1199" s="6"/>
    </row>
    <row r="1200" spans="5:15" ht="15.5" x14ac:dyDescent="0.35">
      <c r="E1200" s="14"/>
      <c r="F1200" s="1"/>
      <c r="H1200" s="12" t="str">
        <f t="shared" si="4"/>
        <v xml:space="preserve">    </v>
      </c>
      <c r="I1200" s="12"/>
      <c r="N1200" s="6"/>
      <c r="O1200" s="6"/>
    </row>
    <row r="1201" spans="5:15" ht="15.5" x14ac:dyDescent="0.35">
      <c r="E1201" s="14"/>
      <c r="F1201" s="1"/>
      <c r="H1201" s="12" t="str">
        <f t="shared" si="4"/>
        <v xml:space="preserve">    </v>
      </c>
      <c r="I1201" s="12"/>
      <c r="N1201" s="6"/>
      <c r="O1201" s="6"/>
    </row>
    <row r="1202" spans="5:15" ht="15.5" x14ac:dyDescent="0.35">
      <c r="E1202" s="14"/>
      <c r="F1202" s="1"/>
      <c r="H1202" s="12" t="str">
        <f t="shared" si="4"/>
        <v xml:space="preserve">    </v>
      </c>
      <c r="I1202" s="12"/>
      <c r="N1202" s="6"/>
      <c r="O1202" s="6"/>
    </row>
    <row r="1203" spans="5:15" ht="15.5" x14ac:dyDescent="0.35">
      <c r="E1203" s="14"/>
      <c r="F1203" s="1"/>
      <c r="H1203" s="12" t="str">
        <f t="shared" si="4"/>
        <v xml:space="preserve">    </v>
      </c>
      <c r="I1203" s="12"/>
      <c r="N1203" s="6"/>
      <c r="O1203" s="6"/>
    </row>
    <row r="1204" spans="5:15" ht="15.5" x14ac:dyDescent="0.35">
      <c r="E1204" s="14"/>
      <c r="F1204" s="1"/>
      <c r="H1204" s="12" t="str">
        <f t="shared" si="4"/>
        <v xml:space="preserve">    </v>
      </c>
      <c r="I1204" s="12"/>
      <c r="N1204" s="6"/>
      <c r="O1204" s="6"/>
    </row>
    <row r="1205" spans="5:15" ht="15.5" x14ac:dyDescent="0.35">
      <c r="E1205" s="14"/>
      <c r="F1205" s="1"/>
      <c r="H1205" s="12" t="str">
        <f t="shared" si="4"/>
        <v xml:space="preserve">    </v>
      </c>
      <c r="I1205" s="12"/>
      <c r="N1205" s="6"/>
      <c r="O1205" s="6"/>
    </row>
    <row r="1206" spans="5:15" ht="15.5" x14ac:dyDescent="0.35">
      <c r="E1206" s="14"/>
      <c r="F1206" s="1"/>
      <c r="H1206" s="12" t="str">
        <f t="shared" si="4"/>
        <v xml:space="preserve">    </v>
      </c>
      <c r="I1206" s="12"/>
      <c r="N1206" s="6"/>
      <c r="O1206" s="6"/>
    </row>
    <row r="1207" spans="5:15" ht="15.5" x14ac:dyDescent="0.35">
      <c r="E1207" s="14"/>
      <c r="F1207" s="1"/>
      <c r="H1207" s="12" t="str">
        <f t="shared" si="4"/>
        <v xml:space="preserve">    </v>
      </c>
      <c r="I1207" s="12"/>
      <c r="N1207" s="6"/>
      <c r="O1207" s="6"/>
    </row>
    <row r="1208" spans="5:15" ht="15.5" x14ac:dyDescent="0.35">
      <c r="E1208" s="14"/>
      <c r="F1208" s="1"/>
      <c r="H1208" s="12" t="str">
        <f t="shared" si="4"/>
        <v xml:space="preserve">    </v>
      </c>
      <c r="I1208" s="12"/>
      <c r="N1208" s="6"/>
      <c r="O1208" s="6"/>
    </row>
    <row r="1209" spans="5:15" ht="15.5" x14ac:dyDescent="0.35">
      <c r="E1209" s="14"/>
      <c r="F1209" s="1"/>
      <c r="H1209" s="12" t="str">
        <f t="shared" si="4"/>
        <v xml:space="preserve">    </v>
      </c>
      <c r="I1209" s="12"/>
      <c r="N1209" s="6"/>
      <c r="O1209" s="6"/>
    </row>
    <row r="1210" spans="5:15" ht="15.5" x14ac:dyDescent="0.35">
      <c r="E1210" s="14"/>
      <c r="F1210" s="1"/>
      <c r="H1210" s="12" t="str">
        <f t="shared" si="4"/>
        <v xml:space="preserve">    </v>
      </c>
      <c r="I1210" s="12"/>
      <c r="N1210" s="6"/>
      <c r="O1210" s="6"/>
    </row>
    <row r="1211" spans="5:15" ht="15.5" x14ac:dyDescent="0.35">
      <c r="E1211" s="14"/>
      <c r="F1211" s="1"/>
      <c r="H1211" s="12" t="str">
        <f t="shared" si="4"/>
        <v xml:space="preserve">    </v>
      </c>
      <c r="I1211" s="12"/>
      <c r="N1211" s="6"/>
      <c r="O1211" s="6"/>
    </row>
    <row r="1212" spans="5:15" ht="15.5" x14ac:dyDescent="0.35">
      <c r="E1212" s="14"/>
      <c r="F1212" s="1"/>
      <c r="H1212" s="12" t="str">
        <f t="shared" si="4"/>
        <v xml:space="preserve">    </v>
      </c>
      <c r="I1212" s="12"/>
      <c r="N1212" s="6"/>
      <c r="O1212" s="6"/>
    </row>
    <row r="1213" spans="5:15" ht="15.5" x14ac:dyDescent="0.35">
      <c r="E1213" s="14"/>
      <c r="F1213" s="1"/>
      <c r="H1213" s="12" t="str">
        <f t="shared" si="4"/>
        <v xml:space="preserve">    </v>
      </c>
      <c r="I1213" s="12"/>
      <c r="N1213" s="6"/>
      <c r="O1213" s="6"/>
    </row>
    <row r="1214" spans="5:15" ht="15.5" x14ac:dyDescent="0.35">
      <c r="E1214" s="14"/>
      <c r="F1214" s="1"/>
      <c r="H1214" s="12" t="str">
        <f t="shared" si="4"/>
        <v xml:space="preserve">    </v>
      </c>
      <c r="I1214" s="12"/>
      <c r="N1214" s="6"/>
      <c r="O1214" s="6"/>
    </row>
    <row r="1215" spans="5:15" ht="15.5" x14ac:dyDescent="0.35">
      <c r="E1215" s="14"/>
      <c r="F1215" s="1"/>
      <c r="H1215" s="12" t="str">
        <f t="shared" si="4"/>
        <v xml:space="preserve">    </v>
      </c>
      <c r="I1215" s="12"/>
      <c r="N1215" s="6"/>
      <c r="O1215" s="6"/>
    </row>
    <row r="1216" spans="5:15" ht="15.5" x14ac:dyDescent="0.35">
      <c r="E1216" s="14"/>
      <c r="F1216" s="1"/>
      <c r="H1216" s="12" t="str">
        <f t="shared" si="4"/>
        <v xml:space="preserve">    </v>
      </c>
      <c r="I1216" s="12"/>
      <c r="N1216" s="6"/>
      <c r="O1216" s="6"/>
    </row>
    <row r="1217" spans="5:15" ht="15.5" x14ac:dyDescent="0.35">
      <c r="E1217" s="14"/>
      <c r="F1217" s="1"/>
      <c r="H1217" s="12" t="str">
        <f t="shared" si="4"/>
        <v xml:space="preserve">    </v>
      </c>
      <c r="I1217" s="12"/>
      <c r="N1217" s="6"/>
      <c r="O1217" s="6"/>
    </row>
    <row r="1218" spans="5:15" ht="15.5" x14ac:dyDescent="0.35">
      <c r="E1218" s="14"/>
      <c r="F1218" s="1"/>
      <c r="H1218" s="12" t="str">
        <f t="shared" si="4"/>
        <v xml:space="preserve">    </v>
      </c>
      <c r="I1218" s="12"/>
      <c r="N1218" s="6"/>
      <c r="O1218" s="6"/>
    </row>
    <row r="1219" spans="5:15" ht="15.5" x14ac:dyDescent="0.35">
      <c r="E1219" s="14"/>
      <c r="F1219" s="1"/>
      <c r="H1219" s="12" t="str">
        <f t="shared" si="4"/>
        <v xml:space="preserve">    </v>
      </c>
      <c r="I1219" s="12"/>
      <c r="N1219" s="6"/>
      <c r="O1219" s="6"/>
    </row>
    <row r="1220" spans="5:15" ht="15.5" x14ac:dyDescent="0.35">
      <c r="E1220" s="14"/>
      <c r="F1220" s="1"/>
      <c r="H1220" s="12" t="str">
        <f t="shared" si="4"/>
        <v xml:space="preserve">    </v>
      </c>
      <c r="I1220" s="12"/>
      <c r="N1220" s="6"/>
      <c r="O1220" s="6"/>
    </row>
    <row r="1221" spans="5:15" ht="15.5" x14ac:dyDescent="0.35">
      <c r="E1221" s="14"/>
      <c r="F1221" s="1"/>
      <c r="H1221" s="12" t="str">
        <f t="shared" si="4"/>
        <v xml:space="preserve">    </v>
      </c>
      <c r="I1221" s="12"/>
      <c r="N1221" s="6"/>
      <c r="O1221" s="6"/>
    </row>
    <row r="1222" spans="5:15" ht="15.5" x14ac:dyDescent="0.35">
      <c r="E1222" s="14"/>
      <c r="F1222" s="1"/>
      <c r="H1222" s="12" t="str">
        <f t="shared" si="4"/>
        <v xml:space="preserve">    </v>
      </c>
      <c r="I1222" s="12"/>
      <c r="N1222" s="6"/>
      <c r="O1222" s="6"/>
    </row>
    <row r="1223" spans="5:15" ht="15.5" x14ac:dyDescent="0.35">
      <c r="E1223" s="14"/>
      <c r="F1223" s="1"/>
      <c r="H1223" s="12" t="str">
        <f t="shared" si="4"/>
        <v xml:space="preserve">    </v>
      </c>
      <c r="I1223" s="12"/>
      <c r="N1223" s="6"/>
      <c r="O1223" s="6"/>
    </row>
    <row r="1224" spans="5:15" ht="15.5" x14ac:dyDescent="0.35">
      <c r="E1224" s="14"/>
      <c r="F1224" s="1"/>
      <c r="H1224" s="12" t="str">
        <f t="shared" si="4"/>
        <v xml:space="preserve">    </v>
      </c>
      <c r="I1224" s="12"/>
      <c r="N1224" s="6"/>
      <c r="O1224" s="6"/>
    </row>
    <row r="1225" spans="5:15" ht="15.5" x14ac:dyDescent="0.35">
      <c r="E1225" s="14"/>
      <c r="F1225" s="1"/>
      <c r="H1225" s="12" t="str">
        <f t="shared" si="4"/>
        <v xml:space="preserve">    </v>
      </c>
      <c r="I1225" s="12"/>
      <c r="N1225" s="6"/>
      <c r="O1225" s="6"/>
    </row>
    <row r="1226" spans="5:15" ht="15.5" x14ac:dyDescent="0.35">
      <c r="E1226" s="14"/>
      <c r="F1226" s="1"/>
      <c r="H1226" s="12" t="str">
        <f t="shared" si="4"/>
        <v xml:space="preserve">    </v>
      </c>
      <c r="I1226" s="12"/>
      <c r="N1226" s="6"/>
      <c r="O1226" s="6"/>
    </row>
    <row r="1227" spans="5:15" ht="15.5" x14ac:dyDescent="0.35">
      <c r="E1227" s="14"/>
      <c r="F1227" s="1"/>
      <c r="H1227" s="12" t="str">
        <f t="shared" si="4"/>
        <v xml:space="preserve">    </v>
      </c>
      <c r="I1227" s="12"/>
      <c r="N1227" s="6"/>
      <c r="O1227" s="6"/>
    </row>
    <row r="1228" spans="5:15" ht="15.5" x14ac:dyDescent="0.35">
      <c r="E1228" s="14"/>
      <c r="F1228" s="1"/>
      <c r="H1228" s="12" t="str">
        <f t="shared" si="4"/>
        <v xml:space="preserve">    </v>
      </c>
      <c r="I1228" s="12"/>
      <c r="N1228" s="6"/>
      <c r="O1228" s="6"/>
    </row>
    <row r="1229" spans="5:15" ht="15.5" x14ac:dyDescent="0.35">
      <c r="E1229" s="14"/>
      <c r="F1229" s="1"/>
      <c r="H1229" s="12" t="str">
        <f t="shared" si="4"/>
        <v xml:space="preserve">    </v>
      </c>
      <c r="I1229" s="12"/>
      <c r="N1229" s="6"/>
      <c r="O1229" s="6"/>
    </row>
    <row r="1230" spans="5:15" ht="15.5" x14ac:dyDescent="0.35">
      <c r="E1230" s="14"/>
      <c r="F1230" s="1"/>
      <c r="H1230" s="12" t="str">
        <f t="shared" si="4"/>
        <v xml:space="preserve">    </v>
      </c>
      <c r="I1230" s="12"/>
      <c r="N1230" s="6"/>
      <c r="O1230" s="6"/>
    </row>
    <row r="1231" spans="5:15" ht="15.5" x14ac:dyDescent="0.35">
      <c r="E1231" s="14"/>
      <c r="F1231" s="1"/>
      <c r="H1231" s="12" t="str">
        <f t="shared" si="4"/>
        <v xml:space="preserve">    </v>
      </c>
      <c r="I1231" s="12"/>
      <c r="N1231" s="6"/>
      <c r="O1231" s="6"/>
    </row>
    <row r="1232" spans="5:15" ht="15.5" x14ac:dyDescent="0.35">
      <c r="E1232" s="14"/>
      <c r="F1232" s="1"/>
      <c r="H1232" s="12" t="str">
        <f t="shared" si="4"/>
        <v xml:space="preserve">    </v>
      </c>
      <c r="I1232" s="12"/>
      <c r="N1232" s="6"/>
      <c r="O1232" s="6"/>
    </row>
    <row r="1233" spans="5:15" ht="15.5" x14ac:dyDescent="0.35">
      <c r="E1233" s="14"/>
      <c r="F1233" s="1"/>
      <c r="H1233" s="12" t="str">
        <f t="shared" si="4"/>
        <v xml:space="preserve">    </v>
      </c>
      <c r="I1233" s="12"/>
      <c r="N1233" s="6"/>
      <c r="O1233" s="6"/>
    </row>
    <row r="1234" spans="5:15" ht="15.5" x14ac:dyDescent="0.35">
      <c r="E1234" s="14"/>
      <c r="F1234" s="1"/>
      <c r="H1234" s="12" t="str">
        <f t="shared" si="4"/>
        <v xml:space="preserve">    </v>
      </c>
      <c r="I1234" s="12"/>
      <c r="N1234" s="6"/>
      <c r="O1234" s="6"/>
    </row>
    <row r="1235" spans="5:15" ht="15.5" x14ac:dyDescent="0.35">
      <c r="E1235" s="14"/>
      <c r="F1235" s="1"/>
      <c r="H1235" s="12" t="str">
        <f t="shared" si="4"/>
        <v xml:space="preserve">    </v>
      </c>
      <c r="I1235" s="12"/>
      <c r="N1235" s="6"/>
      <c r="O1235" s="6"/>
    </row>
    <row r="1236" spans="5:15" ht="15.5" x14ac:dyDescent="0.35">
      <c r="E1236" s="14"/>
      <c r="F1236" s="1"/>
      <c r="H1236" s="12" t="str">
        <f t="shared" si="4"/>
        <v xml:space="preserve">    </v>
      </c>
      <c r="I1236" s="12"/>
      <c r="N1236" s="6"/>
      <c r="O1236" s="6"/>
    </row>
    <row r="1237" spans="5:15" ht="15.5" x14ac:dyDescent="0.35">
      <c r="E1237" s="14"/>
      <c r="F1237" s="1"/>
      <c r="H1237" s="12" t="str">
        <f t="shared" si="4"/>
        <v xml:space="preserve">    </v>
      </c>
      <c r="I1237" s="12"/>
      <c r="N1237" s="6"/>
      <c r="O1237" s="6"/>
    </row>
    <row r="1238" spans="5:15" ht="15.5" x14ac:dyDescent="0.35">
      <c r="E1238" s="14"/>
      <c r="F1238" s="1"/>
      <c r="H1238" s="12" t="str">
        <f t="shared" si="4"/>
        <v xml:space="preserve">    </v>
      </c>
      <c r="I1238" s="12"/>
      <c r="N1238" s="6"/>
      <c r="O1238" s="6"/>
    </row>
    <row r="1239" spans="5:15" ht="15.5" x14ac:dyDescent="0.35">
      <c r="E1239" s="14"/>
      <c r="F1239" s="1"/>
      <c r="H1239" s="12" t="str">
        <f t="shared" si="4"/>
        <v xml:space="preserve">    </v>
      </c>
      <c r="I1239" s="12"/>
      <c r="N1239" s="6"/>
      <c r="O1239" s="6"/>
    </row>
    <row r="1240" spans="5:15" ht="15.5" x14ac:dyDescent="0.35">
      <c r="E1240" s="14"/>
      <c r="F1240" s="1"/>
      <c r="H1240" s="12" t="str">
        <f t="shared" si="4"/>
        <v xml:space="preserve">    </v>
      </c>
      <c r="I1240" s="12"/>
      <c r="N1240" s="6"/>
      <c r="O1240" s="6"/>
    </row>
    <row r="1241" spans="5:15" ht="15.5" x14ac:dyDescent="0.35">
      <c r="E1241" s="14"/>
      <c r="F1241" s="1"/>
      <c r="H1241" s="12" t="str">
        <f t="shared" si="4"/>
        <v xml:space="preserve">    </v>
      </c>
      <c r="I1241" s="12"/>
      <c r="N1241" s="6"/>
      <c r="O1241" s="6"/>
    </row>
    <row r="1242" spans="5:15" ht="15.5" x14ac:dyDescent="0.35">
      <c r="E1242" s="14"/>
      <c r="F1242" s="1"/>
      <c r="H1242" s="12" t="str">
        <f t="shared" si="4"/>
        <v xml:space="preserve">    </v>
      </c>
      <c r="I1242" s="12"/>
      <c r="N1242" s="6"/>
      <c r="O1242" s="6"/>
    </row>
    <row r="1243" spans="5:15" ht="15.5" x14ac:dyDescent="0.35">
      <c r="E1243" s="14"/>
      <c r="F1243" s="1"/>
      <c r="H1243" s="12" t="str">
        <f t="shared" si="4"/>
        <v xml:space="preserve">    </v>
      </c>
      <c r="I1243" s="12"/>
      <c r="N1243" s="6"/>
      <c r="O1243" s="6"/>
    </row>
    <row r="1244" spans="5:15" ht="15.5" x14ac:dyDescent="0.35">
      <c r="E1244" s="14"/>
      <c r="F1244" s="1"/>
      <c r="H1244" s="12" t="str">
        <f t="shared" si="4"/>
        <v xml:space="preserve">    </v>
      </c>
      <c r="I1244" s="12"/>
      <c r="N1244" s="6"/>
      <c r="O1244" s="6"/>
    </row>
    <row r="1245" spans="5:15" ht="15.5" x14ac:dyDescent="0.35">
      <c r="E1245" s="14"/>
      <c r="F1245" s="1"/>
      <c r="H1245" s="12" t="str">
        <f t="shared" si="4"/>
        <v xml:space="preserve">    </v>
      </c>
      <c r="I1245" s="12"/>
      <c r="N1245" s="6"/>
      <c r="O1245" s="6"/>
    </row>
    <row r="1246" spans="5:15" ht="15.5" x14ac:dyDescent="0.35">
      <c r="E1246" s="14"/>
      <c r="F1246" s="1"/>
      <c r="H1246" s="12" t="str">
        <f t="shared" si="4"/>
        <v xml:space="preserve">    </v>
      </c>
      <c r="I1246" s="12"/>
      <c r="N1246" s="6"/>
      <c r="O1246" s="6"/>
    </row>
    <row r="1247" spans="5:15" ht="15.5" x14ac:dyDescent="0.35">
      <c r="E1247" s="14"/>
      <c r="F1247" s="1"/>
      <c r="H1247" s="12" t="str">
        <f t="shared" si="4"/>
        <v xml:space="preserve">    </v>
      </c>
      <c r="I1247" s="12"/>
      <c r="N1247" s="6"/>
      <c r="O1247" s="6"/>
    </row>
    <row r="1248" spans="5:15" ht="15.5" x14ac:dyDescent="0.35">
      <c r="E1248" s="14"/>
      <c r="F1248" s="1"/>
      <c r="H1248" s="12" t="str">
        <f t="shared" si="4"/>
        <v xml:space="preserve">    </v>
      </c>
      <c r="I1248" s="12"/>
      <c r="N1248" s="6"/>
      <c r="O1248" s="6"/>
    </row>
    <row r="1249" spans="5:15" ht="15.5" x14ac:dyDescent="0.35">
      <c r="E1249" s="14"/>
      <c r="F1249" s="1"/>
      <c r="H1249" s="12" t="str">
        <f t="shared" si="4"/>
        <v xml:space="preserve">    </v>
      </c>
      <c r="I1249" s="12"/>
      <c r="N1249" s="6"/>
      <c r="O1249" s="6"/>
    </row>
    <row r="1250" spans="5:15" ht="15.5" x14ac:dyDescent="0.35">
      <c r="E1250" s="14"/>
      <c r="F1250" s="1"/>
      <c r="H1250" s="12" t="str">
        <f t="shared" si="4"/>
        <v xml:space="preserve">    </v>
      </c>
      <c r="I1250" s="12"/>
      <c r="N1250" s="6"/>
      <c r="O1250" s="6"/>
    </row>
    <row r="1251" spans="5:15" ht="15.5" x14ac:dyDescent="0.35">
      <c r="E1251" s="14"/>
      <c r="F1251" s="1"/>
      <c r="H1251" s="12" t="str">
        <f t="shared" si="4"/>
        <v xml:space="preserve">    </v>
      </c>
      <c r="I1251" s="12"/>
      <c r="N1251" s="6"/>
      <c r="O1251" s="6"/>
    </row>
    <row r="1252" spans="5:15" ht="15.5" x14ac:dyDescent="0.35">
      <c r="E1252" s="14"/>
      <c r="F1252" s="1"/>
      <c r="H1252" s="12" t="str">
        <f t="shared" si="4"/>
        <v xml:space="preserve">    </v>
      </c>
      <c r="I1252" s="12"/>
      <c r="N1252" s="6"/>
      <c r="O1252" s="6"/>
    </row>
    <row r="1253" spans="5:15" ht="15.5" x14ac:dyDescent="0.35">
      <c r="E1253" s="14"/>
      <c r="F1253" s="1"/>
      <c r="H1253" s="12" t="str">
        <f t="shared" si="4"/>
        <v xml:space="preserve">    </v>
      </c>
      <c r="I1253" s="12"/>
      <c r="N1253" s="6"/>
      <c r="O1253" s="6"/>
    </row>
    <row r="1254" spans="5:15" ht="15.5" x14ac:dyDescent="0.35">
      <c r="E1254" s="14"/>
      <c r="F1254" s="1"/>
      <c r="H1254" s="12" t="str">
        <f t="shared" si="4"/>
        <v xml:space="preserve">    </v>
      </c>
      <c r="I1254" s="12"/>
      <c r="N1254" s="6"/>
      <c r="O1254" s="6"/>
    </row>
    <row r="1255" spans="5:15" ht="15.5" x14ac:dyDescent="0.35">
      <c r="E1255" s="14"/>
      <c r="F1255" s="1"/>
      <c r="H1255" s="12" t="str">
        <f t="shared" si="4"/>
        <v xml:space="preserve">    </v>
      </c>
      <c r="I1255" s="12"/>
      <c r="N1255" s="6"/>
      <c r="O1255" s="6"/>
    </row>
    <row r="1256" spans="5:15" ht="15.5" x14ac:dyDescent="0.35">
      <c r="E1256" s="14"/>
      <c r="F1256" s="1"/>
      <c r="H1256" s="12" t="str">
        <f t="shared" si="4"/>
        <v xml:space="preserve">    </v>
      </c>
      <c r="I1256" s="12"/>
      <c r="N1256" s="6"/>
      <c r="O1256" s="6"/>
    </row>
    <row r="1257" spans="5:15" ht="15.5" x14ac:dyDescent="0.35">
      <c r="E1257" s="14"/>
      <c r="F1257" s="1"/>
      <c r="H1257" s="12" t="str">
        <f t="shared" si="4"/>
        <v xml:space="preserve">    </v>
      </c>
      <c r="I1257" s="12"/>
      <c r="N1257" s="6"/>
      <c r="O1257" s="6"/>
    </row>
    <row r="1258" spans="5:15" ht="15.5" x14ac:dyDescent="0.35">
      <c r="E1258" s="14"/>
      <c r="F1258" s="1"/>
      <c r="H1258" s="12" t="str">
        <f t="shared" si="4"/>
        <v xml:space="preserve">    </v>
      </c>
      <c r="I1258" s="12"/>
      <c r="N1258" s="6"/>
      <c r="O1258" s="6"/>
    </row>
    <row r="1259" spans="5:15" ht="15.5" x14ac:dyDescent="0.35">
      <c r="E1259" s="14"/>
      <c r="F1259" s="1"/>
      <c r="H1259" s="12" t="str">
        <f t="shared" si="4"/>
        <v xml:space="preserve">    </v>
      </c>
      <c r="I1259" s="12"/>
      <c r="N1259" s="6"/>
      <c r="O1259" s="6"/>
    </row>
    <row r="1260" spans="5:15" ht="15.5" x14ac:dyDescent="0.35">
      <c r="E1260" s="14"/>
      <c r="F1260" s="1"/>
      <c r="H1260" s="12" t="str">
        <f t="shared" si="4"/>
        <v xml:space="preserve">    </v>
      </c>
      <c r="I1260" s="12"/>
      <c r="N1260" s="6"/>
      <c r="O1260" s="6"/>
    </row>
    <row r="1261" spans="5:15" ht="15.5" x14ac:dyDescent="0.35">
      <c r="E1261" s="14"/>
      <c r="F1261" s="1"/>
      <c r="H1261" s="12" t="str">
        <f t="shared" si="4"/>
        <v xml:space="preserve">    </v>
      </c>
      <c r="I1261" s="12"/>
      <c r="N1261" s="6"/>
      <c r="O1261" s="6"/>
    </row>
    <row r="1262" spans="5:15" ht="15.5" x14ac:dyDescent="0.35">
      <c r="E1262" s="14"/>
      <c r="F1262" s="1"/>
      <c r="H1262" s="12" t="str">
        <f t="shared" si="4"/>
        <v xml:space="preserve">    </v>
      </c>
      <c r="I1262" s="12"/>
      <c r="N1262" s="6"/>
      <c r="O1262" s="6"/>
    </row>
    <row r="1263" spans="5:15" ht="15.5" x14ac:dyDescent="0.35">
      <c r="E1263" s="14"/>
      <c r="F1263" s="1"/>
      <c r="H1263" s="12" t="str">
        <f t="shared" si="4"/>
        <v xml:space="preserve">    </v>
      </c>
      <c r="I1263" s="12"/>
      <c r="N1263" s="6"/>
      <c r="O1263" s="6"/>
    </row>
    <row r="1264" spans="5:15" ht="15.5" x14ac:dyDescent="0.35">
      <c r="E1264" s="14"/>
      <c r="F1264" s="1"/>
      <c r="H1264" s="12" t="str">
        <f t="shared" si="4"/>
        <v xml:space="preserve">    </v>
      </c>
      <c r="I1264" s="12"/>
      <c r="N1264" s="6"/>
      <c r="O1264" s="6"/>
    </row>
    <row r="1265" spans="5:15" ht="15.5" x14ac:dyDescent="0.35">
      <c r="E1265" s="14"/>
      <c r="F1265" s="1"/>
      <c r="H1265" s="12" t="str">
        <f t="shared" si="4"/>
        <v xml:space="preserve">    </v>
      </c>
      <c r="I1265" s="12"/>
      <c r="N1265" s="6"/>
      <c r="O1265" s="6"/>
    </row>
    <row r="1266" spans="5:15" ht="15.5" x14ac:dyDescent="0.35">
      <c r="E1266" s="14"/>
      <c r="F1266" s="1"/>
      <c r="H1266" s="12" t="str">
        <f t="shared" si="4"/>
        <v xml:space="preserve">    </v>
      </c>
      <c r="I1266" s="12"/>
      <c r="N1266" s="6"/>
      <c r="O1266" s="6"/>
    </row>
    <row r="1267" spans="5:15" ht="15.5" x14ac:dyDescent="0.35">
      <c r="E1267" s="14"/>
      <c r="F1267" s="1"/>
      <c r="H1267" s="12" t="str">
        <f t="shared" si="4"/>
        <v xml:space="preserve">    </v>
      </c>
      <c r="I1267" s="12"/>
      <c r="N1267" s="6"/>
      <c r="O1267" s="6"/>
    </row>
    <row r="1268" spans="5:15" ht="15.5" x14ac:dyDescent="0.35">
      <c r="E1268" s="14"/>
      <c r="F1268" s="1"/>
      <c r="H1268" s="12" t="str">
        <f t="shared" si="4"/>
        <v xml:space="preserve">    </v>
      </c>
      <c r="I1268" s="12"/>
      <c r="N1268" s="6"/>
      <c r="O1268" s="6"/>
    </row>
    <row r="1269" spans="5:15" ht="15.5" x14ac:dyDescent="0.35">
      <c r="E1269" s="14"/>
      <c r="F1269" s="1"/>
      <c r="H1269" s="12" t="str">
        <f t="shared" si="4"/>
        <v xml:space="preserve">    </v>
      </c>
      <c r="I1269" s="12"/>
      <c r="N1269" s="6"/>
      <c r="O1269" s="6"/>
    </row>
    <row r="1270" spans="5:15" ht="15.5" x14ac:dyDescent="0.35">
      <c r="E1270" s="14"/>
      <c r="F1270" s="1"/>
      <c r="H1270" s="12" t="str">
        <f t="shared" si="4"/>
        <v xml:space="preserve">    </v>
      </c>
      <c r="I1270" s="12"/>
      <c r="N1270" s="6"/>
      <c r="O1270" s="6"/>
    </row>
    <row r="1271" spans="5:15" ht="15.5" x14ac:dyDescent="0.35">
      <c r="E1271" s="14"/>
      <c r="F1271" s="1"/>
      <c r="H1271" s="12" t="str">
        <f t="shared" si="4"/>
        <v xml:space="preserve">    </v>
      </c>
      <c r="I1271" s="12"/>
      <c r="N1271" s="6"/>
      <c r="O1271" s="6"/>
    </row>
    <row r="1272" spans="5:15" ht="15.5" x14ac:dyDescent="0.35">
      <c r="E1272" s="14"/>
      <c r="F1272" s="1"/>
      <c r="H1272" s="12" t="str">
        <f t="shared" si="4"/>
        <v xml:space="preserve">    </v>
      </c>
      <c r="I1272" s="12"/>
      <c r="N1272" s="6"/>
      <c r="O1272" s="6"/>
    </row>
    <row r="1273" spans="5:15" ht="15.5" x14ac:dyDescent="0.35">
      <c r="E1273" s="14"/>
      <c r="F1273" s="1"/>
      <c r="H1273" s="12" t="str">
        <f t="shared" si="4"/>
        <v xml:space="preserve">    </v>
      </c>
      <c r="I1273" s="12"/>
      <c r="N1273" s="6"/>
      <c r="O1273" s="6"/>
    </row>
    <row r="1274" spans="5:15" ht="15.5" x14ac:dyDescent="0.35">
      <c r="E1274" s="14"/>
      <c r="F1274" s="1"/>
      <c r="H1274" s="12" t="str">
        <f t="shared" si="4"/>
        <v xml:space="preserve">    </v>
      </c>
      <c r="I1274" s="12"/>
      <c r="N1274" s="6"/>
      <c r="O1274" s="6"/>
    </row>
    <row r="1275" spans="5:15" ht="15.5" x14ac:dyDescent="0.35">
      <c r="E1275" s="14"/>
      <c r="F1275" s="1"/>
      <c r="H1275" s="12" t="str">
        <f t="shared" si="4"/>
        <v xml:space="preserve">    </v>
      </c>
      <c r="I1275" s="12"/>
      <c r="N1275" s="6"/>
      <c r="O1275" s="6"/>
    </row>
    <row r="1276" spans="5:15" ht="15.5" x14ac:dyDescent="0.35">
      <c r="E1276" s="14"/>
      <c r="F1276" s="1"/>
      <c r="H1276" s="12" t="str">
        <f t="shared" si="4"/>
        <v xml:space="preserve">    </v>
      </c>
      <c r="I1276" s="12"/>
      <c r="N1276" s="6"/>
      <c r="O1276" s="6"/>
    </row>
    <row r="1277" spans="5:15" ht="15.5" x14ac:dyDescent="0.35">
      <c r="E1277" s="14"/>
      <c r="F1277" s="1"/>
      <c r="H1277" s="12" t="str">
        <f t="shared" ref="H1277:H1357" si="5">(E1277&amp;"  "&amp;F1277&amp;"  "&amp;G1277)</f>
        <v xml:space="preserve">    </v>
      </c>
      <c r="I1277" s="12"/>
      <c r="N1277" s="6"/>
      <c r="O1277" s="6"/>
    </row>
    <row r="1278" spans="5:15" ht="15.5" x14ac:dyDescent="0.35">
      <c r="E1278" s="14"/>
      <c r="F1278" s="1"/>
      <c r="H1278" s="12" t="str">
        <f t="shared" si="5"/>
        <v xml:space="preserve">    </v>
      </c>
      <c r="I1278" s="12"/>
      <c r="N1278" s="6"/>
      <c r="O1278" s="6"/>
    </row>
    <row r="1279" spans="5:15" ht="15.5" x14ac:dyDescent="0.35">
      <c r="E1279" s="14"/>
      <c r="F1279" s="1"/>
      <c r="H1279" s="12" t="str">
        <f t="shared" si="5"/>
        <v xml:space="preserve">    </v>
      </c>
      <c r="I1279" s="12"/>
      <c r="N1279" s="6"/>
      <c r="O1279" s="6"/>
    </row>
    <row r="1280" spans="5:15" ht="15.5" x14ac:dyDescent="0.35">
      <c r="E1280" s="14"/>
      <c r="F1280" s="1"/>
      <c r="H1280" s="12" t="str">
        <f t="shared" si="5"/>
        <v xml:space="preserve">    </v>
      </c>
      <c r="I1280" s="12"/>
      <c r="N1280" s="6"/>
      <c r="O1280" s="6"/>
    </row>
    <row r="1281" spans="5:15" ht="15.5" x14ac:dyDescent="0.35">
      <c r="E1281" s="14"/>
      <c r="F1281" s="1"/>
      <c r="H1281" s="12" t="str">
        <f t="shared" si="5"/>
        <v xml:space="preserve">    </v>
      </c>
      <c r="I1281" s="12"/>
      <c r="N1281" s="6"/>
      <c r="O1281" s="6"/>
    </row>
    <row r="1282" spans="5:15" ht="15.5" x14ac:dyDescent="0.35">
      <c r="E1282" s="14"/>
      <c r="F1282" s="1"/>
      <c r="H1282" s="12" t="str">
        <f t="shared" si="5"/>
        <v xml:space="preserve">    </v>
      </c>
      <c r="I1282" s="12"/>
      <c r="N1282" s="6"/>
      <c r="O1282" s="6"/>
    </row>
    <row r="1283" spans="5:15" ht="15.5" x14ac:dyDescent="0.35">
      <c r="E1283" s="14"/>
      <c r="F1283" s="1"/>
      <c r="H1283" s="12" t="str">
        <f t="shared" si="5"/>
        <v xml:space="preserve">    </v>
      </c>
      <c r="I1283" s="12"/>
      <c r="N1283" s="6"/>
      <c r="O1283" s="6"/>
    </row>
    <row r="1284" spans="5:15" ht="15.5" x14ac:dyDescent="0.35">
      <c r="E1284" s="14"/>
      <c r="F1284" s="1"/>
      <c r="H1284" s="12" t="str">
        <f t="shared" si="5"/>
        <v xml:space="preserve">    </v>
      </c>
      <c r="I1284" s="12"/>
      <c r="N1284" s="6"/>
      <c r="O1284" s="6"/>
    </row>
    <row r="1285" spans="5:15" ht="15.5" x14ac:dyDescent="0.35">
      <c r="E1285" s="14"/>
      <c r="F1285" s="1"/>
      <c r="H1285" s="12" t="str">
        <f t="shared" si="5"/>
        <v xml:space="preserve">    </v>
      </c>
      <c r="I1285" s="12"/>
      <c r="N1285" s="6"/>
      <c r="O1285" s="6"/>
    </row>
    <row r="1286" spans="5:15" ht="15.5" x14ac:dyDescent="0.35">
      <c r="E1286" s="14"/>
      <c r="F1286" s="1"/>
      <c r="H1286" s="12" t="str">
        <f t="shared" si="5"/>
        <v xml:space="preserve">    </v>
      </c>
      <c r="I1286" s="12"/>
      <c r="N1286" s="6"/>
      <c r="O1286" s="6"/>
    </row>
    <row r="1287" spans="5:15" ht="15.5" x14ac:dyDescent="0.35">
      <c r="E1287" s="14"/>
      <c r="F1287" s="1"/>
      <c r="H1287" s="12" t="str">
        <f t="shared" si="5"/>
        <v xml:space="preserve">    </v>
      </c>
      <c r="I1287" s="12"/>
      <c r="N1287" s="6"/>
      <c r="O1287" s="6"/>
    </row>
    <row r="1288" spans="5:15" ht="15.5" x14ac:dyDescent="0.35">
      <c r="E1288" s="14"/>
      <c r="F1288" s="1"/>
      <c r="H1288" s="12" t="str">
        <f t="shared" si="5"/>
        <v xml:space="preserve">    </v>
      </c>
      <c r="I1288" s="12"/>
      <c r="N1288" s="6"/>
      <c r="O1288" s="6"/>
    </row>
    <row r="1289" spans="5:15" ht="15.5" x14ac:dyDescent="0.35">
      <c r="E1289" s="14"/>
      <c r="F1289" s="1"/>
      <c r="H1289" s="12" t="str">
        <f t="shared" si="5"/>
        <v xml:space="preserve">    </v>
      </c>
      <c r="I1289" s="12"/>
      <c r="N1289" s="6"/>
      <c r="O1289" s="6"/>
    </row>
    <row r="1290" spans="5:15" ht="15.5" x14ac:dyDescent="0.35">
      <c r="E1290" s="14"/>
      <c r="F1290" s="1"/>
      <c r="H1290" s="12" t="str">
        <f t="shared" si="5"/>
        <v xml:space="preserve">    </v>
      </c>
      <c r="I1290" s="12"/>
      <c r="N1290" s="6"/>
      <c r="O1290" s="6"/>
    </row>
    <row r="1291" spans="5:15" ht="15.5" x14ac:dyDescent="0.35">
      <c r="E1291" s="14"/>
      <c r="F1291" s="1"/>
      <c r="H1291" s="12" t="str">
        <f t="shared" si="5"/>
        <v xml:space="preserve">    </v>
      </c>
      <c r="I1291" s="12"/>
      <c r="N1291" s="6"/>
      <c r="O1291" s="6"/>
    </row>
    <row r="1292" spans="5:15" ht="15.5" x14ac:dyDescent="0.35">
      <c r="E1292" s="14"/>
      <c r="F1292" s="1"/>
      <c r="H1292" s="12" t="str">
        <f t="shared" si="5"/>
        <v xml:space="preserve">    </v>
      </c>
      <c r="I1292" s="12"/>
      <c r="N1292" s="6"/>
      <c r="O1292" s="6"/>
    </row>
    <row r="1293" spans="5:15" ht="15.5" x14ac:dyDescent="0.35">
      <c r="E1293" s="14"/>
      <c r="F1293" s="1"/>
      <c r="H1293" s="12" t="str">
        <f t="shared" si="5"/>
        <v xml:space="preserve">    </v>
      </c>
      <c r="I1293" s="12"/>
      <c r="N1293" s="6"/>
      <c r="O1293" s="6"/>
    </row>
    <row r="1294" spans="5:15" ht="15.5" x14ac:dyDescent="0.35">
      <c r="E1294" s="14"/>
      <c r="F1294" s="1"/>
      <c r="H1294" s="12" t="str">
        <f t="shared" si="5"/>
        <v xml:space="preserve">    </v>
      </c>
      <c r="I1294" s="12"/>
      <c r="N1294" s="6"/>
      <c r="O1294" s="6"/>
    </row>
    <row r="1295" spans="5:15" ht="15.5" x14ac:dyDescent="0.35">
      <c r="E1295" s="14"/>
      <c r="F1295" s="1"/>
      <c r="H1295" s="12" t="str">
        <f t="shared" si="5"/>
        <v xml:space="preserve">    </v>
      </c>
      <c r="I1295" s="12"/>
      <c r="N1295" s="6"/>
      <c r="O1295" s="6"/>
    </row>
    <row r="1296" spans="5:15" ht="15.5" x14ac:dyDescent="0.35">
      <c r="E1296" s="14"/>
      <c r="F1296" s="1"/>
      <c r="H1296" s="12" t="str">
        <f t="shared" si="5"/>
        <v xml:space="preserve">    </v>
      </c>
      <c r="I1296" s="12"/>
      <c r="N1296" s="6"/>
      <c r="O1296" s="6"/>
    </row>
    <row r="1297" spans="5:15" ht="15.5" x14ac:dyDescent="0.35">
      <c r="E1297" s="14"/>
      <c r="F1297" s="1"/>
      <c r="H1297" s="12" t="str">
        <f t="shared" si="5"/>
        <v xml:space="preserve">    </v>
      </c>
      <c r="I1297" s="12"/>
      <c r="N1297" s="6"/>
      <c r="O1297" s="6"/>
    </row>
    <row r="1298" spans="5:15" ht="15.5" x14ac:dyDescent="0.35">
      <c r="E1298" s="14"/>
      <c r="F1298" s="1"/>
      <c r="H1298" s="12" t="str">
        <f t="shared" si="5"/>
        <v xml:space="preserve">    </v>
      </c>
      <c r="I1298" s="12"/>
      <c r="N1298" s="6"/>
      <c r="O1298" s="6"/>
    </row>
    <row r="1299" spans="5:15" ht="15.5" x14ac:dyDescent="0.35">
      <c r="E1299" s="14"/>
      <c r="F1299" s="1"/>
      <c r="H1299" s="12" t="str">
        <f t="shared" si="5"/>
        <v xml:space="preserve">    </v>
      </c>
      <c r="I1299" s="12"/>
      <c r="N1299" s="6"/>
      <c r="O1299" s="6"/>
    </row>
    <row r="1300" spans="5:15" ht="15.5" x14ac:dyDescent="0.35">
      <c r="E1300" s="14"/>
      <c r="F1300" s="1"/>
      <c r="H1300" s="12" t="str">
        <f t="shared" si="5"/>
        <v xml:space="preserve">    </v>
      </c>
      <c r="I1300" s="12"/>
      <c r="N1300" s="6"/>
      <c r="O1300" s="6"/>
    </row>
    <row r="1301" spans="5:15" ht="15.5" x14ac:dyDescent="0.35">
      <c r="E1301" s="14"/>
      <c r="F1301" s="1"/>
      <c r="H1301" s="12" t="str">
        <f t="shared" si="5"/>
        <v xml:space="preserve">    </v>
      </c>
      <c r="I1301" s="12"/>
      <c r="N1301" s="6"/>
      <c r="O1301" s="6"/>
    </row>
    <row r="1302" spans="5:15" ht="15.5" x14ac:dyDescent="0.35">
      <c r="E1302" s="14"/>
      <c r="F1302" s="1"/>
      <c r="H1302" s="12" t="str">
        <f t="shared" si="5"/>
        <v xml:space="preserve">    </v>
      </c>
      <c r="I1302" s="12"/>
      <c r="N1302" s="6"/>
      <c r="O1302" s="6"/>
    </row>
    <row r="1303" spans="5:15" ht="15.5" x14ac:dyDescent="0.35">
      <c r="E1303" s="14"/>
      <c r="F1303" s="1"/>
      <c r="H1303" s="12" t="str">
        <f t="shared" si="5"/>
        <v xml:space="preserve">    </v>
      </c>
      <c r="I1303" s="12"/>
      <c r="N1303" s="6"/>
      <c r="O1303" s="6"/>
    </row>
    <row r="1304" spans="5:15" ht="15.5" x14ac:dyDescent="0.35">
      <c r="E1304" s="14"/>
      <c r="F1304" s="1"/>
      <c r="H1304" s="12" t="str">
        <f t="shared" si="5"/>
        <v xml:space="preserve">    </v>
      </c>
      <c r="I1304" s="12"/>
      <c r="N1304" s="6"/>
      <c r="O1304" s="6"/>
    </row>
    <row r="1305" spans="5:15" ht="15.5" x14ac:dyDescent="0.35">
      <c r="E1305" s="14"/>
      <c r="F1305" s="1"/>
      <c r="H1305" s="12" t="str">
        <f t="shared" si="5"/>
        <v xml:space="preserve">    </v>
      </c>
      <c r="I1305" s="12"/>
      <c r="N1305" s="6"/>
      <c r="O1305" s="6"/>
    </row>
    <row r="1306" spans="5:15" ht="15.5" x14ac:dyDescent="0.35">
      <c r="E1306" s="14"/>
      <c r="F1306" s="1"/>
      <c r="H1306" s="12" t="str">
        <f t="shared" si="5"/>
        <v xml:space="preserve">    </v>
      </c>
      <c r="I1306" s="12"/>
      <c r="N1306" s="6"/>
      <c r="O1306" s="6"/>
    </row>
    <row r="1307" spans="5:15" ht="15.5" x14ac:dyDescent="0.35">
      <c r="E1307" s="14"/>
      <c r="F1307" s="1"/>
      <c r="H1307" s="12" t="str">
        <f t="shared" si="5"/>
        <v xml:space="preserve">    </v>
      </c>
      <c r="I1307" s="12"/>
      <c r="N1307" s="6"/>
      <c r="O1307" s="6"/>
    </row>
    <row r="1308" spans="5:15" ht="15.5" x14ac:dyDescent="0.35">
      <c r="E1308" s="14"/>
      <c r="F1308" s="1"/>
      <c r="H1308" s="12" t="str">
        <f t="shared" si="5"/>
        <v xml:space="preserve">    </v>
      </c>
      <c r="I1308" s="12"/>
      <c r="N1308" s="6"/>
      <c r="O1308" s="6"/>
    </row>
    <row r="1309" spans="5:15" ht="15.5" x14ac:dyDescent="0.35">
      <c r="E1309" s="14"/>
      <c r="F1309" s="1"/>
      <c r="H1309" s="12" t="str">
        <f t="shared" si="5"/>
        <v xml:space="preserve">    </v>
      </c>
      <c r="I1309" s="12"/>
      <c r="N1309" s="6"/>
      <c r="O1309" s="6"/>
    </row>
    <row r="1310" spans="5:15" ht="15.5" x14ac:dyDescent="0.35">
      <c r="E1310" s="14"/>
      <c r="F1310" s="1"/>
      <c r="H1310" s="12" t="str">
        <f t="shared" si="5"/>
        <v xml:space="preserve">    </v>
      </c>
      <c r="I1310" s="12"/>
      <c r="N1310" s="6"/>
      <c r="O1310" s="6"/>
    </row>
    <row r="1311" spans="5:15" ht="15.5" x14ac:dyDescent="0.35">
      <c r="E1311" s="14"/>
      <c r="F1311" s="1"/>
      <c r="H1311" s="12" t="str">
        <f t="shared" si="5"/>
        <v xml:space="preserve">    </v>
      </c>
      <c r="I1311" s="12"/>
      <c r="N1311" s="6"/>
      <c r="O1311" s="6"/>
    </row>
    <row r="1312" spans="5:15" ht="15.5" x14ac:dyDescent="0.35">
      <c r="E1312" s="14"/>
      <c r="F1312" s="1"/>
      <c r="H1312" s="12" t="str">
        <f t="shared" si="5"/>
        <v xml:space="preserve">    </v>
      </c>
      <c r="I1312" s="12"/>
      <c r="N1312" s="6"/>
      <c r="O1312" s="6"/>
    </row>
    <row r="1313" spans="5:15" ht="15.5" x14ac:dyDescent="0.35">
      <c r="E1313" s="14"/>
      <c r="F1313" s="1"/>
      <c r="H1313" s="12" t="str">
        <f t="shared" si="5"/>
        <v xml:space="preserve">    </v>
      </c>
      <c r="I1313" s="12"/>
      <c r="N1313" s="6"/>
      <c r="O1313" s="6"/>
    </row>
    <row r="1314" spans="5:15" ht="15.5" x14ac:dyDescent="0.35">
      <c r="E1314" s="14"/>
      <c r="F1314" s="1"/>
      <c r="H1314" s="12" t="str">
        <f t="shared" si="5"/>
        <v xml:space="preserve">    </v>
      </c>
      <c r="I1314" s="12"/>
      <c r="N1314" s="6"/>
      <c r="O1314" s="6"/>
    </row>
    <row r="1315" spans="5:15" ht="15.5" x14ac:dyDescent="0.35">
      <c r="E1315" s="14"/>
      <c r="F1315" s="1"/>
      <c r="H1315" s="12" t="str">
        <f t="shared" si="5"/>
        <v xml:space="preserve">    </v>
      </c>
      <c r="I1315" s="12"/>
      <c r="N1315" s="6"/>
      <c r="O1315" s="6"/>
    </row>
    <row r="1316" spans="5:15" ht="15.5" x14ac:dyDescent="0.35">
      <c r="E1316" s="14"/>
      <c r="F1316" s="1"/>
      <c r="H1316" s="12" t="str">
        <f t="shared" si="5"/>
        <v xml:space="preserve">    </v>
      </c>
      <c r="I1316" s="12"/>
      <c r="N1316" s="6"/>
      <c r="O1316" s="6"/>
    </row>
    <row r="1317" spans="5:15" ht="15.5" x14ac:dyDescent="0.35">
      <c r="E1317" s="14"/>
      <c r="F1317" s="1"/>
      <c r="H1317" s="12" t="str">
        <f t="shared" si="5"/>
        <v xml:space="preserve">    </v>
      </c>
      <c r="I1317" s="12"/>
      <c r="N1317" s="6"/>
      <c r="O1317" s="6"/>
    </row>
    <row r="1318" spans="5:15" ht="15.5" x14ac:dyDescent="0.35">
      <c r="E1318" s="14"/>
      <c r="F1318" s="1"/>
      <c r="H1318" s="12" t="str">
        <f t="shared" si="5"/>
        <v xml:space="preserve">    </v>
      </c>
      <c r="I1318" s="12"/>
      <c r="N1318" s="6"/>
      <c r="O1318" s="6"/>
    </row>
    <row r="1319" spans="5:15" ht="15.5" x14ac:dyDescent="0.35">
      <c r="E1319" s="14"/>
      <c r="F1319" s="1"/>
      <c r="H1319" s="12" t="str">
        <f t="shared" si="5"/>
        <v xml:space="preserve">    </v>
      </c>
      <c r="I1319" s="12"/>
      <c r="N1319" s="6"/>
      <c r="O1319" s="6"/>
    </row>
    <row r="1320" spans="5:15" ht="15.5" x14ac:dyDescent="0.35">
      <c r="E1320" s="14"/>
      <c r="F1320" s="1"/>
      <c r="H1320" s="12" t="str">
        <f t="shared" si="5"/>
        <v xml:space="preserve">    </v>
      </c>
      <c r="I1320" s="12"/>
      <c r="N1320" s="6"/>
      <c r="O1320" s="6"/>
    </row>
    <row r="1321" spans="5:15" ht="15.5" x14ac:dyDescent="0.35">
      <c r="E1321" s="14"/>
      <c r="F1321" s="1"/>
      <c r="H1321" s="12" t="str">
        <f t="shared" si="5"/>
        <v xml:space="preserve">    </v>
      </c>
      <c r="I1321" s="12"/>
      <c r="N1321" s="6"/>
      <c r="O1321" s="6"/>
    </row>
    <row r="1322" spans="5:15" ht="15.5" x14ac:dyDescent="0.35">
      <c r="E1322" s="14"/>
      <c r="F1322" s="1"/>
      <c r="H1322" s="12" t="str">
        <f t="shared" si="5"/>
        <v xml:space="preserve">    </v>
      </c>
      <c r="I1322" s="12"/>
      <c r="N1322" s="6"/>
      <c r="O1322" s="6"/>
    </row>
    <row r="1323" spans="5:15" ht="15.5" x14ac:dyDescent="0.35">
      <c r="E1323" s="14"/>
      <c r="F1323" s="1"/>
      <c r="H1323" s="12" t="str">
        <f t="shared" si="5"/>
        <v xml:space="preserve">    </v>
      </c>
      <c r="I1323" s="12"/>
      <c r="N1323" s="6"/>
      <c r="O1323" s="6"/>
    </row>
    <row r="1324" spans="5:15" ht="15.5" x14ac:dyDescent="0.35">
      <c r="E1324" s="14"/>
      <c r="F1324" s="1"/>
      <c r="H1324" s="12" t="str">
        <f t="shared" si="5"/>
        <v xml:space="preserve">    </v>
      </c>
      <c r="I1324" s="12"/>
      <c r="N1324" s="6"/>
      <c r="O1324" s="6"/>
    </row>
    <row r="1325" spans="5:15" ht="15.5" x14ac:dyDescent="0.35">
      <c r="E1325" s="14"/>
      <c r="F1325" s="1"/>
      <c r="H1325" s="12" t="str">
        <f t="shared" si="5"/>
        <v xml:space="preserve">    </v>
      </c>
      <c r="I1325" s="12"/>
      <c r="N1325" s="6"/>
      <c r="O1325" s="6"/>
    </row>
    <row r="1326" spans="5:15" ht="15.5" x14ac:dyDescent="0.35">
      <c r="E1326" s="14"/>
      <c r="F1326" s="1"/>
      <c r="H1326" s="12" t="str">
        <f t="shared" si="5"/>
        <v xml:space="preserve">    </v>
      </c>
      <c r="I1326" s="12"/>
      <c r="N1326" s="6"/>
      <c r="O1326" s="6"/>
    </row>
    <row r="1327" spans="5:15" ht="15.5" x14ac:dyDescent="0.35">
      <c r="E1327" s="14"/>
      <c r="F1327" s="1"/>
      <c r="H1327" s="12" t="str">
        <f t="shared" si="5"/>
        <v xml:space="preserve">    </v>
      </c>
      <c r="I1327" s="12"/>
      <c r="N1327" s="6"/>
      <c r="O1327" s="6"/>
    </row>
    <row r="1328" spans="5:15" ht="15.5" x14ac:dyDescent="0.35">
      <c r="E1328" s="14"/>
      <c r="F1328" s="1"/>
      <c r="H1328" s="12" t="str">
        <f t="shared" si="5"/>
        <v xml:space="preserve">    </v>
      </c>
      <c r="I1328" s="12"/>
      <c r="N1328" s="6"/>
      <c r="O1328" s="6"/>
    </row>
    <row r="1329" spans="5:15" ht="15.5" x14ac:dyDescent="0.35">
      <c r="E1329" s="14"/>
      <c r="F1329" s="1"/>
      <c r="H1329" s="12" t="str">
        <f t="shared" si="5"/>
        <v xml:space="preserve">    </v>
      </c>
      <c r="I1329" s="12"/>
      <c r="N1329" s="6"/>
      <c r="O1329" s="6"/>
    </row>
    <row r="1330" spans="5:15" ht="15.5" x14ac:dyDescent="0.35">
      <c r="E1330" s="14"/>
      <c r="F1330" s="1"/>
      <c r="H1330" s="12" t="str">
        <f t="shared" si="5"/>
        <v xml:space="preserve">    </v>
      </c>
      <c r="I1330" s="12"/>
      <c r="N1330" s="6"/>
      <c r="O1330" s="6"/>
    </row>
    <row r="1331" spans="5:15" ht="15.5" x14ac:dyDescent="0.35">
      <c r="E1331" s="14"/>
      <c r="F1331" s="1"/>
      <c r="H1331" s="12" t="str">
        <f t="shared" si="5"/>
        <v xml:space="preserve">    </v>
      </c>
      <c r="I1331" s="12"/>
      <c r="N1331" s="6"/>
      <c r="O1331" s="6"/>
    </row>
    <row r="1332" spans="5:15" ht="15.5" x14ac:dyDescent="0.35">
      <c r="E1332" s="14"/>
      <c r="F1332" s="1"/>
      <c r="H1332" s="12" t="str">
        <f t="shared" si="5"/>
        <v xml:space="preserve">    </v>
      </c>
      <c r="I1332" s="12"/>
      <c r="N1332" s="6"/>
      <c r="O1332" s="6"/>
    </row>
    <row r="1333" spans="5:15" ht="15.5" x14ac:dyDescent="0.35">
      <c r="E1333" s="14"/>
      <c r="F1333" s="1"/>
      <c r="H1333" s="12" t="str">
        <f t="shared" si="5"/>
        <v xml:space="preserve">    </v>
      </c>
      <c r="I1333" s="12"/>
      <c r="N1333" s="6"/>
      <c r="O1333" s="6"/>
    </row>
    <row r="1334" spans="5:15" ht="15.5" x14ac:dyDescent="0.35">
      <c r="E1334" s="14"/>
      <c r="F1334" s="1"/>
      <c r="H1334" s="12" t="str">
        <f t="shared" si="5"/>
        <v xml:space="preserve">    </v>
      </c>
      <c r="I1334" s="12"/>
      <c r="N1334" s="6"/>
      <c r="O1334" s="6"/>
    </row>
    <row r="1335" spans="5:15" ht="15.5" x14ac:dyDescent="0.35">
      <c r="E1335" s="14"/>
      <c r="F1335" s="1"/>
      <c r="H1335" s="12" t="str">
        <f t="shared" si="5"/>
        <v xml:space="preserve">    </v>
      </c>
      <c r="I1335" s="12"/>
      <c r="N1335" s="6"/>
      <c r="O1335" s="6"/>
    </row>
    <row r="1336" spans="5:15" ht="15.5" x14ac:dyDescent="0.35">
      <c r="E1336" s="14"/>
      <c r="F1336" s="1"/>
      <c r="H1336" s="12" t="str">
        <f t="shared" si="5"/>
        <v xml:space="preserve">    </v>
      </c>
      <c r="I1336" s="12"/>
      <c r="N1336" s="6"/>
      <c r="O1336" s="6"/>
    </row>
    <row r="1337" spans="5:15" ht="15.5" x14ac:dyDescent="0.35">
      <c r="E1337" s="14"/>
      <c r="F1337" s="1"/>
      <c r="H1337" s="12" t="str">
        <f t="shared" si="5"/>
        <v xml:space="preserve">    </v>
      </c>
      <c r="I1337" s="12"/>
      <c r="N1337" s="6"/>
      <c r="O1337" s="6"/>
    </row>
    <row r="1338" spans="5:15" ht="15.5" x14ac:dyDescent="0.35">
      <c r="E1338" s="14"/>
      <c r="F1338" s="1"/>
      <c r="H1338" s="12" t="str">
        <f t="shared" si="5"/>
        <v xml:space="preserve">    </v>
      </c>
      <c r="I1338" s="12"/>
      <c r="N1338" s="6"/>
      <c r="O1338" s="6"/>
    </row>
    <row r="1339" spans="5:15" ht="15.5" x14ac:dyDescent="0.35">
      <c r="E1339" s="14"/>
      <c r="F1339" s="1"/>
      <c r="H1339" s="12" t="str">
        <f t="shared" si="5"/>
        <v xml:space="preserve">    </v>
      </c>
      <c r="I1339" s="12"/>
      <c r="N1339" s="6"/>
      <c r="O1339" s="6"/>
    </row>
    <row r="1340" spans="5:15" ht="15.5" x14ac:dyDescent="0.35">
      <c r="E1340" s="14"/>
      <c r="F1340" s="1"/>
      <c r="H1340" s="12" t="str">
        <f t="shared" si="5"/>
        <v xml:space="preserve">    </v>
      </c>
      <c r="I1340" s="12"/>
      <c r="N1340" s="6"/>
      <c r="O1340" s="6"/>
    </row>
    <row r="1341" spans="5:15" ht="15.5" x14ac:dyDescent="0.35">
      <c r="E1341" s="14"/>
      <c r="F1341" s="1"/>
      <c r="H1341" s="12" t="str">
        <f t="shared" si="5"/>
        <v xml:space="preserve">    </v>
      </c>
      <c r="I1341" s="12"/>
      <c r="N1341" s="6"/>
      <c r="O1341" s="6"/>
    </row>
    <row r="1342" spans="5:15" ht="15.5" x14ac:dyDescent="0.35">
      <c r="E1342" s="14"/>
      <c r="F1342" s="1"/>
      <c r="H1342" s="12" t="str">
        <f t="shared" si="5"/>
        <v xml:space="preserve">    </v>
      </c>
      <c r="I1342" s="12"/>
      <c r="N1342" s="6"/>
      <c r="O1342" s="6"/>
    </row>
    <row r="1343" spans="5:15" ht="15.5" x14ac:dyDescent="0.35">
      <c r="E1343" s="14"/>
      <c r="F1343" s="1"/>
      <c r="H1343" s="12" t="str">
        <f t="shared" si="5"/>
        <v xml:space="preserve">    </v>
      </c>
      <c r="I1343" s="12"/>
      <c r="N1343" s="6"/>
      <c r="O1343" s="6"/>
    </row>
    <row r="1344" spans="5:15" ht="15.5" x14ac:dyDescent="0.35">
      <c r="E1344" s="14"/>
      <c r="F1344" s="1"/>
      <c r="H1344" s="12" t="str">
        <f t="shared" si="5"/>
        <v xml:space="preserve">    </v>
      </c>
      <c r="I1344" s="12"/>
      <c r="N1344" s="6"/>
      <c r="O1344" s="6"/>
    </row>
    <row r="1345" spans="5:15" ht="15.5" x14ac:dyDescent="0.35">
      <c r="E1345" s="14"/>
      <c r="F1345" s="1"/>
      <c r="H1345" s="12" t="str">
        <f t="shared" si="5"/>
        <v xml:space="preserve">    </v>
      </c>
      <c r="I1345" s="12"/>
      <c r="N1345" s="6"/>
      <c r="O1345" s="6"/>
    </row>
    <row r="1346" spans="5:15" ht="15.5" x14ac:dyDescent="0.35">
      <c r="E1346" s="14"/>
      <c r="F1346" s="1"/>
      <c r="H1346" s="12" t="str">
        <f t="shared" si="5"/>
        <v xml:space="preserve">    </v>
      </c>
      <c r="I1346" s="12"/>
      <c r="N1346" s="6"/>
      <c r="O1346" s="6"/>
    </row>
    <row r="1347" spans="5:15" ht="15.5" x14ac:dyDescent="0.35">
      <c r="E1347" s="14"/>
      <c r="F1347" s="1"/>
      <c r="H1347" s="12" t="str">
        <f t="shared" si="5"/>
        <v xml:space="preserve">    </v>
      </c>
      <c r="I1347" s="12"/>
      <c r="N1347" s="6"/>
      <c r="O1347" s="6"/>
    </row>
    <row r="1348" spans="5:15" ht="15.5" x14ac:dyDescent="0.35">
      <c r="E1348" s="14"/>
      <c r="F1348" s="1"/>
      <c r="H1348" s="12" t="str">
        <f t="shared" si="5"/>
        <v xml:space="preserve">    </v>
      </c>
      <c r="I1348" s="12"/>
      <c r="N1348" s="6"/>
      <c r="O1348" s="6"/>
    </row>
    <row r="1349" spans="5:15" ht="15.5" x14ac:dyDescent="0.35">
      <c r="E1349" s="14"/>
      <c r="F1349" s="1"/>
      <c r="H1349" s="12" t="str">
        <f t="shared" si="5"/>
        <v xml:space="preserve">    </v>
      </c>
      <c r="I1349" s="12"/>
      <c r="N1349" s="6"/>
      <c r="O1349" s="6"/>
    </row>
    <row r="1350" spans="5:15" ht="15.5" x14ac:dyDescent="0.35">
      <c r="E1350" s="14"/>
      <c r="F1350" s="1"/>
      <c r="H1350" s="12" t="str">
        <f t="shared" si="5"/>
        <v xml:space="preserve">    </v>
      </c>
      <c r="I1350" s="12"/>
      <c r="N1350" s="6"/>
      <c r="O1350" s="6"/>
    </row>
    <row r="1351" spans="5:15" ht="15.5" x14ac:dyDescent="0.35">
      <c r="E1351" s="14"/>
      <c r="F1351" s="1"/>
      <c r="H1351" s="12" t="str">
        <f t="shared" si="5"/>
        <v xml:space="preserve">    </v>
      </c>
      <c r="I1351" s="12"/>
      <c r="N1351" s="6"/>
      <c r="O1351" s="6"/>
    </row>
    <row r="1352" spans="5:15" ht="15.5" x14ac:dyDescent="0.35">
      <c r="E1352" s="14"/>
      <c r="F1352" s="1"/>
      <c r="H1352" s="12" t="str">
        <f t="shared" si="5"/>
        <v xml:space="preserve">    </v>
      </c>
      <c r="I1352" s="12"/>
      <c r="N1352" s="6"/>
      <c r="O1352" s="6"/>
    </row>
    <row r="1353" spans="5:15" ht="15.5" x14ac:dyDescent="0.35">
      <c r="E1353" s="14"/>
      <c r="F1353" s="1"/>
      <c r="H1353" s="12" t="str">
        <f t="shared" si="5"/>
        <v xml:space="preserve">    </v>
      </c>
      <c r="I1353" s="12"/>
      <c r="N1353" s="6"/>
      <c r="O1353" s="6"/>
    </row>
    <row r="1354" spans="5:15" ht="15.5" x14ac:dyDescent="0.35">
      <c r="E1354" s="14"/>
      <c r="F1354" s="1"/>
      <c r="H1354" s="12" t="str">
        <f t="shared" si="5"/>
        <v xml:space="preserve">    </v>
      </c>
      <c r="I1354" s="12"/>
      <c r="N1354" s="6"/>
      <c r="O1354" s="6"/>
    </row>
    <row r="1355" spans="5:15" ht="15.5" x14ac:dyDescent="0.35">
      <c r="E1355" s="14"/>
      <c r="F1355" s="1"/>
      <c r="H1355" s="12" t="str">
        <f t="shared" si="5"/>
        <v xml:space="preserve">    </v>
      </c>
      <c r="I1355" s="12"/>
      <c r="N1355" s="6"/>
      <c r="O1355" s="6"/>
    </row>
    <row r="1356" spans="5:15" ht="15.5" x14ac:dyDescent="0.35">
      <c r="E1356" s="14"/>
      <c r="F1356" s="1"/>
      <c r="H1356" s="12" t="str">
        <f t="shared" si="5"/>
        <v xml:space="preserve">    </v>
      </c>
      <c r="I1356" s="12"/>
      <c r="N1356" s="6"/>
      <c r="O1356" s="6"/>
    </row>
    <row r="1357" spans="5:15" ht="15.5" x14ac:dyDescent="0.35">
      <c r="E1357" s="14"/>
      <c r="F1357" s="1"/>
      <c r="H1357" s="12" t="str">
        <f t="shared" si="5"/>
        <v xml:space="preserve">    </v>
      </c>
      <c r="I1357" s="12"/>
      <c r="N1357" s="6"/>
      <c r="O1357" s="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Réponses au formulaire 1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Pascal BLANCHOT</cp:lastModifiedBy>
  <dcterms:created xsi:type="dcterms:W3CDTF">2024-11-16T10:05:01Z</dcterms:created>
  <dcterms:modified xsi:type="dcterms:W3CDTF">2024-11-16T10:05:01Z</dcterms:modified>
</cp:coreProperties>
</file>