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07_SERVICES\02_BE1\7_Mécanique GAETAN\1-INJECTION\"/>
    </mc:Choice>
  </mc:AlternateContent>
  <xr:revisionPtr revIDLastSave="0" documentId="13_ncr:1_{EAB1688B-2478-4212-8C73-EC3AF2AA5C2D}" xr6:coauthVersionLast="47" xr6:coauthVersionMax="47" xr10:uidLastSave="{00000000-0000-0000-0000-000000000000}"/>
  <bookViews>
    <workbookView xWindow="-120" yWindow="-120" windowWidth="29040" windowHeight="15840" xr2:uid="{856740C2-0603-4292-8B55-4C0065645E4B}"/>
  </bookViews>
  <sheets>
    <sheet name="Prépa Matière" sheetId="1" r:id="rId1"/>
    <sheet name="Synthèse Mélange" sheetId="2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E3" i="1" s="1"/>
  <c r="G3" i="1"/>
  <c r="J3" i="1"/>
  <c r="L3" i="1"/>
  <c r="M3" i="1"/>
  <c r="K3" i="1" s="1"/>
  <c r="P3" i="1" l="1"/>
  <c r="O3" i="1"/>
  <c r="I3" i="1"/>
  <c r="D2" i="1" l="1"/>
  <c r="E2" i="1" s="1"/>
  <c r="G2" i="1"/>
  <c r="J2" i="1"/>
  <c r="L2" i="1"/>
  <c r="M2" i="1"/>
  <c r="K2" i="1" s="1"/>
  <c r="O2" i="1" l="1"/>
  <c r="P2" i="1"/>
  <c r="I2" i="1"/>
  <c r="O2" i="2" l="1"/>
  <c r="O9" i="2"/>
  <c r="O17" i="2"/>
  <c r="N5" i="2"/>
  <c r="N21" i="2"/>
  <c r="Q2" i="2"/>
  <c r="N2" i="2" s="1"/>
  <c r="Q4" i="2"/>
  <c r="N4" i="2" s="1"/>
  <c r="Q5" i="2"/>
  <c r="Q6" i="2"/>
  <c r="N6" i="2" s="1"/>
  <c r="Q7" i="2"/>
  <c r="N7" i="2" s="1"/>
  <c r="Q8" i="2"/>
  <c r="N8" i="2" s="1"/>
  <c r="Q9" i="2"/>
  <c r="N9" i="2" s="1"/>
  <c r="Q10" i="2"/>
  <c r="N10" i="2" s="1"/>
  <c r="Q11" i="2"/>
  <c r="N11" i="2" s="1"/>
  <c r="Q12" i="2"/>
  <c r="N12" i="2" s="1"/>
  <c r="Q13" i="2"/>
  <c r="N13" i="2" s="1"/>
  <c r="Q14" i="2"/>
  <c r="N14" i="2" s="1"/>
  <c r="Q15" i="2"/>
  <c r="N15" i="2" s="1"/>
  <c r="Q16" i="2"/>
  <c r="N16" i="2" s="1"/>
  <c r="Q17" i="2"/>
  <c r="N17" i="2" s="1"/>
  <c r="Q18" i="2"/>
  <c r="N18" i="2" s="1"/>
  <c r="Q19" i="2"/>
  <c r="N19" i="2" s="1"/>
  <c r="Q20" i="2"/>
  <c r="N20" i="2" s="1"/>
  <c r="Q21" i="2"/>
  <c r="Q22" i="2"/>
  <c r="N22" i="2" s="1"/>
  <c r="Q23" i="2"/>
  <c r="N23" i="2" s="1"/>
  <c r="P4" i="2"/>
  <c r="O4" i="2" s="1"/>
  <c r="P5" i="2"/>
  <c r="O5" i="2" s="1"/>
  <c r="P6" i="2"/>
  <c r="O6" i="2" s="1"/>
  <c r="P7" i="2"/>
  <c r="O7" i="2" s="1"/>
  <c r="P8" i="2"/>
  <c r="O8" i="2" s="1"/>
  <c r="P9" i="2"/>
  <c r="P10" i="2"/>
  <c r="O10" i="2" s="1"/>
  <c r="P11" i="2"/>
  <c r="O11" i="2" s="1"/>
  <c r="P12" i="2"/>
  <c r="O12" i="2" s="1"/>
  <c r="P13" i="2"/>
  <c r="O13" i="2" s="1"/>
  <c r="P14" i="2"/>
  <c r="O14" i="2" s="1"/>
  <c r="P15" i="2"/>
  <c r="O15" i="2" s="1"/>
  <c r="P16" i="2"/>
  <c r="O16" i="2" s="1"/>
  <c r="P17" i="2"/>
  <c r="P18" i="2"/>
  <c r="O18" i="2" s="1"/>
  <c r="P19" i="2"/>
  <c r="O19" i="2" s="1"/>
  <c r="P20" i="2"/>
  <c r="O20" i="2" s="1"/>
  <c r="P21" i="2"/>
  <c r="O21" i="2" s="1"/>
  <c r="P22" i="2"/>
  <c r="O22" i="2" s="1"/>
  <c r="P23" i="2"/>
  <c r="O23" i="2" s="1"/>
  <c r="L2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K2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H14" i="2" l="1"/>
  <c r="G14" i="2"/>
  <c r="D8" i="1" l="1"/>
  <c r="E8" i="1" s="1"/>
  <c r="G8" i="1"/>
  <c r="J8" i="1"/>
  <c r="L8" i="1"/>
  <c r="M8" i="1"/>
  <c r="K8" i="1" s="1"/>
  <c r="O8" i="1" l="1"/>
  <c r="P8" i="1"/>
  <c r="D9" i="1"/>
  <c r="E9" i="1" s="1"/>
  <c r="G9" i="1"/>
  <c r="J9" i="1"/>
  <c r="L9" i="1"/>
  <c r="M9" i="1"/>
  <c r="K9" i="1" s="1"/>
  <c r="D7" i="1"/>
  <c r="E7" i="1" s="1"/>
  <c r="G7" i="1"/>
  <c r="J7" i="1"/>
  <c r="L7" i="1"/>
  <c r="M7" i="1"/>
  <c r="K7" i="1" s="1"/>
  <c r="D4" i="1"/>
  <c r="E4" i="1" s="1"/>
  <c r="G4" i="1"/>
  <c r="J4" i="1"/>
  <c r="L4" i="1"/>
  <c r="M4" i="1"/>
  <c r="K4" i="1" s="1"/>
  <c r="D5" i="1"/>
  <c r="P5" i="1" s="1"/>
  <c r="D10" i="1"/>
  <c r="P10" i="1" s="1"/>
  <c r="D6" i="1"/>
  <c r="P6" i="1" s="1"/>
  <c r="O9" i="1" l="1"/>
  <c r="O4" i="1"/>
  <c r="O7" i="1"/>
  <c r="P7" i="1"/>
  <c r="P9" i="1"/>
  <c r="P4" i="1"/>
  <c r="I4" i="1"/>
  <c r="I7" i="1"/>
  <c r="I9" i="1"/>
  <c r="I6" i="1"/>
  <c r="G6" i="1"/>
  <c r="J6" i="1"/>
  <c r="L6" i="1"/>
  <c r="M6" i="1"/>
  <c r="K6" i="1" s="1"/>
  <c r="E6" i="1" l="1"/>
  <c r="O6" i="1" l="1"/>
  <c r="E10" i="1"/>
  <c r="G10" i="1"/>
  <c r="J10" i="1"/>
  <c r="L10" i="1"/>
  <c r="M10" i="1"/>
  <c r="K10" i="1" s="1"/>
  <c r="E5" i="1"/>
  <c r="G5" i="1"/>
  <c r="J5" i="1"/>
  <c r="L5" i="1"/>
  <c r="M5" i="1"/>
  <c r="K5" i="1" s="1"/>
  <c r="O5" i="1" l="1"/>
  <c r="O10" i="1"/>
  <c r="I5" i="1"/>
  <c r="I10" i="1"/>
  <c r="F24" i="2" l="1"/>
  <c r="G24" i="2" s="1"/>
  <c r="F23" i="2"/>
  <c r="H23" i="2" s="1"/>
  <c r="F22" i="2"/>
  <c r="G22" i="2" s="1"/>
  <c r="F21" i="2"/>
  <c r="F20" i="2"/>
  <c r="G20" i="2" s="1"/>
  <c r="F19" i="2"/>
  <c r="H19" i="2" s="1"/>
  <c r="F18" i="2"/>
  <c r="G18" i="2" s="1"/>
  <c r="F17" i="2"/>
  <c r="H17" i="2" s="1"/>
  <c r="H16" i="2"/>
  <c r="G16" i="2"/>
  <c r="F15" i="2"/>
  <c r="H15" i="2" s="1"/>
  <c r="H13" i="2"/>
  <c r="G13" i="2"/>
  <c r="F12" i="2"/>
  <c r="G12" i="2" s="1"/>
  <c r="F11" i="2"/>
  <c r="H11" i="2" s="1"/>
  <c r="F10" i="2"/>
  <c r="G10" i="2" s="1"/>
  <c r="F9" i="2"/>
  <c r="H9" i="2" s="1"/>
  <c r="H8" i="2"/>
  <c r="G8" i="2"/>
  <c r="H7" i="2"/>
  <c r="G7" i="2"/>
  <c r="H6" i="2"/>
  <c r="G6" i="2"/>
  <c r="H5" i="2"/>
  <c r="G5" i="2"/>
  <c r="H4" i="2"/>
  <c r="G4" i="2"/>
  <c r="F4" i="2"/>
  <c r="H10" i="2" l="1"/>
  <c r="H18" i="2"/>
  <c r="H12" i="2"/>
  <c r="H20" i="2"/>
  <c r="H22" i="2"/>
  <c r="H24" i="2"/>
  <c r="G9" i="2"/>
  <c r="G11" i="2"/>
  <c r="G17" i="2"/>
  <c r="G19" i="2"/>
  <c r="G23" i="2"/>
  <c r="G15" i="2"/>
</calcChain>
</file>

<file path=xl/sharedStrings.xml><?xml version="1.0" encoding="utf-8"?>
<sst xmlns="http://schemas.openxmlformats.org/spreadsheetml/2006/main" count="108" uniqueCount="98">
  <si>
    <t>Référence</t>
  </si>
  <si>
    <t>Temps de cycle en seconde</t>
  </si>
  <si>
    <t>Epaisseur</t>
  </si>
  <si>
    <t>Ratio Solaire</t>
  </si>
  <si>
    <t>Ratio cristal</t>
  </si>
  <si>
    <t>Tv %</t>
  </si>
  <si>
    <t>Poids écran + Taux rejets</t>
  </si>
  <si>
    <t>Qté solaire/100pcs</t>
  </si>
  <si>
    <t>Qté cristal/100pcs</t>
  </si>
  <si>
    <t>Poids prépa</t>
  </si>
  <si>
    <t>FV0100(Miroir)
FV023005
FV023004</t>
  </si>
  <si>
    <t>FV010006</t>
  </si>
  <si>
    <t>FV010062</t>
  </si>
  <si>
    <t>FV010011</t>
  </si>
  <si>
    <t>FV010091</t>
  </si>
  <si>
    <t>FV001710
FV001760</t>
  </si>
  <si>
    <t>FV001703</t>
  </si>
  <si>
    <t>FV001610
FV001660</t>
  </si>
  <si>
    <t>FV001603</t>
  </si>
  <si>
    <t>FV025703</t>
  </si>
  <si>
    <t>SF0001</t>
  </si>
  <si>
    <t>OQ2720</t>
  </si>
  <si>
    <t>SF0004</t>
  </si>
  <si>
    <t>SF0006</t>
  </si>
  <si>
    <t>SF0008</t>
  </si>
  <si>
    <t>SF0009</t>
  </si>
  <si>
    <t>FV020372</t>
  </si>
  <si>
    <t>FV009511</t>
  </si>
  <si>
    <t>FV020776
FV020784</t>
  </si>
  <si>
    <t>FV019201-Préparation matière uniquement</t>
  </si>
  <si>
    <t>Heure restante</t>
  </si>
  <si>
    <t>temp de cycle</t>
  </si>
  <si>
    <t>Total sec</t>
  </si>
  <si>
    <t>poids des pièces en     KG</t>
  </si>
  <si>
    <t>Matière/heure en     KG</t>
  </si>
  <si>
    <t>Total Matière restante KG</t>
  </si>
  <si>
    <t>% rebut</t>
  </si>
  <si>
    <t>Pcs+%rebut</t>
  </si>
  <si>
    <t>FL0935 S</t>
  </si>
  <si>
    <t>FL0506</t>
  </si>
  <si>
    <t>Nbr heure</t>
  </si>
  <si>
    <t>Matière en KG</t>
  </si>
  <si>
    <t>FL0935 I</t>
  </si>
  <si>
    <t>Pcs restantes</t>
  </si>
  <si>
    <t>Qte/heure</t>
  </si>
  <si>
    <t>FL0508</t>
  </si>
  <si>
    <t>FL0707</t>
  </si>
  <si>
    <t>FL0505</t>
  </si>
  <si>
    <t>Pcs</t>
  </si>
  <si>
    <t>Nbr heures</t>
  </si>
  <si>
    <t>FL0935 Corps</t>
  </si>
  <si>
    <t>SF0002</t>
  </si>
  <si>
    <t>Poids de matière</t>
  </si>
  <si>
    <t>Quantité pièces</t>
  </si>
  <si>
    <t>Nbr Pièces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</si>
  <si>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</si>
  <si>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</si>
  <si>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</si>
  <si>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</si>
  <si>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</si>
  <si>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</si>
  <si>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</si>
  <si>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</si>
  <si>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</si>
  <si>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</si>
  <si>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</si>
  <si>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</si>
  <si>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</si>
  <si>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</si>
  <si>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</si>
  <si>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</si>
  <si>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</si>
  <si>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</si>
  <si>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Matière</t>
  </si>
  <si>
    <t>Poid 1 pièce</t>
  </si>
  <si>
    <t>Solaire</t>
  </si>
  <si>
    <t>Cristal</t>
  </si>
  <si>
    <t>FL0337</t>
  </si>
  <si>
    <t>FL0501</t>
  </si>
  <si>
    <t>Trémie machine</t>
  </si>
  <si>
    <t>FR1</t>
  </si>
  <si>
    <t>FR2</t>
  </si>
  <si>
    <t>FR3</t>
  </si>
  <si>
    <t>FR4</t>
  </si>
  <si>
    <t>FR5</t>
  </si>
  <si>
    <t>FR6</t>
  </si>
  <si>
    <t>FR7</t>
  </si>
  <si>
    <t>FR8</t>
  </si>
  <si>
    <t>FR9</t>
  </si>
  <si>
    <t>FR10</t>
  </si>
  <si>
    <t>FR11</t>
  </si>
  <si>
    <t>FR12</t>
  </si>
  <si>
    <t>FR13</t>
  </si>
  <si>
    <t>FR14</t>
  </si>
  <si>
    <t>FR15</t>
  </si>
  <si>
    <t>trémie machine</t>
  </si>
  <si>
    <t>poids en kg</t>
  </si>
  <si>
    <t>temp vidage trémie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</si>
</sst>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[h]:mm:ss;@"/>
    <numFmt numFmtId="167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8" xfId="0" applyBorder="1"/>
    <xf numFmtId="9" fontId="0" fillId="0" borderId="8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8" xfId="0" applyBorder="1" applyAlignment="1">
      <alignment horizontal="center" vertical="center"/>
    </xf>
    <xf numFmtId="0" fontId="0" fillId="0" borderId="7" xfId="0" applyBorder="1"/>
    <xf numFmtId="10" fontId="0" fillId="0" borderId="8" xfId="0" applyNumberFormat="1" applyBorder="1"/>
    <xf numFmtId="0" fontId="1" fillId="0" borderId="0" xfId="0" applyFont="1"/>
    <xf numFmtId="0" fontId="0" fillId="0" borderId="9" xfId="0" applyBorder="1"/>
    <xf numFmtId="0" fontId="0" fillId="0" borderId="13" xfId="0" applyBorder="1"/>
    <xf numFmtId="0" fontId="0" fillId="0" borderId="3" xfId="0" applyBorder="1"/>
    <xf numFmtId="9" fontId="0" fillId="0" borderId="0" xfId="0" applyNumberFormat="1"/>
    <xf numFmtId="0" fontId="0" fillId="0" borderId="3" xfId="0" applyBorder="1" applyAlignment="1">
      <alignment horizontal="center" vertical="center"/>
    </xf>
    <xf numFmtId="165" fontId="0" fillId="0" borderId="8" xfId="0" applyNumberFormat="1" applyBorder="1"/>
    <xf numFmtId="0" fontId="0" fillId="3" borderId="7" xfId="0" applyFill="1" applyBorder="1" applyAlignment="1">
      <alignment wrapText="1"/>
    </xf>
    <xf numFmtId="0" fontId="0" fillId="3" borderId="8" xfId="0" applyFill="1" applyBorder="1"/>
    <xf numFmtId="9" fontId="0" fillId="3" borderId="8" xfId="0" applyNumberFormat="1" applyFill="1" applyBorder="1"/>
    <xf numFmtId="164" fontId="0" fillId="3" borderId="8" xfId="0" applyNumberFormat="1" applyFill="1" applyBorder="1"/>
    <xf numFmtId="164" fontId="0" fillId="3" borderId="9" xfId="0" applyNumberFormat="1" applyFill="1" applyBorder="1"/>
    <xf numFmtId="0" fontId="0" fillId="3" borderId="0" xfId="0" applyFill="1"/>
    <xf numFmtId="0" fontId="0" fillId="3" borderId="7" xfId="0" applyFill="1" applyBorder="1"/>
    <xf numFmtId="10" fontId="0" fillId="3" borderId="8" xfId="0" applyNumberFormat="1" applyFill="1" applyBorder="1"/>
    <xf numFmtId="0" fontId="1" fillId="3" borderId="0" xfId="0" applyFont="1" applyFill="1"/>
    <xf numFmtId="0" fontId="0" fillId="3" borderId="9" xfId="0" applyFill="1" applyBorder="1"/>
    <xf numFmtId="0" fontId="0" fillId="2" borderId="2" xfId="0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9" fontId="0" fillId="0" borderId="1" xfId="0" applyNumberForma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2" fontId="0" fillId="0" borderId="1" xfId="0" applyNumberFormat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center" vertical="center" wrapText="1"/>
      <protection hidden="1"/>
    </xf>
    <xf numFmtId="167" fontId="0" fillId="0" borderId="8" xfId="0" applyNumberFormat="1" applyBorder="1" applyProtection="1">
      <protection hidden="1"/>
    </xf>
    <xf numFmtId="166" fontId="0" fillId="0" borderId="8" xfId="0" applyNumberForma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1" xfId="0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 wrapText="1"/>
      <protection hidden="1"/>
    </xf>
    <xf numFmtId="0" fontId="0" fillId="0" borderId="10" xfId="0" applyBorder="1"/>
    <xf numFmtId="0" fontId="0" fillId="0" borderId="11" xfId="0" applyBorder="1"/>
    <xf numFmtId="9" fontId="0" fillId="0" borderId="11" xfId="0" applyNumberFormat="1" applyBorder="1"/>
    <xf numFmtId="0" fontId="0" fillId="0" borderId="12" xfId="0" applyBorder="1"/>
    <xf numFmtId="0" fontId="4" fillId="6" borderId="7" xfId="0" applyFont="1" applyFill="1" applyBorder="1"/>
    <xf numFmtId="0" fontId="4" fillId="6" borderId="8" xfId="0" applyFont="1" applyFill="1" applyBorder="1"/>
    <xf numFmtId="10" fontId="4" fillId="6" borderId="8" xfId="0" applyNumberFormat="1" applyFont="1" applyFill="1" applyBorder="1"/>
    <xf numFmtId="9" fontId="4" fillId="6" borderId="8" xfId="0" applyNumberFormat="1" applyFont="1" applyFill="1" applyBorder="1"/>
    <xf numFmtId="164" fontId="4" fillId="6" borderId="8" xfId="0" applyNumberFormat="1" applyFont="1" applyFill="1" applyBorder="1"/>
    <xf numFmtId="164" fontId="4" fillId="6" borderId="9" xfId="0" applyNumberFormat="1" applyFont="1" applyFill="1" applyBorder="1"/>
    <xf numFmtId="0" fontId="4" fillId="6" borderId="0" xfId="0" applyFont="1" applyFill="1"/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8" borderId="5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3" fillId="2" borderId="16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166" formatCode="[h]:mm:ss;@"/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1"/>
    </dxf>
    <dxf>
      <numFmt numFmtId="167" formatCode="[$-F400]h:mm:ss\ AM/PM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1"/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1"/>
    </dxf>
    <dxf>
      <numFmt numFmtId="13" formatCode="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D0FA39-8712-479D-9786-3BA122E3C3E9}" name="Tableau1" displayName="Tableau1" ref="A1:S56" totalsRowShown="0" headerRowDxfId="34" dataDxfId="32" headerRowBorderDxfId="33" tableBorderDxfId="31">
  <autoFilter ref="A1:S56" xr:uid="{2018D0C0-9086-4DCF-8FBC-5B202F0EA83F}"/>
  <sortState xmlns:xlrd2="http://schemas.microsoft.com/office/spreadsheetml/2017/richdata2" ref="A2:S55">
    <sortCondition ref="A1:A55"/>
  </sortState>
  <tableColumns count="19">
    <tableColumn id="1" xr3:uid="{B9ABA43D-7C50-4822-9C98-46C4BCA2F309}" name="Référence" dataDxfId="30"/>
    <tableColumn id="8" xr3:uid="{0E3AFD9E-9BA4-4E18-8F3D-F59D600AF55E}" name="Temps de cycle en seconde" dataDxfId="29"/>
    <tableColumn id="3" xr3:uid="{D7346A4F-EC35-4A10-8869-1CBF5F59BB3F}" name="poids des pièces en     KG" dataDxfId="28"/>
    <tableColumn id="9" xr3:uid="{EC691AAE-8F20-4417-8456-7B054E417DA4}" name="Qte/heure" dataDxfId="27">
      <calculatedColumnFormula>QUOTIENT(3600,Tableau1[[#This Row],[Temps de cycle en seconde]])</calculatedColumnFormula>
    </tableColumn>
    <tableColumn id="4" xr3:uid="{F0AEEEFA-342E-4F9B-A903-346930F9D150}" name="Matière/heure en     KG" dataDxfId="26">
      <calculatedColumnFormula>PRODUCT(Tableau1[[#This Row],[Qte/heure]],Tableau1[[#This Row],[poids des pièces en     KG]])</calculatedColumnFormula>
    </tableColumn>
    <tableColumn id="5" xr3:uid="{88881979-B75D-449F-9D9B-FE14C2474B85}" name="Pcs restantes" dataDxfId="25"/>
    <tableColumn id="13" xr3:uid="{D234E17B-6EE6-4EFB-BC19-4C58A570247E}" name="Pcs+%rebut" dataDxfId="24">
      <calculatedColumnFormula>PRODUCT(Tableau1[[#This Row],[Pcs restantes]],H2)</calculatedColumnFormula>
    </tableColumn>
    <tableColumn id="10" xr3:uid="{0936987F-66AE-44D9-B54F-3F0542FDE09F}" name="% rebut" dataDxfId="23"/>
    <tableColumn id="6" xr3:uid="{93345A4C-A25D-4EA4-8F7A-3312BDCAE910}" name="Nbr heure" dataDxfId="22">
      <calculatedColumnFormula>QUOTIENT(Tableau1[[#This Row],[Pcs restantes]],Tableau1[[#This Row],[Qte/heure]])</calculatedColumnFormula>
    </tableColumn>
    <tableColumn id="7" xr3:uid="{23E5CAB1-EB13-47F3-B2E2-A057E9E800C2}" name="Total Matière restante KG" dataDxfId="21">
      <calculatedColumnFormula>PRODUCT(Tableau1[[#This Row],[Pcs restantes]],Tableau1[[#This Row],[poids des pièces en     KG]])</calculatedColumnFormula>
    </tableColumn>
    <tableColumn id="2" xr3:uid="{649EC550-D566-4D09-A6BF-CEBDA91FE2FC}" name="Heure restante" dataDxfId="20">
      <calculatedColumnFormula>INT(M2/3600/24)&amp;"j "&amp;MOD(INT(M2/3600),24)&amp;"h "&amp;MOD(INT(M2/60),60)&amp;"m "&amp;MOD(M2,60)&amp;" s"</calculatedColumnFormula>
    </tableColumn>
    <tableColumn id="11" xr3:uid="{D7924D8D-10C2-4CD9-8AD7-5344605E4897}" name="temp de cycle" dataDxfId="19">
      <calculatedColumnFormula>INT(B2/3600/24)&amp;"j "&amp;MOD(INT(B2/3600),24)&amp;"h "&amp;MOD(INT(B2/60),60)&amp;"m "&amp;MOD(B2,60)&amp;" s"</calculatedColumnFormula>
    </tableColumn>
    <tableColumn id="12" xr3:uid="{91728A33-FA9A-4420-B0A3-0E739A260F14}" name="Total sec" dataDxfId="18">
      <calculatedColumnFormula>PRODUCT(B2,Tableau1[[#This Row],[Pcs restantes]])</calculatedColumnFormula>
    </tableColumn>
    <tableColumn id="14" xr3:uid="{8D99E099-32C7-412C-BC08-423BFD90C56A}" name="Nbr heures" dataDxfId="17"/>
    <tableColumn id="15" xr3:uid="{AF7F2610-2769-4233-B38D-36E5BE3E1E86}" name="Matière en KG" dataDxfId="16">
      <calculatedColumnFormula>PRODUCT(Tableau1[[#This Row],[Nbr heures]],Tableau1[[#This Row],[Matière/heure en     KG]])</calculatedColumnFormula>
    </tableColumn>
    <tableColumn id="16" xr3:uid="{9F22B2BC-0916-4757-A7A0-06E3DA483FCE}" name="Pcs" dataDxfId="15">
      <calculatedColumnFormula>PRODUCT(Tableau1[[#This Row],[Nbr heures]],Tableau1[[#This Row],[Qte/heure]])</calculatedColumnFormula>
    </tableColumn>
    <tableColumn id="17" xr3:uid="{DEE96766-E477-4239-A19B-451E46BE509D}" name="Trémie machine" dataDxfId="14"/>
    <tableColumn id="18" xr3:uid="{CDF623E9-1DEB-4D8B-AED3-022F061EC5E1}" name="temp vidage trémie" dataDxfId="13">
      <calculatedColumnFormula>QUOTIENT(Q2,C2)</calculatedColumnFormula>
    </tableColumn>
    <tableColumn id="19" xr3:uid="{05B289BE-3FCD-4C17-84EB-F3A808752CB0}" name="Colonne3" dataDxfId="12">
      <calculatedColumnFormula>QUOTIENT(Q2,E2)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6867E92-24D9-4479-98D0-E8C6024201F3}" name="Tableau3" displayName="Tableau3" ref="A1:R23" totalsRowShown="0">
  <autoFilter ref="A1:R23" xr:uid="{7B624CB9-B1CC-4DC1-B02C-C0419F5A3A0B}"/>
  <tableColumns count="18">
    <tableColumn id="1" xr3:uid="{C19B030E-2701-4A03-B985-BDD986D4FDE7}" name="Colonne1"/>
    <tableColumn id="2" xr3:uid="{3606A8F6-68AE-4352-84EB-B67C08BB1B01}" name="Colonne2" dataDxfId="11"/>
    <tableColumn id="3" xr3:uid="{5094AD4B-752C-4DBB-9E9C-B460E2B54E5B}" name="Colonne3" dataDxfId="10"/>
    <tableColumn id="4" xr3:uid="{868F76A7-93E5-4B82-A37D-E3B01C00FDBB}" name="Colonne4" dataDxfId="9"/>
    <tableColumn id="5" xr3:uid="{DC7A4F86-E733-49E1-A100-312BA002466A}" name="Colonne5" dataDxfId="8"/>
    <tableColumn id="6" xr3:uid="{50B41057-831E-49FD-BC7C-ABEBFB907043}" name="Colonne6" dataDxfId="7"/>
    <tableColumn id="7" xr3:uid="{001FBABF-870C-496E-B0A8-3D37B6BDBD41}" name="Colonne7"/>
    <tableColumn id="8" xr3:uid="{EEF96269-7F54-4B14-B901-83A114319A14}" name="Colonne8"/>
    <tableColumn id="9" xr3:uid="{50DAE432-5CCF-49E2-A6E6-5BD58DCC0C6C}" name="Colonne9"/>
    <tableColumn id="10" xr3:uid="{8501CBC4-23AA-46B5-B2F2-A0C9742186FE}" name="Colonne10"/>
    <tableColumn id="11" xr3:uid="{6EBB5744-BEDC-4DE1-86AA-B163802F3F3C}" name="Colonne11" dataDxfId="6">
      <calculatedColumnFormula>PRODUCT(Tableau3[[#This Row],[Colonne10]],Tableau3[[#This Row],[Colonne3]])</calculatedColumnFormula>
    </tableColumn>
    <tableColumn id="12" xr3:uid="{DE84AA5A-CDB9-40E9-9C4A-FDA00A9A619C}" name="Colonne12" dataDxfId="5">
      <calculatedColumnFormula>PRODUCT(Tableau3[[#This Row],[Colonne10]],Tableau3[[#This Row],[Colonne4]])</calculatedColumnFormula>
    </tableColumn>
    <tableColumn id="13" xr3:uid="{B72DA81F-6444-4324-A471-02AF0F6D010C}" name="Colonne13"/>
    <tableColumn id="14" xr3:uid="{D91CEB01-6502-4AA5-AD74-6EE623FC2424}" name="Colonne14" dataDxfId="4">
      <calculatedColumnFormula>PRODUCT(Q2,M2)</calculatedColumnFormula>
    </tableColumn>
    <tableColumn id="15" xr3:uid="{D3F35282-7A5B-4963-9D06-0C48A7D6EED2}" name="Colonne15" dataDxfId="3">
      <calculatedColumnFormula>PRODUCT(P2,M2)</calculatedColumnFormula>
    </tableColumn>
    <tableColumn id="16" xr3:uid="{388259C8-D388-4594-A318-1C664C68B5A2}" name="Colonne16" dataDxfId="2">
      <calculatedColumnFormula>PRODUCT(Tableau3[[#This Row],[Colonne18]],Tableau3[[#This Row],[Colonne4]])</calculatedColumnFormula>
    </tableColumn>
    <tableColumn id="17" xr3:uid="{C84AC98E-342B-4E86-AB98-E12A4F1DD81E}" name="Colonne17" dataDxfId="1">
      <calculatedColumnFormula>+PRODUCT(Tableau3[[#This Row],[Colonne18]],Tableau3[[#This Row],[Colonne3]])</calculatedColumnFormula>
    </tableColumn>
    <tableColumn id="18" xr3:uid="{640C93CC-181D-4733-AD33-2901CD467BCD}" name="Colonne18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AD75-1892-4362-8782-98BBC608786B}">
  <sheetPr codeName="Feuil1"/>
  <dimension ref="A1:W16"/>
  <sheetViews>
    <sheetView tabSelected="1" zoomScaleNormal="100" workbookViewId="0">
      <pane xSplit="7" ySplit="17" topLeftCell="I18" activePane="bottomRight" state="frozen"/>
      <selection pane="topRight" activeCell="H1" sqref="H1"/>
      <selection pane="bottomLeft" activeCell="A18" sqref="A18"/>
      <selection pane="bottomRight" activeCell="Q2" sqref="Q2"/>
    </sheetView>
  </sheetViews>
  <sheetFormatPr baseColWidth="10" defaultRowHeight="15" x14ac:dyDescent="0.25"/>
  <cols>
    <col min="1" max="1" width="20.7109375" customWidth="1"/>
    <col min="2" max="2" width="15.85546875" customWidth="1"/>
    <col min="3" max="3" width="16" customWidth="1"/>
    <col min="4" max="4" width="15.5703125" customWidth="1"/>
    <col min="5" max="5" width="16.85546875" customWidth="1"/>
    <col min="6" max="6" width="14" customWidth="1"/>
    <col min="7" max="7" width="9.85546875" customWidth="1"/>
    <col min="8" max="8" width="10.85546875" customWidth="1"/>
    <col min="9" max="9" width="15.7109375" customWidth="1"/>
    <col min="10" max="10" width="16.42578125" customWidth="1"/>
    <col min="11" max="11" width="17.140625" customWidth="1"/>
    <col min="12" max="12" width="0.85546875" customWidth="1"/>
    <col min="13" max="13" width="1.140625" customWidth="1"/>
    <col min="18" max="18" width="12.140625" customWidth="1"/>
  </cols>
  <sheetData>
    <row r="1" spans="1:23" ht="40.5" customHeight="1" thickBot="1" x14ac:dyDescent="0.3">
      <c r="A1" s="39" t="s">
        <v>0</v>
      </c>
      <c r="B1" s="40" t="s">
        <v>1</v>
      </c>
      <c r="C1" s="40" t="s">
        <v>33</v>
      </c>
      <c r="D1" s="32" t="s">
        <v>44</v>
      </c>
      <c r="E1" s="32" t="s">
        <v>34</v>
      </c>
      <c r="F1" s="39" t="s">
        <v>43</v>
      </c>
      <c r="G1" s="3" t="s">
        <v>37</v>
      </c>
      <c r="H1" s="39" t="s">
        <v>36</v>
      </c>
      <c r="I1" s="34" t="s">
        <v>40</v>
      </c>
      <c r="J1" s="32" t="s">
        <v>35</v>
      </c>
      <c r="K1" s="42" t="s">
        <v>30</v>
      </c>
      <c r="L1" s="32" t="s">
        <v>31</v>
      </c>
      <c r="M1" s="42" t="s">
        <v>32</v>
      </c>
      <c r="N1" s="48" t="s">
        <v>49</v>
      </c>
      <c r="O1" s="84" t="s">
        <v>41</v>
      </c>
      <c r="P1" s="85" t="s">
        <v>48</v>
      </c>
      <c r="Q1" s="86" t="s">
        <v>79</v>
      </c>
      <c r="R1" s="85" t="s">
        <v>97</v>
      </c>
      <c r="S1" s="85" t="s">
        <v>57</v>
      </c>
      <c r="V1" s="87" t="s">
        <v>95</v>
      </c>
      <c r="W1" t="s">
        <v>96</v>
      </c>
    </row>
    <row r="2" spans="1:23" x14ac:dyDescent="0.25">
      <c r="A2" s="1" t="s">
        <v>77</v>
      </c>
      <c r="B2" s="2">
        <v>128</v>
      </c>
      <c r="C2" s="2">
        <v>1E-3</v>
      </c>
      <c r="D2" s="33">
        <f>QUOTIENT(3600,Tableau1[[#This Row],[Temps de cycle en seconde]])</f>
        <v>28</v>
      </c>
      <c r="E2" s="33">
        <f>PRODUCT(Tableau1[[#This Row],[Qte/heure]],Tableau1[[#This Row],[poids des pièces en     KG]])</f>
        <v>2.8000000000000001E-2</v>
      </c>
      <c r="F2" s="2">
        <v>303</v>
      </c>
      <c r="G2" s="2">
        <f>PRODUCT(Tableau1[[#This Row],[Pcs restantes]],H2)</f>
        <v>0</v>
      </c>
      <c r="H2" s="38">
        <v>0</v>
      </c>
      <c r="I2" s="41">
        <f>QUOTIENT(Tableau1[[#This Row],[Pcs restantes]],Tableau1[[#This Row],[Qte/heure]])</f>
        <v>10</v>
      </c>
      <c r="J2" s="33">
        <f>PRODUCT(Tableau1[[#This Row],[Pcs restantes]],Tableau1[[#This Row],[poids des pièces en     KG]])</f>
        <v>0.30299999999999999</v>
      </c>
      <c r="K2" s="43" t="str">
        <f t="shared" ref="K2:K33" si="0">INT(M2/3600/24)&amp;"j "&amp;MOD(INT(M2/3600),24)&amp;"h "&amp;MOD(INT(M2/60),60)&amp;"m "&amp;MOD(M2,60)&amp;" s"</f>
        <v>0j 10h 46m 24 s</v>
      </c>
      <c r="L2" s="35" t="str">
        <f t="shared" ref="L2:L33" si="1">INT(B2/3600/24)&amp;"j "&amp;MOD(INT(B2/3600),24)&amp;"h "&amp;MOD(INT(B2/60),60)&amp;"m "&amp;MOD(B2,60)&amp;" s"</f>
        <v>0j 0h 2m 8 s</v>
      </c>
      <c r="M2" s="45">
        <f>PRODUCT(B2,Tableau1[[#This Row],[Pcs restantes]])</f>
        <v>38784</v>
      </c>
      <c r="N2" s="45">
        <v>8</v>
      </c>
      <c r="O2" s="46">
        <f>PRODUCT(Tableau1[[#This Row],[Nbr heures]],Tableau1[[#This Row],[Matière/heure en     KG]])</f>
        <v>0.224</v>
      </c>
      <c r="P2" s="37">
        <f>PRODUCT(Tableau1[[#This Row],[Nbr heures]],Tableau1[[#This Row],[Qte/heure]])</f>
        <v>224</v>
      </c>
      <c r="Q2" s="36"/>
      <c r="R2" s="36"/>
      <c r="S2" s="36"/>
      <c r="V2" t="s">
        <v>80</v>
      </c>
      <c r="W2">
        <v>2</v>
      </c>
    </row>
    <row r="3" spans="1:23" x14ac:dyDescent="0.25">
      <c r="A3" s="1" t="s">
        <v>78</v>
      </c>
      <c r="B3" s="2">
        <v>183.86</v>
      </c>
      <c r="C3" s="2">
        <v>5.0000000000000001E-3</v>
      </c>
      <c r="D3" s="33">
        <f>QUOTIENT(3600,Tableau1[[#This Row],[Temps de cycle en seconde]])</f>
        <v>19</v>
      </c>
      <c r="E3" s="33">
        <f>PRODUCT(Tableau1[[#This Row],[Qte/heure]],Tableau1[[#This Row],[poids des pièces en     KG]])</f>
        <v>9.5000000000000001E-2</v>
      </c>
      <c r="F3" s="2">
        <v>302</v>
      </c>
      <c r="G3" s="2">
        <f>PRODUCT(Tableau1[[#This Row],[Pcs restantes]],H3)</f>
        <v>0</v>
      </c>
      <c r="H3" s="38">
        <v>0</v>
      </c>
      <c r="I3" s="41">
        <f>QUOTIENT(Tableau1[[#This Row],[Pcs restantes]],Tableau1[[#This Row],[Qte/heure]])</f>
        <v>15</v>
      </c>
      <c r="J3" s="33">
        <f>PRODUCT(Tableau1[[#This Row],[Pcs restantes]],Tableau1[[#This Row],[poids des pièces en     KG]])</f>
        <v>1.51</v>
      </c>
      <c r="K3" s="43" t="str">
        <f t="shared" si="0"/>
        <v>0j 15h 25m 25,7200000000012 s</v>
      </c>
      <c r="L3" s="44" t="str">
        <f t="shared" si="1"/>
        <v>0j 0h 3m 3,86000000000001 s</v>
      </c>
      <c r="M3" s="45">
        <f>PRODUCT(B3,Tableau1[[#This Row],[Pcs restantes]])</f>
        <v>55525.72</v>
      </c>
      <c r="N3" s="45">
        <v>9</v>
      </c>
      <c r="O3" s="46">
        <f>PRODUCT(Tableau1[[#This Row],[Nbr heures]],Tableau1[[#This Row],[Matière/heure en     KG]])</f>
        <v>0.85499999999999998</v>
      </c>
      <c r="P3" s="46">
        <f>PRODUCT(Tableau1[[#This Row],[Nbr heures]],Tableau1[[#This Row],[Qte/heure]])</f>
        <v>171</v>
      </c>
      <c r="Q3" s="36"/>
      <c r="R3" s="36"/>
      <c r="S3" s="36"/>
      <c r="V3" t="s">
        <v>81</v>
      </c>
      <c r="W3">
        <v>2</v>
      </c>
    </row>
    <row r="4" spans="1:23" x14ac:dyDescent="0.25">
      <c r="A4" s="1" t="s">
        <v>47</v>
      </c>
      <c r="B4" s="2">
        <v>64.7</v>
      </c>
      <c r="C4" s="2">
        <v>1.2999999999999999E-2</v>
      </c>
      <c r="D4" s="33">
        <f>QUOTIENT(3600,Tableau1[[#This Row],[Temps de cycle en seconde]])</f>
        <v>55</v>
      </c>
      <c r="E4" s="33">
        <f>PRODUCT(Tableau1[[#This Row],[Qte/heure]],Tableau1[[#This Row],[poids des pièces en     KG]])</f>
        <v>0.71499999999999997</v>
      </c>
      <c r="F4" s="2">
        <v>504</v>
      </c>
      <c r="G4" s="2">
        <f>PRODUCT(Tableau1[[#This Row],[Pcs restantes]],H4)</f>
        <v>0</v>
      </c>
      <c r="H4" s="38">
        <v>0</v>
      </c>
      <c r="I4" s="41">
        <f>QUOTIENT(Tableau1[[#This Row],[Pcs restantes]],Tableau1[[#This Row],[Qte/heure]])</f>
        <v>9</v>
      </c>
      <c r="J4" s="33">
        <f>PRODUCT(Tableau1[[#This Row],[Pcs restantes]],Tableau1[[#This Row],[poids des pièces en     KG]])</f>
        <v>6.5519999999999996</v>
      </c>
      <c r="K4" s="43" t="str">
        <f t="shared" si="0"/>
        <v>0j 9h 3m 28,7999999999993 s</v>
      </c>
      <c r="L4" s="44" t="str">
        <f t="shared" si="1"/>
        <v>0j 0h 1m 4,7 s</v>
      </c>
      <c r="M4" s="45">
        <f>PRODUCT(B4,Tableau1[[#This Row],[Pcs restantes]])</f>
        <v>32608.799999999999</v>
      </c>
      <c r="N4" s="45">
        <v>8</v>
      </c>
      <c r="O4" s="46">
        <f>PRODUCT(Tableau1[[#This Row],[Nbr heures]],Tableau1[[#This Row],[Matière/heure en     KG]])</f>
        <v>5.72</v>
      </c>
      <c r="P4" s="46">
        <f>PRODUCT(Tableau1[[#This Row],[Nbr heures]],Tableau1[[#This Row],[Qte/heure]])</f>
        <v>440</v>
      </c>
      <c r="Q4" s="36"/>
      <c r="R4" s="36"/>
      <c r="S4" s="36"/>
      <c r="V4" t="s">
        <v>82</v>
      </c>
      <c r="W4">
        <v>2</v>
      </c>
    </row>
    <row r="5" spans="1:23" x14ac:dyDescent="0.25">
      <c r="A5" s="1" t="s">
        <v>39</v>
      </c>
      <c r="B5" s="2">
        <v>66.5</v>
      </c>
      <c r="C5" s="2">
        <v>1.4999999999999999E-2</v>
      </c>
      <c r="D5" s="33">
        <f>QUOTIENT(3600,Tableau1[[#This Row],[Temps de cycle en seconde]])</f>
        <v>54</v>
      </c>
      <c r="E5" s="33">
        <f>PRODUCT(Tableau1[[#This Row],[Qte/heure]],Tableau1[[#This Row],[poids des pièces en     KG]])</f>
        <v>0.81</v>
      </c>
      <c r="F5" s="2">
        <v>1000</v>
      </c>
      <c r="G5" s="2">
        <f>PRODUCT(Tableau1[[#This Row],[Pcs restantes]],H5)</f>
        <v>0</v>
      </c>
      <c r="H5" s="38">
        <v>0</v>
      </c>
      <c r="I5" s="41">
        <f>QUOTIENT(Tableau1[[#This Row],[Pcs restantes]],Tableau1[[#This Row],[Qte/heure]])</f>
        <v>18</v>
      </c>
      <c r="J5" s="33">
        <f>PRODUCT(Tableau1[[#This Row],[Pcs restantes]],Tableau1[[#This Row],[poids des pièces en     KG]])</f>
        <v>15</v>
      </c>
      <c r="K5" s="43" t="str">
        <f t="shared" si="0"/>
        <v>0j 18h 28m 20 s</v>
      </c>
      <c r="L5" s="44" t="str">
        <f t="shared" si="1"/>
        <v>0j 0h 1m 6,5 s</v>
      </c>
      <c r="M5" s="45">
        <f>PRODUCT(B5,Tableau1[[#This Row],[Pcs restantes]])</f>
        <v>66500</v>
      </c>
      <c r="N5" s="45">
        <v>8</v>
      </c>
      <c r="O5" s="46">
        <f>PRODUCT(Tableau1[[#This Row],[Nbr heures]],Tableau1[[#This Row],[Matière/heure en     KG]])</f>
        <v>6.48</v>
      </c>
      <c r="P5" s="46">
        <f>PRODUCT(Tableau1[[#This Row],[Nbr heures]],Tableau1[[#This Row],[Qte/heure]])</f>
        <v>432</v>
      </c>
      <c r="Q5" s="36"/>
      <c r="R5" s="36"/>
      <c r="S5" s="36"/>
      <c r="V5" t="s">
        <v>83</v>
      </c>
      <c r="W5">
        <v>2</v>
      </c>
    </row>
    <row r="6" spans="1:23" x14ac:dyDescent="0.25">
      <c r="A6" s="1" t="s">
        <v>45</v>
      </c>
      <c r="B6" s="2">
        <v>99</v>
      </c>
      <c r="C6" s="2">
        <v>4.4999999999999998E-2</v>
      </c>
      <c r="D6" s="33">
        <f>QUOTIENT(3600,Tableau1[[#This Row],[Temps de cycle en seconde]])</f>
        <v>36</v>
      </c>
      <c r="E6" s="33">
        <f>PRODUCT(Tableau1[[#This Row],[Qte/heure]],Tableau1[[#This Row],[poids des pièces en     KG]])</f>
        <v>1.62</v>
      </c>
      <c r="F6" s="2">
        <v>500</v>
      </c>
      <c r="G6" s="2">
        <f>PRODUCT(Tableau1[[#This Row],[Pcs restantes]],H6)</f>
        <v>0</v>
      </c>
      <c r="H6" s="38">
        <v>0</v>
      </c>
      <c r="I6" s="41">
        <f>QUOTIENT(Tableau1[[#This Row],[Pcs restantes]],Tableau1[[#This Row],[Qte/heure]])</f>
        <v>13</v>
      </c>
      <c r="J6" s="33">
        <f>PRODUCT(Tableau1[[#This Row],[Pcs restantes]],Tableau1[[#This Row],[poids des pièces en     KG]])</f>
        <v>22.5</v>
      </c>
      <c r="K6" s="43" t="str">
        <f t="shared" si="0"/>
        <v>0j 13h 45m 0 s</v>
      </c>
      <c r="L6" s="44" t="str">
        <f t="shared" si="1"/>
        <v>0j 0h 1m 39 s</v>
      </c>
      <c r="M6" s="45">
        <f>PRODUCT(B6,Tableau1[[#This Row],[Pcs restantes]])</f>
        <v>49500</v>
      </c>
      <c r="N6" s="45">
        <v>8</v>
      </c>
      <c r="O6" s="46">
        <f>PRODUCT(Tableau1[[#This Row],[Nbr heures]],Tableau1[[#This Row],[Matière/heure en     KG]])</f>
        <v>12.96</v>
      </c>
      <c r="P6" s="46">
        <f>PRODUCT(Tableau1[[#This Row],[Nbr heures]],Tableau1[[#This Row],[Qte/heure]])</f>
        <v>288</v>
      </c>
      <c r="Q6" s="36"/>
      <c r="R6" s="36"/>
      <c r="S6" s="36"/>
      <c r="V6" t="s">
        <v>84</v>
      </c>
      <c r="W6">
        <v>35</v>
      </c>
    </row>
    <row r="7" spans="1:23" x14ac:dyDescent="0.25">
      <c r="A7" s="1" t="s">
        <v>46</v>
      </c>
      <c r="B7" s="2">
        <v>363.9</v>
      </c>
      <c r="C7" s="2">
        <v>8.0000000000000002E-3</v>
      </c>
      <c r="D7" s="33">
        <f>QUOTIENT(3600,Tableau1[[#This Row],[Temps de cycle en seconde]])</f>
        <v>9</v>
      </c>
      <c r="E7" s="33">
        <f>PRODUCT(Tableau1[[#This Row],[Qte/heure]],Tableau1[[#This Row],[poids des pièces en     KG]])</f>
        <v>7.1999999999999995E-2</v>
      </c>
      <c r="F7" s="2">
        <v>503</v>
      </c>
      <c r="G7" s="2">
        <f>PRODUCT(Tableau1[[#This Row],[Pcs restantes]],H7)</f>
        <v>0</v>
      </c>
      <c r="H7" s="38">
        <v>0</v>
      </c>
      <c r="I7" s="41">
        <f>QUOTIENT(Tableau1[[#This Row],[Pcs restantes]],Tableau1[[#This Row],[Qte/heure]])</f>
        <v>55</v>
      </c>
      <c r="J7" s="33">
        <f>PRODUCT(Tableau1[[#This Row],[Pcs restantes]],Tableau1[[#This Row],[poids des pièces en     KG]])</f>
        <v>4.024</v>
      </c>
      <c r="K7" s="43" t="str">
        <f t="shared" si="0"/>
        <v>2j 2h 50m 41,7000000000116 s</v>
      </c>
      <c r="L7" s="44" t="str">
        <f t="shared" si="1"/>
        <v>0j 0h 6m 3,89999999999998 s</v>
      </c>
      <c r="M7" s="45">
        <f>PRODUCT(B7,Tableau1[[#This Row],[Pcs restantes]])</f>
        <v>183041.7</v>
      </c>
      <c r="N7" s="45">
        <v>8</v>
      </c>
      <c r="O7" s="46">
        <f>PRODUCT(Tableau1[[#This Row],[Nbr heures]],Tableau1[[#This Row],[Matière/heure en     KG]])</f>
        <v>0.57599999999999996</v>
      </c>
      <c r="P7" s="46">
        <f>PRODUCT(Tableau1[[#This Row],[Nbr heures]],Tableau1[[#This Row],[Qte/heure]])</f>
        <v>72</v>
      </c>
      <c r="Q7" s="36"/>
      <c r="R7" s="36"/>
      <c r="S7" s="36"/>
      <c r="V7" t="s">
        <v>85</v>
      </c>
      <c r="W7">
        <v>2</v>
      </c>
    </row>
    <row r="8" spans="1:23" x14ac:dyDescent="0.25">
      <c r="A8" s="1" t="s">
        <v>50</v>
      </c>
      <c r="B8" s="2">
        <v>59</v>
      </c>
      <c r="C8" s="2">
        <v>8.0000000000000002E-3</v>
      </c>
      <c r="D8" s="33">
        <f>QUOTIENT(3600,Tableau1[[#This Row],[Temps de cycle en seconde]])</f>
        <v>61</v>
      </c>
      <c r="E8" s="33">
        <f>PRODUCT(Tableau1[[#This Row],[Qte/heure]],Tableau1[[#This Row],[poids des pièces en     KG]])</f>
        <v>0.48799999999999999</v>
      </c>
      <c r="F8" s="2">
        <v>1200</v>
      </c>
      <c r="G8" s="2">
        <f>PRODUCT(Tableau1[[#This Row],[Pcs restantes]],H8)</f>
        <v>0</v>
      </c>
      <c r="H8" s="38">
        <v>0</v>
      </c>
      <c r="I8" s="41">
        <v>16</v>
      </c>
      <c r="J8" s="33">
        <f>PRODUCT(Tableau1[[#This Row],[Pcs restantes]],Tableau1[[#This Row],[poids des pièces en     KG]])</f>
        <v>9.6</v>
      </c>
      <c r="K8" s="43" t="str">
        <f t="shared" si="0"/>
        <v>0j 19h 40m 0 s</v>
      </c>
      <c r="L8" s="44" t="str">
        <f t="shared" si="1"/>
        <v>0j 0h 0m 59 s</v>
      </c>
      <c r="M8" s="36">
        <f>PRODUCT(B8,Tableau1[[#This Row],[Pcs restantes]])</f>
        <v>70800</v>
      </c>
      <c r="N8" s="45">
        <v>8</v>
      </c>
      <c r="O8" s="46">
        <f>PRODUCT(Tableau1[[#This Row],[Nbr heures]],Tableau1[[#This Row],[Matière/heure en     KG]])</f>
        <v>3.9039999999999999</v>
      </c>
      <c r="P8" s="46">
        <f>PRODUCT(Tableau1[[#This Row],[Nbr heures]],Tableau1[[#This Row],[Qte/heure]])</f>
        <v>488</v>
      </c>
      <c r="Q8" s="36"/>
      <c r="R8" s="36"/>
      <c r="S8" s="36"/>
      <c r="V8" t="s">
        <v>86</v>
      </c>
      <c r="W8">
        <v>70</v>
      </c>
    </row>
    <row r="9" spans="1:23" x14ac:dyDescent="0.25">
      <c r="A9" s="1" t="s">
        <v>42</v>
      </c>
      <c r="B9" s="2">
        <v>94.82</v>
      </c>
      <c r="C9" s="2">
        <v>5.0000000000000001E-3</v>
      </c>
      <c r="D9" s="33">
        <f>QUOTIENT(3600,Tableau1[[#This Row],[Temps de cycle en seconde]])</f>
        <v>37</v>
      </c>
      <c r="E9" s="33">
        <f>PRODUCT(Tableau1[[#This Row],[Qte/heure]],Tableau1[[#This Row],[poids des pièces en     KG]])</f>
        <v>0.185</v>
      </c>
      <c r="F9" s="2">
        <v>100</v>
      </c>
      <c r="G9" s="2">
        <f>PRODUCT(Tableau1[[#This Row],[Pcs restantes]],H9)</f>
        <v>0</v>
      </c>
      <c r="H9" s="38">
        <v>0</v>
      </c>
      <c r="I9" s="41">
        <f>QUOTIENT(Tableau1[[#This Row],[Pcs restantes]],Tableau1[[#This Row],[Qte/heure]])</f>
        <v>2</v>
      </c>
      <c r="J9" s="33">
        <f>PRODUCT(Tableau1[[#This Row],[Pcs restantes]],Tableau1[[#This Row],[poids des pièces en     KG]])</f>
        <v>0.5</v>
      </c>
      <c r="K9" s="43" t="str">
        <f t="shared" si="0"/>
        <v>0j 2h 38m 2 s</v>
      </c>
      <c r="L9" s="44" t="str">
        <f t="shared" si="1"/>
        <v>0j 0h 1m 34,82 s</v>
      </c>
      <c r="M9" s="45">
        <f>PRODUCT(B9,Tableau1[[#This Row],[Pcs restantes]])</f>
        <v>9482</v>
      </c>
      <c r="N9" s="45">
        <v>8</v>
      </c>
      <c r="O9" s="46">
        <f>PRODUCT(Tableau1[[#This Row],[Nbr heures]],Tableau1[[#This Row],[Matière/heure en     KG]])</f>
        <v>1.48</v>
      </c>
      <c r="P9" s="46">
        <f>PRODUCT(Tableau1[[#This Row],[Nbr heures]],Tableau1[[#This Row],[Qte/heure]])</f>
        <v>296</v>
      </c>
      <c r="Q9" s="36"/>
      <c r="R9" s="36"/>
      <c r="S9" s="36"/>
      <c r="V9" t="s">
        <v>87</v>
      </c>
      <c r="W9">
        <v>70</v>
      </c>
    </row>
    <row r="10" spans="1:23" x14ac:dyDescent="0.25">
      <c r="A10" s="1" t="s">
        <v>38</v>
      </c>
      <c r="B10" s="2">
        <v>139.26</v>
      </c>
      <c r="C10" s="2">
        <v>6.0000000000000001E-3</v>
      </c>
      <c r="D10" s="33">
        <f>QUOTIENT(3600,Tableau1[[#This Row],[Temps de cycle en seconde]])</f>
        <v>25</v>
      </c>
      <c r="E10" s="33">
        <f>PRODUCT(Tableau1[[#This Row],[Qte/heure]],Tableau1[[#This Row],[poids des pièces en     KG]])</f>
        <v>0.15</v>
      </c>
      <c r="F10" s="2">
        <v>1000</v>
      </c>
      <c r="G10" s="2">
        <f>PRODUCT(Tableau1[[#This Row],[Pcs restantes]],H10)</f>
        <v>0</v>
      </c>
      <c r="H10" s="38">
        <v>0</v>
      </c>
      <c r="I10" s="41">
        <f>QUOTIENT(Tableau1[[#This Row],[Pcs restantes]],Tableau1[[#This Row],[Qte/heure]])</f>
        <v>40</v>
      </c>
      <c r="J10" s="33">
        <f>PRODUCT(Tableau1[[#This Row],[Pcs restantes]],Tableau1[[#This Row],[poids des pièces en     KG]])</f>
        <v>6</v>
      </c>
      <c r="K10" s="43" t="str">
        <f t="shared" si="0"/>
        <v>1j 14h 41m 0 s</v>
      </c>
      <c r="L10" s="44" t="str">
        <f t="shared" si="1"/>
        <v>0j 0h 2m 19,26 s</v>
      </c>
      <c r="M10" s="36">
        <f>PRODUCT(B10,Tableau1[[#This Row],[Pcs restantes]])</f>
        <v>139260</v>
      </c>
      <c r="N10" s="45">
        <v>8</v>
      </c>
      <c r="O10" s="46">
        <f>PRODUCT(Tableau1[[#This Row],[Nbr heures]],Tableau1[[#This Row],[Matière/heure en     KG]])</f>
        <v>1.2</v>
      </c>
      <c r="P10" s="46">
        <f>PRODUCT(Tableau1[[#This Row],[Nbr heures]],Tableau1[[#This Row],[Qte/heure]])</f>
        <v>200</v>
      </c>
      <c r="Q10" s="36"/>
      <c r="R10" s="36"/>
      <c r="S10" s="36"/>
      <c r="V10" t="s">
        <v>88</v>
      </c>
      <c r="W10">
        <v>110</v>
      </c>
    </row>
    <row r="11" spans="1:23" x14ac:dyDescent="0.25">
      <c r="V11" t="s">
        <v>89</v>
      </c>
      <c r="W11">
        <v>5</v>
      </c>
    </row>
    <row r="12" spans="1:23" x14ac:dyDescent="0.25">
      <c r="V12" t="s">
        <v>90</v>
      </c>
      <c r="W12">
        <v>56</v>
      </c>
    </row>
    <row r="13" spans="1:23" x14ac:dyDescent="0.25">
      <c r="V13" t="s">
        <v>91</v>
      </c>
      <c r="W13">
        <v>56</v>
      </c>
    </row>
    <row r="14" spans="1:23" x14ac:dyDescent="0.25">
      <c r="V14" t="s">
        <v>92</v>
      </c>
      <c r="W14">
        <v>70</v>
      </c>
    </row>
    <row r="15" spans="1:23" x14ac:dyDescent="0.25">
      <c r="V15" t="s">
        <v>93</v>
      </c>
      <c r="W15">
        <v>5</v>
      </c>
    </row>
    <row r="16" spans="1:23" x14ac:dyDescent="0.25">
      <c r="V16" t="s">
        <v>94</v>
      </c>
      <c r="W16">
        <v>2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dataValidations count="1">
    <dataValidation type="list" allowBlank="1" showInputMessage="1" showErrorMessage="1" sqref="Q2:Q10" xr:uid="{E89E09E0-B4D6-4832-AF94-AFBFEBF1696E}">
      <formula1>$V$2:$V$16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02C4-30D9-4F20-A580-B58422A53AE4}">
  <dimension ref="A1:R24"/>
  <sheetViews>
    <sheetView topLeftCell="A4" zoomScale="115" zoomScaleNormal="115" workbookViewId="0">
      <selection activeCell="A22" sqref="A22:XFD22"/>
    </sheetView>
  </sheetViews>
  <sheetFormatPr baseColWidth="10" defaultRowHeight="15" x14ac:dyDescent="0.25"/>
  <cols>
    <col min="10" max="14" width="12" customWidth="1"/>
    <col min="15" max="15" width="10.140625" customWidth="1"/>
    <col min="16" max="16" width="9.42578125" hidden="1" customWidth="1"/>
    <col min="17" max="17" width="17.7109375" hidden="1" customWidth="1"/>
    <col min="18" max="18" width="12.140625" hidden="1" customWidth="1"/>
    <col min="19" max="19" width="12.28515625" customWidth="1"/>
    <col min="20" max="20" width="16.7109375" customWidth="1"/>
  </cols>
  <sheetData>
    <row r="1" spans="1:18" ht="15.75" thickBot="1" x14ac:dyDescent="0.3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  <c r="I1" t="s">
        <v>63</v>
      </c>
      <c r="J1" s="75" t="s">
        <v>64</v>
      </c>
      <c r="K1" s="75" t="s">
        <v>65</v>
      </c>
      <c r="L1" s="75" t="s">
        <v>66</v>
      </c>
      <c r="M1" s="74" t="s">
        <v>67</v>
      </c>
      <c r="N1" s="74" t="s">
        <v>68</v>
      </c>
      <c r="O1" s="74" t="s">
        <v>69</v>
      </c>
      <c r="P1" t="s">
        <v>70</v>
      </c>
      <c r="Q1" t="s">
        <v>71</v>
      </c>
      <c r="R1" t="s">
        <v>72</v>
      </c>
    </row>
    <row r="2" spans="1:18" ht="16.5" thickTop="1" thickBot="1" x14ac:dyDescent="0.3">
      <c r="J2" s="75" t="s">
        <v>52</v>
      </c>
      <c r="K2" s="75">
        <f>PRODUCT(Tableau3[[#This Row],[Colonne10]],Tableau3[[#This Row],[Colonne3]])</f>
        <v>0</v>
      </c>
      <c r="L2" s="75">
        <f>PRODUCT(Tableau3[[#This Row],[Colonne10]],Tableau3[[#This Row],[Colonne4]])</f>
        <v>0</v>
      </c>
      <c r="M2" s="81" t="s">
        <v>53</v>
      </c>
      <c r="N2" s="74">
        <f t="shared" ref="N2:N23" si="0">PRODUCT(Q2,M2)</f>
        <v>0</v>
      </c>
      <c r="O2" s="74">
        <f t="shared" ref="O2:O23" si="1">PRODUCT(P2,M2)</f>
        <v>0</v>
      </c>
      <c r="Q2">
        <f>+PRODUCT(Tableau3[[#This Row],[Colonne18]],Tableau3[[#This Row],[Colonne3]])</f>
        <v>0</v>
      </c>
    </row>
    <row r="3" spans="1:18" ht="15.75" thickTop="1" x14ac:dyDescent="0.25">
      <c r="A3" s="4" t="s">
        <v>0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6" t="s">
        <v>8</v>
      </c>
      <c r="I3" t="s">
        <v>73</v>
      </c>
      <c r="J3" s="82" t="s">
        <v>9</v>
      </c>
      <c r="K3" s="60" t="s">
        <v>75</v>
      </c>
      <c r="L3" s="60" t="s">
        <v>76</v>
      </c>
      <c r="M3" s="83" t="s">
        <v>54</v>
      </c>
      <c r="N3" s="67" t="s">
        <v>75</v>
      </c>
      <c r="O3" s="67" t="s">
        <v>76</v>
      </c>
      <c r="P3" s="5" t="s">
        <v>76</v>
      </c>
      <c r="Q3" s="5" t="s">
        <v>75</v>
      </c>
      <c r="R3" s="76" t="s">
        <v>74</v>
      </c>
    </row>
    <row r="4" spans="1:18" ht="60" x14ac:dyDescent="0.25">
      <c r="A4" s="7" t="s">
        <v>10</v>
      </c>
      <c r="B4" s="8">
        <v>3.9</v>
      </c>
      <c r="C4" s="9">
        <v>0.4</v>
      </c>
      <c r="D4" s="9">
        <v>0.6</v>
      </c>
      <c r="E4" s="9">
        <v>0.13500000000000001</v>
      </c>
      <c r="F4" s="10">
        <f>0.17*1.2</f>
        <v>0.20399999999999999</v>
      </c>
      <c r="G4" s="10">
        <f>0.204*100*0.4</f>
        <v>8.16</v>
      </c>
      <c r="H4" s="11">
        <f>0.204*0.6*100</f>
        <v>12.24</v>
      </c>
      <c r="J4" s="61">
        <v>8.5</v>
      </c>
      <c r="K4" s="61">
        <f>PRODUCT(Tableau3[[#This Row],[Colonne10]],Tableau3[[#This Row],[Colonne3]])</f>
        <v>3.4</v>
      </c>
      <c r="L4" s="61">
        <f>PRODUCT(Tableau3[[#This Row],[Colonne10]],Tableau3[[#This Row],[Colonne4]])</f>
        <v>5.0999999999999996</v>
      </c>
      <c r="M4" s="68">
        <v>50</v>
      </c>
      <c r="N4" s="68">
        <f t="shared" si="0"/>
        <v>3.4</v>
      </c>
      <c r="O4" s="68">
        <f t="shared" si="1"/>
        <v>5.0999999999999996</v>
      </c>
      <c r="P4" s="12">
        <f>PRODUCT(Tableau3[[#This Row],[Colonne18]],Tableau3[[#This Row],[Colonne4]])</f>
        <v>0.10199999999999999</v>
      </c>
      <c r="Q4" s="12">
        <f>+PRODUCT(Tableau3[[#This Row],[Colonne18]],Tableau3[[#This Row],[Colonne3]])</f>
        <v>6.8000000000000005E-2</v>
      </c>
      <c r="R4" s="20">
        <v>0.17</v>
      </c>
    </row>
    <row r="5" spans="1:18" x14ac:dyDescent="0.25">
      <c r="A5" s="22" t="s">
        <v>11</v>
      </c>
      <c r="B5" s="23">
        <v>3.9</v>
      </c>
      <c r="C5" s="24">
        <v>0.7</v>
      </c>
      <c r="D5" s="24">
        <v>0.3</v>
      </c>
      <c r="E5" s="24">
        <v>2.5000000000000001E-2</v>
      </c>
      <c r="F5" s="25">
        <v>0.20399999999999999</v>
      </c>
      <c r="G5" s="25">
        <f>0.204*100*0.7</f>
        <v>14.28</v>
      </c>
      <c r="H5" s="26">
        <f>0.204*0.3*100</f>
        <v>6.12</v>
      </c>
      <c r="I5" s="27"/>
      <c r="J5" s="62">
        <v>15</v>
      </c>
      <c r="K5" s="62">
        <f>PRODUCT(Tableau3[[#This Row],[Colonne10]],Tableau3[[#This Row],[Colonne3]])</f>
        <v>10.5</v>
      </c>
      <c r="L5" s="62">
        <f>PRODUCT(Tableau3[[#This Row],[Colonne10]],Tableau3[[#This Row],[Colonne4]])</f>
        <v>4.5</v>
      </c>
      <c r="M5" s="69">
        <v>50</v>
      </c>
      <c r="N5" s="69">
        <f t="shared" si="0"/>
        <v>5.95</v>
      </c>
      <c r="O5" s="69">
        <f t="shared" si="1"/>
        <v>2.5499999999999998</v>
      </c>
      <c r="P5" s="77">
        <f>PRODUCT(Tableau3[[#This Row],[Colonne18]],Tableau3[[#This Row],[Colonne4]])</f>
        <v>5.0999999999999997E-2</v>
      </c>
      <c r="Q5" s="77">
        <f>+PRODUCT(Tableau3[[#This Row],[Colonne18]],Tableau3[[#This Row],[Colonne3]])</f>
        <v>0.11899999999999999</v>
      </c>
      <c r="R5" s="78">
        <v>0.17</v>
      </c>
    </row>
    <row r="6" spans="1:18" x14ac:dyDescent="0.25">
      <c r="A6" s="7" t="s">
        <v>12</v>
      </c>
      <c r="B6" s="8">
        <v>3.9</v>
      </c>
      <c r="C6" s="9">
        <v>0.21</v>
      </c>
      <c r="D6" s="9">
        <v>0.79</v>
      </c>
      <c r="E6" s="9">
        <v>0.3</v>
      </c>
      <c r="F6" s="10">
        <v>0.20399999999999999</v>
      </c>
      <c r="G6" s="10">
        <f>F6*100*C6</f>
        <v>4.2839999999999998</v>
      </c>
      <c r="H6" s="10">
        <f>F6*100*D6</f>
        <v>16.116</v>
      </c>
      <c r="J6" s="61">
        <v>10</v>
      </c>
      <c r="K6" s="61">
        <f>PRODUCT(Tableau3[[#This Row],[Colonne10]],Tableau3[[#This Row],[Colonne3]])</f>
        <v>2.1</v>
      </c>
      <c r="L6" s="61">
        <f>PRODUCT(Tableau3[[#This Row],[Colonne10]],Tableau3[[#This Row],[Colonne4]])</f>
        <v>7.9</v>
      </c>
      <c r="M6" s="68">
        <v>50</v>
      </c>
      <c r="N6" s="68">
        <f t="shared" si="0"/>
        <v>10.5</v>
      </c>
      <c r="O6" s="68">
        <f t="shared" si="1"/>
        <v>39.5</v>
      </c>
      <c r="P6" s="12">
        <f>PRODUCT(Tableau3[[#This Row],[Colonne18]],Tableau3[[#This Row],[Colonne4]])</f>
        <v>0.79</v>
      </c>
      <c r="Q6" s="12">
        <f>+PRODUCT(Tableau3[[#This Row],[Colonne18]],Tableau3[[#This Row],[Colonne3]])</f>
        <v>0.21</v>
      </c>
      <c r="R6" s="20"/>
    </row>
    <row r="7" spans="1:18" x14ac:dyDescent="0.25">
      <c r="A7" s="22" t="s">
        <v>13</v>
      </c>
      <c r="B7" s="23">
        <v>3.9</v>
      </c>
      <c r="C7" s="24">
        <v>0.1</v>
      </c>
      <c r="D7" s="24">
        <v>0.9</v>
      </c>
      <c r="E7" s="24">
        <v>0.5</v>
      </c>
      <c r="F7" s="25">
        <v>0.20399999999999999</v>
      </c>
      <c r="G7" s="25">
        <f>F7*100*C7</f>
        <v>2.04</v>
      </c>
      <c r="H7" s="25">
        <f>F7*100*D7</f>
        <v>18.36</v>
      </c>
      <c r="I7" s="27"/>
      <c r="J7" s="62">
        <v>10</v>
      </c>
      <c r="K7" s="62">
        <f>PRODUCT(Tableau3[[#This Row],[Colonne10]],Tableau3[[#This Row],[Colonne3]])</f>
        <v>1</v>
      </c>
      <c r="L7" s="62">
        <f>PRODUCT(Tableau3[[#This Row],[Colonne10]],Tableau3[[#This Row],[Colonne4]])</f>
        <v>9</v>
      </c>
      <c r="M7" s="69">
        <v>50</v>
      </c>
      <c r="N7" s="69">
        <f t="shared" si="0"/>
        <v>0.85</v>
      </c>
      <c r="O7" s="69">
        <f t="shared" si="1"/>
        <v>7.65</v>
      </c>
      <c r="P7" s="77">
        <f>PRODUCT(Tableau3[[#This Row],[Colonne18]],Tableau3[[#This Row],[Colonne4]])</f>
        <v>0.153</v>
      </c>
      <c r="Q7" s="77">
        <f>+PRODUCT(Tableau3[[#This Row],[Colonne18]],Tableau3[[#This Row],[Colonne3]])</f>
        <v>1.7000000000000001E-2</v>
      </c>
      <c r="R7" s="78">
        <v>0.17</v>
      </c>
    </row>
    <row r="8" spans="1:18" x14ac:dyDescent="0.25">
      <c r="A8" s="7" t="s">
        <v>14</v>
      </c>
      <c r="B8" s="8">
        <v>3.9</v>
      </c>
      <c r="C8" s="9">
        <v>0.25</v>
      </c>
      <c r="D8" s="9">
        <v>0.75</v>
      </c>
      <c r="E8" s="9">
        <v>0.22</v>
      </c>
      <c r="F8" s="10">
        <v>0.20399999999999999</v>
      </c>
      <c r="G8" s="10">
        <f>F8*100*C8</f>
        <v>5.0999999999999996</v>
      </c>
      <c r="H8" s="10">
        <f>F8*100*D8</f>
        <v>15.3</v>
      </c>
      <c r="J8" s="61">
        <v>10</v>
      </c>
      <c r="K8" s="61">
        <f>PRODUCT(Tableau3[[#This Row],[Colonne10]],Tableau3[[#This Row],[Colonne3]])</f>
        <v>2.5</v>
      </c>
      <c r="L8" s="61">
        <f>PRODUCT(Tableau3[[#This Row],[Colonne10]],Tableau3[[#This Row],[Colonne4]])</f>
        <v>7.5</v>
      </c>
      <c r="M8" s="68">
        <v>50</v>
      </c>
      <c r="N8" s="68">
        <f t="shared" si="0"/>
        <v>2.125</v>
      </c>
      <c r="O8" s="68">
        <f t="shared" si="1"/>
        <v>6.375</v>
      </c>
      <c r="P8" s="12">
        <f>PRODUCT(Tableau3[[#This Row],[Colonne18]],Tableau3[[#This Row],[Colonne4]])</f>
        <v>0.1275</v>
      </c>
      <c r="Q8" s="12">
        <f>+PRODUCT(Tableau3[[#This Row],[Colonne18]],Tableau3[[#This Row],[Colonne3]])</f>
        <v>4.2500000000000003E-2</v>
      </c>
      <c r="R8" s="20">
        <v>0.17</v>
      </c>
    </row>
    <row r="9" spans="1:18" ht="30" x14ac:dyDescent="0.25">
      <c r="A9" s="22" t="s">
        <v>15</v>
      </c>
      <c r="B9" s="23">
        <v>2</v>
      </c>
      <c r="C9" s="24">
        <v>0.2</v>
      </c>
      <c r="D9" s="24">
        <v>0.8</v>
      </c>
      <c r="E9" s="24">
        <v>0.53</v>
      </c>
      <c r="F9" s="23">
        <f>0.166*1.2</f>
        <v>0.19919999999999999</v>
      </c>
      <c r="G9" s="25">
        <f>F9*0.2*100</f>
        <v>3.984</v>
      </c>
      <c r="H9" s="26">
        <f>F9*100*0.8</f>
        <v>15.936</v>
      </c>
      <c r="I9" s="27"/>
      <c r="J9" s="62">
        <v>10</v>
      </c>
      <c r="K9" s="62">
        <f>PRODUCT(Tableau3[[#This Row],[Colonne10]],Tableau3[[#This Row],[Colonne3]])</f>
        <v>2</v>
      </c>
      <c r="L9" s="62">
        <f>PRODUCT(Tableau3[[#This Row],[Colonne10]],Tableau3[[#This Row],[Colonne4]])</f>
        <v>8</v>
      </c>
      <c r="M9" s="69">
        <v>50</v>
      </c>
      <c r="N9" s="69">
        <f t="shared" si="0"/>
        <v>1.4</v>
      </c>
      <c r="O9" s="69">
        <f t="shared" si="1"/>
        <v>5.6</v>
      </c>
      <c r="P9" s="77">
        <f>PRODUCT(Tableau3[[#This Row],[Colonne18]],Tableau3[[#This Row],[Colonne4]])</f>
        <v>0.112</v>
      </c>
      <c r="Q9" s="77">
        <f>+PRODUCT(Tableau3[[#This Row],[Colonne18]],Tableau3[[#This Row],[Colonne3]])</f>
        <v>2.8000000000000001E-2</v>
      </c>
      <c r="R9" s="78">
        <v>0.14000000000000001</v>
      </c>
    </row>
    <row r="10" spans="1:18" x14ac:dyDescent="0.25">
      <c r="A10" s="7" t="s">
        <v>16</v>
      </c>
      <c r="B10" s="8">
        <v>2</v>
      </c>
      <c r="C10" s="9">
        <v>0.6</v>
      </c>
      <c r="D10" s="9">
        <v>0.4</v>
      </c>
      <c r="E10" s="9">
        <v>0.19</v>
      </c>
      <c r="F10" s="8">
        <f>0.166*1.2</f>
        <v>0.19919999999999999</v>
      </c>
      <c r="G10" s="10">
        <f>F10*0.6*100</f>
        <v>11.952</v>
      </c>
      <c r="H10" s="11">
        <f>F10*100*0.4</f>
        <v>7.968</v>
      </c>
      <c r="J10" s="61">
        <v>10</v>
      </c>
      <c r="K10" s="61">
        <f>PRODUCT(Tableau3[[#This Row],[Colonne10]],Tableau3[[#This Row],[Colonne3]])</f>
        <v>6</v>
      </c>
      <c r="L10" s="61">
        <f>PRODUCT(Tableau3[[#This Row],[Colonne10]],Tableau3[[#This Row],[Colonne4]])</f>
        <v>4</v>
      </c>
      <c r="M10" s="68">
        <v>50</v>
      </c>
      <c r="N10" s="68">
        <f t="shared" si="0"/>
        <v>4.2</v>
      </c>
      <c r="O10" s="68">
        <f t="shared" si="1"/>
        <v>2.8</v>
      </c>
      <c r="P10" s="12">
        <f>PRODUCT(Tableau3[[#This Row],[Colonne18]],Tableau3[[#This Row],[Colonne4]])</f>
        <v>5.6000000000000001E-2</v>
      </c>
      <c r="Q10" s="12">
        <f>+PRODUCT(Tableau3[[#This Row],[Colonne18]],Tableau3[[#This Row],[Colonne3]])</f>
        <v>8.4000000000000005E-2</v>
      </c>
      <c r="R10" s="20">
        <v>0.14000000000000001</v>
      </c>
    </row>
    <row r="11" spans="1:18" ht="30" x14ac:dyDescent="0.25">
      <c r="A11" s="22" t="s">
        <v>17</v>
      </c>
      <c r="B11" s="23">
        <v>2</v>
      </c>
      <c r="C11" s="24">
        <v>0.2</v>
      </c>
      <c r="D11" s="24">
        <v>0.8</v>
      </c>
      <c r="E11" s="24">
        <v>0.53</v>
      </c>
      <c r="F11" s="23">
        <f>0.172*1.2</f>
        <v>0.2064</v>
      </c>
      <c r="G11" s="25">
        <f>F11*0.2*100</f>
        <v>4.1280000000000001</v>
      </c>
      <c r="H11" s="26">
        <f>F11*100*0.8</f>
        <v>16.512</v>
      </c>
      <c r="I11" s="27"/>
      <c r="J11" s="62">
        <v>10</v>
      </c>
      <c r="K11" s="62">
        <f>PRODUCT(Tableau3[[#This Row],[Colonne10]],Tableau3[[#This Row],[Colonne3]])</f>
        <v>2</v>
      </c>
      <c r="L11" s="62">
        <f>PRODUCT(Tableau3[[#This Row],[Colonne10]],Tableau3[[#This Row],[Colonne4]])</f>
        <v>8</v>
      </c>
      <c r="M11" s="69">
        <v>50</v>
      </c>
      <c r="N11" s="69">
        <f t="shared" si="0"/>
        <v>1.72</v>
      </c>
      <c r="O11" s="69">
        <f t="shared" si="1"/>
        <v>6.88</v>
      </c>
      <c r="P11" s="77">
        <f>PRODUCT(Tableau3[[#This Row],[Colonne18]],Tableau3[[#This Row],[Colonne4]])</f>
        <v>0.1376</v>
      </c>
      <c r="Q11" s="77">
        <f>+PRODUCT(Tableau3[[#This Row],[Colonne18]],Tableau3[[#This Row],[Colonne3]])</f>
        <v>3.44E-2</v>
      </c>
      <c r="R11" s="78">
        <v>0.17199999999999999</v>
      </c>
    </row>
    <row r="12" spans="1:18" x14ac:dyDescent="0.25">
      <c r="A12" s="7" t="s">
        <v>18</v>
      </c>
      <c r="B12" s="8">
        <v>2</v>
      </c>
      <c r="C12" s="9">
        <v>0.6</v>
      </c>
      <c r="D12" s="9">
        <v>0.4</v>
      </c>
      <c r="E12" s="9">
        <v>0.2</v>
      </c>
      <c r="F12" s="8">
        <f>0.172*1.2</f>
        <v>0.2064</v>
      </c>
      <c r="G12" s="10">
        <f>F12*0.6*100</f>
        <v>12.384</v>
      </c>
      <c r="H12" s="11">
        <f>F12*100*0.4</f>
        <v>8.2560000000000002</v>
      </c>
      <c r="J12" s="61">
        <v>10</v>
      </c>
      <c r="K12" s="61">
        <f>PRODUCT(Tableau3[[#This Row],[Colonne10]],Tableau3[[#This Row],[Colonne3]])</f>
        <v>6</v>
      </c>
      <c r="L12" s="61">
        <f>PRODUCT(Tableau3[[#This Row],[Colonne10]],Tableau3[[#This Row],[Colonne4]])</f>
        <v>4</v>
      </c>
      <c r="M12" s="68">
        <v>50</v>
      </c>
      <c r="N12" s="68">
        <f t="shared" si="0"/>
        <v>5.16</v>
      </c>
      <c r="O12" s="68">
        <f t="shared" si="1"/>
        <v>3.44</v>
      </c>
      <c r="P12" s="12">
        <f>PRODUCT(Tableau3[[#This Row],[Colonne18]],Tableau3[[#This Row],[Colonne4]])</f>
        <v>6.88E-2</v>
      </c>
      <c r="Q12" s="12">
        <f>+PRODUCT(Tableau3[[#This Row],[Colonne18]],Tableau3[[#This Row],[Colonne3]])</f>
        <v>0.1032</v>
      </c>
      <c r="R12" s="20">
        <v>0.17199999999999999</v>
      </c>
    </row>
    <row r="13" spans="1:18" x14ac:dyDescent="0.25">
      <c r="A13" s="53" t="s">
        <v>19</v>
      </c>
      <c r="B13" s="54">
        <v>2.1</v>
      </c>
      <c r="C13" s="55">
        <v>0.66659999999999997</v>
      </c>
      <c r="D13" s="55">
        <v>0.33329999999999999</v>
      </c>
      <c r="E13" s="56">
        <v>0.15</v>
      </c>
      <c r="F13" s="54">
        <v>8.2500000000000004E-2</v>
      </c>
      <c r="G13" s="57">
        <f>F13*0.6666*100</f>
        <v>5.4989999999999997</v>
      </c>
      <c r="H13" s="58">
        <f>F13*0.33333*100</f>
        <v>2.75</v>
      </c>
      <c r="I13" s="59"/>
      <c r="J13" s="63">
        <v>11.2</v>
      </c>
      <c r="K13" s="63">
        <f>PRODUCT(Tableau3[[#This Row],[Colonne10]],Tableau3[[#This Row],[Colonne3]])</f>
        <v>7.4659199999999997</v>
      </c>
      <c r="L13" s="63">
        <f>PRODUCT(Tableau3[[#This Row],[Colonne10]],Tableau3[[#This Row],[Colonne4]])</f>
        <v>3.7329599999999998</v>
      </c>
      <c r="M13" s="70">
        <v>100</v>
      </c>
      <c r="N13" s="70">
        <f t="shared" si="0"/>
        <v>5.4661200000000001</v>
      </c>
      <c r="O13" s="70">
        <f t="shared" si="1"/>
        <v>2.73306</v>
      </c>
      <c r="P13" s="79">
        <f>PRODUCT(Tableau3[[#This Row],[Colonne18]],Tableau3[[#This Row],[Colonne4]])</f>
        <v>2.73306E-2</v>
      </c>
      <c r="Q13" s="79">
        <f>+PRODUCT(Tableau3[[#This Row],[Colonne18]],Tableau3[[#This Row],[Colonne3]])</f>
        <v>5.46612E-2</v>
      </c>
      <c r="R13" s="80">
        <v>8.2000000000000003E-2</v>
      </c>
    </row>
    <row r="14" spans="1:18" x14ac:dyDescent="0.25">
      <c r="A14" s="28" t="s">
        <v>51</v>
      </c>
      <c r="B14" s="23">
        <v>2</v>
      </c>
      <c r="C14" s="29">
        <v>0.52700000000000002</v>
      </c>
      <c r="D14" s="29">
        <v>0.47299999999999998</v>
      </c>
      <c r="E14" s="24">
        <v>0.25</v>
      </c>
      <c r="F14" s="23">
        <v>0.27</v>
      </c>
      <c r="G14" s="25">
        <f>F14*100*C14</f>
        <v>14.228999999999999</v>
      </c>
      <c r="H14" s="26">
        <f>F14*100*D14</f>
        <v>12.771000000000001</v>
      </c>
      <c r="I14" s="30" t="s">
        <v>21</v>
      </c>
      <c r="J14" s="62">
        <v>10</v>
      </c>
      <c r="K14" s="62">
        <f>PRODUCT(Tableau3[[#This Row],[Colonne10]],Tableau3[[#This Row],[Colonne3]])</f>
        <v>5.27</v>
      </c>
      <c r="L14" s="62">
        <f>PRODUCT(Tableau3[[#This Row],[Colonne10]],Tableau3[[#This Row],[Colonne4]])</f>
        <v>4.7300000000000004</v>
      </c>
      <c r="M14" s="69">
        <v>50</v>
      </c>
      <c r="N14" s="69">
        <f t="shared" si="0"/>
        <v>5.1119000000000003</v>
      </c>
      <c r="O14" s="69">
        <f t="shared" si="1"/>
        <v>4.5880999999999998</v>
      </c>
      <c r="P14" s="77">
        <f>PRODUCT(Tableau3[[#This Row],[Colonne18]],Tableau3[[#This Row],[Colonne4]])</f>
        <v>9.1761999999999996E-2</v>
      </c>
      <c r="Q14" s="77">
        <f>+PRODUCT(Tableau3[[#This Row],[Colonne18]],Tableau3[[#This Row],[Colonne3]])</f>
        <v>0.102238</v>
      </c>
      <c r="R14" s="20">
        <v>0.19400000000000001</v>
      </c>
    </row>
    <row r="15" spans="1:18" x14ac:dyDescent="0.25">
      <c r="A15" s="13" t="s">
        <v>20</v>
      </c>
      <c r="B15" s="8">
        <v>2</v>
      </c>
      <c r="C15" s="14">
        <v>0.74</v>
      </c>
      <c r="D15" s="14">
        <v>0.26</v>
      </c>
      <c r="E15" s="9">
        <v>0.15</v>
      </c>
      <c r="F15" s="8">
        <f>0.2*1.35</f>
        <v>0.27</v>
      </c>
      <c r="G15" s="10">
        <f>F15*100*C15</f>
        <v>19.98</v>
      </c>
      <c r="H15" s="11">
        <f>F15*100*D15</f>
        <v>7.02</v>
      </c>
      <c r="I15" s="15" t="s">
        <v>21</v>
      </c>
      <c r="J15" s="61">
        <v>10</v>
      </c>
      <c r="K15" s="61">
        <f>PRODUCT(Tableau3[[#This Row],[Colonne10]],Tableau3[[#This Row],[Colonne3]])</f>
        <v>7.4</v>
      </c>
      <c r="L15" s="61">
        <f>PRODUCT(Tableau3[[#This Row],[Colonne10]],Tableau3[[#This Row],[Colonne4]])</f>
        <v>2.6</v>
      </c>
      <c r="M15" s="68">
        <v>50</v>
      </c>
      <c r="N15" s="68">
        <f t="shared" si="0"/>
        <v>7.1779999999999999</v>
      </c>
      <c r="O15" s="68">
        <f t="shared" si="1"/>
        <v>2.5219999999999998</v>
      </c>
      <c r="P15" s="12">
        <f>PRODUCT(Tableau3[[#This Row],[Colonne18]],Tableau3[[#This Row],[Colonne4]])</f>
        <v>5.0439999999999999E-2</v>
      </c>
      <c r="Q15" s="12">
        <f>+PRODUCT(Tableau3[[#This Row],[Colonne18]],Tableau3[[#This Row],[Colonne3]])</f>
        <v>0.14355999999999999</v>
      </c>
      <c r="R15" s="78">
        <v>0.19400000000000001</v>
      </c>
    </row>
    <row r="16" spans="1:18" x14ac:dyDescent="0.25">
      <c r="A16" s="28" t="s">
        <v>22</v>
      </c>
      <c r="B16" s="23">
        <v>2</v>
      </c>
      <c r="C16" s="29">
        <v>0.3</v>
      </c>
      <c r="D16" s="29">
        <v>0.7</v>
      </c>
      <c r="E16" s="24">
        <v>0.4</v>
      </c>
      <c r="F16" s="23">
        <v>0.27</v>
      </c>
      <c r="G16" s="25">
        <f>F16*100*C16</f>
        <v>8.1</v>
      </c>
      <c r="H16" s="26">
        <f>F16*100*D16</f>
        <v>18.899999999999999</v>
      </c>
      <c r="I16" s="30" t="s">
        <v>21</v>
      </c>
      <c r="J16" s="62">
        <v>10</v>
      </c>
      <c r="K16" s="62">
        <f>PRODUCT(Tableau3[[#This Row],[Colonne10]],Tableau3[[#This Row],[Colonne3]])</f>
        <v>3</v>
      </c>
      <c r="L16" s="62">
        <f>PRODUCT(Tableau3[[#This Row],[Colonne10]],Tableau3[[#This Row],[Colonne4]])</f>
        <v>7</v>
      </c>
      <c r="M16" s="69">
        <v>50</v>
      </c>
      <c r="N16" s="69">
        <f t="shared" si="0"/>
        <v>2.91</v>
      </c>
      <c r="O16" s="69">
        <f t="shared" si="1"/>
        <v>6.79</v>
      </c>
      <c r="P16" s="77">
        <f>PRODUCT(Tableau3[[#This Row],[Colonne18]],Tableau3[[#This Row],[Colonne4]])</f>
        <v>0.1358</v>
      </c>
      <c r="Q16" s="77">
        <f>+PRODUCT(Tableau3[[#This Row],[Colonne18]],Tableau3[[#This Row],[Colonne3]])</f>
        <v>5.8200000000000002E-2</v>
      </c>
      <c r="R16" s="20">
        <v>0.19400000000000001</v>
      </c>
    </row>
    <row r="17" spans="1:18" x14ac:dyDescent="0.25">
      <c r="A17" s="13" t="s">
        <v>23</v>
      </c>
      <c r="B17" s="8">
        <v>2</v>
      </c>
      <c r="C17" s="14">
        <v>0.11</v>
      </c>
      <c r="D17" s="14">
        <v>0.89</v>
      </c>
      <c r="E17" s="9">
        <v>0.65</v>
      </c>
      <c r="F17" s="8">
        <f>0.2*1.35</f>
        <v>0.27</v>
      </c>
      <c r="G17" s="10">
        <f>F17*100*C17</f>
        <v>2.97</v>
      </c>
      <c r="H17" s="11">
        <f>F17*100*D17</f>
        <v>24.03</v>
      </c>
      <c r="I17" s="15" t="s">
        <v>21</v>
      </c>
      <c r="J17" s="61">
        <v>10</v>
      </c>
      <c r="K17" s="61">
        <f>PRODUCT(Tableau3[[#This Row],[Colonne10]],Tableau3[[#This Row],[Colonne3]])</f>
        <v>1.1000000000000001</v>
      </c>
      <c r="L17" s="61">
        <f>PRODUCT(Tableau3[[#This Row],[Colonne10]],Tableau3[[#This Row],[Colonne4]])</f>
        <v>8.9</v>
      </c>
      <c r="M17" s="68">
        <v>50</v>
      </c>
      <c r="N17" s="68">
        <f t="shared" si="0"/>
        <v>1.0669999999999999</v>
      </c>
      <c r="O17" s="68">
        <f t="shared" si="1"/>
        <v>8.6329999999999991</v>
      </c>
      <c r="P17" s="12">
        <f>PRODUCT(Tableau3[[#This Row],[Colonne18]],Tableau3[[#This Row],[Colonne4]])</f>
        <v>0.17266000000000001</v>
      </c>
      <c r="Q17" s="12">
        <f>+PRODUCT(Tableau3[[#This Row],[Colonne18]],Tableau3[[#This Row],[Colonne3]])</f>
        <v>2.1340000000000001E-2</v>
      </c>
      <c r="R17" s="78">
        <v>0.19400000000000001</v>
      </c>
    </row>
    <row r="18" spans="1:18" x14ac:dyDescent="0.25">
      <c r="A18" s="28" t="s">
        <v>24</v>
      </c>
      <c r="B18" s="23">
        <v>1.6</v>
      </c>
      <c r="C18" s="29">
        <v>0.85</v>
      </c>
      <c r="D18" s="29">
        <v>0.15</v>
      </c>
      <c r="E18" s="24">
        <v>0.15</v>
      </c>
      <c r="F18" s="23">
        <f>0.102*1.3</f>
        <v>0.1326</v>
      </c>
      <c r="G18" s="23">
        <f>F18*0.85*100</f>
        <v>11.271000000000001</v>
      </c>
      <c r="H18" s="31">
        <f>F18*0.15*100</f>
        <v>1.9890000000000001</v>
      </c>
      <c r="I18" s="27"/>
      <c r="J18" s="62">
        <v>10</v>
      </c>
      <c r="K18" s="62">
        <f>PRODUCT(Tableau3[[#This Row],[Colonne10]],Tableau3[[#This Row],[Colonne3]])</f>
        <v>8.5</v>
      </c>
      <c r="L18" s="62">
        <f>PRODUCT(Tableau3[[#This Row],[Colonne10]],Tableau3[[#This Row],[Colonne4]])</f>
        <v>1.5</v>
      </c>
      <c r="M18" s="69">
        <v>50</v>
      </c>
      <c r="N18" s="69">
        <f t="shared" si="0"/>
        <v>4.5049999999999999</v>
      </c>
      <c r="O18" s="69">
        <f t="shared" si="1"/>
        <v>0.79500000000000004</v>
      </c>
      <c r="P18" s="77">
        <f>PRODUCT(Tableau3[[#This Row],[Colonne18]],Tableau3[[#This Row],[Colonne4]])</f>
        <v>1.5900000000000001E-2</v>
      </c>
      <c r="Q18" s="77">
        <f>+PRODUCT(Tableau3[[#This Row],[Colonne18]],Tableau3[[#This Row],[Colonne3]])</f>
        <v>9.01E-2</v>
      </c>
      <c r="R18" s="20">
        <v>0.106</v>
      </c>
    </row>
    <row r="19" spans="1:18" x14ac:dyDescent="0.25">
      <c r="A19" s="13" t="s">
        <v>25</v>
      </c>
      <c r="B19" s="8">
        <v>1.6</v>
      </c>
      <c r="C19" s="9">
        <v>0.62</v>
      </c>
      <c r="D19" s="9">
        <v>0.38</v>
      </c>
      <c r="E19" s="9">
        <v>0.25</v>
      </c>
      <c r="F19" s="8">
        <f>0.102*1.35</f>
        <v>0.13769999999999999</v>
      </c>
      <c r="G19" s="8">
        <f>F19*0.62*100</f>
        <v>8.5373999999999999</v>
      </c>
      <c r="H19" s="16">
        <f>F19*0.38*100</f>
        <v>5.2325999999999997</v>
      </c>
      <c r="J19" s="61">
        <v>30</v>
      </c>
      <c r="K19" s="61">
        <f>PRODUCT(Tableau3[[#This Row],[Colonne10]],Tableau3[[#This Row],[Colonne3]])</f>
        <v>18.600000000000001</v>
      </c>
      <c r="L19" s="61">
        <f>PRODUCT(Tableau3[[#This Row],[Colonne10]],Tableau3[[#This Row],[Colonne4]])</f>
        <v>11.4</v>
      </c>
      <c r="M19" s="68">
        <v>280</v>
      </c>
      <c r="N19" s="68">
        <f t="shared" si="0"/>
        <v>18.401599999999998</v>
      </c>
      <c r="O19" s="68">
        <f t="shared" si="1"/>
        <v>11.2784</v>
      </c>
      <c r="P19" s="12">
        <f>PRODUCT(Tableau3[[#This Row],[Colonne18]],Tableau3[[#This Row],[Colonne4]])</f>
        <v>4.0280000000000003E-2</v>
      </c>
      <c r="Q19" s="12">
        <f>+PRODUCT(Tableau3[[#This Row],[Colonne18]],Tableau3[[#This Row],[Colonne3]])</f>
        <v>6.5720000000000001E-2</v>
      </c>
      <c r="R19" s="78">
        <v>0.106</v>
      </c>
    </row>
    <row r="20" spans="1:18" x14ac:dyDescent="0.25">
      <c r="A20" s="28" t="s">
        <v>26</v>
      </c>
      <c r="B20" s="23">
        <v>1.8</v>
      </c>
      <c r="C20" s="24">
        <v>0.17</v>
      </c>
      <c r="D20" s="24">
        <v>0.83</v>
      </c>
      <c r="E20" s="24">
        <v>0.65</v>
      </c>
      <c r="F20" s="23">
        <f>0.2*1.35</f>
        <v>0.27</v>
      </c>
      <c r="G20" s="23">
        <f>F20*100*C20</f>
        <v>4.59</v>
      </c>
      <c r="H20" s="23">
        <f>F20*100*D20</f>
        <v>22.41</v>
      </c>
      <c r="I20" s="27"/>
      <c r="J20" s="62">
        <v>10</v>
      </c>
      <c r="K20" s="62">
        <f>PRODUCT(Tableau3[[#This Row],[Colonne10]],Tableau3[[#This Row],[Colonne3]])</f>
        <v>1.7</v>
      </c>
      <c r="L20" s="62">
        <f>PRODUCT(Tableau3[[#This Row],[Colonne10]],Tableau3[[#This Row],[Colonne4]])</f>
        <v>8.3000000000000007</v>
      </c>
      <c r="M20" s="69">
        <v>50</v>
      </c>
      <c r="N20" s="69">
        <f t="shared" si="0"/>
        <v>1.6830000000000001</v>
      </c>
      <c r="O20" s="69">
        <f t="shared" si="1"/>
        <v>8.2170000000000005</v>
      </c>
      <c r="P20" s="77">
        <f>PRODUCT(Tableau3[[#This Row],[Colonne18]],Tableau3[[#This Row],[Colonne4]])</f>
        <v>0.16434000000000001</v>
      </c>
      <c r="Q20" s="77">
        <f>+PRODUCT(Tableau3[[#This Row],[Colonne18]],Tableau3[[#This Row],[Colonne3]])</f>
        <v>3.3660000000000002E-2</v>
      </c>
      <c r="R20" s="20">
        <v>0.19800000000000001</v>
      </c>
    </row>
    <row r="21" spans="1:18" x14ac:dyDescent="0.25">
      <c r="A21" s="49" t="s">
        <v>18</v>
      </c>
      <c r="B21" s="50">
        <v>2</v>
      </c>
      <c r="C21" s="51">
        <v>0.5</v>
      </c>
      <c r="D21" s="51">
        <v>0.5</v>
      </c>
      <c r="E21" s="51">
        <v>0.19</v>
      </c>
      <c r="F21" s="50">
        <f>0.168*1.2</f>
        <v>0.2016</v>
      </c>
      <c r="G21" s="50">
        <v>10.08</v>
      </c>
      <c r="H21" s="52">
        <v>10.08</v>
      </c>
      <c r="J21" s="64">
        <v>10</v>
      </c>
      <c r="K21" s="64">
        <f>PRODUCT(Tableau3[[#This Row],[Colonne10]],Tableau3[[#This Row],[Colonne3]])</f>
        <v>5</v>
      </c>
      <c r="L21" s="64">
        <f>PRODUCT(Tableau3[[#This Row],[Colonne10]],Tableau3[[#This Row],[Colonne4]])</f>
        <v>5</v>
      </c>
      <c r="M21" s="71">
        <v>50</v>
      </c>
      <c r="N21" s="71">
        <f t="shared" si="0"/>
        <v>4.3</v>
      </c>
      <c r="O21" s="71">
        <f t="shared" si="1"/>
        <v>4.3</v>
      </c>
      <c r="P21" s="47">
        <f>PRODUCT(Tableau3[[#This Row],[Colonne18]],Tableau3[[#This Row],[Colonne4]])</f>
        <v>8.5999999999999993E-2</v>
      </c>
      <c r="Q21" s="47">
        <f>+PRODUCT(Tableau3[[#This Row],[Colonne18]],Tableau3[[#This Row],[Colonne3]])</f>
        <v>8.5999999999999993E-2</v>
      </c>
      <c r="R21" s="20">
        <v>0.17199999999999999</v>
      </c>
    </row>
    <row r="22" spans="1:18" x14ac:dyDescent="0.25">
      <c r="A22" s="17" t="s">
        <v>27</v>
      </c>
      <c r="B22" s="18">
        <v>2.25</v>
      </c>
      <c r="C22" s="19">
        <v>0.16</v>
      </c>
      <c r="D22" s="19">
        <v>0.84</v>
      </c>
      <c r="E22" s="19">
        <v>0.55000000000000004</v>
      </c>
      <c r="F22">
        <f>0.104*1.2</f>
        <v>0.12479999999999999</v>
      </c>
      <c r="G22">
        <f>F22*0.16*100</f>
        <v>1.9967999999999999</v>
      </c>
      <c r="H22">
        <f>F22*0.84*100</f>
        <v>10.4832</v>
      </c>
      <c r="J22" s="65">
        <v>10</v>
      </c>
      <c r="K22" s="66">
        <f>PRODUCT(Tableau3[[#This Row],[Colonne10]],Tableau3[[#This Row],[Colonne3]])</f>
        <v>1.6</v>
      </c>
      <c r="L22" s="66">
        <f>PRODUCT(Tableau3[[#This Row],[Colonne10]],Tableau3[[#This Row],[Colonne4]])</f>
        <v>8.4</v>
      </c>
      <c r="M22" s="72">
        <v>50</v>
      </c>
      <c r="N22" s="73">
        <f t="shared" si="0"/>
        <v>0.83199999999999996</v>
      </c>
      <c r="O22" s="73">
        <f t="shared" si="1"/>
        <v>4.3680000000000003</v>
      </c>
      <c r="P22" s="2">
        <f>PRODUCT(Tableau3[[#This Row],[Colonne18]],Tableau3[[#This Row],[Colonne4]])</f>
        <v>8.7359999999999993E-2</v>
      </c>
      <c r="Q22" s="2">
        <f>+PRODUCT(Tableau3[[#This Row],[Colonne18]],Tableau3[[#This Row],[Colonne3]])</f>
        <v>1.6639999999999999E-2</v>
      </c>
      <c r="R22" s="20">
        <v>0.104</v>
      </c>
    </row>
    <row r="23" spans="1:18" ht="30" x14ac:dyDescent="0.25">
      <c r="A23" s="22" t="s">
        <v>28</v>
      </c>
      <c r="B23" s="23">
        <v>2</v>
      </c>
      <c r="C23" s="24">
        <v>0.2</v>
      </c>
      <c r="D23" s="24">
        <v>0.8</v>
      </c>
      <c r="E23" s="24">
        <v>0.53</v>
      </c>
      <c r="F23" s="23">
        <f>0.123*1.2</f>
        <v>0.14760000000000001</v>
      </c>
      <c r="G23" s="25">
        <f>F23*0.2*100</f>
        <v>2.952</v>
      </c>
      <c r="H23" s="26">
        <f>F23*100*0.8</f>
        <v>11.808</v>
      </c>
      <c r="I23" s="27"/>
      <c r="J23" s="62">
        <v>10</v>
      </c>
      <c r="K23" s="62">
        <f>PRODUCT(Tableau3[[#This Row],[Colonne10]],Tableau3[[#This Row],[Colonne3]])</f>
        <v>2</v>
      </c>
      <c r="L23" s="62">
        <f>PRODUCT(Tableau3[[#This Row],[Colonne10]],Tableau3[[#This Row],[Colonne4]])</f>
        <v>8</v>
      </c>
      <c r="M23" s="69">
        <v>50</v>
      </c>
      <c r="N23" s="69">
        <f t="shared" si="0"/>
        <v>1.23</v>
      </c>
      <c r="O23" s="69">
        <f t="shared" si="1"/>
        <v>4.92</v>
      </c>
      <c r="P23" s="77">
        <f>PRODUCT(Tableau3[[#This Row],[Colonne18]],Tableau3[[#This Row],[Colonne4]])</f>
        <v>9.8400000000000001E-2</v>
      </c>
      <c r="Q23" s="77">
        <f>+PRODUCT(Tableau3[[#This Row],[Colonne18]],Tableau3[[#This Row],[Colonne3]])</f>
        <v>2.46E-2</v>
      </c>
      <c r="R23" s="20">
        <v>0.123</v>
      </c>
    </row>
    <row r="24" spans="1:18" ht="75" x14ac:dyDescent="0.25">
      <c r="A24" s="7" t="s">
        <v>29</v>
      </c>
      <c r="B24" s="8">
        <v>2.4</v>
      </c>
      <c r="C24" s="9">
        <v>0.75</v>
      </c>
      <c r="D24" s="9">
        <v>0.25</v>
      </c>
      <c r="E24" s="9">
        <v>0.08</v>
      </c>
      <c r="F24" s="21">
        <f>200/960</f>
        <v>0.20830000000000001</v>
      </c>
      <c r="G24" s="10">
        <f>0.75*(F24*100)</f>
        <v>15.622999999999999</v>
      </c>
      <c r="H24" s="10">
        <f>0.25*(F24*100)</f>
        <v>5.2080000000000002</v>
      </c>
      <c r="J24" s="12"/>
      <c r="K24" s="12"/>
      <c r="L24" s="12"/>
      <c r="M24" s="12"/>
      <c r="N24" s="12"/>
      <c r="O24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 Matière</vt:lpstr>
      <vt:lpstr>Synthèse Mélange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BANASZAK</dc:creator>
  <cp:lastModifiedBy>agent agent</cp:lastModifiedBy>
  <cp:lastPrinted>2021-10-29T19:01:09Z</cp:lastPrinted>
  <dcterms:created xsi:type="dcterms:W3CDTF">2021-10-28T16:16:28Z</dcterms:created>
  <dcterms:modified xsi:type="dcterms:W3CDTF">2023-03-14T20:07:12Z</dcterms:modified>
</cp:coreProperties>
</file>