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petit\OneDrive\Bureau\"/>
    </mc:Choice>
  </mc:AlternateContent>
  <bookViews>
    <workbookView xWindow="-120" yWindow="-120" windowWidth="29040" windowHeight="17640" tabRatio="703"/>
  </bookViews>
  <sheets>
    <sheet name="Paramétrage" sheetId="16" r:id="rId1"/>
    <sheet name="Cycle" sheetId="26" r:id="rId2"/>
    <sheet name="Janvier" sheetId="4" r:id="rId3"/>
    <sheet name="Février" sheetId="5" r:id="rId4"/>
    <sheet name="Mars" sheetId="17" r:id="rId5"/>
    <sheet name="Avril" sheetId="18" r:id="rId6"/>
    <sheet name="Mai" sheetId="19" r:id="rId7"/>
    <sheet name="Juin" sheetId="20" r:id="rId8"/>
    <sheet name="Juillet" sheetId="21" r:id="rId9"/>
    <sheet name="Août" sheetId="22" r:id="rId10"/>
    <sheet name="Septembre" sheetId="23" r:id="rId11"/>
    <sheet name="Octobre" sheetId="24" r:id="rId12"/>
    <sheet name="Novembre" sheetId="25" r:id="rId13"/>
    <sheet name="Décembre" sheetId="15" r:id="rId14"/>
  </sheets>
  <definedNames>
    <definedName name="AnnéeCalendrier">Janvier!$AG$4</definedName>
    <definedName name="CléAbsencenonjustifiée">Janvier!$Q$2</definedName>
    <definedName name="CléCongé">Janvier!$G$2</definedName>
    <definedName name="CléFormation">Janvier!$N$2</definedName>
    <definedName name="CléMaladie">Janvier!$J$2</definedName>
    <definedName name="CléReposhebdomadaire">Janvier!$B$2</definedName>
    <definedName name="ÉtiquetteCléCongé">Janvier!$C$2</definedName>
    <definedName name="ÉtiquetteCléMaladie">Janvier!$J$2</definedName>
    <definedName name="ÉtiquetteCléPersonnalisée1">Janvier!$M$2</definedName>
    <definedName name="ÉtiquetteCléPersonnalisée2">Janvier!$R$2</definedName>
    <definedName name="ÉtiquetteCléPersonnel">Janvier!$F$2</definedName>
    <definedName name="_xlnm.Print_Titles" localSheetId="9">Août!$4:$6</definedName>
    <definedName name="_xlnm.Print_Titles" localSheetId="5">Avril!$4:$6</definedName>
    <definedName name="_xlnm.Print_Titles" localSheetId="13">Décembre!$4:$6</definedName>
    <definedName name="_xlnm.Print_Titles" localSheetId="3">Février!$4:$6</definedName>
    <definedName name="_xlnm.Print_Titles" localSheetId="2">Janvier!$4:$6</definedName>
    <definedName name="_xlnm.Print_Titles" localSheetId="8">Juillet!$4:$6</definedName>
    <definedName name="_xlnm.Print_Titles" localSheetId="7">Juin!$4:$6</definedName>
    <definedName name="_xlnm.Print_Titles" localSheetId="6">Mai!$4:$6</definedName>
    <definedName name="_xlnm.Print_Titles" localSheetId="4">Mars!$4:$6</definedName>
    <definedName name="_xlnm.Print_Titles" localSheetId="12">Novembre!$4:$6</definedName>
    <definedName name="_xlnm.Print_Titles" localSheetId="11">Octobre!$4:$6</definedName>
    <definedName name="_xlnm.Print_Titles" localSheetId="10">Septembre!$4:$6</definedName>
    <definedName name="Nom_clé">Janvier!$A$2</definedName>
    <definedName name="NomMois" localSheetId="9">Août!$A$4</definedName>
    <definedName name="NomMois" localSheetId="5">Avril!$A$4</definedName>
    <definedName name="NomMois" localSheetId="13">Décembre!$A$4</definedName>
    <definedName name="NomMois" localSheetId="3">Février!$A$4</definedName>
    <definedName name="NomMois" localSheetId="2">Janvier!$A$4</definedName>
    <definedName name="NomMois" localSheetId="8">Juillet!$A$4</definedName>
    <definedName name="NomMois" localSheetId="7">Juin!$A$4</definedName>
    <definedName name="NomMois" localSheetId="6">Mai!$A$4</definedName>
    <definedName name="NomMois" localSheetId="4">Mars!$A$4</definedName>
    <definedName name="NomMois" localSheetId="12">Novembre!$A$4</definedName>
    <definedName name="NomMois" localSheetId="11">Octobre!$A$4</definedName>
    <definedName name="NomMois" localSheetId="10">Septembre!$A$4</definedName>
    <definedName name="Titre_Absence_Employé">Janvier!$A$1</definedName>
    <definedName name="Titre1">Janvier[[#Headers],[Nom de l’employé]]</definedName>
    <definedName name="Titre10">Octobre[[#Headers],[Nom de l’employé]]</definedName>
    <definedName name="Titre11">Novembre[[#Headers],[Nom de l’employé]]</definedName>
    <definedName name="Titre12">Décembre[[#Headers],[Nom de l’employé]]</definedName>
    <definedName name="Titre2">Février[[#Headers],[Nom de l’employé]]</definedName>
    <definedName name="Titre3">Mars[[#Headers],[Nom de l’employé]]</definedName>
    <definedName name="Titre4">Avril[[#Headers],[Nom de l’employé]]</definedName>
    <definedName name="Titre5">Mai[[#Headers],[Nom de l’employé]]</definedName>
    <definedName name="Titre6">Juin[[#Headers],[Nom de l’employé]]</definedName>
    <definedName name="Titre7">Juillet[[#Headers],[Nom de l’employé]]</definedName>
    <definedName name="Titre8">Août[[#Headers],[Nom de l’employé]]</definedName>
    <definedName name="Titre9">Septembre[[#Headers],[Nom de l’employé]]</definedName>
    <definedName name="TitreColonne13">NomEmployé[[#Headers],[Noms des employés]]</definedName>
  </definedNames>
  <calcPr calcId="152511"/>
</workbook>
</file>

<file path=xl/calcChain.xml><?xml version="1.0" encoding="utf-8"?>
<calcChain xmlns="http://schemas.openxmlformats.org/spreadsheetml/2006/main">
  <c r="C7" i="26" l="1"/>
  <c r="C8" i="26"/>
  <c r="C9" i="26"/>
  <c r="C10" i="26"/>
  <c r="C11" i="26"/>
  <c r="C12" i="26"/>
  <c r="C13" i="26"/>
  <c r="C14" i="26"/>
  <c r="C15" i="26"/>
  <c r="C16" i="26"/>
  <c r="C17" i="26"/>
  <c r="C18" i="26"/>
  <c r="C19" i="26"/>
  <c r="C20" i="26"/>
  <c r="C21" i="26"/>
  <c r="C22" i="26"/>
  <c r="C23" i="26"/>
  <c r="C24" i="26"/>
  <c r="C25" i="26"/>
  <c r="C6" i="26"/>
  <c r="B27" i="5" l="1"/>
  <c r="C27" i="5"/>
  <c r="D27" i="5"/>
  <c r="E27" i="5"/>
  <c r="F27" i="5"/>
  <c r="G27" i="5"/>
  <c r="H27" i="5"/>
  <c r="I27" i="5"/>
  <c r="J27" i="5"/>
  <c r="K27" i="5"/>
  <c r="L27" i="5"/>
  <c r="M27" i="5"/>
  <c r="N27" i="5"/>
  <c r="O27" i="5"/>
  <c r="P27" i="5"/>
  <c r="Q27" i="5"/>
  <c r="R27" i="5"/>
  <c r="S27" i="5"/>
  <c r="T27" i="5"/>
  <c r="U27" i="5"/>
  <c r="V27" i="5"/>
  <c r="W27" i="5"/>
  <c r="X27" i="5"/>
  <c r="Y27" i="5"/>
  <c r="Z27" i="5"/>
  <c r="AA27" i="5"/>
  <c r="AB27" i="5"/>
  <c r="AC27" i="5"/>
  <c r="AD27" i="5"/>
  <c r="AE27" i="5"/>
  <c r="AF27" i="5"/>
  <c r="AG4" i="5"/>
  <c r="AG26" i="15"/>
  <c r="AG25" i="15"/>
  <c r="AG24" i="15"/>
  <c r="AG23" i="15"/>
  <c r="AG22" i="15"/>
  <c r="AG21" i="15"/>
  <c r="AG20" i="15"/>
  <c r="AG19" i="15"/>
  <c r="AG18" i="15"/>
  <c r="AG17" i="15"/>
  <c r="AG16" i="15"/>
  <c r="AG15" i="15"/>
  <c r="AG14" i="15"/>
  <c r="AG13" i="15"/>
  <c r="AG12" i="15"/>
  <c r="AG11" i="15"/>
  <c r="AG10" i="15"/>
  <c r="AG9" i="15"/>
  <c r="AG8" i="15"/>
  <c r="AG7" i="15"/>
  <c r="AG26" i="25"/>
  <c r="AG25" i="25"/>
  <c r="AG24" i="25"/>
  <c r="AG23" i="25"/>
  <c r="AG22" i="25"/>
  <c r="AG21" i="25"/>
  <c r="AG20" i="25"/>
  <c r="AG19" i="25"/>
  <c r="AG18" i="25"/>
  <c r="AG17" i="25"/>
  <c r="AG16" i="25"/>
  <c r="AG15" i="25"/>
  <c r="AG14" i="25"/>
  <c r="AG13" i="25"/>
  <c r="AG12" i="25"/>
  <c r="AG11" i="25"/>
  <c r="AG10" i="25"/>
  <c r="AG9" i="25"/>
  <c r="AG8" i="25"/>
  <c r="AG7" i="25"/>
  <c r="AG26" i="24"/>
  <c r="AG25" i="24"/>
  <c r="AG24" i="24"/>
  <c r="AG23" i="24"/>
  <c r="AG22" i="24"/>
  <c r="AG21" i="24"/>
  <c r="AG20" i="24"/>
  <c r="AG19" i="24"/>
  <c r="AG18" i="24"/>
  <c r="AG17" i="24"/>
  <c r="AG16" i="24"/>
  <c r="AG15" i="24"/>
  <c r="AG14" i="24"/>
  <c r="AG13" i="24"/>
  <c r="AG12" i="24"/>
  <c r="AG11" i="24"/>
  <c r="AG10" i="24"/>
  <c r="AG9" i="24"/>
  <c r="AG8" i="24"/>
  <c r="AG7" i="24"/>
  <c r="AG26" i="23"/>
  <c r="AG25" i="23"/>
  <c r="AG24" i="23"/>
  <c r="AG23" i="23"/>
  <c r="AG22" i="23"/>
  <c r="AG21" i="23"/>
  <c r="AG20" i="23"/>
  <c r="AG19" i="23"/>
  <c r="AG18" i="23"/>
  <c r="AG17" i="23"/>
  <c r="AG16" i="23"/>
  <c r="AG15" i="23"/>
  <c r="AG14" i="23"/>
  <c r="AG13" i="23"/>
  <c r="AG12" i="23"/>
  <c r="AG11" i="23"/>
  <c r="AG10" i="23"/>
  <c r="AG9" i="23"/>
  <c r="AG8" i="23"/>
  <c r="AG7" i="23"/>
  <c r="AG26" i="22"/>
  <c r="AG25" i="22"/>
  <c r="AG24" i="22"/>
  <c r="AG23" i="22"/>
  <c r="AG22" i="22"/>
  <c r="AG21" i="22"/>
  <c r="AG20" i="22"/>
  <c r="AG19" i="22"/>
  <c r="AG18" i="22"/>
  <c r="AG17" i="22"/>
  <c r="AG16" i="22"/>
  <c r="AG15" i="22"/>
  <c r="AG14" i="22"/>
  <c r="AG13" i="22"/>
  <c r="AG12" i="22"/>
  <c r="AG11" i="22"/>
  <c r="AG10" i="22"/>
  <c r="AG9" i="22"/>
  <c r="AG8" i="22"/>
  <c r="AG7" i="22"/>
  <c r="AG26" i="21"/>
  <c r="AG25" i="21"/>
  <c r="AG24" i="21"/>
  <c r="AG23" i="21"/>
  <c r="AG22" i="21"/>
  <c r="AG21" i="21"/>
  <c r="AG20" i="21"/>
  <c r="AG19" i="21"/>
  <c r="AG18" i="21"/>
  <c r="AG17" i="21"/>
  <c r="AG16" i="21"/>
  <c r="AG15" i="21"/>
  <c r="AG14" i="21"/>
  <c r="AG13" i="21"/>
  <c r="AG12" i="21"/>
  <c r="AG11" i="21"/>
  <c r="AG10" i="21"/>
  <c r="AG9" i="21"/>
  <c r="AG8" i="21"/>
  <c r="AG7" i="21"/>
  <c r="AG26" i="20"/>
  <c r="AG25" i="20"/>
  <c r="AG24" i="20"/>
  <c r="AG23" i="20"/>
  <c r="AG22" i="20"/>
  <c r="AG21" i="20"/>
  <c r="AG20" i="20"/>
  <c r="AG19" i="20"/>
  <c r="AG18" i="20"/>
  <c r="AG17" i="20"/>
  <c r="AG16" i="20"/>
  <c r="AG15" i="20"/>
  <c r="AG14" i="20"/>
  <c r="AG13" i="20"/>
  <c r="AG12" i="20"/>
  <c r="AG11" i="20"/>
  <c r="AG10" i="20"/>
  <c r="AG9" i="20"/>
  <c r="AG8" i="20"/>
  <c r="AG7" i="20"/>
  <c r="AG26" i="19"/>
  <c r="AG25" i="19"/>
  <c r="AG24" i="19"/>
  <c r="AG23" i="19"/>
  <c r="AG22" i="19"/>
  <c r="AG21" i="19"/>
  <c r="AG20" i="19"/>
  <c r="AG19" i="19"/>
  <c r="AG18" i="19"/>
  <c r="AG17" i="19"/>
  <c r="AG16" i="19"/>
  <c r="AG15" i="19"/>
  <c r="AG14" i="19"/>
  <c r="AG13" i="19"/>
  <c r="AG12" i="19"/>
  <c r="AG11" i="19"/>
  <c r="AG10" i="19"/>
  <c r="AG9" i="19"/>
  <c r="AG8" i="19"/>
  <c r="AG7" i="19"/>
  <c r="AG26" i="18"/>
  <c r="AG25" i="18"/>
  <c r="AG24" i="18"/>
  <c r="AG23" i="18"/>
  <c r="AG22" i="18"/>
  <c r="AG21" i="18"/>
  <c r="AG20" i="18"/>
  <c r="AG19" i="18"/>
  <c r="AG18" i="18"/>
  <c r="AG17" i="18"/>
  <c r="AG16" i="18"/>
  <c r="AG15" i="18"/>
  <c r="AG14" i="18"/>
  <c r="AG13" i="18"/>
  <c r="AG12" i="18"/>
  <c r="AG11" i="18"/>
  <c r="AG10" i="18"/>
  <c r="AG9" i="18"/>
  <c r="AG8" i="18"/>
  <c r="AG7" i="18"/>
  <c r="AG26" i="17"/>
  <c r="AG25" i="17"/>
  <c r="AG24" i="17"/>
  <c r="AG23" i="17"/>
  <c r="AG22" i="17"/>
  <c r="AG21" i="17"/>
  <c r="AG20" i="17"/>
  <c r="AG19" i="17"/>
  <c r="AG18" i="17"/>
  <c r="AG17" i="17"/>
  <c r="AG16" i="17"/>
  <c r="AG15" i="17"/>
  <c r="AG14" i="17"/>
  <c r="AG13" i="17"/>
  <c r="AG12" i="17"/>
  <c r="AG11" i="17"/>
  <c r="AG10" i="17"/>
  <c r="AG9" i="17"/>
  <c r="AG8" i="17"/>
  <c r="AG7" i="17"/>
  <c r="AG26" i="5"/>
  <c r="AG25" i="5"/>
  <c r="AG24" i="5"/>
  <c r="AG23" i="5"/>
  <c r="AG22" i="5"/>
  <c r="AG21" i="5"/>
  <c r="AG20" i="5"/>
  <c r="AG19" i="5"/>
  <c r="AG18" i="5"/>
  <c r="AG17" i="5"/>
  <c r="AG16" i="5"/>
  <c r="AG15" i="5"/>
  <c r="AG14" i="5"/>
  <c r="AG13" i="5"/>
  <c r="AG12" i="5"/>
  <c r="AG11" i="5"/>
  <c r="AG10" i="5"/>
  <c r="AG9" i="5"/>
  <c r="AG8" i="5"/>
  <c r="AG7" i="5"/>
  <c r="AF27" i="15"/>
  <c r="AE27" i="15"/>
  <c r="AD27" i="15"/>
  <c r="AC27" i="15"/>
  <c r="AB27" i="15"/>
  <c r="AA27" i="15"/>
  <c r="Z27" i="15"/>
  <c r="Y27" i="15"/>
  <c r="X27" i="15"/>
  <c r="W27" i="15"/>
  <c r="V27" i="15"/>
  <c r="U27" i="15"/>
  <c r="T27" i="15"/>
  <c r="S27" i="15"/>
  <c r="R27" i="15"/>
  <c r="Q27" i="15"/>
  <c r="P27" i="15"/>
  <c r="O27" i="15"/>
  <c r="N27" i="15"/>
  <c r="M27" i="15"/>
  <c r="L27" i="15"/>
  <c r="K27" i="15"/>
  <c r="J27" i="15"/>
  <c r="I27" i="15"/>
  <c r="H27" i="15"/>
  <c r="G27" i="15"/>
  <c r="F27" i="15"/>
  <c r="E27" i="15"/>
  <c r="D27" i="15"/>
  <c r="C27" i="15"/>
  <c r="B27" i="15"/>
  <c r="AF27" i="25"/>
  <c r="AE27" i="25"/>
  <c r="AD27" i="25"/>
  <c r="AC27" i="25"/>
  <c r="AB27" i="25"/>
  <c r="AA27" i="25"/>
  <c r="Z27" i="25"/>
  <c r="Y27" i="25"/>
  <c r="X27" i="25"/>
  <c r="W27" i="25"/>
  <c r="V27" i="25"/>
  <c r="U27" i="25"/>
  <c r="T27" i="25"/>
  <c r="S27" i="25"/>
  <c r="R27" i="25"/>
  <c r="Q27" i="25"/>
  <c r="P27" i="25"/>
  <c r="O27" i="25"/>
  <c r="N27" i="25"/>
  <c r="M27" i="25"/>
  <c r="L27" i="25"/>
  <c r="K27" i="25"/>
  <c r="J27" i="25"/>
  <c r="I27" i="25"/>
  <c r="H27" i="25"/>
  <c r="G27" i="25"/>
  <c r="F27" i="25"/>
  <c r="E27" i="25"/>
  <c r="D27" i="25"/>
  <c r="C27" i="25"/>
  <c r="B27" i="25"/>
  <c r="AF27" i="24"/>
  <c r="AE27" i="24"/>
  <c r="AD27" i="24"/>
  <c r="AC27" i="24"/>
  <c r="AB27" i="24"/>
  <c r="AA27" i="24"/>
  <c r="Z27" i="24"/>
  <c r="Y27" i="24"/>
  <c r="X27" i="24"/>
  <c r="W27" i="24"/>
  <c r="V27" i="24"/>
  <c r="U27" i="24"/>
  <c r="T27" i="24"/>
  <c r="S27" i="24"/>
  <c r="R27" i="24"/>
  <c r="Q27" i="24"/>
  <c r="P27" i="24"/>
  <c r="O27" i="24"/>
  <c r="N27" i="24"/>
  <c r="M27" i="24"/>
  <c r="L27" i="24"/>
  <c r="K27" i="24"/>
  <c r="J27" i="24"/>
  <c r="I27" i="24"/>
  <c r="H27" i="24"/>
  <c r="G27" i="24"/>
  <c r="F27" i="24"/>
  <c r="E27" i="24"/>
  <c r="D27" i="24"/>
  <c r="C27" i="24"/>
  <c r="B27" i="24"/>
  <c r="AF27" i="23"/>
  <c r="AE27" i="23"/>
  <c r="AD27" i="23"/>
  <c r="AC27" i="23"/>
  <c r="AB27" i="23"/>
  <c r="AA27" i="23"/>
  <c r="Z27" i="23"/>
  <c r="Y27" i="23"/>
  <c r="X27" i="23"/>
  <c r="W27" i="23"/>
  <c r="V27" i="23"/>
  <c r="U27" i="23"/>
  <c r="T27" i="23"/>
  <c r="S27" i="23"/>
  <c r="R27" i="23"/>
  <c r="Q27" i="23"/>
  <c r="P27" i="23"/>
  <c r="O27" i="23"/>
  <c r="N27" i="23"/>
  <c r="M27" i="23"/>
  <c r="L27" i="23"/>
  <c r="K27" i="23"/>
  <c r="J27" i="23"/>
  <c r="I27" i="23"/>
  <c r="H27" i="23"/>
  <c r="G27" i="23"/>
  <c r="F27" i="23"/>
  <c r="E27" i="23"/>
  <c r="D27" i="23"/>
  <c r="C27" i="23"/>
  <c r="B27" i="23"/>
  <c r="AF27" i="22"/>
  <c r="AE27" i="22"/>
  <c r="AD27" i="22"/>
  <c r="AC27" i="22"/>
  <c r="AB27" i="22"/>
  <c r="AA27" i="22"/>
  <c r="Z27" i="22"/>
  <c r="Y27" i="22"/>
  <c r="X27" i="22"/>
  <c r="W27" i="22"/>
  <c r="V27" i="22"/>
  <c r="U27" i="22"/>
  <c r="T27" i="22"/>
  <c r="S27" i="22"/>
  <c r="R27" i="22"/>
  <c r="Q27" i="22"/>
  <c r="P27" i="22"/>
  <c r="O27" i="22"/>
  <c r="N27" i="22"/>
  <c r="M27" i="22"/>
  <c r="L27" i="22"/>
  <c r="K27" i="22"/>
  <c r="J27" i="22"/>
  <c r="I27" i="22"/>
  <c r="H27" i="22"/>
  <c r="G27" i="22"/>
  <c r="F27" i="22"/>
  <c r="E27" i="22"/>
  <c r="D27" i="22"/>
  <c r="C27" i="22"/>
  <c r="B27" i="22"/>
  <c r="AF27" i="21"/>
  <c r="AE27" i="21"/>
  <c r="AD27" i="21"/>
  <c r="AC27" i="21"/>
  <c r="AB27" i="21"/>
  <c r="AA27" i="21"/>
  <c r="Z27" i="21"/>
  <c r="Y27" i="21"/>
  <c r="X27" i="21"/>
  <c r="W27" i="21"/>
  <c r="V27" i="21"/>
  <c r="U27" i="21"/>
  <c r="T27" i="21"/>
  <c r="S27" i="21"/>
  <c r="R27" i="21"/>
  <c r="Q27" i="21"/>
  <c r="P27" i="21"/>
  <c r="O27" i="21"/>
  <c r="N27" i="21"/>
  <c r="M27" i="21"/>
  <c r="L27" i="21"/>
  <c r="K27" i="21"/>
  <c r="J27" i="21"/>
  <c r="I27" i="21"/>
  <c r="H27" i="21"/>
  <c r="G27" i="21"/>
  <c r="F27" i="21"/>
  <c r="E27" i="21"/>
  <c r="D27" i="21"/>
  <c r="C27" i="21"/>
  <c r="B27" i="21"/>
  <c r="AF27" i="20"/>
  <c r="AE27" i="20"/>
  <c r="AD27" i="20"/>
  <c r="AC27" i="20"/>
  <c r="AB27" i="20"/>
  <c r="AA27" i="20"/>
  <c r="Z27" i="20"/>
  <c r="Y27" i="20"/>
  <c r="X27" i="20"/>
  <c r="W27" i="20"/>
  <c r="V27" i="20"/>
  <c r="U27" i="20"/>
  <c r="T27" i="20"/>
  <c r="S27" i="20"/>
  <c r="R27" i="20"/>
  <c r="Q27" i="20"/>
  <c r="P27" i="20"/>
  <c r="O27" i="20"/>
  <c r="N27" i="20"/>
  <c r="M27" i="20"/>
  <c r="L27" i="20"/>
  <c r="K27" i="20"/>
  <c r="J27" i="20"/>
  <c r="I27" i="20"/>
  <c r="H27" i="20"/>
  <c r="G27" i="20"/>
  <c r="F27" i="20"/>
  <c r="E27" i="20"/>
  <c r="D27" i="20"/>
  <c r="C27" i="20"/>
  <c r="B27" i="20"/>
  <c r="AF27" i="19"/>
  <c r="AE27" i="19"/>
  <c r="AD27" i="19"/>
  <c r="AC27" i="19"/>
  <c r="AB27" i="19"/>
  <c r="AA27" i="19"/>
  <c r="Z27" i="19"/>
  <c r="Y27" i="19"/>
  <c r="X27" i="19"/>
  <c r="W27" i="19"/>
  <c r="V27" i="19"/>
  <c r="U27" i="19"/>
  <c r="T27" i="19"/>
  <c r="S27" i="19"/>
  <c r="R27" i="19"/>
  <c r="Q27" i="19"/>
  <c r="P27" i="19"/>
  <c r="O27" i="19"/>
  <c r="N27" i="19"/>
  <c r="M27" i="19"/>
  <c r="L27" i="19"/>
  <c r="K27" i="19"/>
  <c r="J27" i="19"/>
  <c r="I27" i="19"/>
  <c r="H27" i="19"/>
  <c r="G27" i="19"/>
  <c r="F27" i="19"/>
  <c r="E27" i="19"/>
  <c r="D27" i="19"/>
  <c r="C27" i="19"/>
  <c r="B27" i="19"/>
  <c r="AF27" i="18"/>
  <c r="AE27" i="18"/>
  <c r="AD27" i="18"/>
  <c r="AC27" i="18"/>
  <c r="AB27" i="18"/>
  <c r="AA27" i="18"/>
  <c r="Z27" i="18"/>
  <c r="Y27" i="18"/>
  <c r="X27" i="18"/>
  <c r="W27" i="18"/>
  <c r="V27" i="18"/>
  <c r="U27" i="18"/>
  <c r="T27" i="18"/>
  <c r="S27" i="18"/>
  <c r="R27" i="18"/>
  <c r="Q27" i="18"/>
  <c r="P27" i="18"/>
  <c r="O27" i="18"/>
  <c r="N27" i="18"/>
  <c r="M27" i="18"/>
  <c r="L27" i="18"/>
  <c r="K27" i="18"/>
  <c r="J27" i="18"/>
  <c r="I27" i="18"/>
  <c r="H27" i="18"/>
  <c r="G27" i="18"/>
  <c r="F27" i="18"/>
  <c r="E27" i="18"/>
  <c r="D27" i="18"/>
  <c r="C27" i="18"/>
  <c r="B27" i="18"/>
  <c r="AF27" i="17"/>
  <c r="AE27" i="17"/>
  <c r="AD27" i="17"/>
  <c r="AC27" i="17"/>
  <c r="AB27" i="17"/>
  <c r="AA27" i="17"/>
  <c r="Z27" i="17"/>
  <c r="Y27" i="17"/>
  <c r="X27" i="17"/>
  <c r="W27" i="17"/>
  <c r="V27" i="17"/>
  <c r="U27" i="17"/>
  <c r="T27" i="17"/>
  <c r="S27" i="17"/>
  <c r="R27" i="17"/>
  <c r="Q27" i="17"/>
  <c r="P27" i="17"/>
  <c r="O27" i="17"/>
  <c r="N27" i="17"/>
  <c r="M27" i="17"/>
  <c r="L27" i="17"/>
  <c r="K27" i="17"/>
  <c r="J27" i="17"/>
  <c r="I27" i="17"/>
  <c r="H27" i="17"/>
  <c r="G27" i="17"/>
  <c r="F27" i="17"/>
  <c r="E27" i="17"/>
  <c r="D27" i="17"/>
  <c r="C27" i="17"/>
  <c r="B27" i="17"/>
  <c r="AG26" i="4" l="1"/>
  <c r="AG25" i="4"/>
  <c r="AG24" i="4"/>
  <c r="AG23" i="4"/>
  <c r="AG22" i="4"/>
  <c r="AG21" i="4"/>
  <c r="AG20" i="4"/>
  <c r="AG19" i="4"/>
  <c r="AG18" i="4"/>
  <c r="AG17" i="4"/>
  <c r="AG16" i="4"/>
  <c r="AG15" i="4"/>
  <c r="AG14" i="4"/>
  <c r="AG13" i="4"/>
  <c r="AG12" i="4"/>
  <c r="AG11" i="4"/>
  <c r="AG10" i="4"/>
  <c r="AG9" i="4"/>
  <c r="AG8" i="4"/>
  <c r="AG7" i="4"/>
  <c r="C27" i="4" l="1"/>
  <c r="D27" i="4"/>
  <c r="E27" i="4"/>
  <c r="F27" i="4"/>
  <c r="G27" i="4"/>
  <c r="H27" i="4"/>
  <c r="I27" i="4"/>
  <c r="J27" i="4"/>
  <c r="K27" i="4"/>
  <c r="L27" i="4"/>
  <c r="M27" i="4"/>
  <c r="N27" i="4"/>
  <c r="O27" i="4"/>
  <c r="P27" i="4"/>
  <c r="Q27" i="4"/>
  <c r="R27" i="4"/>
  <c r="S27" i="4"/>
  <c r="T27" i="4"/>
  <c r="U27" i="4"/>
  <c r="V27" i="4"/>
  <c r="W27" i="4"/>
  <c r="X27" i="4"/>
  <c r="Y27" i="4"/>
  <c r="Z27" i="4"/>
  <c r="AA27" i="4"/>
  <c r="AB27" i="4"/>
  <c r="AC27" i="4"/>
  <c r="AD27" i="4"/>
  <c r="AE27" i="4"/>
  <c r="B27" i="4"/>
  <c r="AF5" i="15" l="1"/>
  <c r="AE5" i="15"/>
  <c r="AD5" i="15"/>
  <c r="AC5" i="15"/>
  <c r="AB5" i="15"/>
  <c r="AA5" i="15"/>
  <c r="Z5" i="15"/>
  <c r="Y5" i="15"/>
  <c r="X5" i="15"/>
  <c r="W5" i="15"/>
  <c r="V5" i="15"/>
  <c r="U5" i="15"/>
  <c r="T5" i="15"/>
  <c r="S5" i="15"/>
  <c r="R5" i="15"/>
  <c r="Q5" i="15"/>
  <c r="P5" i="15"/>
  <c r="O5" i="15"/>
  <c r="N5" i="15"/>
  <c r="M5" i="15"/>
  <c r="L5" i="15"/>
  <c r="K5" i="15"/>
  <c r="J5" i="15"/>
  <c r="I5" i="15"/>
  <c r="H5" i="15"/>
  <c r="G5" i="15"/>
  <c r="F5" i="15"/>
  <c r="E5" i="15"/>
  <c r="D5" i="15"/>
  <c r="C5" i="15"/>
  <c r="B5" i="15"/>
  <c r="AG4" i="15"/>
  <c r="A1" i="15"/>
  <c r="AE5" i="25"/>
  <c r="AD5" i="25"/>
  <c r="AC5" i="25"/>
  <c r="AB5" i="25"/>
  <c r="AA5" i="25"/>
  <c r="Z5" i="25"/>
  <c r="Y5" i="25"/>
  <c r="X5" i="25"/>
  <c r="W5" i="25"/>
  <c r="V5" i="25"/>
  <c r="U5" i="25"/>
  <c r="T5" i="25"/>
  <c r="S5" i="25"/>
  <c r="R5" i="25"/>
  <c r="Q5" i="25"/>
  <c r="P5" i="25"/>
  <c r="O5" i="25"/>
  <c r="N5" i="25"/>
  <c r="M5" i="25"/>
  <c r="L5" i="25"/>
  <c r="K5" i="25"/>
  <c r="J5" i="25"/>
  <c r="I5" i="25"/>
  <c r="H5" i="25"/>
  <c r="G5" i="25"/>
  <c r="F5" i="25"/>
  <c r="E5" i="25"/>
  <c r="D5" i="25"/>
  <c r="C5" i="25"/>
  <c r="B5" i="25"/>
  <c r="AG4" i="25"/>
  <c r="A1" i="25"/>
  <c r="AF5" i="24"/>
  <c r="AE5" i="24"/>
  <c r="AD5" i="24"/>
  <c r="AC5" i="24"/>
  <c r="AB5" i="24"/>
  <c r="AA5" i="24"/>
  <c r="Z5" i="24"/>
  <c r="Y5" i="24"/>
  <c r="X5" i="24"/>
  <c r="W5" i="24"/>
  <c r="V5" i="24"/>
  <c r="U5" i="24"/>
  <c r="T5" i="24"/>
  <c r="S5" i="24"/>
  <c r="R5" i="24"/>
  <c r="Q5" i="24"/>
  <c r="P5" i="24"/>
  <c r="O5" i="24"/>
  <c r="N5" i="24"/>
  <c r="M5" i="24"/>
  <c r="L5" i="24"/>
  <c r="K5" i="24"/>
  <c r="J5" i="24"/>
  <c r="I5" i="24"/>
  <c r="H5" i="24"/>
  <c r="G5" i="24"/>
  <c r="F5" i="24"/>
  <c r="E5" i="24"/>
  <c r="D5" i="24"/>
  <c r="C5" i="24"/>
  <c r="B5" i="24"/>
  <c r="AG4" i="24"/>
  <c r="A1" i="24"/>
  <c r="AE5" i="23"/>
  <c r="AD5" i="23"/>
  <c r="AC5" i="23"/>
  <c r="AB5" i="23"/>
  <c r="AA5" i="23"/>
  <c r="Z5" i="23"/>
  <c r="Y5" i="23"/>
  <c r="X5" i="23"/>
  <c r="W5" i="23"/>
  <c r="V5" i="23"/>
  <c r="U5" i="23"/>
  <c r="T5" i="23"/>
  <c r="S5" i="23"/>
  <c r="R5" i="23"/>
  <c r="Q5" i="23"/>
  <c r="P5" i="23"/>
  <c r="O5" i="23"/>
  <c r="N5" i="23"/>
  <c r="M5" i="23"/>
  <c r="L5" i="23"/>
  <c r="K5" i="23"/>
  <c r="J5" i="23"/>
  <c r="I5" i="23"/>
  <c r="H5" i="23"/>
  <c r="G5" i="23"/>
  <c r="F5" i="23"/>
  <c r="E5" i="23"/>
  <c r="D5" i="23"/>
  <c r="C5" i="23"/>
  <c r="B5" i="23"/>
  <c r="AG4" i="23"/>
  <c r="A1" i="23"/>
  <c r="AF5" i="22"/>
  <c r="AE5" i="22"/>
  <c r="AD5" i="22"/>
  <c r="AC5" i="22"/>
  <c r="AB5" i="22"/>
  <c r="AA5" i="22"/>
  <c r="Z5" i="22"/>
  <c r="Y5" i="22"/>
  <c r="X5" i="22"/>
  <c r="W5" i="22"/>
  <c r="V5" i="22"/>
  <c r="U5" i="22"/>
  <c r="T5" i="22"/>
  <c r="S5" i="22"/>
  <c r="R5" i="22"/>
  <c r="Q5" i="22"/>
  <c r="P5" i="22"/>
  <c r="O5" i="22"/>
  <c r="N5" i="22"/>
  <c r="M5" i="22"/>
  <c r="L5" i="22"/>
  <c r="K5" i="22"/>
  <c r="J5" i="22"/>
  <c r="I5" i="22"/>
  <c r="H5" i="22"/>
  <c r="G5" i="22"/>
  <c r="F5" i="22"/>
  <c r="E5" i="22"/>
  <c r="D5" i="22"/>
  <c r="C5" i="22"/>
  <c r="B5" i="22"/>
  <c r="AG4" i="22"/>
  <c r="A1" i="22"/>
  <c r="AF5" i="21"/>
  <c r="AE5" i="21"/>
  <c r="AD5" i="21"/>
  <c r="AC5" i="21"/>
  <c r="AB5" i="21"/>
  <c r="AA5" i="21"/>
  <c r="Z5" i="21"/>
  <c r="Y5" i="21"/>
  <c r="X5" i="21"/>
  <c r="W5" i="21"/>
  <c r="V5" i="21"/>
  <c r="U5" i="21"/>
  <c r="T5" i="21"/>
  <c r="S5" i="21"/>
  <c r="R5" i="21"/>
  <c r="Q5" i="21"/>
  <c r="P5" i="21"/>
  <c r="O5" i="21"/>
  <c r="N5" i="21"/>
  <c r="M5" i="21"/>
  <c r="L5" i="21"/>
  <c r="K5" i="21"/>
  <c r="J5" i="21"/>
  <c r="I5" i="21"/>
  <c r="H5" i="21"/>
  <c r="G5" i="21"/>
  <c r="F5" i="21"/>
  <c r="E5" i="21"/>
  <c r="D5" i="21"/>
  <c r="C5" i="21"/>
  <c r="B5" i="21"/>
  <c r="AG4" i="21"/>
  <c r="A1" i="21"/>
  <c r="AE5" i="20"/>
  <c r="AD5" i="20"/>
  <c r="AC5" i="20"/>
  <c r="AB5" i="20"/>
  <c r="AA5" i="20"/>
  <c r="Z5" i="20"/>
  <c r="Y5" i="20"/>
  <c r="X5" i="20"/>
  <c r="W5" i="20"/>
  <c r="V5" i="20"/>
  <c r="U5" i="20"/>
  <c r="T5" i="20"/>
  <c r="S5" i="20"/>
  <c r="R5" i="20"/>
  <c r="Q5" i="20"/>
  <c r="P5" i="20"/>
  <c r="O5" i="20"/>
  <c r="N5" i="20"/>
  <c r="M5" i="20"/>
  <c r="L5" i="20"/>
  <c r="K5" i="20"/>
  <c r="J5" i="20"/>
  <c r="I5" i="20"/>
  <c r="H5" i="20"/>
  <c r="G5" i="20"/>
  <c r="F5" i="20"/>
  <c r="E5" i="20"/>
  <c r="D5" i="20"/>
  <c r="C5" i="20"/>
  <c r="B5" i="20"/>
  <c r="AG4" i="20"/>
  <c r="A1" i="20"/>
  <c r="AF5" i="19"/>
  <c r="AE5" i="19"/>
  <c r="AD5" i="19"/>
  <c r="AC5" i="19"/>
  <c r="AB5" i="19"/>
  <c r="AA5" i="19"/>
  <c r="Z5" i="19"/>
  <c r="Y5" i="19"/>
  <c r="X5" i="19"/>
  <c r="W5" i="19"/>
  <c r="V5" i="19"/>
  <c r="U5" i="19"/>
  <c r="T5" i="19"/>
  <c r="S5" i="19"/>
  <c r="R5" i="19"/>
  <c r="Q5" i="19"/>
  <c r="P5" i="19"/>
  <c r="O5" i="19"/>
  <c r="N5" i="19"/>
  <c r="M5" i="19"/>
  <c r="L5" i="19"/>
  <c r="K5" i="19"/>
  <c r="J5" i="19"/>
  <c r="I5" i="19"/>
  <c r="H5" i="19"/>
  <c r="G5" i="19"/>
  <c r="F5" i="19"/>
  <c r="E5" i="19"/>
  <c r="D5" i="19"/>
  <c r="C5" i="19"/>
  <c r="B5" i="19"/>
  <c r="AG4" i="19"/>
  <c r="A1" i="19"/>
  <c r="AE5" i="18"/>
  <c r="AD5" i="18"/>
  <c r="AC5" i="18"/>
  <c r="AB5" i="18"/>
  <c r="AA5" i="18"/>
  <c r="Z5" i="18"/>
  <c r="Y5" i="18"/>
  <c r="X5" i="18"/>
  <c r="W5" i="18"/>
  <c r="V5" i="18"/>
  <c r="U5" i="18"/>
  <c r="T5" i="18"/>
  <c r="S5" i="18"/>
  <c r="R5" i="18"/>
  <c r="Q5" i="18"/>
  <c r="P5" i="18"/>
  <c r="O5" i="18"/>
  <c r="N5" i="18"/>
  <c r="M5" i="18"/>
  <c r="L5" i="18"/>
  <c r="K5" i="18"/>
  <c r="J5" i="18"/>
  <c r="I5" i="18"/>
  <c r="H5" i="18"/>
  <c r="G5" i="18"/>
  <c r="F5" i="18"/>
  <c r="E5" i="18"/>
  <c r="D5" i="18"/>
  <c r="C5" i="18"/>
  <c r="B5" i="18"/>
  <c r="AG4" i="18"/>
  <c r="A1" i="18"/>
  <c r="AF5" i="17"/>
  <c r="AE5" i="17"/>
  <c r="AD5" i="17"/>
  <c r="AC5" i="17"/>
  <c r="AB5" i="17"/>
  <c r="AA5" i="17"/>
  <c r="Z5" i="17"/>
  <c r="Y5" i="17"/>
  <c r="X5" i="17"/>
  <c r="W5" i="17"/>
  <c r="V5" i="17"/>
  <c r="U5" i="17"/>
  <c r="T5" i="17"/>
  <c r="S5" i="17"/>
  <c r="R5" i="17"/>
  <c r="Q5" i="17"/>
  <c r="P5" i="17"/>
  <c r="O5" i="17"/>
  <c r="N5" i="17"/>
  <c r="M5" i="17"/>
  <c r="L5" i="17"/>
  <c r="K5" i="17"/>
  <c r="J5" i="17"/>
  <c r="I5" i="17"/>
  <c r="H5" i="17"/>
  <c r="G5" i="17"/>
  <c r="F5" i="17"/>
  <c r="E5" i="17"/>
  <c r="D5" i="17"/>
  <c r="C5" i="17"/>
  <c r="B5" i="17"/>
  <c r="AG4" i="17"/>
  <c r="A1" i="17"/>
  <c r="AD5" i="5"/>
  <c r="AC5" i="5"/>
  <c r="AB5" i="5"/>
  <c r="AA5" i="5"/>
  <c r="Z5" i="5"/>
  <c r="Y5" i="5"/>
  <c r="X5" i="5"/>
  <c r="W5" i="5"/>
  <c r="V5" i="5"/>
  <c r="U5" i="5"/>
  <c r="T5" i="5"/>
  <c r="S5" i="5"/>
  <c r="R5" i="5"/>
  <c r="Q5" i="5"/>
  <c r="P5" i="5"/>
  <c r="O5" i="5"/>
  <c r="N5" i="5"/>
  <c r="M5" i="5"/>
  <c r="L5" i="5"/>
  <c r="K5" i="5"/>
  <c r="J5" i="5"/>
  <c r="I5" i="5"/>
  <c r="H5" i="5"/>
  <c r="G5" i="5"/>
  <c r="F5" i="5"/>
  <c r="E5" i="5"/>
  <c r="D5" i="5"/>
  <c r="C5" i="5"/>
  <c r="B5" i="5"/>
  <c r="AF5" i="4"/>
  <c r="AE5" i="4"/>
  <c r="AD5" i="4"/>
  <c r="AC5" i="4"/>
  <c r="AB5" i="4"/>
  <c r="AA5" i="4"/>
  <c r="Z5" i="4"/>
  <c r="Y5" i="4"/>
  <c r="X5" i="4"/>
  <c r="W5" i="4"/>
  <c r="V5" i="4"/>
  <c r="U5" i="4"/>
  <c r="T5" i="4"/>
  <c r="S5" i="4"/>
  <c r="R5" i="4"/>
  <c r="Q5" i="4"/>
  <c r="P5" i="4"/>
  <c r="O5" i="4"/>
  <c r="N5" i="4"/>
  <c r="M5" i="4"/>
  <c r="L5" i="4"/>
  <c r="K5" i="4"/>
  <c r="J5" i="4"/>
  <c r="I5" i="4"/>
  <c r="H5" i="4"/>
  <c r="G5" i="4"/>
  <c r="F5" i="4"/>
  <c r="E5" i="4"/>
  <c r="D5" i="4"/>
  <c r="C5" i="4"/>
  <c r="B5" i="4"/>
  <c r="AF27" i="4" l="1"/>
  <c r="AG27" i="22"/>
  <c r="AG27" i="24"/>
  <c r="AG27" i="19"/>
  <c r="AG27" i="4"/>
  <c r="AG27" i="25"/>
  <c r="AG27" i="20"/>
  <c r="AG27" i="18"/>
  <c r="AG27" i="23"/>
  <c r="AG27" i="21"/>
  <c r="AG27" i="15"/>
  <c r="AG27" i="17"/>
  <c r="AG27" i="5"/>
</calcChain>
</file>

<file path=xl/sharedStrings.xml><?xml version="1.0" encoding="utf-8"?>
<sst xmlns="http://schemas.openxmlformats.org/spreadsheetml/2006/main" count="1226" uniqueCount="110">
  <si>
    <t>Clé de motif d’absence</t>
  </si>
  <si>
    <t>Janvier</t>
  </si>
  <si>
    <t>Nom de l’employé</t>
  </si>
  <si>
    <t>Employé 1</t>
  </si>
  <si>
    <t>Employé 2</t>
  </si>
  <si>
    <t>Employé 3</t>
  </si>
  <si>
    <t>Employé 4</t>
  </si>
  <si>
    <t>Employé 5</t>
  </si>
  <si>
    <t>1</t>
  </si>
  <si>
    <t>Congé</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</si>
  <si>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</si>
  <si>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</si>
  <si>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</si>
  <si>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</si>
  <si>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</si>
  <si>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</si>
  <si>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</si>
  <si>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</si>
  <si>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</si>
  <si>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</si>
  <si>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</si>
  <si>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</si>
  <si>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</si>
  <si>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</si>
  <si>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</si>
  <si>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</si>
  <si>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</si>
  <si>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</si>
  <si>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</si>
  <si>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</si>
  <si>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</si>
  <si>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</si>
  <si>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</si>
  <si>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</si>
  <si>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</si>
  <si>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</si>
  <si>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</si>
  <si>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</si>
  <si>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</si>
  <si>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</si>
  <si>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Entrez l’année :</t>
  </si>
  <si>
    <t>Février</t>
  </si>
  <si>
    <t xml:space="preserve"> </t>
  </si>
  <si>
    <t xml:space="preserve">  </t>
  </si>
  <si>
    <t>Mars</t>
  </si>
  <si>
    <t>Avril</t>
  </si>
  <si>
    <t>Mai</t>
  </si>
  <si>
    <t>Juin</t>
  </si>
  <si>
    <t>Juillet</t>
  </si>
  <si>
    <t>Août</t>
  </si>
  <si>
    <t>Septembre</t>
  </si>
  <si>
    <t>Octobre</t>
  </si>
  <si>
    <t>Novembre</t>
  </si>
  <si>
    <t>Décembre</t>
  </si>
  <si>
    <t>Noms des employés</t>
  </si>
  <si>
    <t>Employé 6</t>
  </si>
  <si>
    <t>Employé 7</t>
  </si>
  <si>
    <t>Employé 8</t>
  </si>
  <si>
    <t xml:space="preserve">CODE </t>
  </si>
  <si>
    <t>DETAIL DES HORAIRES</t>
  </si>
  <si>
    <t>FO</t>
  </si>
  <si>
    <t>Employé 9</t>
  </si>
  <si>
    <t>Employé 10</t>
  </si>
  <si>
    <t>Employé 11</t>
  </si>
  <si>
    <t>Code horaire</t>
  </si>
  <si>
    <t>Employé 12</t>
  </si>
  <si>
    <t>Employé 13</t>
  </si>
  <si>
    <t>Employé 14</t>
  </si>
  <si>
    <t>Employé 15</t>
  </si>
  <si>
    <t>SEMAINE 1</t>
  </si>
  <si>
    <t>SEMAINE 2</t>
  </si>
  <si>
    <t>SEMAINE 3</t>
  </si>
  <si>
    <t>SEMAINE 4</t>
  </si>
  <si>
    <t>Heures période</t>
  </si>
  <si>
    <t>LUN</t>
  </si>
  <si>
    <t>MAR.</t>
  </si>
  <si>
    <t>MER.</t>
  </si>
  <si>
    <t>JEU.</t>
  </si>
  <si>
    <t>VEN.</t>
  </si>
  <si>
    <t>SAM.</t>
  </si>
  <si>
    <t>DIM.</t>
  </si>
  <si>
    <t>LUN.</t>
  </si>
  <si>
    <t>CP</t>
  </si>
  <si>
    <t>Formation</t>
  </si>
  <si>
    <t>AM</t>
  </si>
  <si>
    <t>Arrêt Maladie</t>
  </si>
  <si>
    <t>ABS</t>
  </si>
  <si>
    <t>Absence non justifiée</t>
  </si>
  <si>
    <t xml:space="preserve">RH </t>
  </si>
  <si>
    <t>Repos hebdomadaire</t>
  </si>
  <si>
    <t>PLANNING MENSUEL</t>
  </si>
  <si>
    <t>Employé 16</t>
  </si>
  <si>
    <t>Employé 17</t>
  </si>
  <si>
    <t>Employé 18</t>
  </si>
  <si>
    <t>Employé 19</t>
  </si>
  <si>
    <t>Employé 20</t>
  </si>
  <si>
    <t>ASH 1a</t>
  </si>
  <si>
    <t>ASH 1b</t>
  </si>
  <si>
    <t>ASH 2a</t>
  </si>
  <si>
    <t>ASH 2b</t>
  </si>
  <si>
    <t>ASH 3</t>
  </si>
  <si>
    <t>ASH 4</t>
  </si>
  <si>
    <t>HEURES EFFECTIVES</t>
  </si>
  <si>
    <t>7h00 - 13h00 
 15h30 - 19h30</t>
  </si>
  <si>
    <t>7h30  - 13h00 
15h30 - 20h00</t>
  </si>
  <si>
    <t>9h00 - 12h00 
13h00 - 17h00</t>
  </si>
  <si>
    <t>Total employés dans la journée</t>
  </si>
  <si>
    <t>Total des Heures effectuées</t>
  </si>
  <si>
    <t>7h30 - 12h30 
13h00 - 15h30 
17h30 - 20h00</t>
  </si>
  <si>
    <t xml:space="preserve">Poste </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</si>
</sst>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2" formatCode="_-* #,##0\ &quot;€&quot;_-;\-* #,##0\ &quot;€&quot;_-;_-* &quot;-&quot;\ &quot;€&quot;_-;_-@_-"/>
    <numFmt numFmtId="44" formatCode="_-* #,##0.00\ &quot;€&quot;_-;\-* #,##0.00\ &quot;€&quot;_-;_-* &quot;-&quot;??\ &quot;€&quot;_-;_-@_-"/>
    <numFmt numFmtId="164" formatCode="_(* #,##0_);_(* \(#,##0\);_(* &quot;-&quot;_);_(@_)"/>
    <numFmt numFmtId="165" formatCode="_(* #,##0.00_);_(* \(#,##0.00\);_(* &quot;-&quot;??_);_(@_)"/>
    <numFmt numFmtId="166" formatCode="0;0;"/>
  </numFmts>
  <fonts count="23" x14ac:knownFonts="1">
    <font>
      <sz val="11"/>
      <color theme="1"/>
      <name val="Calibri"/>
      <family val="2"/>
      <scheme val="minor"/>
    </font>
    <font>
      <sz val="11"/>
      <color theme="1"/>
      <name val="Calibri"/>
      <family val="2"/>
      <scheme val="minor"/>
    </font>
    <font>
      <b/>
      <sz val="11"/>
      <color theme="1"/>
      <name val="Calibri"/>
      <family val="2"/>
      <scheme val="minor"/>
    </font>
    <font>
      <sz val="11"/>
      <color theme="0"/>
      <name val="Calibri"/>
      <family val="2"/>
      <scheme val="minor"/>
    </font>
    <font>
      <b/>
      <sz val="26"/>
      <color theme="3" tint="-0.24994659260841701"/>
      <name val="Calibri"/>
      <family val="2"/>
      <scheme val="major"/>
    </font>
    <font>
      <b/>
      <sz val="18"/>
      <color theme="4" tint="-0.24994659260841701"/>
      <name val="Calibri"/>
      <family val="2"/>
      <scheme val="minor"/>
    </font>
    <font>
      <b/>
      <sz val="26"/>
      <color theme="3"/>
      <name val="Calibri"/>
      <family val="2"/>
      <scheme val="minor"/>
    </font>
    <font>
      <sz val="11"/>
      <color theme="4" tint="-0.499984740745262"/>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sz val="9"/>
      <color theme="1"/>
      <name val="Calibri"/>
      <family val="2"/>
      <scheme val="minor"/>
    </font>
    <font>
      <b/>
      <sz val="9"/>
      <color theme="1"/>
      <name val="Calibri"/>
      <family val="2"/>
      <scheme val="minor"/>
    </font>
    <font>
      <b/>
      <sz val="20"/>
      <color theme="3"/>
      <name val="Calibri"/>
      <family val="2"/>
      <scheme val="minor"/>
    </font>
    <font>
      <sz val="9"/>
      <color theme="4" tint="-0.499984740745262"/>
      <name val="Calibri"/>
      <family val="2"/>
      <scheme val="minor"/>
    </font>
    <font>
      <b/>
      <sz val="20"/>
      <color theme="4" tint="-0.24994659260841701"/>
      <name val="Calibri"/>
      <family val="2"/>
      <scheme val="minor"/>
    </font>
  </fonts>
  <fills count="41">
    <fill>
      <patternFill patternType="none"/>
    </fill>
    <fill>
      <patternFill patternType="gray125"/>
    </fill>
    <fill>
      <patternFill patternType="solid">
        <fgColor theme="2"/>
        <bgColor indexed="64"/>
      </patternFill>
    </fill>
    <fill>
      <patternFill patternType="solid">
        <fgColor theme="7"/>
        <bgColor indexed="64"/>
      </patternFill>
    </fill>
    <fill>
      <patternFill patternType="solid">
        <fgColor theme="7" tint="0.79998168889431442"/>
        <bgColor indexed="65"/>
      </patternFill>
    </fill>
    <fill>
      <patternFill patternType="solid">
        <fgColor theme="7" tint="0.39997558519241921"/>
        <bgColor indexed="65"/>
      </patternFill>
    </fill>
    <fill>
      <patternFill patternType="solid">
        <fgColor theme="3" tint="0.79998168889431442"/>
        <bgColor indexed="64"/>
      </patternFill>
    </fill>
    <fill>
      <patternFill patternType="solid">
        <fgColor theme="3" tint="-0.24994659260841701"/>
        <bgColor indexed="64"/>
      </patternFill>
    </fill>
    <fill>
      <patternFill patternType="solid">
        <fgColor theme="3" tint="0.39994506668294322"/>
        <bgColor indexed="64"/>
      </patternFill>
    </fill>
    <fill>
      <patternFill patternType="solid">
        <fgColor theme="7" tint="0.59996337778862885"/>
        <bgColor indexed="64"/>
      </patternFill>
    </fill>
    <fill>
      <patternFill patternType="solid">
        <fgColor theme="5" tint="0.59999389629810485"/>
        <bgColor indexed="65"/>
      </patternFill>
    </fill>
    <fill>
      <patternFill patternType="solid">
        <fgColor theme="6"/>
      </patternFill>
    </fill>
    <fill>
      <patternFill patternType="solid">
        <fgColor theme="6" tint="0.59999389629810485"/>
        <bgColor indexed="65"/>
      </patternFill>
    </fill>
    <fill>
      <patternFill patternType="solid">
        <fgColor theme="6" tint="0.39997558519241921"/>
        <bgColor indexed="65"/>
      </patternFill>
    </fill>
    <fill>
      <patternFill patternType="solid">
        <fgColor theme="8" tint="0.59999389629810485"/>
        <bgColor indexed="65"/>
      </patternFill>
    </fill>
    <fill>
      <patternFill patternType="solid">
        <fgColor theme="4" tint="0.39994506668294322"/>
        <bgColor indexed="64"/>
      </patternFill>
    </fill>
    <fill>
      <patternFill patternType="solid">
        <fgColor theme="4" tint="0.59996337778862885"/>
        <bgColor indexed="64"/>
      </patternFill>
    </fill>
    <fill>
      <patternFill patternType="solid">
        <fgColor theme="4" tint="0.79998168889431442"/>
        <bgColor indexed="64"/>
      </patternFill>
    </fill>
    <fill>
      <patternFill patternType="solid">
        <fgColor rgb="FFF8E3E0"/>
        <bgColor indexed="64"/>
      </patternFill>
    </fill>
    <fill>
      <patternFill patternType="solid">
        <fgColor theme="5" tint="0.39994506668294322"/>
        <bgColor indexed="64"/>
      </patternFill>
    </fill>
    <fill>
      <patternFill patternType="solid">
        <fgColor theme="6" tint="0.59996337778862885"/>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5" tint="0.79998168889431442"/>
        <bgColor indexed="65"/>
      </patternFill>
    </fill>
    <fill>
      <patternFill patternType="solid">
        <fgColor theme="5"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39997558519241921"/>
        <bgColor indexed="65"/>
      </patternFill>
    </fill>
    <fill>
      <patternFill patternType="solid">
        <fgColor rgb="FFFFFF00"/>
        <bgColor indexed="64"/>
      </patternFill>
    </fill>
    <fill>
      <patternFill patternType="solid">
        <fgColor rgb="FFFF0000"/>
        <bgColor indexed="64"/>
      </patternFill>
    </fill>
    <fill>
      <patternFill patternType="solid">
        <fgColor theme="8" tint="0.59999389629810485"/>
        <bgColor indexed="64"/>
      </patternFill>
    </fill>
    <fill>
      <patternFill patternType="solid">
        <fgColor theme="6" tint="0.79998168889431442"/>
        <bgColor indexed="64"/>
      </patternFill>
    </fill>
    <fill>
      <patternFill patternType="solid">
        <fgColor rgb="FF92D050"/>
        <bgColor indexed="64"/>
      </patternFill>
    </fill>
    <fill>
      <patternFill patternType="solid">
        <fgColor rgb="FFF1F2E8"/>
        <bgColor indexed="64"/>
      </patternFill>
    </fill>
    <fill>
      <patternFill patternType="solid">
        <fgColor rgb="FFB9C2DF"/>
        <bgColor indexed="64"/>
      </patternFill>
    </fill>
    <fill>
      <patternFill patternType="solid">
        <fgColor rgb="FFDBDEC4"/>
        <bgColor indexed="64"/>
      </patternFill>
    </fill>
  </fills>
  <borders count="15">
    <border>
      <left/>
      <right/>
      <top/>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medium">
        <color indexed="64"/>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s>
  <cellStyleXfs count="49">
    <xf numFmtId="0" fontId="0" fillId="0" borderId="0">
      <alignment horizontal="left" vertical="center"/>
    </xf>
    <xf numFmtId="0" fontId="6" fillId="0" borderId="0" applyNumberFormat="0" applyFill="0" applyBorder="0" applyProtection="0">
      <alignment vertical="top"/>
    </xf>
    <xf numFmtId="0" fontId="4" fillId="0" borderId="0" applyNumberFormat="0" applyFill="0" applyBorder="0" applyProtection="0">
      <alignment vertical="top"/>
    </xf>
    <xf numFmtId="0" fontId="5" fillId="2" borderId="0" applyNumberFormat="0" applyBorder="0" applyProtection="0">
      <alignment horizontal="center" vertical="center"/>
    </xf>
    <xf numFmtId="0" fontId="2" fillId="20" borderId="0" applyNumberFormat="0" applyProtection="0">
      <alignment horizontal="right" vertical="center" indent="1"/>
    </xf>
    <xf numFmtId="0" fontId="1" fillId="0" borderId="0" applyNumberFormat="0" applyFill="0" applyBorder="0" applyProtection="0">
      <alignment horizontal="left" vertical="center" indent="2"/>
    </xf>
    <xf numFmtId="0" fontId="3" fillId="3" borderId="0" applyNumberFormat="0" applyBorder="0" applyAlignment="0" applyProtection="0"/>
    <xf numFmtId="0" fontId="1" fillId="4" borderId="0" applyNumberFormat="0" applyBorder="0" applyProtection="0">
      <alignment horizontal="center" vertical="center"/>
    </xf>
    <xf numFmtId="0" fontId="2" fillId="9" borderId="0" applyNumberFormat="0" applyBorder="0" applyAlignment="0" applyProtection="0"/>
    <xf numFmtId="0" fontId="1" fillId="5" borderId="0" applyNumberFormat="0" applyBorder="0" applyAlignment="0" applyProtection="0"/>
    <xf numFmtId="0" fontId="3" fillId="7" borderId="0" applyNumberFormat="0" applyBorder="0" applyAlignment="0" applyProtection="0"/>
    <xf numFmtId="0" fontId="1" fillId="6" borderId="0" applyNumberFormat="0" applyBorder="0" applyAlignment="0" applyProtection="0"/>
    <xf numFmtId="0" fontId="2" fillId="15" borderId="0" applyNumberFormat="0" applyBorder="0" applyAlignment="0" applyProtection="0"/>
    <xf numFmtId="0" fontId="1" fillId="8" borderId="0" applyNumberFormat="0" applyBorder="0" applyAlignment="0" applyProtection="0"/>
    <xf numFmtId="0" fontId="3" fillId="15" borderId="0" applyNumberFormat="0" applyBorder="0" applyAlignment="0" applyProtection="0"/>
    <xf numFmtId="0" fontId="1" fillId="18" borderId="0" applyNumberFormat="0" applyBorder="0" applyAlignment="0" applyProtection="0"/>
    <xf numFmtId="0" fontId="2" fillId="17" borderId="0" applyNumberFormat="0" applyBorder="0" applyAlignment="0" applyProtection="0"/>
    <xf numFmtId="0" fontId="3" fillId="16" borderId="0" applyNumberFormat="0" applyBorder="0" applyAlignment="0" applyProtection="0"/>
    <xf numFmtId="0" fontId="3" fillId="19" borderId="0" applyNumberFormat="0" applyBorder="0" applyAlignment="0" applyProtection="0"/>
    <xf numFmtId="0" fontId="2" fillId="10" borderId="0" applyNumberFormat="0" applyBorder="0" applyAlignment="0" applyProtection="0"/>
    <xf numFmtId="0" fontId="3" fillId="11" borderId="0" applyNumberFormat="0" applyBorder="0" applyAlignment="0" applyProtection="0"/>
    <xf numFmtId="0" fontId="1" fillId="2" borderId="0" applyNumberFormat="0" applyBorder="0" applyAlignment="0" applyProtection="0"/>
    <xf numFmtId="0" fontId="2" fillId="12" borderId="0" applyNumberFormat="0" applyBorder="0" applyProtection="0">
      <alignment horizontal="left" vertical="center" indent="1"/>
    </xf>
    <xf numFmtId="0" fontId="2" fillId="13" borderId="0" applyNumberFormat="0" applyBorder="0" applyAlignment="0" applyProtection="0"/>
    <xf numFmtId="0" fontId="2" fillId="14" borderId="0" applyNumberFormat="0" applyBorder="0" applyAlignment="0" applyProtection="0"/>
    <xf numFmtId="1" fontId="1" fillId="0" borderId="0" applyFill="0" applyBorder="0" applyProtection="0">
      <alignment horizontal="center" vertical="center"/>
    </xf>
    <xf numFmtId="0" fontId="1" fillId="0" borderId="0" applyNumberFormat="0" applyFill="0" applyBorder="0">
      <alignment horizontal="left" vertical="center" wrapText="1" indent="2"/>
    </xf>
    <xf numFmtId="0" fontId="7" fillId="0" borderId="0">
      <alignment horizontal="center"/>
    </xf>
    <xf numFmtId="165" fontId="1" fillId="0" borderId="0" applyFont="0" applyFill="0" applyBorder="0" applyAlignment="0" applyProtection="0"/>
    <xf numFmtId="164"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8" fillId="21" borderId="0" applyNumberFormat="0" applyBorder="0" applyAlignment="0" applyProtection="0"/>
    <xf numFmtId="0" fontId="9" fillId="22" borderId="0" applyNumberFormat="0" applyBorder="0" applyAlignment="0" applyProtection="0"/>
    <xf numFmtId="0" fontId="10" fillId="23" borderId="0" applyNumberFormat="0" applyBorder="0" applyAlignment="0" applyProtection="0"/>
    <xf numFmtId="0" fontId="11" fillId="24" borderId="1" applyNumberFormat="0" applyAlignment="0" applyProtection="0"/>
    <xf numFmtId="0" fontId="12" fillId="25" borderId="2" applyNumberFormat="0" applyAlignment="0" applyProtection="0"/>
    <xf numFmtId="0" fontId="13" fillId="25" borderId="1" applyNumberFormat="0" applyAlignment="0" applyProtection="0"/>
    <xf numFmtId="0" fontId="14" fillId="0" borderId="3" applyNumberFormat="0" applyFill="0" applyAlignment="0" applyProtection="0"/>
    <xf numFmtId="0" fontId="15" fillId="26" borderId="4" applyNumberFormat="0" applyAlignment="0" applyProtection="0"/>
    <xf numFmtId="0" fontId="16" fillId="0" borderId="0" applyNumberFormat="0" applyFill="0" applyBorder="0" applyAlignment="0" applyProtection="0"/>
    <xf numFmtId="0" fontId="1" fillId="27" borderId="5" applyNumberFormat="0" applyFont="0" applyAlignment="0" applyProtection="0"/>
    <xf numFmtId="0" fontId="17" fillId="0" borderId="0" applyNumberFormat="0" applyFill="0" applyBorder="0" applyAlignment="0" applyProtection="0"/>
    <xf numFmtId="0" fontId="1" fillId="28" borderId="0" applyNumberFormat="0" applyBorder="0" applyAlignment="0" applyProtection="0"/>
    <xf numFmtId="0" fontId="1" fillId="29" borderId="0" applyNumberFormat="0" applyBorder="0" applyAlignment="0" applyProtection="0"/>
    <xf numFmtId="0" fontId="3"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60">
    <xf numFmtId="0" fontId="0" fillId="0" borderId="0" xfId="0">
      <alignment horizontal="left" vertical="center"/>
    </xf>
    <xf numFmtId="0" fontId="18" fillId="0" borderId="11" xfId="0" applyFont="1" applyBorder="1" applyAlignment="1">
      <alignment horizontal="center" vertical="center" wrapText="1"/>
    </xf>
    <xf numFmtId="0" fontId="18" fillId="0" borderId="6" xfId="0" applyFont="1" applyBorder="1" applyAlignment="1">
      <alignment horizontal="center" vertical="center" wrapText="1"/>
    </xf>
    <xf numFmtId="0" fontId="18" fillId="38" borderId="6" xfId="0" applyFont="1" applyFill="1" applyBorder="1" applyAlignment="1">
      <alignment horizontal="center" vertical="center" wrapText="1"/>
    </xf>
    <xf numFmtId="0" fontId="18" fillId="0" borderId="0" xfId="0" applyFont="1" applyProtection="1">
      <alignment horizontal="left" vertical="center"/>
    </xf>
    <xf numFmtId="0" fontId="18" fillId="0" borderId="0" xfId="0" applyFont="1" applyAlignment="1">
      <alignment horizontal="center" vertical="center" wrapText="1"/>
    </xf>
    <xf numFmtId="0" fontId="19" fillId="0" borderId="6" xfId="26" applyFont="1" applyFill="1" applyBorder="1" applyAlignment="1">
      <alignment horizontal="center" vertical="center" wrapText="1"/>
    </xf>
    <xf numFmtId="0" fontId="19" fillId="20" borderId="6" xfId="4" applyFont="1" applyBorder="1" applyProtection="1">
      <alignment horizontal="right" vertical="center" indent="1"/>
    </xf>
    <xf numFmtId="166" fontId="19" fillId="39" borderId="6" xfId="24" applyNumberFormat="1" applyFont="1" applyFill="1" applyBorder="1" applyAlignment="1" applyProtection="1">
      <alignment horizontal="center" vertical="center"/>
    </xf>
    <xf numFmtId="0" fontId="19" fillId="33" borderId="6" xfId="12" applyFont="1" applyFill="1" applyBorder="1" applyAlignment="1" applyProtection="1">
      <alignment horizontal="center" vertical="center"/>
    </xf>
    <xf numFmtId="166" fontId="19" fillId="37" borderId="6" xfId="8" applyNumberFormat="1" applyFont="1" applyFill="1" applyBorder="1" applyAlignment="1" applyProtection="1">
      <alignment horizontal="center" vertical="center"/>
    </xf>
    <xf numFmtId="0" fontId="19" fillId="10" borderId="6" xfId="19" applyFont="1" applyBorder="1" applyAlignment="1" applyProtection="1">
      <alignment horizontal="center" vertical="center"/>
    </xf>
    <xf numFmtId="0" fontId="19" fillId="34" borderId="6" xfId="23" applyFont="1" applyFill="1" applyBorder="1" applyAlignment="1" applyProtection="1">
      <alignment horizontal="center" vertical="center"/>
    </xf>
    <xf numFmtId="0" fontId="18" fillId="0" borderId="0" xfId="0" applyFont="1">
      <alignment horizontal="left" vertical="center"/>
    </xf>
    <xf numFmtId="0" fontId="19" fillId="38" borderId="6" xfId="0" applyFont="1" applyFill="1" applyBorder="1" applyAlignment="1">
      <alignment horizontal="left" vertical="center"/>
    </xf>
    <xf numFmtId="0" fontId="18" fillId="0" borderId="10" xfId="0" applyFont="1" applyBorder="1" applyAlignment="1">
      <alignment horizontal="center" vertical="center" wrapText="1"/>
    </xf>
    <xf numFmtId="14" fontId="18" fillId="0" borderId="10" xfId="0" applyNumberFormat="1" applyFont="1" applyBorder="1" applyAlignment="1">
      <alignment horizontal="center" vertical="center" wrapText="1"/>
    </xf>
    <xf numFmtId="14" fontId="18" fillId="38" borderId="10" xfId="0" applyNumberFormat="1" applyFont="1" applyFill="1" applyBorder="1" applyAlignment="1">
      <alignment horizontal="center" vertical="center" wrapText="1"/>
    </xf>
    <xf numFmtId="2" fontId="18" fillId="0" borderId="6" xfId="0" applyNumberFormat="1" applyFont="1" applyBorder="1" applyAlignment="1">
      <alignment horizontal="center" vertical="center" wrapText="1"/>
    </xf>
    <xf numFmtId="0" fontId="19" fillId="0" borderId="6" xfId="0" applyFont="1" applyBorder="1" applyAlignment="1">
      <alignment horizontal="left" vertical="center"/>
    </xf>
    <xf numFmtId="0" fontId="19" fillId="0" borderId="6" xfId="26" applyFont="1" applyBorder="1" applyAlignment="1">
      <alignment horizontal="left" vertical="center" wrapText="1"/>
    </xf>
    <xf numFmtId="0" fontId="19" fillId="2" borderId="6" xfId="0" applyFont="1" applyFill="1" applyBorder="1" applyAlignment="1">
      <alignment horizontal="center" vertical="center"/>
    </xf>
    <xf numFmtId="0" fontId="19" fillId="2" borderId="6" xfId="0" applyFont="1" applyFill="1" applyBorder="1" applyAlignment="1">
      <alignment horizontal="center" vertical="center" wrapText="1"/>
    </xf>
    <xf numFmtId="2" fontId="19" fillId="2" borderId="6" xfId="0" applyNumberFormat="1" applyFont="1" applyFill="1" applyBorder="1" applyAlignment="1">
      <alignment horizontal="center" vertical="center" wrapText="1"/>
    </xf>
    <xf numFmtId="2" fontId="19" fillId="0" borderId="6" xfId="26" applyNumberFormat="1" applyFont="1" applyFill="1" applyBorder="1" applyAlignment="1">
      <alignment horizontal="center" vertical="center" wrapText="1"/>
    </xf>
    <xf numFmtId="0" fontId="19" fillId="0" borderId="0" xfId="0" applyFont="1" applyAlignment="1">
      <alignment horizontal="left" vertical="center"/>
    </xf>
    <xf numFmtId="0" fontId="19" fillId="0" borderId="0" xfId="0" applyFont="1" applyAlignment="1">
      <alignment horizontal="center" vertical="center"/>
    </xf>
    <xf numFmtId="2" fontId="19" fillId="0" borderId="0" xfId="0" applyNumberFormat="1" applyFont="1" applyAlignment="1">
      <alignment horizontal="center" vertical="center"/>
    </xf>
    <xf numFmtId="0" fontId="20" fillId="0" borderId="0" xfId="1" applyFont="1" applyAlignment="1">
      <alignment vertical="center"/>
    </xf>
    <xf numFmtId="0" fontId="18" fillId="0" borderId="0" xfId="0" applyFont="1" applyAlignment="1">
      <alignment horizontal="left" vertical="center"/>
    </xf>
    <xf numFmtId="0" fontId="18" fillId="0" borderId="0" xfId="0" applyFont="1" applyAlignment="1" applyProtection="1">
      <alignment horizontal="left" vertical="center"/>
    </xf>
    <xf numFmtId="0" fontId="21" fillId="0" borderId="0" xfId="27" applyFont="1" applyAlignment="1" applyProtection="1">
      <alignment horizontal="center" vertical="center"/>
    </xf>
    <xf numFmtId="0" fontId="18" fillId="0" borderId="6" xfId="0" applyFont="1" applyBorder="1" applyAlignment="1" applyProtection="1">
      <alignment horizontal="center" vertical="center"/>
    </xf>
    <xf numFmtId="0" fontId="18" fillId="2" borderId="13" xfId="21" applyFont="1" applyBorder="1" applyAlignment="1" applyProtection="1">
      <alignment horizontal="left" vertical="center"/>
    </xf>
    <xf numFmtId="0" fontId="18" fillId="0" borderId="6" xfId="0" applyFont="1" applyFill="1" applyBorder="1" applyAlignment="1" applyProtection="1">
      <alignment horizontal="center" vertical="center"/>
    </xf>
    <xf numFmtId="0" fontId="18" fillId="0" borderId="6" xfId="21" applyFont="1" applyFill="1" applyBorder="1" applyAlignment="1" applyProtection="1">
      <alignment horizontal="center" vertical="center" wrapText="1"/>
    </xf>
    <xf numFmtId="0" fontId="18" fillId="0" borderId="6" xfId="26" applyFont="1" applyFill="1" applyBorder="1" applyAlignment="1">
      <alignment horizontal="left" vertical="center" wrapText="1"/>
    </xf>
    <xf numFmtId="0" fontId="18" fillId="0" borderId="6" xfId="0" applyFont="1" applyBorder="1" applyAlignment="1" applyProtection="1">
      <alignment horizontal="left" vertical="center"/>
    </xf>
    <xf numFmtId="0" fontId="18" fillId="36" borderId="6" xfId="0" applyFont="1" applyFill="1" applyBorder="1" applyAlignment="1">
      <alignment horizontal="center" vertical="center" wrapText="1"/>
    </xf>
    <xf numFmtId="1" fontId="18" fillId="0" borderId="6" xfId="25" applyNumberFormat="1" applyFont="1" applyFill="1" applyBorder="1" applyAlignment="1">
      <alignment horizontal="center" vertical="center" wrapText="1"/>
    </xf>
    <xf numFmtId="166" fontId="18" fillId="36" borderId="6" xfId="0" applyNumberFormat="1" applyFont="1" applyFill="1" applyBorder="1" applyAlignment="1">
      <alignment horizontal="center" vertical="center"/>
    </xf>
    <xf numFmtId="0" fontId="19" fillId="20" borderId="6" xfId="4" applyFont="1" applyBorder="1" applyAlignment="1" applyProtection="1">
      <alignment horizontal="center" vertical="center"/>
    </xf>
    <xf numFmtId="0" fontId="19" fillId="35" borderId="6" xfId="12" applyFont="1" applyFill="1" applyBorder="1" applyAlignment="1" applyProtection="1">
      <alignment horizontal="center" vertical="center"/>
    </xf>
    <xf numFmtId="0" fontId="19" fillId="13" borderId="6" xfId="23" applyFont="1" applyBorder="1" applyAlignment="1" applyProtection="1">
      <alignment horizontal="center" vertical="center"/>
    </xf>
    <xf numFmtId="166" fontId="19" fillId="34" borderId="6" xfId="8" applyNumberFormat="1" applyFont="1" applyFill="1" applyBorder="1" applyAlignment="1" applyProtection="1">
      <alignment horizontal="center" vertical="center"/>
    </xf>
    <xf numFmtId="0" fontId="18" fillId="2" borderId="14" xfId="21" applyFont="1" applyBorder="1" applyAlignment="1" applyProtection="1">
      <alignment horizontal="left" vertical="center"/>
    </xf>
    <xf numFmtId="0" fontId="18" fillId="0" borderId="12" xfId="0" applyFont="1" applyFill="1" applyBorder="1" applyAlignment="1" applyProtection="1">
      <alignment horizontal="center" vertical="center"/>
    </xf>
    <xf numFmtId="0" fontId="18" fillId="0" borderId="11" xfId="0" applyFont="1" applyBorder="1" applyAlignment="1" applyProtection="1">
      <alignment horizontal="center" vertical="center"/>
    </xf>
    <xf numFmtId="0" fontId="18" fillId="0" borderId="0" xfId="0" applyFont="1" applyBorder="1" applyAlignment="1" applyProtection="1">
      <alignment horizontal="left" vertical="center"/>
    </xf>
    <xf numFmtId="0" fontId="18" fillId="0" borderId="0" xfId="0" applyFont="1" applyBorder="1" applyAlignment="1">
      <alignment horizontal="left" vertical="center"/>
    </xf>
    <xf numFmtId="0" fontId="20" fillId="0" borderId="14" xfId="1" applyFont="1" applyBorder="1" applyAlignment="1">
      <alignment horizontal="center" vertical="center"/>
    </xf>
    <xf numFmtId="0" fontId="18" fillId="38" borderId="7" xfId="0" applyFont="1" applyFill="1" applyBorder="1" applyAlignment="1">
      <alignment horizontal="center" vertical="center" wrapText="1"/>
    </xf>
    <xf numFmtId="0" fontId="18" fillId="38" borderId="8" xfId="0" applyFont="1" applyFill="1" applyBorder="1" applyAlignment="1">
      <alignment horizontal="center" vertical="center" wrapText="1"/>
    </xf>
    <xf numFmtId="0" fontId="18" fillId="38" borderId="9" xfId="0" applyFont="1" applyFill="1" applyBorder="1" applyAlignment="1">
      <alignment horizontal="center" vertical="center" wrapText="1"/>
    </xf>
    <xf numFmtId="0" fontId="18" fillId="40" borderId="7" xfId="0" applyFont="1" applyFill="1" applyBorder="1" applyAlignment="1">
      <alignment horizontal="center" vertical="center" wrapText="1"/>
    </xf>
    <xf numFmtId="0" fontId="18" fillId="40" borderId="8" xfId="0" applyFont="1" applyFill="1" applyBorder="1" applyAlignment="1">
      <alignment horizontal="center" vertical="center" wrapText="1"/>
    </xf>
    <xf numFmtId="0" fontId="18" fillId="40" borderId="9" xfId="0" applyFont="1" applyFill="1" applyBorder="1" applyAlignment="1">
      <alignment horizontal="center" vertical="center" wrapText="1"/>
    </xf>
    <xf numFmtId="0" fontId="18" fillId="2" borderId="6" xfId="21" applyFont="1" applyBorder="1" applyAlignment="1" applyProtection="1">
      <alignment horizontal="left" vertical="center"/>
    </xf>
    <xf numFmtId="0" fontId="20" fillId="0" borderId="0" xfId="1" applyFont="1" applyAlignment="1" applyProtection="1">
      <alignment horizontal="center" vertical="center"/>
    </xf>
    <xf numFmtId="0" fontId="22" fillId="2" borderId="6" xfId="3" applyFont="1" applyBorder="1" applyAlignment="1" applyProtection="1">
      <alignment horizontal="center" vertical="center"/>
    </xf>
  </cellXfs>
  <cellStyles count="49">
    <cellStyle name="20 % - Accent1" xfId="15" builtinId="30" customBuiltin="1"/>
    <cellStyle name="20 % - Accent2" xfId="44" builtinId="34" customBuiltin="1"/>
    <cellStyle name="20 % - Accent3" xfId="21" builtinId="38" customBuiltin="1"/>
    <cellStyle name="20 % - Accent4" xfId="7" builtinId="42" customBuiltin="1"/>
    <cellStyle name="20 % - Accent5" xfId="47" builtinId="46" customBuiltin="1"/>
    <cellStyle name="20 % - Accent6" xfId="11" builtinId="50" customBuiltin="1"/>
    <cellStyle name="40 % - Accent1" xfId="16" builtinId="31" customBuiltin="1"/>
    <cellStyle name="40 % - Accent2" xfId="19" builtinId="35" customBuiltin="1"/>
    <cellStyle name="40 % - Accent3" xfId="22" builtinId="39" customBuiltin="1"/>
    <cellStyle name="40 % - Accent4" xfId="8" builtinId="43" customBuiltin="1"/>
    <cellStyle name="40 % - Accent5" xfId="24" builtinId="47" customBuiltin="1"/>
    <cellStyle name="40 % - Accent6" xfId="12" builtinId="51" customBuiltin="1"/>
    <cellStyle name="60 % - Accent1" xfId="17" builtinId="32" customBuiltin="1"/>
    <cellStyle name="60 % - Accent2" xfId="45" builtinId="36" customBuiltin="1"/>
    <cellStyle name="60 % - Accent3" xfId="23" builtinId="40" customBuiltin="1"/>
    <cellStyle name="60 % - Accent4" xfId="9" builtinId="44" customBuiltin="1"/>
    <cellStyle name="60 % - Accent5" xfId="48" builtinId="48" customBuiltin="1"/>
    <cellStyle name="60 % - Accent6" xfId="13" builtinId="52" customBuiltin="1"/>
    <cellStyle name="Accent1" xfId="14" builtinId="29" customBuiltin="1"/>
    <cellStyle name="Accent2" xfId="18" builtinId="33" customBuiltin="1"/>
    <cellStyle name="Accent3" xfId="20" builtinId="37" customBuiltin="1"/>
    <cellStyle name="Accent4" xfId="6" builtinId="41" customBuiltin="1"/>
    <cellStyle name="Accent5" xfId="46" builtinId="45" customBuiltin="1"/>
    <cellStyle name="Accent6" xfId="10" builtinId="49" customBuiltin="1"/>
    <cellStyle name="Avertissement" xfId="41" builtinId="11" customBuiltin="1"/>
    <cellStyle name="Calcul" xfId="38" builtinId="22" customBuiltin="1"/>
    <cellStyle name="Cellule liée" xfId="39" builtinId="24" customBuiltin="1"/>
    <cellStyle name="Commentaire" xfId="42" builtinId="10" customBuiltin="1"/>
    <cellStyle name="Employé" xfId="26"/>
    <cellStyle name="Entrée" xfId="36" builtinId="20" customBuiltin="1"/>
    <cellStyle name="Étiquette" xfId="27"/>
    <cellStyle name="Insatisfaisant" xfId="34" builtinId="27" customBuiltin="1"/>
    <cellStyle name="Milliers" xfId="28" builtinId="3" customBuiltin="1"/>
    <cellStyle name="Milliers [0]" xfId="29" builtinId="6" customBuiltin="1"/>
    <cellStyle name="Monétaire" xfId="30" builtinId="4" customBuiltin="1"/>
    <cellStyle name="Monétaire [0]" xfId="31" builtinId="7" customBuiltin="1"/>
    <cellStyle name="Neutre" xfId="35" builtinId="28" customBuiltin="1"/>
    <cellStyle name="Normal" xfId="0" builtinId="0" customBuiltin="1"/>
    <cellStyle name="Pourcentage" xfId="32" builtinId="5" customBuiltin="1"/>
    <cellStyle name="Satisfaisant" xfId="33" builtinId="26" customBuiltin="1"/>
    <cellStyle name="Sortie" xfId="37" builtinId="21" customBuiltin="1"/>
    <cellStyle name="Texte explicatif" xfId="43" builtinId="53" customBuiltin="1"/>
    <cellStyle name="Titre" xfId="1" builtinId="15" customBuiltin="1"/>
    <cellStyle name="Titre 1" xfId="2" builtinId="16" customBuiltin="1"/>
    <cellStyle name="Titre 2" xfId="3" builtinId="17" customBuiltin="1"/>
    <cellStyle name="Titre 3" xfId="4" builtinId="18" customBuiltin="1"/>
    <cellStyle name="Titre 4" xfId="5" builtinId="19" customBuiltin="1"/>
    <cellStyle name="Total" xfId="25" builtinId="25" customBuiltin="1"/>
    <cellStyle name="Vérification" xfId="40" builtinId="23" customBuiltin="1"/>
  </cellStyles>
  <dxfs count="917">
    <dxf>
      <font>
        <b/>
        <i val="0"/>
      </font>
      <fill>
        <patternFill patternType="solid">
          <fgColor rgb="FFB9C2DF"/>
          <bgColor theme="8" tint="0.59996337778862885"/>
        </patternFill>
      </fill>
    </dxf>
    <dxf>
      <font>
        <b/>
        <i val="0"/>
      </font>
      <fill>
        <patternFill>
          <bgColor rgb="FFFFFF00"/>
        </patternFill>
      </fill>
    </dxf>
    <dxf>
      <font>
        <b/>
        <i val="0"/>
      </font>
      <fill>
        <patternFill>
          <bgColor rgb="FF92D050"/>
        </patternFill>
      </fill>
    </dxf>
    <dxf>
      <font>
        <b/>
        <i val="0"/>
      </font>
      <fill>
        <patternFill>
          <fgColor theme="5" tint="0.59996337778862885"/>
          <bgColor theme="5" tint="0.59996337778862885"/>
        </patternFill>
      </fill>
    </dxf>
    <dxf>
      <font>
        <b/>
        <i val="0"/>
      </font>
      <fill>
        <patternFill>
          <bgColor rgb="FFFF0000"/>
        </patternFill>
      </fill>
    </dxf>
    <dxf>
      <font>
        <b/>
        <i val="0"/>
      </font>
      <fill>
        <patternFill patternType="solid">
          <fgColor rgb="FFB9C2DF"/>
          <bgColor theme="8" tint="0.59996337778862885"/>
        </patternFill>
      </fill>
    </dxf>
    <dxf>
      <font>
        <b/>
        <i val="0"/>
      </font>
      <fill>
        <patternFill>
          <bgColor rgb="FFFFFF00"/>
        </patternFill>
      </fill>
    </dxf>
    <dxf>
      <font>
        <b/>
        <i val="0"/>
      </font>
      <fill>
        <patternFill>
          <bgColor rgb="FF92D050"/>
        </patternFill>
      </fill>
    </dxf>
    <dxf>
      <font>
        <b/>
        <i val="0"/>
      </font>
      <fill>
        <patternFill>
          <fgColor theme="5" tint="0.59996337778862885"/>
          <bgColor theme="5" tint="0.59996337778862885"/>
        </patternFill>
      </fill>
    </dxf>
    <dxf>
      <font>
        <b/>
        <i val="0"/>
      </font>
      <fill>
        <patternFill>
          <bgColor rgb="FFFF0000"/>
        </patternFill>
      </fill>
    </dxf>
    <dxf>
      <font>
        <b val="0"/>
        <i val="0"/>
        <strike val="0"/>
        <condense val="0"/>
        <extend val="0"/>
        <outline val="0"/>
        <shadow val="0"/>
        <u val="none"/>
        <vertAlign val="baseline"/>
        <sz val="9"/>
        <color theme="1"/>
        <name val="Calibri"/>
        <scheme val="minor"/>
      </font>
      <numFmt numFmtId="2" formatCode="0.00"/>
      <alignment horizontal="center" vertical="center" textRotation="0" wrapText="1" indent="0" justifyLastLine="0" shrinkToFit="0" readingOrder="0"/>
      <border diagonalUp="0" diagonalDown="0" outline="0">
        <left style="thin">
          <color indexed="64"/>
        </left>
        <right/>
        <top style="thin">
          <color indexed="64"/>
        </top>
        <bottom/>
      </border>
    </dxf>
    <dxf>
      <font>
        <sz val="9"/>
      </font>
      <numFmt numFmtId="2" formatCode="0.00"/>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left" vertical="center" textRotation="0" wrapText="1" indent="0" justifyLastLine="0" shrinkToFit="0" readingOrder="0"/>
      <border diagonalUp="0" diagonalDown="0" outline="0">
        <left/>
        <right style="thin">
          <color indexed="64"/>
        </right>
        <top style="thin">
          <color indexed="64"/>
        </top>
        <bottom/>
      </border>
      <protection locked="1" hidden="0"/>
    </dxf>
    <dxf>
      <font>
        <sz val="9"/>
      </font>
      <numFmt numFmtId="0" formatCode="General"/>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border outline="0">
        <top style="thin">
          <color indexed="64"/>
        </top>
      </border>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1" hidden="0"/>
    </dxf>
    <dxf>
      <font>
        <sz val="9"/>
      </font>
      <fill>
        <patternFill patternType="none">
          <fgColor indexed="64"/>
          <bgColor indexed="65"/>
        </patternFill>
      </fill>
      <alignment horizontal="left" vertical="center" textRotation="0" wrapText="0" indent="0" justifyLastLine="0" shrinkToFit="0" readingOrder="0"/>
      <protection locked="1" hidden="0"/>
    </dxf>
    <dxf>
      <border outline="0">
        <bottom style="thin">
          <color indexed="64"/>
        </bottom>
      </border>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1" hidden="0"/>
    </dxf>
    <dxf>
      <font>
        <b/>
        <i val="0"/>
      </font>
      <fill>
        <patternFill>
          <bgColor theme="8" tint="0.59996337778862885"/>
        </patternFill>
      </fill>
    </dxf>
    <dxf>
      <font>
        <b/>
        <i val="0"/>
      </font>
      <fill>
        <patternFill>
          <bgColor rgb="FFFFFF00"/>
        </patternFill>
      </fill>
    </dxf>
    <dxf>
      <font>
        <b/>
        <i val="0"/>
      </font>
      <fill>
        <patternFill>
          <bgColor theme="6" tint="0.39994506668294322"/>
        </patternFill>
      </fill>
    </dxf>
    <dxf>
      <font>
        <b/>
        <i val="0"/>
      </font>
      <fill>
        <patternFill>
          <bgColor theme="5" tint="0.59996337778862885"/>
        </patternFill>
      </fill>
    </dxf>
    <dxf>
      <font>
        <b/>
        <i val="0"/>
      </font>
      <fill>
        <patternFill>
          <bgColor rgb="FFFF0000"/>
        </patternFill>
      </fill>
    </dxf>
    <dxf>
      <font>
        <b val="0"/>
        <i val="0"/>
        <strike val="0"/>
        <condense val="0"/>
        <extend val="0"/>
        <outline val="0"/>
        <shadow val="0"/>
        <u val="none"/>
        <vertAlign val="baseline"/>
        <sz val="9"/>
        <color theme="1"/>
        <name val="Calibri"/>
        <scheme val="minor"/>
      </font>
      <numFmt numFmtId="2" formatCode="0.00"/>
      <alignment horizontal="center" vertical="center" textRotation="0" wrapText="1" indent="0" justifyLastLine="0" shrinkToFit="0" readingOrder="0"/>
      <border diagonalUp="0" diagonalDown="0" outline="0">
        <left style="thin">
          <color indexed="64"/>
        </left>
        <right/>
        <top style="thin">
          <color indexed="64"/>
        </top>
        <bottom/>
      </border>
    </dxf>
    <dxf>
      <font>
        <sz val="9"/>
      </font>
      <numFmt numFmtId="2" formatCode="0.00"/>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left" vertical="center" textRotation="0" wrapText="1" indent="0" justifyLastLine="0" shrinkToFit="0" readingOrder="0"/>
      <border diagonalUp="0" diagonalDown="0" outline="0">
        <left/>
        <right style="thin">
          <color indexed="64"/>
        </right>
        <top style="thin">
          <color indexed="64"/>
        </top>
        <bottom/>
      </border>
      <protection locked="1" hidden="0"/>
    </dxf>
    <dxf>
      <font>
        <sz val="9"/>
      </font>
      <numFmt numFmtId="0" formatCode="General"/>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border outline="0">
        <top style="thin">
          <color indexed="64"/>
        </top>
      </border>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1" hidden="0"/>
    </dxf>
    <dxf>
      <font>
        <sz val="9"/>
      </font>
      <fill>
        <patternFill patternType="none">
          <fgColor indexed="64"/>
          <bgColor indexed="65"/>
        </patternFill>
      </fill>
      <alignment horizontal="left" vertical="center" textRotation="0" wrapText="0" indent="0" justifyLastLine="0" shrinkToFit="0" readingOrder="0"/>
      <protection locked="1" hidden="0"/>
    </dxf>
    <dxf>
      <border outline="0">
        <bottom style="thin">
          <color indexed="64"/>
        </bottom>
      </border>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1" hidden="0"/>
    </dxf>
    <dxf>
      <font>
        <b/>
        <i val="0"/>
      </font>
      <fill>
        <patternFill>
          <bgColor theme="8" tint="0.59996337778862885"/>
        </patternFill>
      </fill>
    </dxf>
    <dxf>
      <font>
        <b/>
        <i val="0"/>
      </font>
      <fill>
        <patternFill>
          <bgColor rgb="FFFFFF00"/>
        </patternFill>
      </fill>
    </dxf>
    <dxf>
      <font>
        <b/>
        <i val="0"/>
      </font>
      <fill>
        <patternFill>
          <bgColor theme="6" tint="0.39994506668294322"/>
        </patternFill>
      </fill>
    </dxf>
    <dxf>
      <font>
        <b/>
        <i val="0"/>
      </font>
      <fill>
        <patternFill>
          <bgColor theme="5" tint="0.59996337778862885"/>
        </patternFill>
      </fill>
    </dxf>
    <dxf>
      <font>
        <b/>
        <i val="0"/>
      </font>
      <fill>
        <patternFill>
          <bgColor rgb="FFFF0000"/>
        </patternFill>
      </fill>
    </dxf>
    <dxf>
      <font>
        <b val="0"/>
        <i val="0"/>
        <strike val="0"/>
        <condense val="0"/>
        <extend val="0"/>
        <outline val="0"/>
        <shadow val="0"/>
        <u val="none"/>
        <vertAlign val="baseline"/>
        <sz val="9"/>
        <color theme="1"/>
        <name val="Calibri"/>
        <scheme val="minor"/>
      </font>
      <numFmt numFmtId="2" formatCode="0.00"/>
      <alignment horizontal="center" vertical="center" textRotation="0" wrapText="1" indent="0" justifyLastLine="0" shrinkToFit="0" readingOrder="0"/>
      <border diagonalUp="0" diagonalDown="0" outline="0">
        <left style="thin">
          <color indexed="64"/>
        </left>
        <right/>
        <top style="thin">
          <color indexed="64"/>
        </top>
        <bottom/>
      </border>
    </dxf>
    <dxf>
      <font>
        <sz val="9"/>
      </font>
      <numFmt numFmtId="2" formatCode="0.00"/>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left" vertical="center" textRotation="0" wrapText="1" indent="0" justifyLastLine="0" shrinkToFit="0" readingOrder="0"/>
      <border diagonalUp="0" diagonalDown="0" outline="0">
        <left/>
        <right style="thin">
          <color indexed="64"/>
        </right>
        <top style="thin">
          <color indexed="64"/>
        </top>
        <bottom/>
      </border>
      <protection locked="1" hidden="0"/>
    </dxf>
    <dxf>
      <font>
        <sz val="9"/>
      </font>
      <numFmt numFmtId="0" formatCode="General"/>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border outline="0">
        <top style="thin">
          <color indexed="64"/>
        </top>
      </border>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1" hidden="0"/>
    </dxf>
    <dxf>
      <font>
        <sz val="9"/>
      </font>
      <fill>
        <patternFill patternType="none">
          <fgColor indexed="64"/>
          <bgColor indexed="65"/>
        </patternFill>
      </fill>
      <alignment horizontal="left" vertical="center" textRotation="0" wrapText="0" indent="0" justifyLastLine="0" shrinkToFit="0" readingOrder="0"/>
      <protection locked="1" hidden="0"/>
    </dxf>
    <dxf>
      <border outline="0">
        <bottom style="thin">
          <color indexed="64"/>
        </bottom>
      </border>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1" hidden="0"/>
    </dxf>
    <dxf>
      <font>
        <b/>
        <i val="0"/>
      </font>
      <fill>
        <patternFill>
          <bgColor theme="8" tint="0.59996337778862885"/>
        </patternFill>
      </fill>
    </dxf>
    <dxf>
      <font>
        <b/>
        <i val="0"/>
      </font>
      <fill>
        <patternFill>
          <bgColor rgb="FFFFFF00"/>
        </patternFill>
      </fill>
    </dxf>
    <dxf>
      <font>
        <b/>
        <i val="0"/>
      </font>
      <fill>
        <patternFill>
          <bgColor theme="6" tint="0.39994506668294322"/>
        </patternFill>
      </fill>
    </dxf>
    <dxf>
      <font>
        <b/>
        <i val="0"/>
      </font>
      <fill>
        <patternFill>
          <bgColor theme="5" tint="0.59996337778862885"/>
        </patternFill>
      </fill>
    </dxf>
    <dxf>
      <font>
        <b/>
        <i val="0"/>
      </font>
      <fill>
        <patternFill>
          <bgColor rgb="FFFF0000"/>
        </patternFill>
      </fill>
    </dxf>
    <dxf>
      <font>
        <b val="0"/>
        <i val="0"/>
        <strike val="0"/>
        <condense val="0"/>
        <extend val="0"/>
        <outline val="0"/>
        <shadow val="0"/>
        <u val="none"/>
        <vertAlign val="baseline"/>
        <sz val="9"/>
        <color theme="1"/>
        <name val="Calibri"/>
        <scheme val="minor"/>
      </font>
      <numFmt numFmtId="2" formatCode="0.00"/>
      <alignment horizontal="center" vertical="center" textRotation="0" wrapText="1" indent="0" justifyLastLine="0" shrinkToFit="0" readingOrder="0"/>
      <border diagonalUp="0" diagonalDown="0" outline="0">
        <left style="thin">
          <color indexed="64"/>
        </left>
        <right/>
        <top style="thin">
          <color indexed="64"/>
        </top>
        <bottom/>
      </border>
    </dxf>
    <dxf>
      <font>
        <sz val="9"/>
      </font>
      <numFmt numFmtId="2" formatCode="0.00"/>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left" vertical="center" textRotation="0" wrapText="1" indent="0" justifyLastLine="0" shrinkToFit="0" readingOrder="0"/>
      <border diagonalUp="0" diagonalDown="0" outline="0">
        <left/>
        <right style="thin">
          <color indexed="64"/>
        </right>
        <top style="thin">
          <color indexed="64"/>
        </top>
        <bottom/>
      </border>
      <protection locked="1" hidden="0"/>
    </dxf>
    <dxf>
      <font>
        <sz val="9"/>
      </font>
      <numFmt numFmtId="0" formatCode="General"/>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border outline="0">
        <top style="thin">
          <color indexed="64"/>
        </top>
      </border>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1" hidden="0"/>
    </dxf>
    <dxf>
      <font>
        <sz val="9"/>
      </font>
      <fill>
        <patternFill patternType="none">
          <fgColor indexed="64"/>
          <bgColor indexed="65"/>
        </patternFill>
      </fill>
      <alignment horizontal="left" vertical="center" textRotation="0" wrapText="0" indent="0" justifyLastLine="0" shrinkToFit="0" readingOrder="0"/>
      <protection locked="1" hidden="0"/>
    </dxf>
    <dxf>
      <border outline="0">
        <bottom style="thin">
          <color indexed="64"/>
        </bottom>
      </border>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1" hidden="0"/>
    </dxf>
    <dxf>
      <font>
        <b/>
        <i val="0"/>
      </font>
      <fill>
        <patternFill>
          <bgColor theme="8" tint="0.59996337778862885"/>
        </patternFill>
      </fill>
    </dxf>
    <dxf>
      <font>
        <b/>
        <i val="0"/>
      </font>
      <fill>
        <patternFill>
          <bgColor rgb="FFFFFF00"/>
        </patternFill>
      </fill>
    </dxf>
    <dxf>
      <font>
        <b/>
        <i val="0"/>
      </font>
      <fill>
        <patternFill>
          <bgColor theme="6" tint="0.39994506668294322"/>
        </patternFill>
      </fill>
    </dxf>
    <dxf>
      <font>
        <b/>
        <i val="0"/>
      </font>
      <fill>
        <patternFill>
          <bgColor theme="5" tint="0.59996337778862885"/>
        </patternFill>
      </fill>
    </dxf>
    <dxf>
      <font>
        <b/>
        <i val="0"/>
      </font>
      <fill>
        <patternFill>
          <bgColor rgb="FFFF0000"/>
        </patternFill>
      </fill>
    </dxf>
    <dxf>
      <font>
        <b val="0"/>
        <i val="0"/>
        <strike val="0"/>
        <condense val="0"/>
        <extend val="0"/>
        <outline val="0"/>
        <shadow val="0"/>
        <u val="none"/>
        <vertAlign val="baseline"/>
        <sz val="9"/>
        <color theme="1"/>
        <name val="Calibri"/>
        <scheme val="minor"/>
      </font>
      <numFmt numFmtId="2" formatCode="0.00"/>
      <alignment horizontal="center" vertical="center" textRotation="0" wrapText="1" indent="0" justifyLastLine="0" shrinkToFit="0" readingOrder="0"/>
      <border diagonalUp="0" diagonalDown="0" outline="0">
        <left style="thin">
          <color indexed="64"/>
        </left>
        <right/>
        <top style="thin">
          <color indexed="64"/>
        </top>
        <bottom/>
      </border>
    </dxf>
    <dxf>
      <font>
        <sz val="9"/>
      </font>
      <numFmt numFmtId="2" formatCode="0.00"/>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left" vertical="center" textRotation="0" wrapText="1" indent="0" justifyLastLine="0" shrinkToFit="0" readingOrder="0"/>
      <border diagonalUp="0" diagonalDown="0" outline="0">
        <left/>
        <right style="thin">
          <color indexed="64"/>
        </right>
        <top style="thin">
          <color indexed="64"/>
        </top>
        <bottom/>
      </border>
      <protection locked="1" hidden="0"/>
    </dxf>
    <dxf>
      <font>
        <sz val="9"/>
      </font>
      <numFmt numFmtId="0" formatCode="General"/>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border outline="0">
        <top style="thin">
          <color indexed="64"/>
        </top>
      </border>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1" hidden="0"/>
    </dxf>
    <dxf>
      <font>
        <sz val="9"/>
      </font>
      <fill>
        <patternFill patternType="none">
          <fgColor indexed="64"/>
          <bgColor indexed="65"/>
        </patternFill>
      </fill>
      <alignment horizontal="left" vertical="center" textRotation="0" wrapText="0" indent="0" justifyLastLine="0" shrinkToFit="0" readingOrder="0"/>
      <protection locked="1" hidden="0"/>
    </dxf>
    <dxf>
      <border outline="0">
        <bottom style="thin">
          <color indexed="64"/>
        </bottom>
      </border>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1" hidden="0"/>
    </dxf>
    <dxf>
      <font>
        <b/>
        <i val="0"/>
      </font>
      <fill>
        <patternFill>
          <bgColor theme="8" tint="0.59996337778862885"/>
        </patternFill>
      </fill>
    </dxf>
    <dxf>
      <font>
        <b/>
        <i val="0"/>
      </font>
      <fill>
        <patternFill>
          <bgColor rgb="FFFFFF00"/>
        </patternFill>
      </fill>
    </dxf>
    <dxf>
      <font>
        <b/>
        <i val="0"/>
      </font>
      <fill>
        <patternFill>
          <bgColor theme="6" tint="0.39994506668294322"/>
        </patternFill>
      </fill>
    </dxf>
    <dxf>
      <font>
        <b/>
        <i val="0"/>
      </font>
      <fill>
        <patternFill>
          <bgColor theme="5" tint="0.59996337778862885"/>
        </patternFill>
      </fill>
    </dxf>
    <dxf>
      <font>
        <b/>
        <i val="0"/>
      </font>
      <fill>
        <patternFill>
          <bgColor rgb="FFFF0000"/>
        </patternFill>
      </fill>
    </dxf>
    <dxf>
      <font>
        <b val="0"/>
        <i val="0"/>
        <strike val="0"/>
        <condense val="0"/>
        <extend val="0"/>
        <outline val="0"/>
        <shadow val="0"/>
        <u val="none"/>
        <vertAlign val="baseline"/>
        <sz val="9"/>
        <color theme="1"/>
        <name val="Calibri"/>
        <scheme val="minor"/>
      </font>
      <numFmt numFmtId="2" formatCode="0.00"/>
      <alignment horizontal="center" vertical="center" textRotation="0" wrapText="1" indent="0" justifyLastLine="0" shrinkToFit="0" readingOrder="0"/>
      <border diagonalUp="0" diagonalDown="0" outline="0">
        <left style="thin">
          <color indexed="64"/>
        </left>
        <right/>
        <top style="thin">
          <color indexed="64"/>
        </top>
        <bottom/>
      </border>
    </dxf>
    <dxf>
      <font>
        <sz val="9"/>
      </font>
      <numFmt numFmtId="2" formatCode="0.00"/>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left" vertical="center" textRotation="0" wrapText="1" indent="0" justifyLastLine="0" shrinkToFit="0" readingOrder="0"/>
      <border diagonalUp="0" diagonalDown="0" outline="0">
        <left/>
        <right style="thin">
          <color indexed="64"/>
        </right>
        <top style="thin">
          <color indexed="64"/>
        </top>
        <bottom/>
      </border>
      <protection locked="1" hidden="0"/>
    </dxf>
    <dxf>
      <font>
        <sz val="9"/>
      </font>
      <numFmt numFmtId="0" formatCode="General"/>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border outline="0">
        <top style="thin">
          <color indexed="64"/>
        </top>
      </border>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1" hidden="0"/>
    </dxf>
    <dxf>
      <font>
        <sz val="9"/>
      </font>
      <fill>
        <patternFill patternType="none">
          <fgColor indexed="64"/>
          <bgColor indexed="65"/>
        </patternFill>
      </fill>
      <alignment horizontal="left" vertical="center" textRotation="0" wrapText="0" indent="0" justifyLastLine="0" shrinkToFit="0" readingOrder="0"/>
      <protection locked="1" hidden="0"/>
    </dxf>
    <dxf>
      <border outline="0">
        <bottom style="thin">
          <color indexed="64"/>
        </bottom>
      </border>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1" hidden="0"/>
    </dxf>
    <dxf>
      <font>
        <b/>
        <i val="0"/>
      </font>
      <fill>
        <patternFill>
          <bgColor theme="8" tint="0.59996337778862885"/>
        </patternFill>
      </fill>
    </dxf>
    <dxf>
      <font>
        <b/>
        <i val="0"/>
      </font>
      <fill>
        <patternFill>
          <bgColor rgb="FFFFFF00"/>
        </patternFill>
      </fill>
    </dxf>
    <dxf>
      <font>
        <b/>
        <i val="0"/>
      </font>
      <fill>
        <patternFill>
          <bgColor theme="6" tint="0.39994506668294322"/>
        </patternFill>
      </fill>
    </dxf>
    <dxf>
      <font>
        <b/>
        <i val="0"/>
      </font>
      <fill>
        <patternFill>
          <bgColor theme="5" tint="0.59996337778862885"/>
        </patternFill>
      </fill>
    </dxf>
    <dxf>
      <font>
        <b/>
        <i val="0"/>
      </font>
      <fill>
        <patternFill>
          <bgColor rgb="FFFF0000"/>
        </patternFill>
      </fill>
    </dxf>
    <dxf>
      <font>
        <b val="0"/>
        <i val="0"/>
        <strike val="0"/>
        <condense val="0"/>
        <extend val="0"/>
        <outline val="0"/>
        <shadow val="0"/>
        <u val="none"/>
        <vertAlign val="baseline"/>
        <sz val="9"/>
        <color theme="1"/>
        <name val="Calibri"/>
        <scheme val="minor"/>
      </font>
      <numFmt numFmtId="2" formatCode="0.00"/>
      <alignment horizontal="center" vertical="center" textRotation="0" wrapText="1" indent="0" justifyLastLine="0" shrinkToFit="0" readingOrder="0"/>
      <border diagonalUp="0" diagonalDown="0" outline="0">
        <left style="thin">
          <color indexed="64"/>
        </left>
        <right/>
        <top style="thin">
          <color indexed="64"/>
        </top>
        <bottom/>
      </border>
    </dxf>
    <dxf>
      <font>
        <sz val="9"/>
      </font>
      <numFmt numFmtId="2" formatCode="0.00"/>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left" vertical="center" textRotation="0" wrapText="1" indent="0" justifyLastLine="0" shrinkToFit="0" readingOrder="0"/>
      <border diagonalUp="0" diagonalDown="0" outline="0">
        <left/>
        <right style="thin">
          <color indexed="64"/>
        </right>
        <top style="thin">
          <color indexed="64"/>
        </top>
        <bottom/>
      </border>
      <protection locked="1" hidden="0"/>
    </dxf>
    <dxf>
      <font>
        <sz val="9"/>
      </font>
      <numFmt numFmtId="0" formatCode="General"/>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border outline="0">
        <top style="thin">
          <color indexed="64"/>
        </top>
      </border>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1" hidden="0"/>
    </dxf>
    <dxf>
      <font>
        <sz val="9"/>
      </font>
      <fill>
        <patternFill patternType="none">
          <fgColor indexed="64"/>
          <bgColor indexed="65"/>
        </patternFill>
      </fill>
      <alignment horizontal="left" vertical="center" textRotation="0" wrapText="0" indent="0" justifyLastLine="0" shrinkToFit="0" readingOrder="0"/>
      <protection locked="1" hidden="0"/>
    </dxf>
    <dxf>
      <border outline="0">
        <bottom style="thin">
          <color indexed="64"/>
        </bottom>
      </border>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1" hidden="0"/>
    </dxf>
    <dxf>
      <font>
        <b/>
        <i val="0"/>
      </font>
      <fill>
        <patternFill>
          <bgColor theme="8" tint="0.59996337778862885"/>
        </patternFill>
      </fill>
    </dxf>
    <dxf>
      <font>
        <b/>
        <i val="0"/>
      </font>
      <fill>
        <patternFill>
          <bgColor rgb="FFFFFF00"/>
        </patternFill>
      </fill>
    </dxf>
    <dxf>
      <font>
        <b/>
        <i val="0"/>
      </font>
      <fill>
        <patternFill>
          <bgColor theme="6" tint="0.39994506668294322"/>
        </patternFill>
      </fill>
    </dxf>
    <dxf>
      <font>
        <b/>
        <i val="0"/>
      </font>
      <fill>
        <patternFill>
          <bgColor theme="5" tint="0.59996337778862885"/>
        </patternFill>
      </fill>
    </dxf>
    <dxf>
      <font>
        <b/>
        <i val="0"/>
      </font>
      <fill>
        <patternFill>
          <bgColor rgb="FFFF0000"/>
        </patternFill>
      </fill>
    </dxf>
    <dxf>
      <font>
        <b val="0"/>
        <i val="0"/>
        <strike val="0"/>
        <condense val="0"/>
        <extend val="0"/>
        <outline val="0"/>
        <shadow val="0"/>
        <u val="none"/>
        <vertAlign val="baseline"/>
        <sz val="9"/>
        <color theme="1"/>
        <name val="Calibri"/>
        <scheme val="minor"/>
      </font>
      <numFmt numFmtId="2" formatCode="0.00"/>
      <alignment horizontal="center" vertical="center" textRotation="0" wrapText="1" indent="0" justifyLastLine="0" shrinkToFit="0" readingOrder="0"/>
      <border diagonalUp="0" diagonalDown="0" outline="0">
        <left style="thin">
          <color indexed="64"/>
        </left>
        <right/>
        <top style="thin">
          <color indexed="64"/>
        </top>
        <bottom/>
      </border>
    </dxf>
    <dxf>
      <font>
        <sz val="9"/>
      </font>
      <numFmt numFmtId="2" formatCode="0.00"/>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left" vertical="center" textRotation="0" wrapText="1" indent="0" justifyLastLine="0" shrinkToFit="0" readingOrder="0"/>
      <border diagonalUp="0" diagonalDown="0" outline="0">
        <left/>
        <right style="thin">
          <color indexed="64"/>
        </right>
        <top style="thin">
          <color indexed="64"/>
        </top>
        <bottom/>
      </border>
      <protection locked="1" hidden="0"/>
    </dxf>
    <dxf>
      <font>
        <sz val="9"/>
      </font>
      <numFmt numFmtId="0" formatCode="General"/>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border outline="0">
        <top style="thin">
          <color indexed="64"/>
        </top>
      </border>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1" hidden="0"/>
    </dxf>
    <dxf>
      <border outline="0">
        <bottom style="thin">
          <color indexed="64"/>
        </bottom>
      </border>
    </dxf>
    <dxf>
      <font>
        <sz val="9"/>
      </font>
      <fill>
        <patternFill patternType="none">
          <fgColor indexed="64"/>
          <bgColor indexed="65"/>
        </patternFill>
      </fill>
      <alignment horizontal="left" vertical="center" textRotation="0" wrapText="0" indent="0" justifyLastLine="0" shrinkToFit="0" readingOrder="0"/>
      <protection locked="1" hidden="0"/>
    </dxf>
    <dxf>
      <border outline="0">
        <bottom style="thin">
          <color indexed="64"/>
        </bottom>
      </border>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1" hidden="0"/>
    </dxf>
    <dxf>
      <font>
        <b/>
        <i val="0"/>
      </font>
      <fill>
        <patternFill>
          <bgColor theme="8" tint="0.59996337778862885"/>
        </patternFill>
      </fill>
    </dxf>
    <dxf>
      <font>
        <b/>
        <i val="0"/>
      </font>
      <fill>
        <patternFill>
          <bgColor rgb="FFFFFF00"/>
        </patternFill>
      </fill>
    </dxf>
    <dxf>
      <font>
        <b/>
        <i val="0"/>
      </font>
      <fill>
        <patternFill>
          <bgColor theme="6" tint="0.39994506668294322"/>
        </patternFill>
      </fill>
    </dxf>
    <dxf>
      <font>
        <b/>
        <i val="0"/>
      </font>
      <fill>
        <patternFill>
          <bgColor theme="5" tint="0.59996337778862885"/>
        </patternFill>
      </fill>
    </dxf>
    <dxf>
      <font>
        <b/>
        <i val="0"/>
      </font>
      <fill>
        <patternFill>
          <bgColor rgb="FFFF0000"/>
        </patternFill>
      </fill>
    </dxf>
    <dxf>
      <font>
        <b val="0"/>
        <i val="0"/>
        <strike val="0"/>
        <condense val="0"/>
        <extend val="0"/>
        <outline val="0"/>
        <shadow val="0"/>
        <u val="none"/>
        <vertAlign val="baseline"/>
        <sz val="9"/>
        <color theme="1"/>
        <name val="Calibri"/>
        <scheme val="minor"/>
      </font>
      <numFmt numFmtId="2" formatCode="0.00"/>
      <alignment horizontal="center" vertical="center" textRotation="0" wrapText="1" indent="0" justifyLastLine="0" shrinkToFit="0" readingOrder="0"/>
      <border diagonalUp="0" diagonalDown="0" outline="0">
        <left style="thin">
          <color indexed="64"/>
        </left>
        <right/>
        <top style="thin">
          <color indexed="64"/>
        </top>
        <bottom/>
      </border>
    </dxf>
    <dxf>
      <font>
        <sz val="9"/>
      </font>
      <numFmt numFmtId="2" formatCode="0.00"/>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left" vertical="center" textRotation="0" wrapText="1" indent="0" justifyLastLine="0" shrinkToFit="0" readingOrder="0"/>
      <border diagonalUp="0" diagonalDown="0" outline="0">
        <left/>
        <right style="thin">
          <color indexed="64"/>
        </right>
        <top style="thin">
          <color indexed="64"/>
        </top>
        <bottom/>
      </border>
      <protection locked="1" hidden="0"/>
    </dxf>
    <dxf>
      <font>
        <sz val="9"/>
      </font>
      <numFmt numFmtId="0" formatCode="General"/>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border outline="0">
        <top style="thin">
          <color indexed="64"/>
        </top>
      </border>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1" hidden="0"/>
    </dxf>
    <dxf>
      <border outline="0">
        <bottom style="thin">
          <color indexed="64"/>
        </bottom>
      </border>
    </dxf>
    <dxf>
      <font>
        <sz val="9"/>
      </font>
      <fill>
        <patternFill patternType="none">
          <fgColor indexed="64"/>
          <bgColor indexed="65"/>
        </patternFill>
      </fill>
      <alignment horizontal="left" vertical="center" textRotation="0" wrapText="0" indent="0" justifyLastLine="0" shrinkToFit="0" readingOrder="0"/>
      <protection locked="1" hidden="0"/>
    </dxf>
    <dxf>
      <border outline="0">
        <bottom style="thin">
          <color indexed="64"/>
        </bottom>
      </border>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1" hidden="0"/>
    </dxf>
    <dxf>
      <font>
        <b/>
        <i val="0"/>
      </font>
      <fill>
        <patternFill>
          <bgColor theme="8" tint="0.59996337778862885"/>
        </patternFill>
      </fill>
    </dxf>
    <dxf>
      <font>
        <b/>
        <i val="0"/>
      </font>
      <fill>
        <patternFill>
          <bgColor rgb="FFFFFF00"/>
        </patternFill>
      </fill>
    </dxf>
    <dxf>
      <font>
        <b/>
        <i val="0"/>
      </font>
      <fill>
        <patternFill>
          <bgColor theme="6" tint="0.39994506668294322"/>
        </patternFill>
      </fill>
    </dxf>
    <dxf>
      <font>
        <b/>
        <i val="0"/>
      </font>
      <fill>
        <patternFill>
          <bgColor theme="5" tint="0.59996337778862885"/>
        </patternFill>
      </fill>
    </dxf>
    <dxf>
      <font>
        <b/>
        <i val="0"/>
      </font>
      <fill>
        <patternFill>
          <bgColor rgb="FFFF0000"/>
        </patternFill>
      </fill>
    </dxf>
    <dxf>
      <font>
        <b val="0"/>
        <i val="0"/>
        <strike val="0"/>
        <condense val="0"/>
        <extend val="0"/>
        <outline val="0"/>
        <shadow val="0"/>
        <u val="none"/>
        <vertAlign val="baseline"/>
        <sz val="9"/>
        <color theme="1"/>
        <name val="Calibri"/>
        <scheme val="minor"/>
      </font>
      <alignment horizontal="left" vertical="center" textRotation="0" wrapText="0" indent="0" justifyLastLine="0" shrinkToFit="0" readingOrder="0"/>
      <protection locked="1" hidden="0"/>
    </dxf>
    <dxf>
      <font>
        <sz val="9"/>
      </font>
      <numFmt numFmtId="2" formatCode="0.00"/>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alignment horizontal="left" vertical="center" textRotation="0" wrapText="0" indent="0" justifyLastLine="0" shrinkToFit="0" readingOrder="0"/>
      <protection locked="1" hidden="0"/>
    </dxf>
    <dxf>
      <font>
        <sz val="9"/>
      </font>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alignment horizontal="left" vertical="center" textRotation="0" wrapText="0" indent="0" justifyLastLine="0" shrinkToFit="0" readingOrder="0"/>
      <protection locked="1" hidden="0"/>
    </dxf>
    <dxf>
      <font>
        <sz val="9"/>
      </font>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alignment horizontal="left" vertical="center" textRotation="0" wrapText="0" indent="0" justifyLastLine="0" shrinkToFit="0" readingOrder="0"/>
      <protection locked="1" hidden="0"/>
    </dxf>
    <dxf>
      <font>
        <sz val="9"/>
      </font>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alignment horizontal="left" vertical="center" textRotation="0" wrapText="0" indent="0" justifyLastLine="0" shrinkToFit="0" readingOrder="0"/>
      <protection locked="1" hidden="0"/>
    </dxf>
    <dxf>
      <font>
        <sz val="9"/>
      </font>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alignment horizontal="left" vertical="center" textRotation="0" wrapText="0" indent="0" justifyLastLine="0" shrinkToFit="0" readingOrder="0"/>
      <protection locked="1" hidden="0"/>
    </dxf>
    <dxf>
      <font>
        <sz val="9"/>
      </font>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alignment horizontal="left" vertical="center" textRotation="0" wrapText="0" indent="0" justifyLastLine="0" shrinkToFit="0" readingOrder="0"/>
      <protection locked="1" hidden="0"/>
    </dxf>
    <dxf>
      <font>
        <sz val="9"/>
      </font>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alignment horizontal="left" vertical="center" textRotation="0" wrapText="0" indent="0" justifyLastLine="0" shrinkToFit="0" readingOrder="0"/>
      <protection locked="1" hidden="0"/>
    </dxf>
    <dxf>
      <font>
        <sz val="9"/>
      </font>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alignment horizontal="left" vertical="center" textRotation="0" wrapText="0" indent="0" justifyLastLine="0" shrinkToFit="0" readingOrder="0"/>
      <protection locked="1" hidden="0"/>
    </dxf>
    <dxf>
      <font>
        <sz val="9"/>
      </font>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alignment horizontal="left" vertical="center" textRotation="0" wrapText="0" indent="0" justifyLastLine="0" shrinkToFit="0" readingOrder="0"/>
      <protection locked="1" hidden="0"/>
    </dxf>
    <dxf>
      <font>
        <sz val="9"/>
      </font>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alignment horizontal="left" vertical="center" textRotation="0" wrapText="0" indent="0" justifyLastLine="0" shrinkToFit="0" readingOrder="0"/>
      <protection locked="1" hidden="0"/>
    </dxf>
    <dxf>
      <font>
        <sz val="9"/>
      </font>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alignment horizontal="left" vertical="center" textRotation="0" wrapText="0" indent="0" justifyLastLine="0" shrinkToFit="0" readingOrder="0"/>
      <protection locked="1" hidden="0"/>
    </dxf>
    <dxf>
      <font>
        <sz val="9"/>
      </font>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alignment horizontal="left" vertical="center" textRotation="0" wrapText="0" indent="0" justifyLastLine="0" shrinkToFit="0" readingOrder="0"/>
      <protection locked="1" hidden="0"/>
    </dxf>
    <dxf>
      <font>
        <sz val="9"/>
      </font>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alignment horizontal="left" vertical="center" textRotation="0" wrapText="0" indent="0" justifyLastLine="0" shrinkToFit="0" readingOrder="0"/>
      <protection locked="1" hidden="0"/>
    </dxf>
    <dxf>
      <font>
        <sz val="9"/>
      </font>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alignment horizontal="left" vertical="center" textRotation="0" wrapText="0" indent="0" justifyLastLine="0" shrinkToFit="0" readingOrder="0"/>
      <protection locked="1" hidden="0"/>
    </dxf>
    <dxf>
      <font>
        <sz val="9"/>
      </font>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alignment horizontal="left" vertical="center" textRotation="0" wrapText="0" indent="0" justifyLastLine="0" shrinkToFit="0" readingOrder="0"/>
      <protection locked="1" hidden="0"/>
    </dxf>
    <dxf>
      <font>
        <sz val="9"/>
      </font>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alignment horizontal="left" vertical="center" textRotation="0" wrapText="0" indent="0" justifyLastLine="0" shrinkToFit="0" readingOrder="0"/>
      <protection locked="1" hidden="0"/>
    </dxf>
    <dxf>
      <font>
        <sz val="9"/>
      </font>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alignment horizontal="left" vertical="center" textRotation="0" wrapText="0" indent="0" justifyLastLine="0" shrinkToFit="0" readingOrder="0"/>
      <protection locked="1" hidden="0"/>
    </dxf>
    <dxf>
      <font>
        <sz val="9"/>
      </font>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alignment horizontal="left" vertical="center" textRotation="0" wrapText="0" indent="0" justifyLastLine="0" shrinkToFit="0" readingOrder="0"/>
      <protection locked="1" hidden="0"/>
    </dxf>
    <dxf>
      <font>
        <sz val="9"/>
      </font>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alignment horizontal="left" vertical="center" textRotation="0" wrapText="0" indent="0" justifyLastLine="0" shrinkToFit="0" readingOrder="0"/>
      <protection locked="1" hidden="0"/>
    </dxf>
    <dxf>
      <font>
        <sz val="9"/>
      </font>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alignment horizontal="left" vertical="center" textRotation="0" wrapText="0" indent="0" justifyLastLine="0" shrinkToFit="0" readingOrder="0"/>
      <protection locked="1" hidden="0"/>
    </dxf>
    <dxf>
      <font>
        <sz val="9"/>
      </font>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alignment horizontal="left" vertical="center" textRotation="0" wrapText="0" indent="0" justifyLastLine="0" shrinkToFit="0" readingOrder="0"/>
      <protection locked="1" hidden="0"/>
    </dxf>
    <dxf>
      <font>
        <sz val="9"/>
      </font>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alignment horizontal="left" vertical="center" textRotation="0" wrapText="0" indent="0" justifyLastLine="0" shrinkToFit="0" readingOrder="0"/>
      <protection locked="1" hidden="0"/>
    </dxf>
    <dxf>
      <font>
        <sz val="9"/>
      </font>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alignment horizontal="left" vertical="center" textRotation="0" wrapText="0" indent="0" justifyLastLine="0" shrinkToFit="0" readingOrder="0"/>
      <protection locked="1" hidden="0"/>
    </dxf>
    <dxf>
      <font>
        <sz val="9"/>
      </font>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alignment horizontal="left" vertical="center" textRotation="0" wrapText="0" indent="0" justifyLastLine="0" shrinkToFit="0" readingOrder="0"/>
      <protection locked="1" hidden="0"/>
    </dxf>
    <dxf>
      <font>
        <sz val="9"/>
      </font>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alignment horizontal="left" vertical="center" textRotation="0" wrapText="0" indent="0" justifyLastLine="0" shrinkToFit="0" readingOrder="0"/>
      <protection locked="1" hidden="0"/>
    </dxf>
    <dxf>
      <font>
        <sz val="9"/>
      </font>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alignment horizontal="left" vertical="center" textRotation="0" wrapText="0" indent="0" justifyLastLine="0" shrinkToFit="0" readingOrder="0"/>
      <protection locked="1" hidden="0"/>
    </dxf>
    <dxf>
      <font>
        <sz val="9"/>
      </font>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alignment horizontal="left" vertical="center" textRotation="0" wrapText="0" indent="0" justifyLastLine="0" shrinkToFit="0" readingOrder="0"/>
      <protection locked="1" hidden="0"/>
    </dxf>
    <dxf>
      <font>
        <sz val="9"/>
      </font>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alignment horizontal="left" vertical="center" textRotation="0" wrapText="0" indent="0" justifyLastLine="0" shrinkToFit="0" readingOrder="0"/>
      <protection locked="1" hidden="0"/>
    </dxf>
    <dxf>
      <font>
        <sz val="9"/>
      </font>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alignment horizontal="left" vertical="center" textRotation="0" wrapText="0" indent="0" justifyLastLine="0" shrinkToFit="0" readingOrder="0"/>
      <protection locked="1" hidden="0"/>
    </dxf>
    <dxf>
      <font>
        <sz val="9"/>
      </font>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alignment horizontal="left" vertical="center" textRotation="0" wrapText="0" indent="0" justifyLastLine="0" shrinkToFit="0" readingOrder="0"/>
      <protection locked="1" hidden="0"/>
    </dxf>
    <dxf>
      <font>
        <sz val="9"/>
      </font>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alignment horizontal="left" vertical="center" textRotation="0" wrapText="0" indent="0" justifyLastLine="0" shrinkToFit="0" readingOrder="0"/>
      <protection locked="1" hidden="0"/>
    </dxf>
    <dxf>
      <font>
        <sz val="9"/>
      </font>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alignment horizontal="left" vertical="center" textRotation="0" wrapText="0" indent="0" justifyLastLine="0" shrinkToFit="0" readingOrder="0"/>
      <protection locked="1" hidden="0"/>
    </dxf>
    <dxf>
      <font>
        <sz val="9"/>
      </font>
      <numFmt numFmtId="0" formatCode="General"/>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Calibri"/>
        <scheme val="minor"/>
      </font>
      <alignment horizontal="left" vertical="center" textRotation="0" wrapText="0" indent="0" justifyLastLine="0" shrinkToFit="0" readingOrder="0"/>
      <protection locked="1" hidden="0"/>
    </dxf>
    <dxf>
      <font>
        <sz val="9"/>
      </font>
      <alignment horizontal="left" vertical="center" textRotation="0" wrapText="0" indent="0" justifyLastLine="0" shrinkToFit="0" readingOrder="0"/>
      <protection locked="1" hidden="0"/>
    </dxf>
    <dxf>
      <border outline="0">
        <bottom style="thin">
          <color indexed="64"/>
        </bottom>
      </border>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1" hidden="0"/>
    </dxf>
    <dxf>
      <font>
        <b/>
        <i val="0"/>
      </font>
      <fill>
        <patternFill>
          <bgColor theme="8" tint="0.59996337778862885"/>
        </patternFill>
      </fill>
    </dxf>
    <dxf>
      <font>
        <b/>
        <i val="0"/>
      </font>
      <fill>
        <patternFill>
          <bgColor rgb="FFFFFF00"/>
        </patternFill>
      </fill>
    </dxf>
    <dxf>
      <font>
        <b/>
        <i val="0"/>
      </font>
      <fill>
        <patternFill>
          <bgColor theme="6" tint="0.39994506668294322"/>
        </patternFill>
      </fill>
    </dxf>
    <dxf>
      <font>
        <b/>
        <i val="0"/>
      </font>
      <fill>
        <patternFill>
          <bgColor theme="5" tint="0.59996337778862885"/>
        </patternFill>
      </fill>
    </dxf>
    <dxf>
      <font>
        <b/>
        <i val="0"/>
      </font>
      <fill>
        <patternFill>
          <bgColor rgb="FFFF0000"/>
        </patternFill>
      </fill>
    </dxf>
    <dxf>
      <font>
        <sz val="9"/>
      </font>
      <numFmt numFmtId="2" formatCode="0.00"/>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1"/>
        <color theme="1"/>
        <name val="Calibri"/>
        <scheme val="minor"/>
      </font>
      <numFmt numFmtId="166"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sz val="9"/>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font>
        <sz val="9"/>
      </font>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protection locked="1" hidden="0"/>
    </dxf>
    <dxf>
      <border outline="0">
        <left style="thin">
          <color indexed="64"/>
        </left>
        <right style="thin">
          <color indexed="64"/>
        </right>
        <top style="thin">
          <color indexed="64"/>
        </top>
        <bottom style="thin">
          <color indexed="64"/>
        </bottom>
      </border>
    </dxf>
    <dxf>
      <font>
        <sz val="9"/>
      </font>
      <fill>
        <patternFill patternType="none">
          <fgColor indexed="64"/>
          <bgColor indexed="65"/>
        </patternFill>
      </fill>
      <alignment horizontal="left" vertical="center" textRotation="0" wrapText="0" indent="0" justifyLastLine="0" shrinkToFit="0" readingOrder="0"/>
      <protection locked="1" hidden="0"/>
    </dxf>
    <dxf>
      <border outline="0">
        <bottom style="thin">
          <color indexed="64"/>
        </bottom>
      </border>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1" hidden="0"/>
    </dxf>
    <dxf>
      <font>
        <b/>
        <i val="0"/>
      </font>
      <fill>
        <patternFill>
          <bgColor theme="8" tint="0.59996337778862885"/>
        </patternFill>
      </fill>
    </dxf>
    <dxf>
      <font>
        <b/>
        <i val="0"/>
      </font>
      <fill>
        <patternFill>
          <bgColor rgb="FFFFFF00"/>
        </patternFill>
      </fill>
    </dxf>
    <dxf>
      <font>
        <b/>
        <i val="0"/>
      </font>
      <fill>
        <patternFill>
          <bgColor theme="6" tint="0.39994506668294322"/>
        </patternFill>
      </fill>
    </dxf>
    <dxf>
      <font>
        <b/>
        <i val="0"/>
      </font>
      <fill>
        <patternFill>
          <bgColor theme="5" tint="0.59996337778862885"/>
        </patternFill>
      </fill>
    </dxf>
    <dxf>
      <font>
        <b/>
        <i val="0"/>
      </font>
      <fill>
        <patternFill>
          <bgColor rgb="FFFF0000"/>
        </patternFill>
      </fill>
    </dxf>
    <dxf>
      <font>
        <strike val="0"/>
        <outline val="0"/>
        <shadow val="0"/>
        <u val="none"/>
        <vertAlign val="baseline"/>
        <sz val="9"/>
        <name val="Calibri"/>
        <scheme val="minor"/>
      </font>
      <numFmt numFmtId="2" formatCode="0.00"/>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strike val="0"/>
        <outline val="0"/>
        <shadow val="0"/>
        <u val="none"/>
        <vertAlign val="baseline"/>
        <sz val="9"/>
        <name val="Calibri"/>
        <scheme val="minor"/>
      </font>
      <numFmt numFmtId="0" formatCode="Genera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strike val="0"/>
        <outline val="0"/>
        <shadow val="0"/>
        <u val="none"/>
        <vertAlign val="baseline"/>
        <sz val="9"/>
        <name val="Calibri"/>
        <scheme val="minor"/>
      </font>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strike val="0"/>
        <outline val="0"/>
        <shadow val="0"/>
        <u val="none"/>
        <vertAlign val="baseline"/>
        <sz val="9"/>
        <name val="Calibri"/>
        <scheme val="minor"/>
      </font>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strike val="0"/>
        <outline val="0"/>
        <shadow val="0"/>
        <u val="none"/>
        <vertAlign val="baseline"/>
        <sz val="9"/>
        <name val="Calibri"/>
        <scheme val="minor"/>
      </font>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strike val="0"/>
        <outline val="0"/>
        <shadow val="0"/>
        <u val="none"/>
        <vertAlign val="baseline"/>
        <sz val="9"/>
        <name val="Calibri"/>
        <scheme val="minor"/>
      </font>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strike val="0"/>
        <outline val="0"/>
        <shadow val="0"/>
        <u val="none"/>
        <vertAlign val="baseline"/>
        <sz val="9"/>
        <name val="Calibri"/>
        <scheme val="minor"/>
      </font>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strike val="0"/>
        <outline val="0"/>
        <shadow val="0"/>
        <u val="none"/>
        <vertAlign val="baseline"/>
        <sz val="9"/>
        <name val="Calibri"/>
        <scheme val="minor"/>
      </font>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strike val="0"/>
        <outline val="0"/>
        <shadow val="0"/>
        <u val="none"/>
        <vertAlign val="baseline"/>
        <sz val="9"/>
        <name val="Calibri"/>
        <scheme val="minor"/>
      </font>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strike val="0"/>
        <outline val="0"/>
        <shadow val="0"/>
        <u val="none"/>
        <vertAlign val="baseline"/>
        <sz val="9"/>
        <name val="Calibri"/>
        <scheme val="minor"/>
      </font>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strike val="0"/>
        <outline val="0"/>
        <shadow val="0"/>
        <u val="none"/>
        <vertAlign val="baseline"/>
        <sz val="9"/>
        <name val="Calibri"/>
        <scheme val="minor"/>
      </font>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strike val="0"/>
        <outline val="0"/>
        <shadow val="0"/>
        <u val="none"/>
        <vertAlign val="baseline"/>
        <sz val="9"/>
        <name val="Calibri"/>
        <scheme val="minor"/>
      </font>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strike val="0"/>
        <outline val="0"/>
        <shadow val="0"/>
        <u val="none"/>
        <vertAlign val="baseline"/>
        <sz val="9"/>
        <name val="Calibri"/>
        <scheme val="minor"/>
      </font>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strike val="0"/>
        <outline val="0"/>
        <shadow val="0"/>
        <u val="none"/>
        <vertAlign val="baseline"/>
        <sz val="9"/>
        <name val="Calibri"/>
        <scheme val="minor"/>
      </font>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strike val="0"/>
        <outline val="0"/>
        <shadow val="0"/>
        <u val="none"/>
        <vertAlign val="baseline"/>
        <sz val="9"/>
        <name val="Calibri"/>
        <scheme val="minor"/>
      </font>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strike val="0"/>
        <outline val="0"/>
        <shadow val="0"/>
        <u val="none"/>
        <vertAlign val="baseline"/>
        <sz val="9"/>
        <name val="Calibri"/>
        <scheme val="minor"/>
      </font>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strike val="0"/>
        <outline val="0"/>
        <shadow val="0"/>
        <u val="none"/>
        <vertAlign val="baseline"/>
        <sz val="9"/>
        <name val="Calibri"/>
        <scheme val="minor"/>
      </font>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strike val="0"/>
        <outline val="0"/>
        <shadow val="0"/>
        <u val="none"/>
        <vertAlign val="baseline"/>
        <sz val="9"/>
        <name val="Calibri"/>
        <scheme val="minor"/>
      </font>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strike val="0"/>
        <outline val="0"/>
        <shadow val="0"/>
        <u val="none"/>
        <vertAlign val="baseline"/>
        <sz val="9"/>
        <name val="Calibri"/>
        <scheme val="minor"/>
      </font>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strike val="0"/>
        <outline val="0"/>
        <shadow val="0"/>
        <u val="none"/>
        <vertAlign val="baseline"/>
        <sz val="9"/>
        <name val="Calibri"/>
        <scheme val="minor"/>
      </font>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strike val="0"/>
        <outline val="0"/>
        <shadow val="0"/>
        <u val="none"/>
        <vertAlign val="baseline"/>
        <sz val="9"/>
        <name val="Calibri"/>
        <scheme val="minor"/>
      </font>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strike val="0"/>
        <outline val="0"/>
        <shadow val="0"/>
        <u val="none"/>
        <vertAlign val="baseline"/>
        <sz val="9"/>
        <name val="Calibri"/>
        <scheme val="minor"/>
      </font>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strike val="0"/>
        <outline val="0"/>
        <shadow val="0"/>
        <u val="none"/>
        <vertAlign val="baseline"/>
        <sz val="9"/>
        <name val="Calibri"/>
        <scheme val="minor"/>
      </font>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strike val="0"/>
        <outline val="0"/>
        <shadow val="0"/>
        <u val="none"/>
        <vertAlign val="baseline"/>
        <sz val="9"/>
        <name val="Calibri"/>
        <scheme val="minor"/>
      </font>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strike val="0"/>
        <outline val="0"/>
        <shadow val="0"/>
        <u val="none"/>
        <vertAlign val="baseline"/>
        <sz val="9"/>
        <name val="Calibri"/>
        <scheme val="minor"/>
      </font>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strike val="0"/>
        <outline val="0"/>
        <shadow val="0"/>
        <u val="none"/>
        <vertAlign val="baseline"/>
        <sz val="9"/>
        <name val="Calibri"/>
        <scheme val="minor"/>
      </font>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strike val="0"/>
        <outline val="0"/>
        <shadow val="0"/>
        <u val="none"/>
        <vertAlign val="baseline"/>
        <sz val="9"/>
        <name val="Calibri"/>
        <scheme val="minor"/>
      </font>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strike val="0"/>
        <outline val="0"/>
        <shadow val="0"/>
        <u val="none"/>
        <vertAlign val="baseline"/>
        <sz val="9"/>
        <name val="Calibri"/>
        <scheme val="minor"/>
      </font>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strike val="0"/>
        <outline val="0"/>
        <shadow val="0"/>
        <u val="none"/>
        <vertAlign val="baseline"/>
        <sz val="9"/>
        <name val="Calibri"/>
        <scheme val="minor"/>
      </font>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strike val="0"/>
        <outline val="0"/>
        <shadow val="0"/>
        <u val="none"/>
        <vertAlign val="baseline"/>
        <sz val="9"/>
        <name val="Calibri"/>
        <scheme val="minor"/>
      </font>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strike val="0"/>
        <outline val="0"/>
        <shadow val="0"/>
        <u val="none"/>
        <vertAlign val="baseline"/>
        <sz val="9"/>
        <name val="Calibri"/>
        <scheme val="minor"/>
      </font>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strike val="0"/>
        <outline val="0"/>
        <shadow val="0"/>
        <u val="none"/>
        <vertAlign val="baseline"/>
        <sz val="9"/>
        <name val="Calibri"/>
        <scheme val="minor"/>
      </font>
      <alignmen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font>
        <strike val="0"/>
        <outline val="0"/>
        <shadow val="0"/>
        <u val="none"/>
        <vertAlign val="baseline"/>
        <sz val="9"/>
        <name val="Calibri"/>
        <scheme val="minor"/>
      </font>
      <fill>
        <patternFill patternType="none">
          <fgColor indexed="64"/>
          <bgColor indexed="65"/>
        </patternFill>
      </fill>
      <alignmen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protection locked="1" hidden="0"/>
    </dxf>
    <dxf>
      <font>
        <strike val="0"/>
        <outline val="0"/>
        <shadow val="0"/>
        <u val="none"/>
        <vertAlign val="baseline"/>
        <sz val="9"/>
        <name val="Calibri"/>
        <scheme val="minor"/>
      </font>
      <alignment vertical="center" textRotation="0" indent="0" justifyLastLine="0" shrinkToFit="0" readingOrder="0"/>
      <protection locked="1" hidden="0"/>
    </dxf>
    <dxf>
      <font>
        <strike val="0"/>
        <outline val="0"/>
        <shadow val="0"/>
        <u val="none"/>
        <vertAlign val="baseline"/>
        <sz val="9"/>
        <name val="Calibri"/>
        <scheme val="minor"/>
      </font>
      <alignment vertical="center" textRotation="0" indent="0" justifyLastLine="0" shrinkToFit="0" readingOrder="0"/>
      <protection locked="1" hidden="0"/>
    </dxf>
    <dxf>
      <font>
        <b/>
        <i val="0"/>
      </font>
      <fill>
        <patternFill>
          <bgColor theme="8" tint="0.59996337778862885"/>
        </patternFill>
      </fill>
    </dxf>
    <dxf>
      <font>
        <b/>
        <i val="0"/>
      </font>
      <fill>
        <patternFill>
          <bgColor rgb="FFFFFF00"/>
        </patternFill>
      </fill>
    </dxf>
    <dxf>
      <font>
        <b/>
        <i val="0"/>
      </font>
      <fill>
        <patternFill>
          <bgColor theme="6" tint="0.39994506668294322"/>
        </patternFill>
      </fill>
    </dxf>
    <dxf>
      <font>
        <b/>
        <i val="0"/>
      </font>
      <fill>
        <patternFill>
          <bgColor theme="5" tint="0.59996337778862885"/>
        </patternFill>
      </fill>
    </dxf>
    <dxf>
      <font>
        <b/>
        <i val="0"/>
      </font>
      <fill>
        <patternFill>
          <bgColor rgb="FFFF0000"/>
        </patternFill>
      </fill>
    </dxf>
    <dxf>
      <font>
        <b/>
        <i val="0"/>
      </font>
      <fill>
        <patternFill>
          <bgColor theme="8" tint="0.59996337778862885"/>
        </patternFill>
      </fill>
    </dxf>
    <dxf>
      <font>
        <b/>
        <i val="0"/>
      </font>
      <fill>
        <patternFill>
          <bgColor rgb="FFFFFF00"/>
        </patternFill>
      </fill>
    </dxf>
    <dxf>
      <font>
        <b/>
        <i val="0"/>
      </font>
      <fill>
        <patternFill>
          <bgColor rgb="FF92D050"/>
        </patternFill>
      </fill>
    </dxf>
    <dxf>
      <font>
        <b/>
        <i val="0"/>
      </font>
      <fill>
        <patternFill>
          <bgColor theme="5" tint="0.59996337778862885"/>
        </patternFill>
      </fill>
    </dxf>
    <dxf>
      <font>
        <b/>
        <i val="0"/>
      </font>
      <fill>
        <patternFill>
          <bgColor rgb="FFFF0000"/>
        </patternFill>
      </fill>
    </dxf>
    <dxf>
      <font>
        <b/>
        <i val="0"/>
      </font>
      <fill>
        <patternFill>
          <fgColor rgb="FFB9C2DF"/>
          <bgColor theme="8" tint="0.59996337778862885"/>
        </patternFill>
      </fill>
    </dxf>
    <dxf>
      <font>
        <b/>
        <i val="0"/>
      </font>
      <fill>
        <patternFill>
          <bgColor rgb="FFFFFF00"/>
        </patternFill>
      </fill>
    </dxf>
    <dxf>
      <font>
        <b/>
        <i val="0"/>
      </font>
      <fill>
        <patternFill>
          <bgColor rgb="FF92D050"/>
        </patternFill>
      </fill>
    </dxf>
    <dxf>
      <font>
        <b/>
        <i val="0"/>
      </font>
      <fill>
        <patternFill>
          <fgColor theme="5" tint="0.59996337778862885"/>
          <bgColor theme="5" tint="0.59996337778862885"/>
        </patternFill>
      </fill>
    </dxf>
    <dxf>
      <font>
        <b/>
        <i val="0"/>
      </font>
      <fill>
        <patternFill>
          <bgColor rgb="FFFF0000"/>
        </patternFill>
      </fill>
    </dxf>
    <dxf>
      <font>
        <b val="0"/>
        <i val="0"/>
        <strike val="0"/>
        <condense val="0"/>
        <extend val="0"/>
        <outline val="0"/>
        <shadow val="0"/>
        <u val="none"/>
        <vertAlign val="baseline"/>
        <sz val="11"/>
        <color theme="1"/>
        <name val="Calibri"/>
        <scheme val="minor"/>
      </font>
      <alignment horizontal="left" vertical="center" textRotation="0" wrapText="1" indent="2" justifyLastLine="0" shrinkToFit="0" readingOrder="0"/>
      <protection locked="1" hidden="0"/>
    </dxf>
    <dxf>
      <font>
        <b/>
        <strike val="0"/>
        <outline val="0"/>
        <shadow val="0"/>
        <u val="none"/>
        <vertAlign val="baseline"/>
        <sz val="9"/>
        <color theme="1"/>
        <name val="Calibri"/>
        <scheme val="minor"/>
      </font>
      <alignmen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ont>
        <b/>
        <strike val="0"/>
        <outline val="0"/>
        <shadow val="0"/>
        <u val="none"/>
        <vertAlign val="baseline"/>
        <sz val="9"/>
        <color theme="1"/>
        <name val="Calibri"/>
        <scheme val="minor"/>
      </font>
      <alignment vertical="center" textRotation="0" indent="0" justifyLastLine="0" shrinkToFit="0" readingOrder="0"/>
    </dxf>
    <dxf>
      <font>
        <b/>
        <strike val="0"/>
        <outline val="0"/>
        <shadow val="0"/>
        <u val="none"/>
        <vertAlign val="baseline"/>
        <sz val="9"/>
        <color theme="1"/>
        <name val="Calibri"/>
        <scheme val="minor"/>
      </font>
      <alignment vertical="center" textRotation="0" indent="0" justifyLastLine="0" shrinkToFit="0" readingOrder="0"/>
    </dxf>
    <dxf>
      <border>
        <bottom style="thin">
          <color indexed="64"/>
        </bottom>
      </border>
    </dxf>
    <dxf>
      <font>
        <b/>
        <strike val="0"/>
        <outline val="0"/>
        <shadow val="0"/>
        <u val="none"/>
        <vertAlign val="baseline"/>
        <sz val="9"/>
        <color theme="1"/>
        <name val="Calibri"/>
        <scheme val="minor"/>
      </font>
      <alignment vertical="center" textRotation="0" indent="0" justifyLastLine="0" shrinkToFit="0" readingOrder="0"/>
      <border diagonalUp="0" diagonalDown="0" outline="0">
        <left style="thin">
          <color indexed="64"/>
        </left>
        <right style="thin">
          <color indexed="64"/>
        </right>
        <top/>
        <bottom/>
      </border>
    </dxf>
    <dxf>
      <fill>
        <patternFill patternType="solid">
          <bgColor theme="6" tint="0.79998168889431442"/>
        </patternFill>
      </fill>
      <border diagonalUp="0" diagonalDown="0">
        <left/>
        <right/>
        <top style="thin">
          <color theme="0" tint="-0.14996795556505021"/>
        </top>
        <bottom style="medium">
          <color theme="2" tint="-0.499984740745262"/>
        </bottom>
        <vertical/>
        <horizontal/>
      </border>
    </dxf>
    <dxf>
      <font>
        <color theme="1"/>
      </font>
      <fill>
        <patternFill patternType="solid">
          <bgColor theme="6" tint="0.79998168889431442"/>
        </patternFill>
      </fill>
      <border diagonalUp="0" diagonalDown="0">
        <left/>
        <right/>
        <top style="thin">
          <color theme="0" tint="-0.14993743705557422"/>
        </top>
        <bottom style="medium">
          <color theme="2" tint="-0.499984740745262"/>
        </bottom>
        <vertical/>
        <horizontal style="thin">
          <color theme="0" tint="-0.14993743705557422"/>
        </horizontal>
      </border>
    </dxf>
    <dxf>
      <font>
        <color theme="1"/>
      </font>
      <fill>
        <patternFill patternType="solid">
          <bgColor theme="2"/>
        </patternFill>
      </fill>
      <border diagonalUp="0" diagonalDown="0">
        <left/>
        <right/>
        <top/>
        <bottom style="thin">
          <color theme="0" tint="-0.14996795556505021"/>
        </bottom>
        <vertical/>
        <horizontal/>
      </border>
    </dxf>
    <dxf>
      <font>
        <color theme="1"/>
      </font>
      <fill>
        <patternFill patternType="none">
          <bgColor auto="1"/>
        </patternFill>
      </fill>
      <border diagonalUp="0" diagonalDown="0">
        <left/>
        <right/>
        <top style="thin">
          <color theme="0" tint="-0.14996795556505021"/>
        </top>
        <bottom style="thin">
          <color theme="0" tint="-0.14993743705557422"/>
        </bottom>
        <vertical/>
        <horizontal/>
      </border>
    </dxf>
    <dxf>
      <fill>
        <patternFill>
          <bgColor theme="0" tint="-0.14996795556505021"/>
        </patternFill>
      </fill>
      <border>
        <left style="thin">
          <color theme="0"/>
        </left>
        <right style="thin">
          <color theme="0"/>
        </right>
        <vertical style="thin">
          <color theme="0"/>
        </vertical>
      </border>
    </dxf>
    <dxf>
      <fill>
        <patternFill>
          <bgColor theme="0" tint="-4.9989318521683403E-2"/>
        </patternFill>
      </fill>
      <border>
        <left style="thin">
          <color theme="0"/>
        </left>
        <right style="thin">
          <color theme="0"/>
        </right>
        <vertical style="thin">
          <color theme="0"/>
        </vertical>
      </border>
    </dxf>
    <dxf>
      <fill>
        <patternFill>
          <bgColor theme="0" tint="-0.14996795556505021"/>
        </patternFill>
      </fill>
    </dxf>
    <dxf>
      <fill>
        <patternFill patternType="solid">
          <fgColor theme="4" tint="0.79992065187536243"/>
          <bgColor theme="0" tint="-4.9989318521683403E-2"/>
        </patternFill>
      </fill>
    </dxf>
    <dxf>
      <font>
        <color theme="1"/>
      </font>
      <fill>
        <patternFill patternType="none">
          <bgColor auto="1"/>
        </patternFill>
      </fill>
      <border diagonalUp="0" diagonalDown="0">
        <left/>
        <right/>
        <top/>
        <bottom style="thin">
          <color theme="0" tint="-0.14996795556505021"/>
        </bottom>
        <vertical/>
        <horizontal style="thin">
          <color theme="0" tint="-0.14996795556505021"/>
        </horizontal>
      </border>
    </dxf>
    <dxf>
      <font>
        <color theme="1"/>
      </font>
      <fill>
        <patternFill patternType="none">
          <bgColor auto="1"/>
        </patternFill>
      </fill>
      <border>
        <left/>
        <right/>
        <top style="thin">
          <color theme="2" tint="-9.9917600024414813E-2"/>
        </top>
        <bottom style="thin">
          <color theme="2" tint="-9.9948118533890809E-2"/>
        </bottom>
        <vertical/>
        <horizontal style="thin">
          <color theme="2" tint="-9.9917600024414813E-2"/>
        </horizontal>
      </border>
    </dxf>
    <dxf>
      <font>
        <color theme="1"/>
      </font>
      <fill>
        <patternFill>
          <bgColor theme="6" tint="0.79998168889431442"/>
        </patternFill>
      </fill>
      <border diagonalUp="0" diagonalDown="0">
        <left style="thin">
          <color theme="0"/>
        </left>
        <right style="thin">
          <color theme="0"/>
        </right>
        <top/>
        <bottom style="medium">
          <color theme="2" tint="-0.499984740745262"/>
        </bottom>
        <vertical style="thin">
          <color theme="0"/>
        </vertical>
        <horizontal/>
      </border>
    </dxf>
    <dxf>
      <font>
        <color theme="0"/>
      </font>
      <fill>
        <patternFill>
          <bgColor theme="3"/>
        </patternFill>
      </fill>
    </dxf>
    <dxf>
      <font>
        <color theme="1"/>
      </font>
      <border diagonalUp="0" diagonalDown="0">
        <left/>
        <right/>
        <top/>
        <bottom/>
        <vertical style="thin">
          <color theme="0"/>
        </vertical>
        <horizontal/>
      </border>
    </dxf>
  </dxfs>
  <tableStyles count="1" defaultPivotStyle="PivotStyleLight16">
    <tableStyle name="Tableau des absences des employés" pivot="0" count="13">
      <tableStyleElement type="wholeTable" dxfId="916"/>
      <tableStyleElement type="headerRow" dxfId="915"/>
      <tableStyleElement type="totalRow" dxfId="914"/>
      <tableStyleElement type="firstColumn" dxfId="913"/>
      <tableStyleElement type="lastColumn" dxfId="912"/>
      <tableStyleElement type="firstRowStripe" dxfId="911"/>
      <tableStyleElement type="secondRowStripe" dxfId="910"/>
      <tableStyleElement type="firstColumnStripe" dxfId="909"/>
      <tableStyleElement type="secondColumnStripe" dxfId="908"/>
      <tableStyleElement type="firstHeaderCell" dxfId="907"/>
      <tableStyleElement type="lastHeaderCell" dxfId="906"/>
      <tableStyleElement type="firstTotalCell" dxfId="905"/>
      <tableStyleElement type="lastTotalCell" dxfId="904"/>
    </tableStyle>
  </tableStyles>
  <colors>
    <mruColors>
      <color rgb="FFDBDEC4"/>
      <color rgb="FFE7E9D7"/>
      <color rgb="FFF1F2E8"/>
      <color rgb="FF00FF00"/>
      <color rgb="FFFF9900"/>
      <color rgb="FF69D57E"/>
      <color rgb="FFDDDDD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ables/table1.xml><?xml version="1.0" encoding="utf-8"?>
<table xmlns="http://schemas.openxmlformats.org/spreadsheetml/2006/main" id="13" name="NomEmployé" displayName="NomEmployé" ref="B2:B22" headerRowDxfId="903" dataDxfId="901" totalsRowDxfId="900" headerRowBorderDxfId="902">
  <autoFilter ref="B2:B22"/>
  <tableColumns count="1">
    <tableColumn id="1" name="Noms des employés" totalsRowFunction="count" dataDxfId="899" totalsRowDxfId="898" dataCellStyle="Employé"/>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dans ce tableau. Ces noms sont utilisés en tant qu’options dans la colonne B du calendrier des absences de chaque mois."/>
    </ext>
  </extLst>
</table>
</file>

<file path=xl/tables/table2.xml><?xml version="1.0" encoding="utf-8"?>
<table xmlns="http://schemas.openxmlformats.org/spreadsheetml/2006/main" id="3" name="Janvier" displayName="Janvier" ref="A6:AG26" totalsRowShown="0" headerRowDxfId="882" dataDxfId="881" totalsRowDxfId="880">
  <autoFilter ref="A6:AG26">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filterColumn colId="26" hiddenButton="1"/>
    <filterColumn colId="27" hiddenButton="1"/>
    <filterColumn colId="28" hiddenButton="1"/>
    <filterColumn colId="29" hiddenButton="1"/>
    <filterColumn colId="30" hiddenButton="1"/>
    <filterColumn colId="31" hiddenButton="1"/>
    <filterColumn colId="32" hiddenButton="1"/>
  </autoFilter>
  <tableColumns count="33">
    <tableColumn id="1" name="Nom de l’employé" dataDxfId="879" totalsRowDxfId="878" dataCellStyle="Employé"/>
    <tableColumn id="2" name="1" dataDxfId="877"/>
    <tableColumn id="3" name="2" dataDxfId="876"/>
    <tableColumn id="4" name="3" dataDxfId="875"/>
    <tableColumn id="5" name="4" dataDxfId="874"/>
    <tableColumn id="6" name="5" dataDxfId="873"/>
    <tableColumn id="7" name="6" dataDxfId="872"/>
    <tableColumn id="8" name="7" dataDxfId="871"/>
    <tableColumn id="9" name="8" dataDxfId="870"/>
    <tableColumn id="10" name="9" dataDxfId="869"/>
    <tableColumn id="11" name="10" dataDxfId="868"/>
    <tableColumn id="12" name="11" dataDxfId="867"/>
    <tableColumn id="13" name="12" dataDxfId="866"/>
    <tableColumn id="14" name="13" dataDxfId="865"/>
    <tableColumn id="15" name="14" dataDxfId="864"/>
    <tableColumn id="16" name="15" dataDxfId="863"/>
    <tableColumn id="17" name="16" dataDxfId="862"/>
    <tableColumn id="18" name="17" dataDxfId="861"/>
    <tableColumn id="19" name="18" dataDxfId="860"/>
    <tableColumn id="20" name="19" dataDxfId="859"/>
    <tableColumn id="21" name="20" dataDxfId="858"/>
    <tableColumn id="22" name="21" dataDxfId="857"/>
    <tableColumn id="23" name="22" dataDxfId="856"/>
    <tableColumn id="24" name="23" dataDxfId="855"/>
    <tableColumn id="25" name="24" dataDxfId="854"/>
    <tableColumn id="26" name="25" dataDxfId="853"/>
    <tableColumn id="27" name="26" dataDxfId="852"/>
    <tableColumn id="28" name="27" dataDxfId="851"/>
    <tableColumn id="29" name="28" dataDxfId="850"/>
    <tableColumn id="30" name="29" dataDxfId="849"/>
    <tableColumn id="31" name="30" dataDxfId="848"/>
    <tableColumn id="32" name="31" dataDxfId="847"/>
    <tableColumn id="33" name="Total des Heures effectuées" dataDxfId="846">
      <calculatedColumnFormula>COUNTIF(AH7:BI7,Paramétrage!#REF!)*Paramétrage!#REF!+COUNTIF(AH7:BI7,Paramétrage!#REF!)*Paramétrage!#REF!+COUNTIF(AH7:BI7,Paramétrage!#REF!)*Paramétrage!#REF!+COUNTIF(AH7:BI7,Paramétrage!#REF!)*Paramétrage!#REF!+COUNTIF(AH7:BI7,Paramétrage!#REF!)*Paramétrage!#REF!+COUNTIF(AH7:BI7,Paramétrage!#REF!)*Paramétrage!#REF!+COUNTIF(AH7:BI7,Paramétrage!#REF!)*Paramétrage!#REF!+COUNTIF(AH7:BI7,Paramétrage!#REF!)*Paramétrage!#REF!+COUNTIF(AH7:BI7,Paramétrage!#REF!)*Paramétrage!#REF!+COUNTIF(AH7:BI7,Paramétrage!#REF!)*Paramétrage!#REF!+COUNTIF(AH7:BI7,Paramétrage!#REF!)*Paramétrage!#REF!+COUNTIF(AH7:BI7,Paramétrage!#REF!*Paramétrage!#REF!+COUNTIF(AH7:BI7,Paramétrage!AK1)*Paramétrage!AM1+COUNTIF(AH7:BI7,Paramétrage!AK2)*Paramétrage!AM2)</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3.xml><?xml version="1.0" encoding="utf-8"?>
<table xmlns="http://schemas.openxmlformats.org/spreadsheetml/2006/main" id="2" name="Février" displayName="Février" ref="A6:AG27" totalsRowShown="0" headerRowDxfId="840" dataDxfId="838" totalsRowDxfId="836" headerRowBorderDxfId="839" tableBorderDxfId="837">
  <tableColumns count="33">
    <tableColumn id="1" name="Nom de l’employé" dataDxfId="835" totalsRowDxfId="834" dataCellStyle="Employé"/>
    <tableColumn id="2" name="1" dataDxfId="833" totalsRowDxfId="832"/>
    <tableColumn id="3" name="2" dataDxfId="831" totalsRowDxfId="830"/>
    <tableColumn id="4" name="3" dataDxfId="829" totalsRowDxfId="828"/>
    <tableColumn id="5" name="4" dataDxfId="827" totalsRowDxfId="826"/>
    <tableColumn id="6" name="5" dataDxfId="825" totalsRowDxfId="824"/>
    <tableColumn id="7" name="6" dataDxfId="823" totalsRowDxfId="822"/>
    <tableColumn id="8" name="7" dataDxfId="821" totalsRowDxfId="820"/>
    <tableColumn id="9" name="8" dataDxfId="819" totalsRowDxfId="818"/>
    <tableColumn id="10" name="9" dataDxfId="817" totalsRowDxfId="816"/>
    <tableColumn id="11" name="10" dataDxfId="815" totalsRowDxfId="814"/>
    <tableColumn id="12" name="11" dataDxfId="813" totalsRowDxfId="812"/>
    <tableColumn id="13" name="12" dataDxfId="811" totalsRowDxfId="810"/>
    <tableColumn id="14" name="13" dataDxfId="809" totalsRowDxfId="808"/>
    <tableColumn id="15" name="14" dataDxfId="807" totalsRowDxfId="806"/>
    <tableColumn id="16" name="15" dataDxfId="805" totalsRowDxfId="804"/>
    <tableColumn id="17" name="16" dataDxfId="803" totalsRowDxfId="802"/>
    <tableColumn id="18" name="17" dataDxfId="801" totalsRowDxfId="800"/>
    <tableColumn id="19" name="18" dataDxfId="799" totalsRowDxfId="798"/>
    <tableColumn id="20" name="19" dataDxfId="797" totalsRowDxfId="796"/>
    <tableColumn id="21" name="20" dataDxfId="795" totalsRowDxfId="794"/>
    <tableColumn id="22" name="21" dataDxfId="793" totalsRowDxfId="792"/>
    <tableColumn id="23" name="22" dataDxfId="791" totalsRowDxfId="790"/>
    <tableColumn id="24" name="23" dataDxfId="789" totalsRowDxfId="788"/>
    <tableColumn id="25" name="24" dataDxfId="787" totalsRowDxfId="786"/>
    <tableColumn id="26" name="25" dataDxfId="785" totalsRowDxfId="784"/>
    <tableColumn id="27" name="26" dataDxfId="783" totalsRowDxfId="782"/>
    <tableColumn id="28" name="27" dataDxfId="781" totalsRowDxfId="780"/>
    <tableColumn id="29" name="28" dataDxfId="779" totalsRowDxfId="778"/>
    <tableColumn id="30" name="29" dataDxfId="777" totalsRowDxfId="776"/>
    <tableColumn id="31" name=" " dataDxfId="775" totalsRowDxfId="774"/>
    <tableColumn id="32" name="  " dataDxfId="773" totalsRowDxfId="772"/>
    <tableColumn id="33" name="Total des Heures effectuées" dataDxfId="771" dataCellStyle="Total"/>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4.xml><?xml version="1.0" encoding="utf-8"?>
<table xmlns="http://schemas.openxmlformats.org/spreadsheetml/2006/main" id="14" name="Mars" displayName="Mars" ref="A6:AG27" totalsRowShown="0" headerRowDxfId="765" dataDxfId="763" totalsRowDxfId="762" headerRowBorderDxfId="764">
  <tableColumns count="33">
    <tableColumn id="1" name="Nom de l’employé" dataDxfId="761" totalsRowDxfId="760" dataCellStyle="Employé"/>
    <tableColumn id="2" name="1" dataDxfId="759" totalsRowDxfId="758"/>
    <tableColumn id="3" name="2" dataDxfId="757" totalsRowDxfId="756"/>
    <tableColumn id="4" name="3" dataDxfId="755" totalsRowDxfId="754"/>
    <tableColumn id="5" name="4" dataDxfId="753" totalsRowDxfId="752"/>
    <tableColumn id="6" name="5" dataDxfId="751" totalsRowDxfId="750"/>
    <tableColumn id="7" name="6" dataDxfId="749" totalsRowDxfId="748"/>
    <tableColumn id="8" name="7" dataDxfId="747" totalsRowDxfId="746"/>
    <tableColumn id="9" name="8" dataDxfId="745" totalsRowDxfId="744"/>
    <tableColumn id="10" name="9" dataDxfId="743" totalsRowDxfId="742"/>
    <tableColumn id="11" name="10" dataDxfId="741" totalsRowDxfId="740"/>
    <tableColumn id="12" name="11" dataDxfId="739" totalsRowDxfId="738"/>
    <tableColumn id="13" name="12" dataDxfId="737" totalsRowDxfId="736"/>
    <tableColumn id="14" name="13" dataDxfId="735" totalsRowDxfId="734"/>
    <tableColumn id="15" name="14" dataDxfId="733" totalsRowDxfId="732"/>
    <tableColumn id="16" name="15" dataDxfId="731" totalsRowDxfId="730"/>
    <tableColumn id="17" name="16" dataDxfId="729" totalsRowDxfId="728"/>
    <tableColumn id="18" name="17" dataDxfId="727" totalsRowDxfId="726"/>
    <tableColumn id="19" name="18" dataDxfId="725" totalsRowDxfId="724"/>
    <tableColumn id="20" name="19" dataDxfId="723" totalsRowDxfId="722"/>
    <tableColumn id="21" name="20" dataDxfId="721" totalsRowDxfId="720"/>
    <tableColumn id="22" name="21" dataDxfId="719" totalsRowDxfId="718"/>
    <tableColumn id="23" name="22" dataDxfId="717" totalsRowDxfId="716"/>
    <tableColumn id="24" name="23" dataDxfId="715" totalsRowDxfId="714"/>
    <tableColumn id="25" name="24" dataDxfId="713" totalsRowDxfId="712"/>
    <tableColumn id="26" name="25" dataDxfId="711" totalsRowDxfId="710"/>
    <tableColumn id="27" name="26" dataDxfId="709" totalsRowDxfId="708"/>
    <tableColumn id="28" name="27" dataDxfId="707" totalsRowDxfId="706"/>
    <tableColumn id="29" name="28" dataDxfId="705" totalsRowDxfId="704"/>
    <tableColumn id="30" name="29" dataDxfId="703" totalsRowDxfId="702"/>
    <tableColumn id="31" name="30" dataDxfId="701" totalsRowDxfId="700"/>
    <tableColumn id="32" name="31" dataDxfId="699" totalsRowDxfId="698"/>
    <tableColumn id="33" name="Total des Heures effectuées" dataDxfId="697" totalsRowDxfId="696"/>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5.xml><?xml version="1.0" encoding="utf-8"?>
<table xmlns="http://schemas.openxmlformats.org/spreadsheetml/2006/main" id="15" name="Avril" displayName="Avril" ref="A6:AG27" totalsRowShown="0" headerRowDxfId="690" dataDxfId="688" totalsRowDxfId="686" headerRowBorderDxfId="689" tableBorderDxfId="687" totalsRowBorderDxfId="685">
  <tableColumns count="33">
    <tableColumn id="1" name="Nom de l’employé" dataDxfId="684" totalsRowDxfId="683" dataCellStyle="Employé"/>
    <tableColumn id="2" name="1" dataDxfId="682" totalsRowDxfId="681"/>
    <tableColumn id="3" name="2" dataDxfId="680" totalsRowDxfId="679"/>
    <tableColumn id="4" name="3" dataDxfId="678" totalsRowDxfId="677"/>
    <tableColumn id="5" name="4" dataDxfId="676" totalsRowDxfId="675"/>
    <tableColumn id="6" name="5" dataDxfId="674" totalsRowDxfId="673"/>
    <tableColumn id="7" name="6" dataDxfId="672" totalsRowDxfId="671"/>
    <tableColumn id="8" name="7" dataDxfId="670" totalsRowDxfId="669"/>
    <tableColumn id="9" name="8" dataDxfId="668" totalsRowDxfId="667"/>
    <tableColumn id="10" name="9" dataDxfId="666" totalsRowDxfId="665"/>
    <tableColumn id="11" name="10" dataDxfId="664" totalsRowDxfId="663"/>
    <tableColumn id="12" name="11" dataDxfId="662" totalsRowDxfId="661"/>
    <tableColumn id="13" name="12" dataDxfId="660" totalsRowDxfId="659"/>
    <tableColumn id="14" name="13" dataDxfId="658" totalsRowDxfId="657"/>
    <tableColumn id="15" name="14" dataDxfId="656" totalsRowDxfId="655"/>
    <tableColumn id="16" name="15" dataDxfId="654" totalsRowDxfId="653"/>
    <tableColumn id="17" name="16" dataDxfId="652" totalsRowDxfId="651"/>
    <tableColumn id="18" name="17" dataDxfId="650" totalsRowDxfId="649"/>
    <tableColumn id="19" name="18" dataDxfId="648" totalsRowDxfId="647"/>
    <tableColumn id="20" name="19" dataDxfId="646" totalsRowDxfId="645"/>
    <tableColumn id="21" name="20" dataDxfId="644" totalsRowDxfId="643"/>
    <tableColumn id="22" name="21" dataDxfId="642" totalsRowDxfId="641"/>
    <tableColumn id="23" name="22" dataDxfId="640" totalsRowDxfId="639"/>
    <tableColumn id="24" name="23" dataDxfId="638" totalsRowDxfId="637"/>
    <tableColumn id="25" name="24" dataDxfId="636" totalsRowDxfId="635"/>
    <tableColumn id="26" name="25" dataDxfId="634" totalsRowDxfId="633"/>
    <tableColumn id="27" name="26" dataDxfId="632" totalsRowDxfId="631"/>
    <tableColumn id="28" name="27" dataDxfId="630" totalsRowDxfId="629"/>
    <tableColumn id="29" name="28" dataDxfId="628" totalsRowDxfId="627"/>
    <tableColumn id="30" name="29" dataDxfId="626" totalsRowDxfId="625"/>
    <tableColumn id="31" name="30" dataDxfId="624" totalsRowDxfId="623"/>
    <tableColumn id="32" name=" " dataDxfId="622" totalsRowDxfId="621"/>
    <tableColumn id="33" name="Total des Heures effectuées" dataDxfId="620" totalsRowDxfId="619"/>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6.xml><?xml version="1.0" encoding="utf-8"?>
<table xmlns="http://schemas.openxmlformats.org/spreadsheetml/2006/main" id="16" name="Mai" displayName="Mai" ref="A6:AG27" totalsRowShown="0" headerRowDxfId="613" dataDxfId="611" totalsRowDxfId="609" headerRowBorderDxfId="612" tableBorderDxfId="610" totalsRowBorderDxfId="608">
  <tableColumns count="33">
    <tableColumn id="1" name="Nom de l’employé" dataDxfId="607" totalsRowDxfId="606" dataCellStyle="Employé"/>
    <tableColumn id="2" name="1" dataDxfId="605" totalsRowDxfId="604"/>
    <tableColumn id="3" name="2" dataDxfId="603" totalsRowDxfId="602"/>
    <tableColumn id="4" name="3" dataDxfId="601" totalsRowDxfId="600"/>
    <tableColumn id="5" name="4" dataDxfId="599" totalsRowDxfId="598"/>
    <tableColumn id="6" name="5" dataDxfId="597" totalsRowDxfId="596"/>
    <tableColumn id="7" name="6" dataDxfId="595" totalsRowDxfId="594"/>
    <tableColumn id="8" name="7" dataDxfId="593" totalsRowDxfId="592"/>
    <tableColumn id="9" name="8" dataDxfId="591" totalsRowDxfId="590"/>
    <tableColumn id="10" name="9" dataDxfId="589" totalsRowDxfId="588"/>
    <tableColumn id="11" name="10" dataDxfId="587" totalsRowDxfId="586"/>
    <tableColumn id="12" name="11" dataDxfId="585" totalsRowDxfId="584"/>
    <tableColumn id="13" name="12" dataDxfId="583" totalsRowDxfId="582"/>
    <tableColumn id="14" name="13" dataDxfId="581" totalsRowDxfId="580"/>
    <tableColumn id="15" name="14" dataDxfId="579" totalsRowDxfId="578"/>
    <tableColumn id="16" name="15" dataDxfId="577" totalsRowDxfId="576"/>
    <tableColumn id="17" name="16" dataDxfId="575" totalsRowDxfId="574"/>
    <tableColumn id="18" name="17" dataDxfId="573" totalsRowDxfId="572"/>
    <tableColumn id="19" name="18" dataDxfId="571" totalsRowDxfId="570"/>
    <tableColumn id="20" name="19" dataDxfId="569" totalsRowDxfId="568"/>
    <tableColumn id="21" name="20" dataDxfId="567" totalsRowDxfId="566"/>
    <tableColumn id="22" name="21" dataDxfId="565" totalsRowDxfId="564"/>
    <tableColumn id="23" name="22" dataDxfId="563" totalsRowDxfId="562"/>
    <tableColumn id="24" name="23" dataDxfId="561" totalsRowDxfId="560"/>
    <tableColumn id="25" name="24" dataDxfId="559" totalsRowDxfId="558"/>
    <tableColumn id="26" name="25" dataDxfId="557" totalsRowDxfId="556"/>
    <tableColumn id="27" name="26" dataDxfId="555" totalsRowDxfId="554"/>
    <tableColumn id="28" name="27" dataDxfId="553" totalsRowDxfId="552"/>
    <tableColumn id="29" name="28" dataDxfId="551" totalsRowDxfId="550"/>
    <tableColumn id="30" name="29" dataDxfId="549" totalsRowDxfId="548"/>
    <tableColumn id="31" name="30" dataDxfId="547" totalsRowDxfId="546"/>
    <tableColumn id="32" name="31" dataDxfId="545" totalsRowDxfId="544"/>
    <tableColumn id="33" name="Total des Heures effectuées" dataDxfId="543" totalsRowDxfId="542"/>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7.xml><?xml version="1.0" encoding="utf-8"?>
<table xmlns="http://schemas.openxmlformats.org/spreadsheetml/2006/main" id="17" name="Juin" displayName="Juin" ref="A6:AG27" totalsRowShown="0" headerRowDxfId="536" dataDxfId="534" totalsRowDxfId="533" headerRowBorderDxfId="535" totalsRowBorderDxfId="532">
  <tableColumns count="33">
    <tableColumn id="1" name="Nom de l’employé" dataDxfId="531" totalsRowDxfId="530" dataCellStyle="Employé"/>
    <tableColumn id="2" name="1" dataDxfId="529" totalsRowDxfId="528"/>
    <tableColumn id="3" name="2" dataDxfId="527" totalsRowDxfId="526"/>
    <tableColumn id="4" name="3" dataDxfId="525" totalsRowDxfId="524"/>
    <tableColumn id="5" name="4" dataDxfId="523" totalsRowDxfId="522"/>
    <tableColumn id="6" name="5" dataDxfId="521" totalsRowDxfId="520"/>
    <tableColumn id="7" name="6" dataDxfId="519" totalsRowDxfId="518"/>
    <tableColumn id="8" name="7" dataDxfId="517" totalsRowDxfId="516"/>
    <tableColumn id="9" name="8" dataDxfId="515" totalsRowDxfId="514"/>
    <tableColumn id="10" name="9" dataDxfId="513" totalsRowDxfId="512"/>
    <tableColumn id="11" name="10" dataDxfId="511" totalsRowDxfId="510"/>
    <tableColumn id="12" name="11" dataDxfId="509" totalsRowDxfId="508"/>
    <tableColumn id="13" name="12" dataDxfId="507" totalsRowDxfId="506"/>
    <tableColumn id="14" name="13" dataDxfId="505" totalsRowDxfId="504"/>
    <tableColumn id="15" name="14" dataDxfId="503" totalsRowDxfId="502"/>
    <tableColumn id="16" name="15" dataDxfId="501" totalsRowDxfId="500"/>
    <tableColumn id="17" name="16" dataDxfId="499" totalsRowDxfId="498"/>
    <tableColumn id="18" name="17" dataDxfId="497" totalsRowDxfId="496"/>
    <tableColumn id="19" name="18" dataDxfId="495" totalsRowDxfId="494"/>
    <tableColumn id="20" name="19" dataDxfId="493" totalsRowDxfId="492"/>
    <tableColumn id="21" name="20" dataDxfId="491" totalsRowDxfId="490"/>
    <tableColumn id="22" name="21" dataDxfId="489" totalsRowDxfId="488"/>
    <tableColumn id="23" name="22" dataDxfId="487" totalsRowDxfId="486"/>
    <tableColumn id="24" name="23" dataDxfId="485" totalsRowDxfId="484"/>
    <tableColumn id="25" name="24" dataDxfId="483" totalsRowDxfId="482"/>
    <tableColumn id="26" name="25" dataDxfId="481" totalsRowDxfId="480"/>
    <tableColumn id="27" name="26" dataDxfId="479" totalsRowDxfId="478"/>
    <tableColumn id="28" name="27" dataDxfId="477" totalsRowDxfId="476"/>
    <tableColumn id="29" name="28" dataDxfId="475" totalsRowDxfId="474"/>
    <tableColumn id="30" name="29" dataDxfId="473" totalsRowDxfId="472"/>
    <tableColumn id="31" name="30" dataDxfId="471" totalsRowDxfId="470"/>
    <tableColumn id="32" name=" " dataDxfId="469" totalsRowDxfId="468"/>
    <tableColumn id="33" name="Total des Heures effectuées" dataDxfId="467" totalsRowDxfId="466"/>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8.xml><?xml version="1.0" encoding="utf-8"?>
<table xmlns="http://schemas.openxmlformats.org/spreadsheetml/2006/main" id="18" name="Juillet" displayName="Juillet" ref="A6:AG27" totalsRowShown="0" headerRowDxfId="460" dataDxfId="458" totalsRowDxfId="457" headerRowBorderDxfId="459" totalsRowBorderDxfId="456">
  <tableColumns count="33">
    <tableColumn id="1" name="Nom de l’employé" dataDxfId="455" totalsRowDxfId="454" dataCellStyle="Employé"/>
    <tableColumn id="2" name="1" dataDxfId="453" totalsRowDxfId="452"/>
    <tableColumn id="3" name="2" dataDxfId="451" totalsRowDxfId="450"/>
    <tableColumn id="4" name="3" dataDxfId="449" totalsRowDxfId="448"/>
    <tableColumn id="5" name="4" dataDxfId="447" totalsRowDxfId="446"/>
    <tableColumn id="6" name="5" dataDxfId="445" totalsRowDxfId="444"/>
    <tableColumn id="7" name="6" dataDxfId="443" totalsRowDxfId="442"/>
    <tableColumn id="8" name="7" dataDxfId="441" totalsRowDxfId="440"/>
    <tableColumn id="9" name="8" dataDxfId="439" totalsRowDxfId="438"/>
    <tableColumn id="10" name="9" dataDxfId="437" totalsRowDxfId="436"/>
    <tableColumn id="11" name="10" dataDxfId="435" totalsRowDxfId="434"/>
    <tableColumn id="12" name="11" dataDxfId="433" totalsRowDxfId="432"/>
    <tableColumn id="13" name="12" dataDxfId="431" totalsRowDxfId="430"/>
    <tableColumn id="14" name="13" dataDxfId="429" totalsRowDxfId="428"/>
    <tableColumn id="15" name="14" dataDxfId="427" totalsRowDxfId="426"/>
    <tableColumn id="16" name="15" dataDxfId="425" totalsRowDxfId="424"/>
    <tableColumn id="17" name="16" dataDxfId="423" totalsRowDxfId="422"/>
    <tableColumn id="18" name="17" dataDxfId="421" totalsRowDxfId="420"/>
    <tableColumn id="19" name="18" dataDxfId="419" totalsRowDxfId="418"/>
    <tableColumn id="20" name="19" dataDxfId="417" totalsRowDxfId="416"/>
    <tableColumn id="21" name="20" dataDxfId="415" totalsRowDxfId="414"/>
    <tableColumn id="22" name="21" dataDxfId="413" totalsRowDxfId="412"/>
    <tableColumn id="23" name="22" dataDxfId="411" totalsRowDxfId="410"/>
    <tableColumn id="24" name="23" dataDxfId="409" totalsRowDxfId="408"/>
    <tableColumn id="25" name="24" dataDxfId="407" totalsRowDxfId="406"/>
    <tableColumn id="26" name="25" dataDxfId="405" totalsRowDxfId="404"/>
    <tableColumn id="27" name="26" dataDxfId="403" totalsRowDxfId="402"/>
    <tableColumn id="28" name="27" dataDxfId="401" totalsRowDxfId="400"/>
    <tableColumn id="29" name="28" dataDxfId="399" totalsRowDxfId="398"/>
    <tableColumn id="30" name="29" dataDxfId="397" totalsRowDxfId="396"/>
    <tableColumn id="31" name="30" dataDxfId="395" totalsRowDxfId="394"/>
    <tableColumn id="32" name="31" dataDxfId="393" totalsRowDxfId="392"/>
    <tableColumn id="33" name="Total des Heures effectuées" dataDxfId="391" totalsRowDxfId="390"/>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9.xml><?xml version="1.0" encoding="utf-8"?>
<table xmlns="http://schemas.openxmlformats.org/spreadsheetml/2006/main" id="19" name="Août" displayName="Août" ref="A6:AG27" totalsRowShown="0" headerRowDxfId="384" dataDxfId="382" totalsRowDxfId="381" headerRowBorderDxfId="383" totalsRowBorderDxfId="380">
  <tableColumns count="33">
    <tableColumn id="1" name="Nom de l’employé" dataDxfId="379" totalsRowDxfId="378" dataCellStyle="Employé"/>
    <tableColumn id="2" name="1" dataDxfId="377" totalsRowDxfId="376"/>
    <tableColumn id="3" name="2" dataDxfId="375" totalsRowDxfId="374"/>
    <tableColumn id="4" name="3" dataDxfId="373" totalsRowDxfId="372"/>
    <tableColumn id="5" name="4" dataDxfId="371" totalsRowDxfId="370"/>
    <tableColumn id="6" name="5" dataDxfId="369" totalsRowDxfId="368"/>
    <tableColumn id="7" name="6" dataDxfId="367" totalsRowDxfId="366"/>
    <tableColumn id="8" name="7" dataDxfId="365" totalsRowDxfId="364"/>
    <tableColumn id="9" name="8" dataDxfId="363" totalsRowDxfId="362"/>
    <tableColumn id="10" name="9" dataDxfId="361" totalsRowDxfId="360"/>
    <tableColumn id="11" name="10" dataDxfId="359" totalsRowDxfId="358"/>
    <tableColumn id="12" name="11" dataDxfId="357" totalsRowDxfId="356"/>
    <tableColumn id="13" name="12" dataDxfId="355" totalsRowDxfId="354"/>
    <tableColumn id="14" name="13" dataDxfId="353" totalsRowDxfId="352"/>
    <tableColumn id="15" name="14" dataDxfId="351" totalsRowDxfId="350"/>
    <tableColumn id="16" name="15" dataDxfId="349" totalsRowDxfId="348"/>
    <tableColumn id="17" name="16" dataDxfId="347" totalsRowDxfId="346"/>
    <tableColumn id="18" name="17" dataDxfId="345" totalsRowDxfId="344"/>
    <tableColumn id="19" name="18" dataDxfId="343" totalsRowDxfId="342"/>
    <tableColumn id="20" name="19" dataDxfId="341" totalsRowDxfId="340"/>
    <tableColumn id="21" name="20" dataDxfId="339" totalsRowDxfId="338"/>
    <tableColumn id="22" name="21" dataDxfId="337" totalsRowDxfId="336"/>
    <tableColumn id="23" name="22" dataDxfId="335" totalsRowDxfId="334"/>
    <tableColumn id="24" name="23" dataDxfId="333" totalsRowDxfId="332"/>
    <tableColumn id="25" name="24" dataDxfId="331" totalsRowDxfId="330"/>
    <tableColumn id="26" name="25" dataDxfId="329" totalsRowDxfId="328"/>
    <tableColumn id="27" name="26" dataDxfId="327" totalsRowDxfId="326"/>
    <tableColumn id="28" name="27" dataDxfId="325" totalsRowDxfId="324"/>
    <tableColumn id="29" name="28" dataDxfId="323" totalsRowDxfId="322"/>
    <tableColumn id="30" name="29" dataDxfId="321" totalsRowDxfId="320"/>
    <tableColumn id="31" name="30" dataDxfId="319" totalsRowDxfId="318"/>
    <tableColumn id="32" name="31" dataDxfId="317" totalsRowDxfId="316"/>
    <tableColumn id="33" name="Total des Heures effectuées" dataDxfId="315" totalsRowDxfId="314"/>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10.xml><?xml version="1.0" encoding="utf-8"?>
<table xmlns="http://schemas.openxmlformats.org/spreadsheetml/2006/main" id="20" name="Septembre" displayName="Septembre" ref="A6:AG27" totalsRowShown="0" headerRowDxfId="308" dataDxfId="306" totalsRowDxfId="305" headerRowBorderDxfId="307" totalsRowBorderDxfId="304">
  <tableColumns count="33">
    <tableColumn id="1" name="Nom de l’employé" dataDxfId="303" totalsRowDxfId="302" dataCellStyle="Employé"/>
    <tableColumn id="2" name="1" dataDxfId="301" totalsRowDxfId="300"/>
    <tableColumn id="3" name="2" dataDxfId="299" totalsRowDxfId="298"/>
    <tableColumn id="4" name="3" dataDxfId="297" totalsRowDxfId="296"/>
    <tableColumn id="5" name="4" dataDxfId="295" totalsRowDxfId="294"/>
    <tableColumn id="6" name="5" dataDxfId="293" totalsRowDxfId="292"/>
    <tableColumn id="7" name="6" dataDxfId="291" totalsRowDxfId="290"/>
    <tableColumn id="8" name="7" dataDxfId="289" totalsRowDxfId="288"/>
    <tableColumn id="9" name="8" dataDxfId="287" totalsRowDxfId="286"/>
    <tableColumn id="10" name="9" dataDxfId="285" totalsRowDxfId="284"/>
    <tableColumn id="11" name="10" dataDxfId="283" totalsRowDxfId="282"/>
    <tableColumn id="12" name="11" dataDxfId="281" totalsRowDxfId="280"/>
    <tableColumn id="13" name="12" dataDxfId="279" totalsRowDxfId="278"/>
    <tableColumn id="14" name="13" dataDxfId="277" totalsRowDxfId="276"/>
    <tableColumn id="15" name="14" dataDxfId="275" totalsRowDxfId="274"/>
    <tableColumn id="16" name="15" dataDxfId="273" totalsRowDxfId="272"/>
    <tableColumn id="17" name="16" dataDxfId="271" totalsRowDxfId="270"/>
    <tableColumn id="18" name="17" dataDxfId="269" totalsRowDxfId="268"/>
    <tableColumn id="19" name="18" dataDxfId="267" totalsRowDxfId="266"/>
    <tableColumn id="20" name="19" dataDxfId="265" totalsRowDxfId="264"/>
    <tableColumn id="21" name="20" dataDxfId="263" totalsRowDxfId="262"/>
    <tableColumn id="22" name="21" dataDxfId="261" totalsRowDxfId="260"/>
    <tableColumn id="23" name="22" dataDxfId="259" totalsRowDxfId="258"/>
    <tableColumn id="24" name="23" dataDxfId="257" totalsRowDxfId="256"/>
    <tableColumn id="25" name="24" dataDxfId="255" totalsRowDxfId="254"/>
    <tableColumn id="26" name="25" dataDxfId="253" totalsRowDxfId="252"/>
    <tableColumn id="27" name="26" dataDxfId="251" totalsRowDxfId="250"/>
    <tableColumn id="28" name="27" dataDxfId="249" totalsRowDxfId="248"/>
    <tableColumn id="29" name="28" dataDxfId="247" totalsRowDxfId="246"/>
    <tableColumn id="30" name="29" dataDxfId="245" totalsRowDxfId="244"/>
    <tableColumn id="31" name="30" dataDxfId="243" totalsRowDxfId="242"/>
    <tableColumn id="32" name=" " dataDxfId="241" totalsRowDxfId="240"/>
    <tableColumn id="33" name="Total des Heures effectuées" dataDxfId="239" totalsRowDxfId="238"/>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11.xml><?xml version="1.0" encoding="utf-8"?>
<table xmlns="http://schemas.openxmlformats.org/spreadsheetml/2006/main" id="21" name="Octobre" displayName="Octobre" ref="A6:AG27" totalsRowShown="0" headerRowDxfId="232" dataDxfId="230" totalsRowDxfId="229" headerRowBorderDxfId="231" totalsRowBorderDxfId="228">
  <tableColumns count="33">
    <tableColumn id="1" name="Nom de l’employé" dataDxfId="227" totalsRowDxfId="226" dataCellStyle="Employé"/>
    <tableColumn id="2" name="1" dataDxfId="225" totalsRowDxfId="224"/>
    <tableColumn id="3" name="2" dataDxfId="223" totalsRowDxfId="222"/>
    <tableColumn id="4" name="3" dataDxfId="221" totalsRowDxfId="220"/>
    <tableColumn id="5" name="4" dataDxfId="219" totalsRowDxfId="218"/>
    <tableColumn id="6" name="5" dataDxfId="217" totalsRowDxfId="216"/>
    <tableColumn id="7" name="6" dataDxfId="215" totalsRowDxfId="214"/>
    <tableColumn id="8" name="7" dataDxfId="213" totalsRowDxfId="212"/>
    <tableColumn id="9" name="8" dataDxfId="211" totalsRowDxfId="210"/>
    <tableColumn id="10" name="9" dataDxfId="209" totalsRowDxfId="208"/>
    <tableColumn id="11" name="10" dataDxfId="207" totalsRowDxfId="206"/>
    <tableColumn id="12" name="11" dataDxfId="205" totalsRowDxfId="204"/>
    <tableColumn id="13" name="12" dataDxfId="203" totalsRowDxfId="202"/>
    <tableColumn id="14" name="13" dataDxfId="201" totalsRowDxfId="200"/>
    <tableColumn id="15" name="14" dataDxfId="199" totalsRowDxfId="198"/>
    <tableColumn id="16" name="15" dataDxfId="197" totalsRowDxfId="196"/>
    <tableColumn id="17" name="16" dataDxfId="195" totalsRowDxfId="194"/>
    <tableColumn id="18" name="17" dataDxfId="193" totalsRowDxfId="192"/>
    <tableColumn id="19" name="18" dataDxfId="191" totalsRowDxfId="190"/>
    <tableColumn id="20" name="19" dataDxfId="189" totalsRowDxfId="188"/>
    <tableColumn id="21" name="20" dataDxfId="187" totalsRowDxfId="186"/>
    <tableColumn id="22" name="21" dataDxfId="185" totalsRowDxfId="184"/>
    <tableColumn id="23" name="22" dataDxfId="183" totalsRowDxfId="182"/>
    <tableColumn id="24" name="23" dataDxfId="181" totalsRowDxfId="180"/>
    <tableColumn id="25" name="24" dataDxfId="179" totalsRowDxfId="178"/>
    <tableColumn id="26" name="25" dataDxfId="177" totalsRowDxfId="176"/>
    <tableColumn id="27" name="26" dataDxfId="175" totalsRowDxfId="174"/>
    <tableColumn id="28" name="27" dataDxfId="173" totalsRowDxfId="172"/>
    <tableColumn id="29" name="28" dataDxfId="171" totalsRowDxfId="170"/>
    <tableColumn id="30" name="29" dataDxfId="169" totalsRowDxfId="168"/>
    <tableColumn id="31" name="30" dataDxfId="167" totalsRowDxfId="166"/>
    <tableColumn id="32" name="31" dataDxfId="165" totalsRowDxfId="164"/>
    <tableColumn id="33" name="Total des Heures effectuées" dataDxfId="163" totalsRowDxfId="162"/>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12.xml><?xml version="1.0" encoding="utf-8"?>
<table xmlns="http://schemas.openxmlformats.org/spreadsheetml/2006/main" id="22" name="Novembre" displayName="Novembre" ref="A6:AG27" totalsRowShown="0" headerRowDxfId="156" dataDxfId="154" totalsRowDxfId="153" headerRowBorderDxfId="155" totalsRowBorderDxfId="152">
  <tableColumns count="33">
    <tableColumn id="1" name="Nom de l’employé" dataDxfId="151" totalsRowDxfId="150" dataCellStyle="Employé"/>
    <tableColumn id="2" name="1" dataDxfId="149" totalsRowDxfId="148"/>
    <tableColumn id="3" name="2" dataDxfId="147" totalsRowDxfId="146"/>
    <tableColumn id="4" name="3" dataDxfId="145" totalsRowDxfId="144"/>
    <tableColumn id="5" name="4" dataDxfId="143" totalsRowDxfId="142"/>
    <tableColumn id="6" name="5" dataDxfId="141" totalsRowDxfId="140"/>
    <tableColumn id="7" name="6" dataDxfId="139" totalsRowDxfId="138"/>
    <tableColumn id="8" name="7" dataDxfId="137" totalsRowDxfId="136"/>
    <tableColumn id="9" name="8" dataDxfId="135" totalsRowDxfId="134"/>
    <tableColumn id="10" name="9" dataDxfId="133" totalsRowDxfId="132"/>
    <tableColumn id="11" name="10" dataDxfId="131" totalsRowDxfId="130"/>
    <tableColumn id="12" name="11" dataDxfId="129" totalsRowDxfId="128"/>
    <tableColumn id="13" name="12" dataDxfId="127" totalsRowDxfId="126"/>
    <tableColumn id="14" name="13" dataDxfId="125" totalsRowDxfId="124"/>
    <tableColumn id="15" name="14" dataDxfId="123" totalsRowDxfId="122"/>
    <tableColumn id="16" name="15" dataDxfId="121" totalsRowDxfId="120"/>
    <tableColumn id="17" name="16" dataDxfId="119" totalsRowDxfId="118"/>
    <tableColumn id="18" name="17" dataDxfId="117" totalsRowDxfId="116"/>
    <tableColumn id="19" name="18" dataDxfId="115" totalsRowDxfId="114"/>
    <tableColumn id="20" name="19" dataDxfId="113" totalsRowDxfId="112"/>
    <tableColumn id="21" name="20" dataDxfId="111" totalsRowDxfId="110"/>
    <tableColumn id="22" name="21" dataDxfId="109" totalsRowDxfId="108"/>
    <tableColumn id="23" name="22" dataDxfId="107" totalsRowDxfId="106"/>
    <tableColumn id="24" name="23" dataDxfId="105" totalsRowDxfId="104"/>
    <tableColumn id="25" name="24" dataDxfId="103" totalsRowDxfId="102"/>
    <tableColumn id="26" name="25" dataDxfId="101" totalsRowDxfId="100"/>
    <tableColumn id="27" name="26" dataDxfId="99" totalsRowDxfId="98"/>
    <tableColumn id="28" name="27" dataDxfId="97" totalsRowDxfId="96"/>
    <tableColumn id="29" name="28" dataDxfId="95" totalsRowDxfId="94"/>
    <tableColumn id="30" name="29" dataDxfId="93" totalsRowDxfId="92"/>
    <tableColumn id="31" name="30" dataDxfId="91" totalsRowDxfId="90"/>
    <tableColumn id="32" name=" " dataDxfId="89" totalsRowDxfId="88"/>
    <tableColumn id="33" name="Total des Heures effectuées" dataDxfId="87" totalsRowDxfId="86"/>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13.xml><?xml version="1.0" encoding="utf-8"?>
<table xmlns="http://schemas.openxmlformats.org/spreadsheetml/2006/main" id="12" name="Décembre" displayName="Décembre" ref="A6:AG27" totalsRowShown="0" headerRowDxfId="80" dataDxfId="78" totalsRowDxfId="77" headerRowBorderDxfId="79" totalsRowBorderDxfId="76">
  <tableColumns count="33">
    <tableColumn id="1" name="Nom de l’employé" dataDxfId="75" totalsRowDxfId="74" dataCellStyle="Employé"/>
    <tableColumn id="2" name="1" dataDxfId="73" totalsRowDxfId="72"/>
    <tableColumn id="3" name="2" dataDxfId="71" totalsRowDxfId="70"/>
    <tableColumn id="4" name="3" dataDxfId="69" totalsRowDxfId="68"/>
    <tableColumn id="5" name="4" dataDxfId="67" totalsRowDxfId="66"/>
    <tableColumn id="6" name="5" dataDxfId="65" totalsRowDxfId="64"/>
    <tableColumn id="7" name="6" dataDxfId="63" totalsRowDxfId="62"/>
    <tableColumn id="8" name="7" dataDxfId="61" totalsRowDxfId="60"/>
    <tableColumn id="9" name="8" dataDxfId="59" totalsRowDxfId="58"/>
    <tableColumn id="10" name="9" dataDxfId="57" totalsRowDxfId="56"/>
    <tableColumn id="11" name="10" dataDxfId="55" totalsRowDxfId="54"/>
    <tableColumn id="12" name="11" dataDxfId="53" totalsRowDxfId="52"/>
    <tableColumn id="13" name="12" dataDxfId="51" totalsRowDxfId="50"/>
    <tableColumn id="14" name="13" dataDxfId="49" totalsRowDxfId="48"/>
    <tableColumn id="15" name="14" dataDxfId="47" totalsRowDxfId="46"/>
    <tableColumn id="16" name="15" dataDxfId="45" totalsRowDxfId="44"/>
    <tableColumn id="17" name="16" dataDxfId="43" totalsRowDxfId="42"/>
    <tableColumn id="18" name="17" dataDxfId="41" totalsRowDxfId="40"/>
    <tableColumn id="19" name="18" dataDxfId="39" totalsRowDxfId="38"/>
    <tableColumn id="20" name="19" dataDxfId="37" totalsRowDxfId="36"/>
    <tableColumn id="21" name="20" dataDxfId="35" totalsRowDxfId="34"/>
    <tableColumn id="22" name="21" dataDxfId="33" totalsRowDxfId="32"/>
    <tableColumn id="23" name="22" dataDxfId="31" totalsRowDxfId="30"/>
    <tableColumn id="24" name="23" dataDxfId="29" totalsRowDxfId="28"/>
    <tableColumn id="25" name="24" dataDxfId="27" totalsRowDxfId="26"/>
    <tableColumn id="26" name="25" dataDxfId="25" totalsRowDxfId="24"/>
    <tableColumn id="27" name="26" dataDxfId="23" totalsRowDxfId="22"/>
    <tableColumn id="28" name="27" dataDxfId="21" totalsRowDxfId="20"/>
    <tableColumn id="29" name="28" dataDxfId="19" totalsRowDxfId="18"/>
    <tableColumn id="30" name="29" dataDxfId="17" totalsRowDxfId="16"/>
    <tableColumn id="31" name="30" dataDxfId="15" totalsRowDxfId="14"/>
    <tableColumn id="32" name="31" dataDxfId="13" totalsRowDxfId="12"/>
    <tableColumn id="33" name="Total des Heures effectuées" dataDxfId="11" totalsRowDxfId="10"/>
  </tableColumns>
  <tableStyleInfo name="Tableau des absences des employés" showFirstColumn="1" showLastColumn="1" showRowStripes="1" showColumnStripes="0"/>
  <extLst>
    <ext xmlns:x14="http://schemas.microsoft.com/office/spreadsheetml/2009/9/main" uri="{504A1905-F514-4f6f-8877-14C23A59335A}">
      <x14:table altTextSummary="Fournit une liste de noms et des dates de calendrier pour enregistrer les absences et motifs d’absence des employés (C= Congé, M=Maladie, P=Personnel, et deux espaces réservés pour des entrées personnalisées)"/>
    </ext>
  </extLst>
</table>
</file>

<file path=xl/theme/theme1.xml><?xml version="1.0" encoding="utf-8"?>
<a:theme xmlns:a="http://schemas.openxmlformats.org/drawingml/2006/main" name="Office Theme">
  <a:themeElements>
    <a:clrScheme name="Employee Absense Schedule">
      <a:dk1>
        <a:sysClr val="windowText" lastClr="000000"/>
      </a:dk1>
      <a:lt1>
        <a:sysClr val="window" lastClr="FFFFFF"/>
      </a:lt1>
      <a:dk2>
        <a:srgbClr val="4B180E"/>
      </a:dk2>
      <a:lt2>
        <a:srgbClr val="F1F2E8"/>
      </a:lt2>
      <a:accent1>
        <a:srgbClr val="A53423"/>
      </a:accent1>
      <a:accent2>
        <a:srgbClr val="E68130"/>
      </a:accent2>
      <a:accent3>
        <a:srgbClr val="9BB05D"/>
      </a:accent3>
      <a:accent4>
        <a:srgbClr val="CC9900"/>
      </a:accent4>
      <a:accent5>
        <a:srgbClr val="4F66AF"/>
      </a:accent5>
      <a:accent6>
        <a:srgbClr val="D0D2D3"/>
      </a:accent6>
      <a:hlink>
        <a:srgbClr val="4F66AF"/>
      </a:hlink>
      <a:folHlink>
        <a:srgbClr val="6B9AC6"/>
      </a:folHlink>
    </a:clrScheme>
    <a:fontScheme name="Employee Absence Schedule">
      <a:majorFont>
        <a:latin typeface="Calibri"/>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table" Target="../tables/table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table" Target="../tables/table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table" Target="../tables/table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table" Target="../tables/table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table" Target="../tables/table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table" Target="../tables/table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table" Target="../tables/table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table" Target="../tables/table13.x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1"/>
  </sheetPr>
  <dimension ref="B1:I22"/>
  <sheetViews>
    <sheetView showGridLines="0" tabSelected="1" workbookViewId="0">
      <selection activeCell="D4" sqref="D4"/>
    </sheetView>
  </sheetViews>
  <sheetFormatPr baseColWidth="10" defaultColWidth="9.109375" defaultRowHeight="30" customHeight="1" x14ac:dyDescent="0.3"/>
  <cols>
    <col min="1" max="1" width="2.6640625" style="25" customWidth="1"/>
    <col min="2" max="2" width="32.5546875" style="25" bestFit="1" customWidth="1"/>
    <col min="3" max="3" width="2.6640625" style="25" customWidth="1"/>
    <col min="4" max="6" width="9.109375" style="25"/>
    <col min="7" max="7" width="20.6640625" style="26" customWidth="1"/>
    <col min="8" max="8" width="16.33203125" style="26" customWidth="1"/>
    <col min="9" max="9" width="12" style="27" customWidth="1"/>
    <col min="10" max="16384" width="9.109375" style="25"/>
  </cols>
  <sheetData>
    <row r="1" spans="2:9" ht="50.1" customHeight="1" x14ac:dyDescent="0.3">
      <c r="B1" s="28" t="s">
        <v>54</v>
      </c>
      <c r="G1" s="50" t="s">
        <v>64</v>
      </c>
      <c r="H1" s="50"/>
      <c r="I1" s="50"/>
    </row>
    <row r="2" spans="2:9" ht="34.950000000000003" customHeight="1" x14ac:dyDescent="0.3">
      <c r="B2" s="19" t="s">
        <v>54</v>
      </c>
      <c r="G2" s="21" t="s">
        <v>58</v>
      </c>
      <c r="H2" s="22" t="s">
        <v>59</v>
      </c>
      <c r="I2" s="23" t="s">
        <v>102</v>
      </c>
    </row>
    <row r="3" spans="2:9" ht="34.950000000000003" customHeight="1" x14ac:dyDescent="0.3">
      <c r="B3" s="20" t="s">
        <v>3</v>
      </c>
      <c r="G3" s="6" t="s">
        <v>96</v>
      </c>
      <c r="H3" s="6" t="s">
        <v>103</v>
      </c>
      <c r="I3" s="24">
        <v>10</v>
      </c>
    </row>
    <row r="4" spans="2:9" ht="34.950000000000003" customHeight="1" x14ac:dyDescent="0.3">
      <c r="B4" s="20" t="s">
        <v>4</v>
      </c>
      <c r="G4" s="6" t="s">
        <v>97</v>
      </c>
      <c r="H4" s="6" t="s">
        <v>108</v>
      </c>
      <c r="I4" s="24">
        <v>10</v>
      </c>
    </row>
    <row r="5" spans="2:9" ht="34.950000000000003" customHeight="1" x14ac:dyDescent="0.3">
      <c r="B5" s="20" t="s">
        <v>5</v>
      </c>
      <c r="G5" s="6" t="s">
        <v>98</v>
      </c>
      <c r="H5" s="6" t="s">
        <v>104</v>
      </c>
      <c r="I5" s="24">
        <v>10</v>
      </c>
    </row>
    <row r="6" spans="2:9" ht="34.950000000000003" customHeight="1" x14ac:dyDescent="0.3">
      <c r="B6" s="20" t="s">
        <v>6</v>
      </c>
      <c r="G6" s="6" t="s">
        <v>99</v>
      </c>
      <c r="H6" s="6" t="s">
        <v>108</v>
      </c>
      <c r="I6" s="24">
        <v>10</v>
      </c>
    </row>
    <row r="7" spans="2:9" ht="34.950000000000003" customHeight="1" x14ac:dyDescent="0.3">
      <c r="B7" s="20" t="s">
        <v>7</v>
      </c>
      <c r="G7" s="6" t="s">
        <v>100</v>
      </c>
      <c r="H7" s="6" t="s">
        <v>108</v>
      </c>
      <c r="I7" s="24">
        <v>10</v>
      </c>
    </row>
    <row r="8" spans="2:9" ht="34.950000000000003" customHeight="1" x14ac:dyDescent="0.3">
      <c r="B8" s="20" t="s">
        <v>55</v>
      </c>
      <c r="G8" s="6" t="s">
        <v>101</v>
      </c>
      <c r="H8" s="6" t="s">
        <v>105</v>
      </c>
      <c r="I8" s="24">
        <v>7</v>
      </c>
    </row>
    <row r="9" spans="2:9" ht="34.950000000000003" customHeight="1" x14ac:dyDescent="0.3">
      <c r="B9" s="20" t="s">
        <v>56</v>
      </c>
      <c r="G9" s="6"/>
      <c r="H9" s="6"/>
      <c r="I9" s="24"/>
    </row>
    <row r="10" spans="2:9" ht="34.950000000000003" customHeight="1" x14ac:dyDescent="0.3">
      <c r="B10" s="20" t="s">
        <v>57</v>
      </c>
      <c r="G10" s="6"/>
      <c r="H10" s="6"/>
      <c r="I10" s="24"/>
    </row>
    <row r="11" spans="2:9" ht="34.950000000000003" customHeight="1" x14ac:dyDescent="0.3">
      <c r="B11" s="20" t="s">
        <v>61</v>
      </c>
      <c r="G11" s="6"/>
      <c r="H11" s="6"/>
      <c r="I11" s="24"/>
    </row>
    <row r="12" spans="2:9" ht="34.950000000000003" customHeight="1" x14ac:dyDescent="0.3">
      <c r="B12" s="20" t="s">
        <v>62</v>
      </c>
      <c r="G12" s="6"/>
      <c r="H12" s="6"/>
      <c r="I12" s="24"/>
    </row>
    <row r="13" spans="2:9" ht="34.950000000000003" customHeight="1" x14ac:dyDescent="0.3">
      <c r="B13" s="20" t="s">
        <v>63</v>
      </c>
      <c r="G13" s="6"/>
      <c r="H13" s="6"/>
      <c r="I13" s="24"/>
    </row>
    <row r="14" spans="2:9" ht="34.950000000000003" customHeight="1" x14ac:dyDescent="0.3">
      <c r="B14" s="20" t="s">
        <v>65</v>
      </c>
      <c r="G14" s="6"/>
      <c r="H14" s="6"/>
      <c r="I14" s="24"/>
    </row>
    <row r="15" spans="2:9" ht="34.950000000000003" customHeight="1" x14ac:dyDescent="0.3">
      <c r="B15" s="20" t="s">
        <v>66</v>
      </c>
      <c r="G15" s="6"/>
      <c r="H15" s="6"/>
      <c r="I15" s="24"/>
    </row>
    <row r="16" spans="2:9" ht="34.950000000000003" customHeight="1" x14ac:dyDescent="0.3">
      <c r="B16" s="20" t="s">
        <v>67</v>
      </c>
      <c r="G16" s="6"/>
      <c r="H16" s="6"/>
      <c r="I16" s="24"/>
    </row>
    <row r="17" spans="2:2" ht="34.950000000000003" customHeight="1" x14ac:dyDescent="0.3">
      <c r="B17" s="20" t="s">
        <v>68</v>
      </c>
    </row>
    <row r="18" spans="2:2" ht="34.950000000000003" customHeight="1" x14ac:dyDescent="0.3">
      <c r="B18" s="20" t="s">
        <v>91</v>
      </c>
    </row>
    <row r="19" spans="2:2" ht="34.950000000000003" customHeight="1" x14ac:dyDescent="0.3">
      <c r="B19" s="20" t="s">
        <v>92</v>
      </c>
    </row>
    <row r="20" spans="2:2" ht="34.950000000000003" customHeight="1" x14ac:dyDescent="0.3">
      <c r="B20" s="20" t="s">
        <v>93</v>
      </c>
    </row>
    <row r="21" spans="2:2" ht="34.950000000000003" customHeight="1" x14ac:dyDescent="0.3">
      <c r="B21" s="20" t="s">
        <v>94</v>
      </c>
    </row>
    <row r="22" spans="2:2" ht="34.950000000000003" customHeight="1" x14ac:dyDescent="0.3">
      <c r="B22" s="20" t="s">
        <v>95</v>
      </c>
    </row>
  </sheetData>
  <dataConsolidate function="count">
    <dataRefs count="1">
      <dataRef ref="I3" sheet="Paramétrage"/>
    </dataRefs>
  </dataConsolidate>
  <mergeCells count="1">
    <mergeCell ref="G1:I1"/>
  </mergeCells>
  <dataValidations count="4">
    <dataValidation allowBlank="1" showInputMessage="1" showErrorMessage="1" prompt="Titre Noms des employés" sqref="B1 G1"/>
    <dataValidation allowBlank="1" showInputMessage="1" showErrorMessage="1" prompt="Entrez les noms des employés dans le tableau Noms des employés dans cette feuille de calcul. Ces noms sont utilisés en tant qu’options dans la colonne B du tableau des absences de chaque mois." sqref="A1"/>
    <dataValidation allowBlank="1" showInputMessage="1" showErrorMessage="1" prompt="Entrez les noms des employés dans cette colonne" sqref="B2"/>
    <dataValidation type="list" allowBlank="1" showInputMessage="1" showErrorMessage="1" sqref="G2">
      <formula1>$G$3:$G$16</formula1>
    </dataValidation>
  </dataValidations>
  <pageMargins left="0.7" right="0.7" top="0.75" bottom="0.75" header="0.3" footer="0.3"/>
  <pageSetup paperSize="9" orientation="portrait" horizontalDpi="200" verticalDpi="200"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E25"/>
  <sheetViews>
    <sheetView topLeftCell="B1" zoomScaleNormal="100" workbookViewId="0">
      <selection activeCell="C21" sqref="C21"/>
    </sheetView>
  </sheetViews>
  <sheetFormatPr baseColWidth="10" defaultRowHeight="12" x14ac:dyDescent="0.3"/>
  <cols>
    <col min="1" max="1" width="3.77734375" style="5" customWidth="1"/>
    <col min="2" max="2" width="23.77734375" style="5" customWidth="1"/>
    <col min="3" max="3" width="11.5546875" style="5"/>
    <col min="4" max="31" width="5.77734375" style="5" customWidth="1"/>
    <col min="32" max="16384" width="11.5546875" style="5"/>
  </cols>
  <sheetData>
    <row r="2" spans="1:31" s="13" customFormat="1" x14ac:dyDescent="0.3">
      <c r="A2" s="4"/>
      <c r="B2" s="7" t="s">
        <v>0</v>
      </c>
      <c r="C2" s="8" t="s">
        <v>88</v>
      </c>
      <c r="D2" s="57" t="s">
        <v>89</v>
      </c>
      <c r="E2" s="57"/>
      <c r="F2" s="57"/>
      <c r="G2" s="57"/>
      <c r="H2" s="9" t="s">
        <v>82</v>
      </c>
      <c r="I2" s="57" t="s">
        <v>9</v>
      </c>
      <c r="J2" s="57"/>
      <c r="K2" s="10" t="s">
        <v>86</v>
      </c>
      <c r="L2" s="57" t="s">
        <v>87</v>
      </c>
      <c r="M2" s="57"/>
      <c r="N2" s="57"/>
      <c r="O2" s="57"/>
      <c r="P2" s="11" t="s">
        <v>60</v>
      </c>
      <c r="Q2" s="57" t="s">
        <v>83</v>
      </c>
      <c r="R2" s="57"/>
      <c r="S2" s="12" t="s">
        <v>84</v>
      </c>
      <c r="T2" s="57" t="s">
        <v>85</v>
      </c>
      <c r="U2" s="57"/>
      <c r="V2" s="57"/>
      <c r="W2" s="4"/>
      <c r="X2" s="4"/>
      <c r="Y2" s="4"/>
      <c r="Z2" s="4"/>
      <c r="AA2" s="4"/>
      <c r="AB2" s="4"/>
      <c r="AC2" s="4"/>
      <c r="AD2" s="4"/>
      <c r="AE2" s="4"/>
    </row>
    <row r="4" spans="1:31" ht="12.6" customHeight="1" thickBot="1" x14ac:dyDescent="0.35">
      <c r="D4" s="51" t="s">
        <v>69</v>
      </c>
      <c r="E4" s="52"/>
      <c r="F4" s="52"/>
      <c r="G4" s="52"/>
      <c r="H4" s="52"/>
      <c r="I4" s="52"/>
      <c r="J4" s="53"/>
      <c r="K4" s="54" t="s">
        <v>70</v>
      </c>
      <c r="L4" s="55"/>
      <c r="M4" s="55"/>
      <c r="N4" s="55"/>
      <c r="O4" s="55"/>
      <c r="P4" s="55"/>
      <c r="Q4" s="56"/>
      <c r="R4" s="51" t="s">
        <v>71</v>
      </c>
      <c r="S4" s="52"/>
      <c r="T4" s="52"/>
      <c r="U4" s="52"/>
      <c r="V4" s="52"/>
      <c r="W4" s="52"/>
      <c r="X4" s="53"/>
      <c r="Y4" s="54" t="s">
        <v>72</v>
      </c>
      <c r="Z4" s="55"/>
      <c r="AA4" s="55"/>
      <c r="AB4" s="55"/>
      <c r="AC4" s="55"/>
      <c r="AD4" s="55"/>
      <c r="AE4" s="56"/>
    </row>
    <row r="5" spans="1:31" ht="12.6" thickBot="1" x14ac:dyDescent="0.35">
      <c r="B5" s="14" t="s">
        <v>54</v>
      </c>
      <c r="C5" s="15" t="s">
        <v>73</v>
      </c>
      <c r="D5" s="16" t="s">
        <v>74</v>
      </c>
      <c r="E5" s="16" t="s">
        <v>75</v>
      </c>
      <c r="F5" s="16" t="s">
        <v>76</v>
      </c>
      <c r="G5" s="16" t="s">
        <v>77</v>
      </c>
      <c r="H5" s="16" t="s">
        <v>78</v>
      </c>
      <c r="I5" s="17" t="s">
        <v>79</v>
      </c>
      <c r="J5" s="17" t="s">
        <v>80</v>
      </c>
      <c r="K5" s="16" t="s">
        <v>81</v>
      </c>
      <c r="L5" s="16" t="s">
        <v>75</v>
      </c>
      <c r="M5" s="16" t="s">
        <v>76</v>
      </c>
      <c r="N5" s="16" t="s">
        <v>77</v>
      </c>
      <c r="O5" s="16" t="s">
        <v>78</v>
      </c>
      <c r="P5" s="17" t="s">
        <v>79</v>
      </c>
      <c r="Q5" s="17" t="s">
        <v>80</v>
      </c>
      <c r="R5" s="16" t="s">
        <v>81</v>
      </c>
      <c r="S5" s="16" t="s">
        <v>75</v>
      </c>
      <c r="T5" s="16" t="s">
        <v>76</v>
      </c>
      <c r="U5" s="16" t="s">
        <v>77</v>
      </c>
      <c r="V5" s="16" t="s">
        <v>78</v>
      </c>
      <c r="W5" s="17" t="s">
        <v>79</v>
      </c>
      <c r="X5" s="17" t="s">
        <v>80</v>
      </c>
      <c r="Y5" s="16" t="s">
        <v>81</v>
      </c>
      <c r="Z5" s="16" t="s">
        <v>75</v>
      </c>
      <c r="AA5" s="16" t="s">
        <v>76</v>
      </c>
      <c r="AB5" s="16" t="s">
        <v>77</v>
      </c>
      <c r="AC5" s="16" t="s">
        <v>78</v>
      </c>
      <c r="AD5" s="17" t="s">
        <v>79</v>
      </c>
      <c r="AE5" s="17" t="s">
        <v>80</v>
      </c>
    </row>
    <row r="6" spans="1:31" x14ac:dyDescent="0.3">
      <c r="A6" s="2">
        <v>1</v>
      </c>
      <c r="B6" s="2"/>
      <c r="C6" s="18">
        <f>COUNTIF(D6:AE6,Paramétrage!$G$3)*Paramétrage!$I$3+COUNTIF(D6:AE6,Paramétrage!$G$4)*Paramétrage!$I$4+COUNTIF(D6:AE6,Paramétrage!$G$5)*Paramétrage!$I$5+COUNTIF(D6:AE6,Paramétrage!$G$6)*Paramétrage!$I$6+COUNTIF(D6:AE6,Paramétrage!$G$7)*Paramétrage!$I$7+COUNTIF(D6:AE6,Paramétrage!$G$8)*Paramétrage!$I$8+COUNTIF(D6:AE6,Paramétrage!$G$9)*Paramétrage!$I$9+COUNTIF(D6:AE6,Paramétrage!$G$10)*Paramétrage!$I$10+COUNTIF(D6:AE6,Paramétrage!$G$11)*Paramétrage!$I$11+COUNTIF(D6:AE6,Paramétrage!$G$12)*Paramétrage!$I$12+COUNTIF(D6:AE6,Paramétrage!$G$13)*Paramétrage!$I$13+COUNTIF(D6:AE6,Paramétrage!$G$14*Paramétrage!$I$14+COUNTIF(D6:AE6,Paramétrage!$G$15)*Paramétrage!$I$15+COUNTIF(D6:AE6,Paramétrage!$G$16)*Paramétrage!$I$16)</f>
        <v>140</v>
      </c>
      <c r="D6" s="1" t="s">
        <v>96</v>
      </c>
      <c r="E6" s="2" t="s">
        <v>88</v>
      </c>
      <c r="F6" s="2" t="s">
        <v>88</v>
      </c>
      <c r="G6" s="2" t="s">
        <v>96</v>
      </c>
      <c r="H6" s="2" t="s">
        <v>96</v>
      </c>
      <c r="I6" s="3" t="s">
        <v>88</v>
      </c>
      <c r="J6" s="3" t="s">
        <v>88</v>
      </c>
      <c r="K6" s="2" t="s">
        <v>88</v>
      </c>
      <c r="L6" s="2" t="s">
        <v>96</v>
      </c>
      <c r="M6" s="2" t="s">
        <v>96</v>
      </c>
      <c r="N6" s="2" t="s">
        <v>88</v>
      </c>
      <c r="O6" s="2" t="s">
        <v>88</v>
      </c>
      <c r="P6" s="3" t="s">
        <v>96</v>
      </c>
      <c r="Q6" s="3" t="s">
        <v>96</v>
      </c>
      <c r="R6" s="2" t="s">
        <v>96</v>
      </c>
      <c r="S6" s="2" t="s">
        <v>88</v>
      </c>
      <c r="T6" s="2" t="s">
        <v>88</v>
      </c>
      <c r="U6" s="2" t="s">
        <v>96</v>
      </c>
      <c r="V6" s="2" t="s">
        <v>96</v>
      </c>
      <c r="W6" s="3" t="s">
        <v>88</v>
      </c>
      <c r="X6" s="3" t="s">
        <v>88</v>
      </c>
      <c r="Y6" s="2" t="s">
        <v>88</v>
      </c>
      <c r="Z6" s="2" t="s">
        <v>96</v>
      </c>
      <c r="AA6" s="2" t="s">
        <v>96</v>
      </c>
      <c r="AB6" s="2" t="s">
        <v>88</v>
      </c>
      <c r="AC6" s="2" t="s">
        <v>88</v>
      </c>
      <c r="AD6" s="3" t="s">
        <v>96</v>
      </c>
      <c r="AE6" s="3" t="s">
        <v>96</v>
      </c>
    </row>
    <row r="7" spans="1:31" x14ac:dyDescent="0.3">
      <c r="A7" s="2">
        <v>2</v>
      </c>
      <c r="B7" s="2"/>
      <c r="C7" s="18">
        <f>COUNTIF(D7:AE7,Paramétrage!$G$3)*Paramétrage!$I$3+COUNTIF(D7:AE7,Paramétrage!$G$4)*Paramétrage!$I$4+COUNTIF(D7:AE7,Paramétrage!$G$5)*Paramétrage!$I$5+COUNTIF(D7:AE7,Paramétrage!$G$6)*Paramétrage!$I$6+COUNTIF(D7:AE7,Paramétrage!$G$7)*Paramétrage!$I$7+COUNTIF(D7:AE7,Paramétrage!$G$8)*Paramétrage!$I$8+COUNTIF(D7:AE7,Paramétrage!$G$9)*Paramétrage!$I$9+COUNTIF(D7:AE7,Paramétrage!$G$10)*Paramétrage!$I$10+COUNTIF(D7:AE7,Paramétrage!$G$11)*Paramétrage!$I$11+COUNTIF(D7:AE7,Paramétrage!$G$12)*Paramétrage!$I$12+COUNTIF(D7:AE7,Paramétrage!$G$13)*Paramétrage!$I$13+COUNTIF(D7:AE7,Paramétrage!$G$14*Paramétrage!$I$14+COUNTIF(D7:AE7,Paramétrage!$G$15)*Paramétrage!$I$15+COUNTIF(D7:AE7,Paramétrage!$G$16)*Paramétrage!$I$16)</f>
        <v>140</v>
      </c>
      <c r="D7" s="1" t="s">
        <v>97</v>
      </c>
      <c r="E7" s="2" t="s">
        <v>88</v>
      </c>
      <c r="F7" s="2" t="s">
        <v>88</v>
      </c>
      <c r="G7" s="2" t="s">
        <v>97</v>
      </c>
      <c r="H7" s="2" t="s">
        <v>97</v>
      </c>
      <c r="I7" s="3" t="s">
        <v>88</v>
      </c>
      <c r="J7" s="3" t="s">
        <v>88</v>
      </c>
      <c r="K7" s="2" t="s">
        <v>88</v>
      </c>
      <c r="L7" s="2" t="s">
        <v>97</v>
      </c>
      <c r="M7" s="2" t="s">
        <v>97</v>
      </c>
      <c r="N7" s="2" t="s">
        <v>88</v>
      </c>
      <c r="O7" s="2" t="s">
        <v>88</v>
      </c>
      <c r="P7" s="3" t="s">
        <v>97</v>
      </c>
      <c r="Q7" s="3" t="s">
        <v>97</v>
      </c>
      <c r="R7" s="2" t="s">
        <v>97</v>
      </c>
      <c r="S7" s="2" t="s">
        <v>88</v>
      </c>
      <c r="T7" s="2" t="s">
        <v>88</v>
      </c>
      <c r="U7" s="2" t="s">
        <v>97</v>
      </c>
      <c r="V7" s="2" t="s">
        <v>97</v>
      </c>
      <c r="W7" s="3" t="s">
        <v>88</v>
      </c>
      <c r="X7" s="3" t="s">
        <v>88</v>
      </c>
      <c r="Y7" s="2" t="s">
        <v>88</v>
      </c>
      <c r="Z7" s="2" t="s">
        <v>97</v>
      </c>
      <c r="AA7" s="2" t="s">
        <v>97</v>
      </c>
      <c r="AB7" s="2" t="s">
        <v>88</v>
      </c>
      <c r="AC7" s="2" t="s">
        <v>88</v>
      </c>
      <c r="AD7" s="3" t="s">
        <v>97</v>
      </c>
      <c r="AE7" s="3" t="s">
        <v>97</v>
      </c>
    </row>
    <row r="8" spans="1:31" x14ac:dyDescent="0.3">
      <c r="A8" s="2">
        <v>3</v>
      </c>
      <c r="B8" s="2"/>
      <c r="C8" s="18">
        <f>COUNTIF(D8:AE8,Paramétrage!$G$3)*Paramétrage!$I$3+COUNTIF(D8:AE8,Paramétrage!$G$4)*Paramétrage!$I$4+COUNTIF(D8:AE8,Paramétrage!$G$5)*Paramétrage!$I$5+COUNTIF(D8:AE8,Paramétrage!$G$6)*Paramétrage!$I$6+COUNTIF(D8:AE8,Paramétrage!$G$7)*Paramétrage!$I$7+COUNTIF(D8:AE8,Paramétrage!$G$8)*Paramétrage!$I$8+COUNTIF(D8:AE8,Paramétrage!$G$9)*Paramétrage!$I$9+COUNTIF(D8:AE8,Paramétrage!$G$10)*Paramétrage!$I$10+COUNTIF(D8:AE8,Paramétrage!$G$11)*Paramétrage!$I$11+COUNTIF(D8:AE8,Paramétrage!$G$12)*Paramétrage!$I$12+COUNTIF(D8:AE8,Paramétrage!$G$13)*Paramétrage!$I$13+COUNTIF(D8:AE8,Paramétrage!$G$14*Paramétrage!$I$14+COUNTIF(D8:AE8,Paramétrage!$G$15)*Paramétrage!$I$15+COUNTIF(D8:AE8,Paramétrage!$G$16)*Paramétrage!$I$16)</f>
        <v>140</v>
      </c>
      <c r="D8" s="1" t="s">
        <v>98</v>
      </c>
      <c r="E8" s="2" t="s">
        <v>88</v>
      </c>
      <c r="F8" s="2" t="s">
        <v>88</v>
      </c>
      <c r="G8" s="2" t="s">
        <v>98</v>
      </c>
      <c r="H8" s="2" t="s">
        <v>98</v>
      </c>
      <c r="I8" s="3" t="s">
        <v>88</v>
      </c>
      <c r="J8" s="3" t="s">
        <v>88</v>
      </c>
      <c r="K8" s="2" t="s">
        <v>88</v>
      </c>
      <c r="L8" s="2" t="s">
        <v>98</v>
      </c>
      <c r="M8" s="2" t="s">
        <v>98</v>
      </c>
      <c r="N8" s="2" t="s">
        <v>88</v>
      </c>
      <c r="O8" s="2" t="s">
        <v>88</v>
      </c>
      <c r="P8" s="3" t="s">
        <v>98</v>
      </c>
      <c r="Q8" s="3" t="s">
        <v>98</v>
      </c>
      <c r="R8" s="2" t="s">
        <v>98</v>
      </c>
      <c r="S8" s="2" t="s">
        <v>88</v>
      </c>
      <c r="T8" s="2" t="s">
        <v>88</v>
      </c>
      <c r="U8" s="2" t="s">
        <v>98</v>
      </c>
      <c r="V8" s="2" t="s">
        <v>98</v>
      </c>
      <c r="W8" s="3" t="s">
        <v>88</v>
      </c>
      <c r="X8" s="3" t="s">
        <v>88</v>
      </c>
      <c r="Y8" s="2" t="s">
        <v>88</v>
      </c>
      <c r="Z8" s="2" t="s">
        <v>98</v>
      </c>
      <c r="AA8" s="2" t="s">
        <v>98</v>
      </c>
      <c r="AB8" s="2" t="s">
        <v>88</v>
      </c>
      <c r="AC8" s="2" t="s">
        <v>88</v>
      </c>
      <c r="AD8" s="3" t="s">
        <v>98</v>
      </c>
      <c r="AE8" s="3" t="s">
        <v>98</v>
      </c>
    </row>
    <row r="9" spans="1:31" x14ac:dyDescent="0.3">
      <c r="A9" s="2">
        <v>4</v>
      </c>
      <c r="B9" s="2"/>
      <c r="C9" s="18">
        <f>COUNTIF(D9:AE9,Paramétrage!$G$3)*Paramétrage!$I$3+COUNTIF(D9:AE9,Paramétrage!$G$4)*Paramétrage!$I$4+COUNTIF(D9:AE9,Paramétrage!$G$5)*Paramétrage!$I$5+COUNTIF(D9:AE9,Paramétrage!$G$6)*Paramétrage!$I$6+COUNTIF(D9:AE9,Paramétrage!$G$7)*Paramétrage!$I$7+COUNTIF(D9:AE9,Paramétrage!$G$8)*Paramétrage!$I$8+COUNTIF(D9:AE9,Paramétrage!$G$9)*Paramétrage!$I$9+COUNTIF(D9:AE9,Paramétrage!$G$10)*Paramétrage!$I$10+COUNTIF(D9:AE9,Paramétrage!$G$11)*Paramétrage!$I$11+COUNTIF(D9:AE9,Paramétrage!$G$12)*Paramétrage!$I$12+COUNTIF(D9:AE9,Paramétrage!$G$13)*Paramétrage!$I$13+COUNTIF(D9:AE9,Paramétrage!$G$14*Paramétrage!$I$14+COUNTIF(D9:AE9,Paramétrage!$G$15)*Paramétrage!$I$15+COUNTIF(D9:AE9,Paramétrage!$G$16)*Paramétrage!$I$16)</f>
        <v>140</v>
      </c>
      <c r="D9" s="1" t="s">
        <v>99</v>
      </c>
      <c r="E9" s="2" t="s">
        <v>88</v>
      </c>
      <c r="F9" s="2" t="s">
        <v>88</v>
      </c>
      <c r="G9" s="2" t="s">
        <v>99</v>
      </c>
      <c r="H9" s="2" t="s">
        <v>99</v>
      </c>
      <c r="I9" s="3" t="s">
        <v>88</v>
      </c>
      <c r="J9" s="3" t="s">
        <v>88</v>
      </c>
      <c r="K9" s="2" t="s">
        <v>88</v>
      </c>
      <c r="L9" s="2" t="s">
        <v>99</v>
      </c>
      <c r="M9" s="2" t="s">
        <v>99</v>
      </c>
      <c r="N9" s="2" t="s">
        <v>88</v>
      </c>
      <c r="O9" s="2" t="s">
        <v>88</v>
      </c>
      <c r="P9" s="3" t="s">
        <v>99</v>
      </c>
      <c r="Q9" s="3" t="s">
        <v>99</v>
      </c>
      <c r="R9" s="2" t="s">
        <v>99</v>
      </c>
      <c r="S9" s="2" t="s">
        <v>88</v>
      </c>
      <c r="T9" s="2" t="s">
        <v>88</v>
      </c>
      <c r="U9" s="2" t="s">
        <v>99</v>
      </c>
      <c r="V9" s="2" t="s">
        <v>99</v>
      </c>
      <c r="W9" s="3" t="s">
        <v>88</v>
      </c>
      <c r="X9" s="3" t="s">
        <v>88</v>
      </c>
      <c r="Y9" s="2" t="s">
        <v>88</v>
      </c>
      <c r="Z9" s="2" t="s">
        <v>99</v>
      </c>
      <c r="AA9" s="2" t="s">
        <v>99</v>
      </c>
      <c r="AB9" s="2" t="s">
        <v>88</v>
      </c>
      <c r="AC9" s="2" t="s">
        <v>88</v>
      </c>
      <c r="AD9" s="3" t="s">
        <v>99</v>
      </c>
      <c r="AE9" s="3" t="s">
        <v>99</v>
      </c>
    </row>
    <row r="10" spans="1:31" x14ac:dyDescent="0.3">
      <c r="A10" s="2">
        <v>5</v>
      </c>
      <c r="B10" s="2"/>
      <c r="C10" s="18">
        <f>COUNTIF(D10:AE10,Paramétrage!$G$3)*Paramétrage!$I$3+COUNTIF(D10:AE10,Paramétrage!$G$4)*Paramétrage!$I$4+COUNTIF(D10:AE10,Paramétrage!$G$5)*Paramétrage!$I$5+COUNTIF(D10:AE10,Paramétrage!$G$6)*Paramétrage!$I$6+COUNTIF(D10:AE10,Paramétrage!$G$7)*Paramétrage!$I$7+COUNTIF(D10:AE10,Paramétrage!$G$8)*Paramétrage!$I$8+COUNTIF(D10:AE10,Paramétrage!$G$9)*Paramétrage!$I$9+COUNTIF(D10:AE10,Paramétrage!$G$10)*Paramétrage!$I$10+COUNTIF(D10:AE10,Paramétrage!$G$11)*Paramétrage!$I$11+COUNTIF(D10:AE10,Paramétrage!$G$12)*Paramétrage!$I$12+COUNTIF(D10:AE10,Paramétrage!$G$13)*Paramétrage!$I$13+COUNTIF(D10:AE10,Paramétrage!$G$14*Paramétrage!$I$14+COUNTIF(D10:AE10,Paramétrage!$G$15)*Paramétrage!$I$15+COUNTIF(D10:AE10,Paramétrage!$G$16)*Paramétrage!$I$16)</f>
        <v>140</v>
      </c>
      <c r="D10" s="1" t="s">
        <v>100</v>
      </c>
      <c r="E10" s="2" t="s">
        <v>88</v>
      </c>
      <c r="F10" s="2" t="s">
        <v>88</v>
      </c>
      <c r="G10" s="2" t="s">
        <v>100</v>
      </c>
      <c r="H10" s="2" t="s">
        <v>100</v>
      </c>
      <c r="I10" s="3" t="s">
        <v>88</v>
      </c>
      <c r="J10" s="3" t="s">
        <v>88</v>
      </c>
      <c r="K10" s="2" t="s">
        <v>88</v>
      </c>
      <c r="L10" s="2" t="s">
        <v>100</v>
      </c>
      <c r="M10" s="2" t="s">
        <v>100</v>
      </c>
      <c r="N10" s="2" t="s">
        <v>88</v>
      </c>
      <c r="O10" s="2" t="s">
        <v>88</v>
      </c>
      <c r="P10" s="3" t="s">
        <v>100</v>
      </c>
      <c r="Q10" s="3" t="s">
        <v>100</v>
      </c>
      <c r="R10" s="2" t="s">
        <v>100</v>
      </c>
      <c r="S10" s="2" t="s">
        <v>88</v>
      </c>
      <c r="T10" s="2" t="s">
        <v>88</v>
      </c>
      <c r="U10" s="2" t="s">
        <v>100</v>
      </c>
      <c r="V10" s="2" t="s">
        <v>100</v>
      </c>
      <c r="W10" s="3" t="s">
        <v>88</v>
      </c>
      <c r="X10" s="3" t="s">
        <v>88</v>
      </c>
      <c r="Y10" s="2" t="s">
        <v>88</v>
      </c>
      <c r="Z10" s="2" t="s">
        <v>100</v>
      </c>
      <c r="AA10" s="2" t="s">
        <v>100</v>
      </c>
      <c r="AB10" s="2" t="s">
        <v>88</v>
      </c>
      <c r="AC10" s="2" t="s">
        <v>88</v>
      </c>
      <c r="AD10" s="3" t="s">
        <v>100</v>
      </c>
      <c r="AE10" s="3" t="s">
        <v>100</v>
      </c>
    </row>
    <row r="11" spans="1:31" x14ac:dyDescent="0.3">
      <c r="A11" s="2">
        <v>6</v>
      </c>
      <c r="B11" s="2"/>
      <c r="C11" s="18">
        <f>COUNTIF(D11:AE11,Paramétrage!$G$3)*Paramétrage!$I$3+COUNTIF(D11:AE11,Paramétrage!$G$4)*Paramétrage!$I$4+COUNTIF(D11:AE11,Paramétrage!$G$5)*Paramétrage!$I$5+COUNTIF(D11:AE11,Paramétrage!$G$6)*Paramétrage!$I$6+COUNTIF(D11:AE11,Paramétrage!$G$7)*Paramétrage!$I$7+COUNTIF(D11:AE11,Paramétrage!$G$8)*Paramétrage!$I$8+COUNTIF(D11:AE11,Paramétrage!$G$9)*Paramétrage!$I$9+COUNTIF(D11:AE11,Paramétrage!$G$10)*Paramétrage!$I$10+COUNTIF(D11:AE11,Paramétrage!$G$11)*Paramétrage!$I$11+COUNTIF(D11:AE11,Paramétrage!$G$12)*Paramétrage!$I$12+COUNTIF(D11:AE11,Paramétrage!$G$13)*Paramétrage!$I$13+COUNTIF(D11:AE11,Paramétrage!$G$14*Paramétrage!$I$14+COUNTIF(D11:AE11,Paramétrage!$G$15)*Paramétrage!$I$15+COUNTIF(D11:AE11,Paramétrage!$G$16)*Paramétrage!$I$16)</f>
        <v>140</v>
      </c>
      <c r="D11" s="1" t="s">
        <v>101</v>
      </c>
      <c r="E11" s="2" t="s">
        <v>101</v>
      </c>
      <c r="F11" s="2" t="s">
        <v>101</v>
      </c>
      <c r="G11" s="2" t="s">
        <v>101</v>
      </c>
      <c r="H11" s="2" t="s">
        <v>101</v>
      </c>
      <c r="I11" s="3" t="s">
        <v>88</v>
      </c>
      <c r="J11" s="3" t="s">
        <v>88</v>
      </c>
      <c r="K11" s="2" t="s">
        <v>101</v>
      </c>
      <c r="L11" s="2" t="s">
        <v>101</v>
      </c>
      <c r="M11" s="2" t="s">
        <v>101</v>
      </c>
      <c r="N11" s="2" t="s">
        <v>101</v>
      </c>
      <c r="O11" s="2" t="s">
        <v>101</v>
      </c>
      <c r="P11" s="3" t="s">
        <v>88</v>
      </c>
      <c r="Q11" s="3" t="s">
        <v>88</v>
      </c>
      <c r="R11" s="2" t="s">
        <v>101</v>
      </c>
      <c r="S11" s="2" t="s">
        <v>101</v>
      </c>
      <c r="T11" s="2" t="s">
        <v>101</v>
      </c>
      <c r="U11" s="2" t="s">
        <v>101</v>
      </c>
      <c r="V11" s="2" t="s">
        <v>101</v>
      </c>
      <c r="W11" s="3" t="s">
        <v>88</v>
      </c>
      <c r="X11" s="3" t="s">
        <v>88</v>
      </c>
      <c r="Y11" s="2" t="s">
        <v>101</v>
      </c>
      <c r="Z11" s="2" t="s">
        <v>101</v>
      </c>
      <c r="AA11" s="2" t="s">
        <v>101</v>
      </c>
      <c r="AB11" s="2" t="s">
        <v>101</v>
      </c>
      <c r="AC11" s="2" t="s">
        <v>101</v>
      </c>
      <c r="AD11" s="3" t="s">
        <v>88</v>
      </c>
      <c r="AE11" s="3" t="s">
        <v>88</v>
      </c>
    </row>
    <row r="12" spans="1:31" x14ac:dyDescent="0.3">
      <c r="A12" s="2">
        <v>7</v>
      </c>
      <c r="B12" s="2"/>
      <c r="C12" s="18">
        <f>COUNTIF(D12:AE12,Paramétrage!$G$3)*Paramétrage!$I$3+COUNTIF(D12:AE12,Paramétrage!$G$4)*Paramétrage!$I$4+COUNTIF(D12:AE12,Paramétrage!$G$5)*Paramétrage!$I$5+COUNTIF(D12:AE12,Paramétrage!$G$6)*Paramétrage!$I$6+COUNTIF(D12:AE12,Paramétrage!$G$7)*Paramétrage!$I$7+COUNTIF(D12:AE12,Paramétrage!$G$8)*Paramétrage!$I$8+COUNTIF(D12:AE12,Paramétrage!$G$9)*Paramétrage!$I$9+COUNTIF(D12:AE12,Paramétrage!$G$10)*Paramétrage!$I$10+COUNTIF(D12:AE12,Paramétrage!$G$11)*Paramétrage!$I$11+COUNTIF(D12:AE12,Paramétrage!$G$12)*Paramétrage!$I$12+COUNTIF(D12:AE12,Paramétrage!$G$13)*Paramétrage!$I$13+COUNTIF(D12:AE12,Paramétrage!$G$14*Paramétrage!$I$14+COUNTIF(D12:AE12,Paramétrage!$G$15)*Paramétrage!$I$15+COUNTIF(D12:AE12,Paramétrage!$G$16)*Paramétrage!$I$16)</f>
        <v>140</v>
      </c>
      <c r="D12" s="1" t="s">
        <v>88</v>
      </c>
      <c r="E12" s="2" t="s">
        <v>96</v>
      </c>
      <c r="F12" s="2" t="s">
        <v>96</v>
      </c>
      <c r="G12" s="2" t="s">
        <v>88</v>
      </c>
      <c r="H12" s="2" t="s">
        <v>88</v>
      </c>
      <c r="I12" s="3" t="s">
        <v>96</v>
      </c>
      <c r="J12" s="3" t="s">
        <v>96</v>
      </c>
      <c r="K12" s="2" t="s">
        <v>96</v>
      </c>
      <c r="L12" s="2" t="s">
        <v>88</v>
      </c>
      <c r="M12" s="2" t="s">
        <v>88</v>
      </c>
      <c r="N12" s="2" t="s">
        <v>96</v>
      </c>
      <c r="O12" s="2" t="s">
        <v>96</v>
      </c>
      <c r="P12" s="3" t="s">
        <v>88</v>
      </c>
      <c r="Q12" s="3" t="s">
        <v>88</v>
      </c>
      <c r="R12" s="2" t="s">
        <v>88</v>
      </c>
      <c r="S12" s="2" t="s">
        <v>96</v>
      </c>
      <c r="T12" s="2" t="s">
        <v>96</v>
      </c>
      <c r="U12" s="2" t="s">
        <v>88</v>
      </c>
      <c r="V12" s="2" t="s">
        <v>88</v>
      </c>
      <c r="W12" s="3" t="s">
        <v>96</v>
      </c>
      <c r="X12" s="3" t="s">
        <v>96</v>
      </c>
      <c r="Y12" s="2" t="s">
        <v>96</v>
      </c>
      <c r="Z12" s="2" t="s">
        <v>88</v>
      </c>
      <c r="AA12" s="2" t="s">
        <v>88</v>
      </c>
      <c r="AB12" s="2" t="s">
        <v>96</v>
      </c>
      <c r="AC12" s="2" t="s">
        <v>96</v>
      </c>
      <c r="AD12" s="3" t="s">
        <v>88</v>
      </c>
      <c r="AE12" s="3" t="s">
        <v>88</v>
      </c>
    </row>
    <row r="13" spans="1:31" x14ac:dyDescent="0.3">
      <c r="A13" s="2">
        <v>8</v>
      </c>
      <c r="B13" s="2"/>
      <c r="C13" s="18">
        <f>COUNTIF(D13:AE13,Paramétrage!$G$3)*Paramétrage!$I$3+COUNTIF(D13:AE13,Paramétrage!$G$4)*Paramétrage!$I$4+COUNTIF(D13:AE13,Paramétrage!$G$5)*Paramétrage!$I$5+COUNTIF(D13:AE13,Paramétrage!$G$6)*Paramétrage!$I$6+COUNTIF(D13:AE13,Paramétrage!$G$7)*Paramétrage!$I$7+COUNTIF(D13:AE13,Paramétrage!$G$8)*Paramétrage!$I$8+COUNTIF(D13:AE13,Paramétrage!$G$9)*Paramétrage!$I$9+COUNTIF(D13:AE13,Paramétrage!$G$10)*Paramétrage!$I$10+COUNTIF(D13:AE13,Paramétrage!$G$11)*Paramétrage!$I$11+COUNTIF(D13:AE13,Paramétrage!$G$12)*Paramétrage!$I$12+COUNTIF(D13:AE13,Paramétrage!$G$13)*Paramétrage!$I$13+COUNTIF(D13:AE13,Paramétrage!$G$14*Paramétrage!$I$14+COUNTIF(D13:AE13,Paramétrage!$G$15)*Paramétrage!$I$15+COUNTIF(D13:AE13,Paramétrage!$G$16)*Paramétrage!$I$16)</f>
        <v>140</v>
      </c>
      <c r="D13" s="1" t="s">
        <v>88</v>
      </c>
      <c r="E13" s="2" t="s">
        <v>97</v>
      </c>
      <c r="F13" s="2" t="s">
        <v>97</v>
      </c>
      <c r="G13" s="2" t="s">
        <v>88</v>
      </c>
      <c r="H13" s="2" t="s">
        <v>88</v>
      </c>
      <c r="I13" s="3" t="s">
        <v>97</v>
      </c>
      <c r="J13" s="3" t="s">
        <v>97</v>
      </c>
      <c r="K13" s="2" t="s">
        <v>97</v>
      </c>
      <c r="L13" s="2" t="s">
        <v>88</v>
      </c>
      <c r="M13" s="2" t="s">
        <v>88</v>
      </c>
      <c r="N13" s="2" t="s">
        <v>97</v>
      </c>
      <c r="O13" s="2" t="s">
        <v>97</v>
      </c>
      <c r="P13" s="3" t="s">
        <v>88</v>
      </c>
      <c r="Q13" s="3" t="s">
        <v>88</v>
      </c>
      <c r="R13" s="2" t="s">
        <v>88</v>
      </c>
      <c r="S13" s="2" t="s">
        <v>97</v>
      </c>
      <c r="T13" s="2" t="s">
        <v>97</v>
      </c>
      <c r="U13" s="2" t="s">
        <v>88</v>
      </c>
      <c r="V13" s="2" t="s">
        <v>88</v>
      </c>
      <c r="W13" s="3" t="s">
        <v>97</v>
      </c>
      <c r="X13" s="3" t="s">
        <v>97</v>
      </c>
      <c r="Y13" s="2" t="s">
        <v>97</v>
      </c>
      <c r="Z13" s="2" t="s">
        <v>88</v>
      </c>
      <c r="AA13" s="2" t="s">
        <v>88</v>
      </c>
      <c r="AB13" s="2" t="s">
        <v>97</v>
      </c>
      <c r="AC13" s="2" t="s">
        <v>97</v>
      </c>
      <c r="AD13" s="3" t="s">
        <v>88</v>
      </c>
      <c r="AE13" s="3" t="s">
        <v>88</v>
      </c>
    </row>
    <row r="14" spans="1:31" x14ac:dyDescent="0.3">
      <c r="A14" s="2">
        <v>9</v>
      </c>
      <c r="B14" s="2"/>
      <c r="C14" s="18">
        <f>COUNTIF(D14:AE14,Paramétrage!$G$3)*Paramétrage!$I$3+COUNTIF(D14:AE14,Paramétrage!$G$4)*Paramétrage!$I$4+COUNTIF(D14:AE14,Paramétrage!$G$5)*Paramétrage!$I$5+COUNTIF(D14:AE14,Paramétrage!$G$6)*Paramétrage!$I$6+COUNTIF(D14:AE14,Paramétrage!$G$7)*Paramétrage!$I$7+COUNTIF(D14:AE14,Paramétrage!$G$8)*Paramétrage!$I$8+COUNTIF(D14:AE14,Paramétrage!$G$9)*Paramétrage!$I$9+COUNTIF(D14:AE14,Paramétrage!$G$10)*Paramétrage!$I$10+COUNTIF(D14:AE14,Paramétrage!$G$11)*Paramétrage!$I$11+COUNTIF(D14:AE14,Paramétrage!$G$12)*Paramétrage!$I$12+COUNTIF(D14:AE14,Paramétrage!$G$13)*Paramétrage!$I$13+COUNTIF(D14:AE14,Paramétrage!$G$14*Paramétrage!$I$14+COUNTIF(D14:AE14,Paramétrage!$G$15)*Paramétrage!$I$15+COUNTIF(D14:AE14,Paramétrage!$G$16)*Paramétrage!$I$16)</f>
        <v>140</v>
      </c>
      <c r="D14" s="1" t="s">
        <v>88</v>
      </c>
      <c r="E14" s="2" t="s">
        <v>98</v>
      </c>
      <c r="F14" s="2" t="s">
        <v>98</v>
      </c>
      <c r="G14" s="2" t="s">
        <v>88</v>
      </c>
      <c r="H14" s="2" t="s">
        <v>88</v>
      </c>
      <c r="I14" s="3" t="s">
        <v>98</v>
      </c>
      <c r="J14" s="3" t="s">
        <v>98</v>
      </c>
      <c r="K14" s="2" t="s">
        <v>98</v>
      </c>
      <c r="L14" s="2" t="s">
        <v>88</v>
      </c>
      <c r="M14" s="2" t="s">
        <v>88</v>
      </c>
      <c r="N14" s="2" t="s">
        <v>98</v>
      </c>
      <c r="O14" s="2" t="s">
        <v>98</v>
      </c>
      <c r="P14" s="3" t="s">
        <v>88</v>
      </c>
      <c r="Q14" s="3" t="s">
        <v>88</v>
      </c>
      <c r="R14" s="2" t="s">
        <v>88</v>
      </c>
      <c r="S14" s="2" t="s">
        <v>98</v>
      </c>
      <c r="T14" s="2" t="s">
        <v>98</v>
      </c>
      <c r="U14" s="2" t="s">
        <v>88</v>
      </c>
      <c r="V14" s="2" t="s">
        <v>88</v>
      </c>
      <c r="W14" s="3" t="s">
        <v>98</v>
      </c>
      <c r="X14" s="3" t="s">
        <v>98</v>
      </c>
      <c r="Y14" s="2" t="s">
        <v>98</v>
      </c>
      <c r="Z14" s="2" t="s">
        <v>88</v>
      </c>
      <c r="AA14" s="2" t="s">
        <v>88</v>
      </c>
      <c r="AB14" s="2" t="s">
        <v>98</v>
      </c>
      <c r="AC14" s="2" t="s">
        <v>98</v>
      </c>
      <c r="AD14" s="3" t="s">
        <v>88</v>
      </c>
      <c r="AE14" s="3" t="s">
        <v>88</v>
      </c>
    </row>
    <row r="15" spans="1:31" x14ac:dyDescent="0.3">
      <c r="A15" s="2">
        <v>10</v>
      </c>
      <c r="B15" s="2"/>
      <c r="C15" s="18">
        <f>COUNTIF(D15:AE15,Paramétrage!$G$3)*Paramétrage!$I$3+COUNTIF(D15:AE15,Paramétrage!$G$4)*Paramétrage!$I$4+COUNTIF(D15:AE15,Paramétrage!$G$5)*Paramétrage!$I$5+COUNTIF(D15:AE15,Paramétrage!$G$6)*Paramétrage!$I$6+COUNTIF(D15:AE15,Paramétrage!$G$7)*Paramétrage!$I$7+COUNTIF(D15:AE15,Paramétrage!$G$8)*Paramétrage!$I$8+COUNTIF(D15:AE15,Paramétrage!$G$9)*Paramétrage!$I$9+COUNTIF(D15:AE15,Paramétrage!$G$10)*Paramétrage!$I$10+COUNTIF(D15:AE15,Paramétrage!$G$11)*Paramétrage!$I$11+COUNTIF(D15:AE15,Paramétrage!$G$12)*Paramétrage!$I$12+COUNTIF(D15:AE15,Paramétrage!$G$13)*Paramétrage!$I$13+COUNTIF(D15:AE15,Paramétrage!$G$14*Paramétrage!$I$14+COUNTIF(D15:AE15,Paramétrage!$G$15)*Paramétrage!$I$15+COUNTIF(D15:AE15,Paramétrage!$G$16)*Paramétrage!$I$16)</f>
        <v>140</v>
      </c>
      <c r="D15" s="1" t="s">
        <v>88</v>
      </c>
      <c r="E15" s="2" t="s">
        <v>99</v>
      </c>
      <c r="F15" s="2" t="s">
        <v>99</v>
      </c>
      <c r="G15" s="2" t="s">
        <v>88</v>
      </c>
      <c r="H15" s="2" t="s">
        <v>88</v>
      </c>
      <c r="I15" s="3" t="s">
        <v>99</v>
      </c>
      <c r="J15" s="3" t="s">
        <v>99</v>
      </c>
      <c r="K15" s="2" t="s">
        <v>99</v>
      </c>
      <c r="L15" s="2" t="s">
        <v>88</v>
      </c>
      <c r="M15" s="2" t="s">
        <v>88</v>
      </c>
      <c r="N15" s="2" t="s">
        <v>99</v>
      </c>
      <c r="O15" s="2" t="s">
        <v>99</v>
      </c>
      <c r="P15" s="3" t="s">
        <v>88</v>
      </c>
      <c r="Q15" s="3" t="s">
        <v>88</v>
      </c>
      <c r="R15" s="2" t="s">
        <v>88</v>
      </c>
      <c r="S15" s="2" t="s">
        <v>99</v>
      </c>
      <c r="T15" s="2" t="s">
        <v>99</v>
      </c>
      <c r="U15" s="2" t="s">
        <v>88</v>
      </c>
      <c r="V15" s="2" t="s">
        <v>88</v>
      </c>
      <c r="W15" s="3" t="s">
        <v>99</v>
      </c>
      <c r="X15" s="3" t="s">
        <v>99</v>
      </c>
      <c r="Y15" s="2" t="s">
        <v>99</v>
      </c>
      <c r="Z15" s="2" t="s">
        <v>88</v>
      </c>
      <c r="AA15" s="2" t="s">
        <v>88</v>
      </c>
      <c r="AB15" s="2" t="s">
        <v>99</v>
      </c>
      <c r="AC15" s="2" t="s">
        <v>99</v>
      </c>
      <c r="AD15" s="3" t="s">
        <v>88</v>
      </c>
      <c r="AE15" s="3" t="s">
        <v>88</v>
      </c>
    </row>
    <row r="16" spans="1:31" x14ac:dyDescent="0.3">
      <c r="A16" s="2">
        <v>11</v>
      </c>
      <c r="B16" s="2"/>
      <c r="C16" s="18">
        <f>COUNTIF(D16:AE16,Paramétrage!$G$3)*Paramétrage!$I$3+COUNTIF(D16:AE16,Paramétrage!$G$4)*Paramétrage!$I$4+COUNTIF(D16:AE16,Paramétrage!$G$5)*Paramétrage!$I$5+COUNTIF(D16:AE16,Paramétrage!$G$6)*Paramétrage!$I$6+COUNTIF(D16:AE16,Paramétrage!$G$7)*Paramétrage!$I$7+COUNTIF(D16:AE16,Paramétrage!$G$8)*Paramétrage!$I$8+COUNTIF(D16:AE16,Paramétrage!$G$9)*Paramétrage!$I$9+COUNTIF(D16:AE16,Paramétrage!$G$10)*Paramétrage!$I$10+COUNTIF(D16:AE16,Paramétrage!$G$11)*Paramétrage!$I$11+COUNTIF(D16:AE16,Paramétrage!$G$12)*Paramétrage!$I$12+COUNTIF(D16:AE16,Paramétrage!$G$13)*Paramétrage!$I$13+COUNTIF(D16:AE16,Paramétrage!$G$14*Paramétrage!$I$14+COUNTIF(D16:AE16,Paramétrage!$G$15)*Paramétrage!$I$15+COUNTIF(D16:AE16,Paramétrage!$G$16)*Paramétrage!$I$16)</f>
        <v>140</v>
      </c>
      <c r="D16" s="1" t="s">
        <v>88</v>
      </c>
      <c r="E16" s="2" t="s">
        <v>100</v>
      </c>
      <c r="F16" s="2" t="s">
        <v>100</v>
      </c>
      <c r="G16" s="2" t="s">
        <v>88</v>
      </c>
      <c r="H16" s="2" t="s">
        <v>88</v>
      </c>
      <c r="I16" s="3" t="s">
        <v>100</v>
      </c>
      <c r="J16" s="3" t="s">
        <v>100</v>
      </c>
      <c r="K16" s="2" t="s">
        <v>100</v>
      </c>
      <c r="L16" s="2" t="s">
        <v>88</v>
      </c>
      <c r="M16" s="2" t="s">
        <v>88</v>
      </c>
      <c r="N16" s="2" t="s">
        <v>100</v>
      </c>
      <c r="O16" s="2" t="s">
        <v>100</v>
      </c>
      <c r="P16" s="3" t="s">
        <v>88</v>
      </c>
      <c r="Q16" s="3" t="s">
        <v>88</v>
      </c>
      <c r="R16" s="2" t="s">
        <v>88</v>
      </c>
      <c r="S16" s="2" t="s">
        <v>100</v>
      </c>
      <c r="T16" s="2" t="s">
        <v>100</v>
      </c>
      <c r="U16" s="2" t="s">
        <v>88</v>
      </c>
      <c r="V16" s="2" t="s">
        <v>88</v>
      </c>
      <c r="W16" s="3" t="s">
        <v>100</v>
      </c>
      <c r="X16" s="3" t="s">
        <v>100</v>
      </c>
      <c r="Y16" s="2" t="s">
        <v>100</v>
      </c>
      <c r="Z16" s="2" t="s">
        <v>88</v>
      </c>
      <c r="AA16" s="2" t="s">
        <v>88</v>
      </c>
      <c r="AB16" s="2" t="s">
        <v>100</v>
      </c>
      <c r="AC16" s="2" t="s">
        <v>100</v>
      </c>
      <c r="AD16" s="3" t="s">
        <v>88</v>
      </c>
      <c r="AE16" s="3" t="s">
        <v>88</v>
      </c>
    </row>
    <row r="17" spans="1:31" x14ac:dyDescent="0.3">
      <c r="A17" s="2">
        <v>12</v>
      </c>
      <c r="B17" s="2"/>
      <c r="C17" s="18">
        <f>COUNTIF(D17:AE17,Paramétrage!$G$3)*Paramétrage!$I$3+COUNTIF(D17:AE17,Paramétrage!$G$4)*Paramétrage!$I$4+COUNTIF(D17:AE17,Paramétrage!$G$5)*Paramétrage!$I$5+COUNTIF(D17:AE17,Paramétrage!$G$6)*Paramétrage!$I$6+COUNTIF(D17:AE17,Paramétrage!$G$7)*Paramétrage!$I$7+COUNTIF(D17:AE17,Paramétrage!$G$8)*Paramétrage!$I$8+COUNTIF(D17:AE17,Paramétrage!$G$9)*Paramétrage!$I$9+COUNTIF(D17:AE17,Paramétrage!$G$10)*Paramétrage!$I$10+COUNTIF(D17:AE17,Paramétrage!$G$11)*Paramétrage!$I$11+COUNTIF(D17:AE17,Paramétrage!$G$12)*Paramétrage!$I$12+COUNTIF(D17:AE17,Paramétrage!$G$13)*Paramétrage!$I$13+COUNTIF(D17:AE17,Paramétrage!$G$14*Paramétrage!$I$14+COUNTIF(D17:AE17,Paramétrage!$G$15)*Paramétrage!$I$15+COUNTIF(D17:AE17,Paramétrage!$G$16)*Paramétrage!$I$16)</f>
        <v>0</v>
      </c>
      <c r="D17" s="1"/>
      <c r="E17" s="2"/>
      <c r="F17" s="2"/>
      <c r="G17" s="2"/>
      <c r="H17" s="2"/>
      <c r="I17" s="3"/>
      <c r="J17" s="3"/>
      <c r="K17" s="2"/>
      <c r="L17" s="2"/>
      <c r="M17" s="2"/>
      <c r="N17" s="2"/>
      <c r="O17" s="2"/>
      <c r="P17" s="3"/>
      <c r="Q17" s="3"/>
      <c r="R17" s="2"/>
      <c r="S17" s="2"/>
      <c r="T17" s="2"/>
      <c r="U17" s="2"/>
      <c r="V17" s="2"/>
      <c r="W17" s="3"/>
      <c r="X17" s="3"/>
      <c r="Y17" s="2"/>
      <c r="Z17" s="2"/>
      <c r="AA17" s="2"/>
      <c r="AB17" s="2"/>
      <c r="AC17" s="2"/>
      <c r="AD17" s="3"/>
      <c r="AE17" s="3"/>
    </row>
    <row r="18" spans="1:31" x14ac:dyDescent="0.3">
      <c r="A18" s="2">
        <v>13</v>
      </c>
      <c r="B18" s="2"/>
      <c r="C18" s="18">
        <f>COUNTIF(D18:AE18,Paramétrage!$G$3)*Paramétrage!$I$3+COUNTIF(D18:AE18,Paramétrage!$G$4)*Paramétrage!$I$4+COUNTIF(D18:AE18,Paramétrage!$G$5)*Paramétrage!$I$5+COUNTIF(D18:AE18,Paramétrage!$G$6)*Paramétrage!$I$6+COUNTIF(D18:AE18,Paramétrage!$G$7)*Paramétrage!$I$7+COUNTIF(D18:AE18,Paramétrage!$G$8)*Paramétrage!$I$8+COUNTIF(D18:AE18,Paramétrage!$G$9)*Paramétrage!$I$9+COUNTIF(D18:AE18,Paramétrage!$G$10)*Paramétrage!$I$10+COUNTIF(D18:AE18,Paramétrage!$G$11)*Paramétrage!$I$11+COUNTIF(D18:AE18,Paramétrage!$G$12)*Paramétrage!$I$12+COUNTIF(D18:AE18,Paramétrage!$G$13)*Paramétrage!$I$13+COUNTIF(D18:AE18,Paramétrage!$G$14*Paramétrage!$I$14+COUNTIF(D18:AE18,Paramétrage!$G$15)*Paramétrage!$I$15+COUNTIF(D18:AE18,Paramétrage!$G$16)*Paramétrage!$I$16)</f>
        <v>0</v>
      </c>
      <c r="D18" s="1" t="s">
        <v>84</v>
      </c>
      <c r="E18" s="2" t="s">
        <v>84</v>
      </c>
      <c r="F18" s="2" t="s">
        <v>84</v>
      </c>
      <c r="G18" s="2" t="s">
        <v>84</v>
      </c>
      <c r="H18" s="2" t="s">
        <v>84</v>
      </c>
      <c r="I18" s="3" t="s">
        <v>84</v>
      </c>
      <c r="J18" s="3" t="s">
        <v>84</v>
      </c>
      <c r="K18" s="2" t="s">
        <v>84</v>
      </c>
      <c r="L18" s="2" t="s">
        <v>84</v>
      </c>
      <c r="M18" s="2" t="s">
        <v>84</v>
      </c>
      <c r="N18" s="2" t="s">
        <v>84</v>
      </c>
      <c r="O18" s="2" t="s">
        <v>84</v>
      </c>
      <c r="P18" s="3" t="s">
        <v>84</v>
      </c>
      <c r="Q18" s="3" t="s">
        <v>84</v>
      </c>
      <c r="R18" s="2" t="s">
        <v>84</v>
      </c>
      <c r="S18" s="2" t="s">
        <v>84</v>
      </c>
      <c r="T18" s="2" t="s">
        <v>84</v>
      </c>
      <c r="U18" s="2" t="s">
        <v>84</v>
      </c>
      <c r="V18" s="2" t="s">
        <v>84</v>
      </c>
      <c r="W18" s="3" t="s">
        <v>84</v>
      </c>
      <c r="X18" s="3" t="s">
        <v>84</v>
      </c>
      <c r="Y18" s="2" t="s">
        <v>84</v>
      </c>
      <c r="Z18" s="2" t="s">
        <v>84</v>
      </c>
      <c r="AA18" s="2" t="s">
        <v>84</v>
      </c>
      <c r="AB18" s="2" t="s">
        <v>84</v>
      </c>
      <c r="AC18" s="2" t="s">
        <v>84</v>
      </c>
      <c r="AD18" s="3" t="s">
        <v>84</v>
      </c>
      <c r="AE18" s="3" t="s">
        <v>84</v>
      </c>
    </row>
    <row r="19" spans="1:31" x14ac:dyDescent="0.3">
      <c r="A19" s="2">
        <v>14</v>
      </c>
      <c r="B19" s="2"/>
      <c r="C19" s="18">
        <f>COUNTIF(D19:AE19,Paramétrage!$G$3)*Paramétrage!$I$3+COUNTIF(D19:AE19,Paramétrage!$G$4)*Paramétrage!$I$4+COUNTIF(D19:AE19,Paramétrage!$G$5)*Paramétrage!$I$5+COUNTIF(D19:AE19,Paramétrage!$G$6)*Paramétrage!$I$6+COUNTIF(D19:AE19,Paramétrage!$G$7)*Paramétrage!$I$7+COUNTIF(D19:AE19,Paramétrage!$G$8)*Paramétrage!$I$8+COUNTIF(D19:AE19,Paramétrage!$G$9)*Paramétrage!$I$9+COUNTIF(D19:AE19,Paramétrage!$G$10)*Paramétrage!$I$10+COUNTIF(D19:AE19,Paramétrage!$G$11)*Paramétrage!$I$11+COUNTIF(D19:AE19,Paramétrage!$G$12)*Paramétrage!$I$12+COUNTIF(D19:AE19,Paramétrage!$G$13)*Paramétrage!$I$13+COUNTIF(D19:AE19,Paramétrage!$G$14*Paramétrage!$I$14+COUNTIF(D19:AE19,Paramétrage!$G$15)*Paramétrage!$I$15+COUNTIF(D19:AE19,Paramétrage!$G$16)*Paramétrage!$I$16)</f>
        <v>0</v>
      </c>
      <c r="D19" s="1"/>
      <c r="E19" s="2"/>
      <c r="F19" s="2"/>
      <c r="G19" s="2"/>
      <c r="H19" s="2"/>
      <c r="I19" s="3"/>
      <c r="J19" s="3"/>
      <c r="K19" s="2"/>
      <c r="L19" s="2"/>
      <c r="M19" s="2"/>
      <c r="N19" s="2"/>
      <c r="O19" s="2"/>
      <c r="P19" s="3"/>
      <c r="Q19" s="3"/>
      <c r="R19" s="2"/>
      <c r="S19" s="2"/>
      <c r="T19" s="2"/>
      <c r="U19" s="2"/>
      <c r="V19" s="2"/>
      <c r="W19" s="3"/>
      <c r="X19" s="3"/>
      <c r="Y19" s="2"/>
      <c r="Z19" s="2"/>
      <c r="AA19" s="2"/>
      <c r="AB19" s="2"/>
      <c r="AC19" s="2"/>
      <c r="AD19" s="3"/>
      <c r="AE19" s="3"/>
    </row>
    <row r="20" spans="1:31" x14ac:dyDescent="0.3">
      <c r="A20" s="2">
        <v>15</v>
      </c>
      <c r="B20" s="2"/>
      <c r="C20" s="18">
        <f>COUNTIF(D20:AE20,Paramétrage!$G$3)*Paramétrage!$I$3+COUNTIF(D20:AE20,Paramétrage!$G$4)*Paramétrage!$I$4+COUNTIF(D20:AE20,Paramétrage!$G$5)*Paramétrage!$I$5+COUNTIF(D20:AE20,Paramétrage!$G$6)*Paramétrage!$I$6+COUNTIF(D20:AE20,Paramétrage!$G$7)*Paramétrage!$I$7+COUNTIF(D20:AE20,Paramétrage!$G$8)*Paramétrage!$I$8+COUNTIF(D20:AE20,Paramétrage!$G$9)*Paramétrage!$I$9+COUNTIF(D20:AE20,Paramétrage!$G$10)*Paramétrage!$I$10+COUNTIF(D20:AE20,Paramétrage!$G$11)*Paramétrage!$I$11+COUNTIF(D20:AE20,Paramétrage!$G$12)*Paramétrage!$I$12+COUNTIF(D20:AE20,Paramétrage!$G$13)*Paramétrage!$I$13+COUNTIF(D20:AE20,Paramétrage!$G$14*Paramétrage!$I$14+COUNTIF(D20:AE20,Paramétrage!$G$15)*Paramétrage!$I$15+COUNTIF(D20:AE20,Paramétrage!$G$16)*Paramétrage!$I$16)</f>
        <v>0</v>
      </c>
      <c r="D20" s="1"/>
      <c r="E20" s="2"/>
      <c r="F20" s="2"/>
      <c r="G20" s="2"/>
      <c r="H20" s="2"/>
      <c r="I20" s="3"/>
      <c r="J20" s="3"/>
      <c r="K20" s="2"/>
      <c r="L20" s="2"/>
      <c r="M20" s="2"/>
      <c r="N20" s="2"/>
      <c r="O20" s="2"/>
      <c r="P20" s="3"/>
      <c r="Q20" s="3"/>
      <c r="R20" s="2"/>
      <c r="S20" s="2"/>
      <c r="T20" s="2"/>
      <c r="U20" s="2"/>
      <c r="V20" s="2"/>
      <c r="W20" s="3"/>
      <c r="X20" s="3"/>
      <c r="Y20" s="2"/>
      <c r="Z20" s="2"/>
      <c r="AA20" s="2"/>
      <c r="AB20" s="2"/>
      <c r="AC20" s="2"/>
      <c r="AD20" s="3"/>
      <c r="AE20" s="3"/>
    </row>
    <row r="21" spans="1:31" x14ac:dyDescent="0.3">
      <c r="A21" s="2">
        <v>16</v>
      </c>
      <c r="B21" s="2"/>
      <c r="C21" s="18">
        <f>COUNTIF(D21:AE21,Paramétrage!$G$3)*Paramétrage!$I$3+COUNTIF(D21:AE21,Paramétrage!$G$4)*Paramétrage!$I$4+COUNTIF(D21:AE21,Paramétrage!$G$5)*Paramétrage!$I$5+COUNTIF(D21:AE21,Paramétrage!$G$6)*Paramétrage!$I$6+COUNTIF(D21:AE21,Paramétrage!$G$7)*Paramétrage!$I$7+COUNTIF(D21:AE21,Paramétrage!$G$8)*Paramétrage!$I$8+COUNTIF(D21:AE21,Paramétrage!$G$9)*Paramétrage!$I$9+COUNTIF(D21:AE21,Paramétrage!$G$10)*Paramétrage!$I$10+COUNTIF(D21:AE21,Paramétrage!$G$11)*Paramétrage!$I$11+COUNTIF(D21:AE21,Paramétrage!$G$12)*Paramétrage!$I$12+COUNTIF(D21:AE21,Paramétrage!$G$13)*Paramétrage!$I$13+COUNTIF(D21:AE21,Paramétrage!$G$14*Paramétrage!$I$14+COUNTIF(D21:AE21,Paramétrage!$G$15)*Paramétrage!$I$15+COUNTIF(D21:AE21,Paramétrage!$G$16)*Paramétrage!$I$16)</f>
        <v>0</v>
      </c>
      <c r="D21" s="1"/>
      <c r="E21" s="2"/>
      <c r="F21" s="2"/>
      <c r="G21" s="2"/>
      <c r="H21" s="2"/>
      <c r="I21" s="3"/>
      <c r="J21" s="3"/>
      <c r="K21" s="2"/>
      <c r="L21" s="2"/>
      <c r="M21" s="2"/>
      <c r="N21" s="2"/>
      <c r="O21" s="2"/>
      <c r="P21" s="3"/>
      <c r="Q21" s="3"/>
      <c r="R21" s="2"/>
      <c r="S21" s="2"/>
      <c r="T21" s="2"/>
      <c r="U21" s="2"/>
      <c r="V21" s="2"/>
      <c r="W21" s="3"/>
      <c r="X21" s="3"/>
      <c r="Y21" s="2"/>
      <c r="Z21" s="2"/>
      <c r="AA21" s="2"/>
      <c r="AB21" s="2"/>
      <c r="AC21" s="2"/>
      <c r="AD21" s="3"/>
      <c r="AE21" s="3"/>
    </row>
    <row r="22" spans="1:31" x14ac:dyDescent="0.3">
      <c r="A22" s="2">
        <v>17</v>
      </c>
      <c r="B22" s="2"/>
      <c r="C22" s="18">
        <f>COUNTIF(D22:AE22,Paramétrage!$G$3)*Paramétrage!$I$3+COUNTIF(D22:AE22,Paramétrage!$G$4)*Paramétrage!$I$4+COUNTIF(D22:AE22,Paramétrage!$G$5)*Paramétrage!$I$5+COUNTIF(D22:AE22,Paramétrage!$G$6)*Paramétrage!$I$6+COUNTIF(D22:AE22,Paramétrage!$G$7)*Paramétrage!$I$7+COUNTIF(D22:AE22,Paramétrage!$G$8)*Paramétrage!$I$8+COUNTIF(D22:AE22,Paramétrage!$G$9)*Paramétrage!$I$9+COUNTIF(D22:AE22,Paramétrage!$G$10)*Paramétrage!$I$10+COUNTIF(D22:AE22,Paramétrage!$G$11)*Paramétrage!$I$11+COUNTIF(D22:AE22,Paramétrage!$G$12)*Paramétrage!$I$12+COUNTIF(D22:AE22,Paramétrage!$G$13)*Paramétrage!$I$13+COUNTIF(D22:AE22,Paramétrage!$G$14*Paramétrage!$I$14+COUNTIF(D22:AE22,Paramétrage!$G$15)*Paramétrage!$I$15+COUNTIF(D22:AE22,Paramétrage!$G$16)*Paramétrage!$I$16)</f>
        <v>0</v>
      </c>
      <c r="D22" s="1"/>
      <c r="E22" s="2"/>
      <c r="F22" s="2"/>
      <c r="G22" s="2"/>
      <c r="H22" s="2"/>
      <c r="I22" s="3"/>
      <c r="J22" s="3"/>
      <c r="K22" s="2"/>
      <c r="L22" s="2"/>
      <c r="M22" s="2"/>
      <c r="N22" s="2"/>
      <c r="O22" s="2"/>
      <c r="P22" s="3"/>
      <c r="Q22" s="3"/>
      <c r="R22" s="2"/>
      <c r="S22" s="2"/>
      <c r="T22" s="2"/>
      <c r="U22" s="2"/>
      <c r="V22" s="2"/>
      <c r="W22" s="3"/>
      <c r="X22" s="3"/>
      <c r="Y22" s="2"/>
      <c r="Z22" s="2"/>
      <c r="AA22" s="2"/>
      <c r="AB22" s="2"/>
      <c r="AC22" s="2"/>
      <c r="AD22" s="3"/>
      <c r="AE22" s="3"/>
    </row>
    <row r="23" spans="1:31" x14ac:dyDescent="0.3">
      <c r="A23" s="2">
        <v>18</v>
      </c>
      <c r="B23" s="2"/>
      <c r="C23" s="18">
        <f>COUNTIF(D23:AE23,Paramétrage!$G$3)*Paramétrage!$I$3+COUNTIF(D23:AE23,Paramétrage!$G$4)*Paramétrage!$I$4+COUNTIF(D23:AE23,Paramétrage!$G$5)*Paramétrage!$I$5+COUNTIF(D23:AE23,Paramétrage!$G$6)*Paramétrage!$I$6+COUNTIF(D23:AE23,Paramétrage!$G$7)*Paramétrage!$I$7+COUNTIF(D23:AE23,Paramétrage!$G$8)*Paramétrage!$I$8+COUNTIF(D23:AE23,Paramétrage!$G$9)*Paramétrage!$I$9+COUNTIF(D23:AE23,Paramétrage!$G$10)*Paramétrage!$I$10+COUNTIF(D23:AE23,Paramétrage!$G$11)*Paramétrage!$I$11+COUNTIF(D23:AE23,Paramétrage!$G$12)*Paramétrage!$I$12+COUNTIF(D23:AE23,Paramétrage!$G$13)*Paramétrage!$I$13+COUNTIF(D23:AE23,Paramétrage!$G$14*Paramétrage!$I$14+COUNTIF(D23:AE23,Paramétrage!$G$15)*Paramétrage!$I$15+COUNTIF(D23:AE23,Paramétrage!$G$16)*Paramétrage!$I$16)</f>
        <v>0</v>
      </c>
      <c r="D23" s="1"/>
      <c r="E23" s="2"/>
      <c r="F23" s="2"/>
      <c r="G23" s="2"/>
      <c r="H23" s="2"/>
      <c r="I23" s="3"/>
      <c r="J23" s="3"/>
      <c r="K23" s="2"/>
      <c r="L23" s="2"/>
      <c r="M23" s="2"/>
      <c r="N23" s="2"/>
      <c r="O23" s="2"/>
      <c r="P23" s="3"/>
      <c r="Q23" s="3"/>
      <c r="R23" s="2"/>
      <c r="S23" s="2"/>
      <c r="T23" s="2"/>
      <c r="U23" s="2"/>
      <c r="V23" s="2"/>
      <c r="W23" s="3"/>
      <c r="X23" s="3"/>
      <c r="Y23" s="2"/>
      <c r="Z23" s="2"/>
      <c r="AA23" s="2"/>
      <c r="AB23" s="2"/>
      <c r="AC23" s="2"/>
      <c r="AD23" s="3"/>
      <c r="AE23" s="3"/>
    </row>
    <row r="24" spans="1:31" x14ac:dyDescent="0.3">
      <c r="A24" s="2">
        <v>19</v>
      </c>
      <c r="B24" s="2"/>
      <c r="C24" s="18">
        <f>COUNTIF(D24:AE24,Paramétrage!$G$3)*Paramétrage!$I$3+COUNTIF(D24:AE24,Paramétrage!$G$4)*Paramétrage!$I$4+COUNTIF(D24:AE24,Paramétrage!$G$5)*Paramétrage!$I$5+COUNTIF(D24:AE24,Paramétrage!$G$6)*Paramétrage!$I$6+COUNTIF(D24:AE24,Paramétrage!$G$7)*Paramétrage!$I$7+COUNTIF(D24:AE24,Paramétrage!$G$8)*Paramétrage!$I$8+COUNTIF(D24:AE24,Paramétrage!$G$9)*Paramétrage!$I$9+COUNTIF(D24:AE24,Paramétrage!$G$10)*Paramétrage!$I$10+COUNTIF(D24:AE24,Paramétrage!$G$11)*Paramétrage!$I$11+COUNTIF(D24:AE24,Paramétrage!$G$12)*Paramétrage!$I$12+COUNTIF(D24:AE24,Paramétrage!$G$13)*Paramétrage!$I$13+COUNTIF(D24:AE24,Paramétrage!$G$14*Paramétrage!$I$14+COUNTIF(D24:AE24,Paramétrage!$G$15)*Paramétrage!$I$15+COUNTIF(D24:AE24,Paramétrage!$G$16)*Paramétrage!$I$16)</f>
        <v>0</v>
      </c>
      <c r="D24" s="1"/>
      <c r="E24" s="2"/>
      <c r="F24" s="2"/>
      <c r="G24" s="2"/>
      <c r="H24" s="2"/>
      <c r="I24" s="3"/>
      <c r="J24" s="3"/>
      <c r="K24" s="2"/>
      <c r="L24" s="2"/>
      <c r="M24" s="2"/>
      <c r="N24" s="2"/>
      <c r="O24" s="2"/>
      <c r="P24" s="3"/>
      <c r="Q24" s="3"/>
      <c r="R24" s="2"/>
      <c r="S24" s="2"/>
      <c r="T24" s="2"/>
      <c r="U24" s="2"/>
      <c r="V24" s="2"/>
      <c r="W24" s="3"/>
      <c r="X24" s="3"/>
      <c r="Y24" s="2"/>
      <c r="Z24" s="2"/>
      <c r="AA24" s="2"/>
      <c r="AB24" s="2"/>
      <c r="AC24" s="2"/>
      <c r="AD24" s="3"/>
      <c r="AE24" s="3"/>
    </row>
    <row r="25" spans="1:31" x14ac:dyDescent="0.3">
      <c r="A25" s="2">
        <v>20</v>
      </c>
      <c r="B25" s="2"/>
      <c r="C25" s="18">
        <f>COUNTIF(D25:AE25,Paramétrage!$G$3)*Paramétrage!$I$3+COUNTIF(D25:AE25,Paramétrage!$G$4)*Paramétrage!$I$4+COUNTIF(D25:AE25,Paramétrage!$G$5)*Paramétrage!$I$5+COUNTIF(D25:AE25,Paramétrage!$G$6)*Paramétrage!$I$6+COUNTIF(D25:AE25,Paramétrage!$G$7)*Paramétrage!$I$7+COUNTIF(D25:AE25,Paramétrage!$G$8)*Paramétrage!$I$8+COUNTIF(D25:AE25,Paramétrage!$G$9)*Paramétrage!$I$9+COUNTIF(D25:AE25,Paramétrage!$G$10)*Paramétrage!$I$10+COUNTIF(D25:AE25,Paramétrage!$G$11)*Paramétrage!$I$11+COUNTIF(D25:AE25,Paramétrage!$G$12)*Paramétrage!$I$12+COUNTIF(D25:AE25,Paramétrage!$G$13)*Paramétrage!$I$13+COUNTIF(D25:AE25,Paramétrage!$G$14*Paramétrage!$I$14+COUNTIF(D25:AE25,Paramétrage!$G$15)*Paramétrage!$I$15+COUNTIF(D25:AE25,Paramétrage!$G$16)*Paramétrage!$I$16)</f>
        <v>0</v>
      </c>
      <c r="D25" s="1"/>
      <c r="E25" s="2"/>
      <c r="F25" s="2"/>
      <c r="G25" s="2"/>
      <c r="H25" s="2"/>
      <c r="I25" s="3"/>
      <c r="J25" s="3"/>
      <c r="K25" s="2"/>
      <c r="L25" s="2"/>
      <c r="M25" s="2"/>
      <c r="N25" s="2"/>
      <c r="O25" s="2"/>
      <c r="P25" s="3"/>
      <c r="Q25" s="3"/>
      <c r="R25" s="2"/>
      <c r="S25" s="2"/>
      <c r="T25" s="2"/>
      <c r="U25" s="2"/>
      <c r="V25" s="2"/>
      <c r="W25" s="3"/>
      <c r="X25" s="3"/>
      <c r="Y25" s="2"/>
      <c r="Z25" s="2"/>
      <c r="AA25" s="2"/>
      <c r="AB25" s="2"/>
      <c r="AC25" s="2"/>
      <c r="AD25" s="3"/>
      <c r="AE25" s="3"/>
    </row>
  </sheetData>
  <sortState ref="B2:AE15">
    <sortCondition ref="B3:B15"/>
  </sortState>
  <mergeCells count="9">
    <mergeCell ref="D4:J4"/>
    <mergeCell ref="K4:Q4"/>
    <mergeCell ref="R4:X4"/>
    <mergeCell ref="Y4:AE4"/>
    <mergeCell ref="D2:G2"/>
    <mergeCell ref="I2:J2"/>
    <mergeCell ref="L2:O2"/>
    <mergeCell ref="Q2:R2"/>
    <mergeCell ref="T2:V2"/>
  </mergeCells>
  <conditionalFormatting sqref="S2">
    <cfRule type="cellIs" dxfId="897" priority="6" stopIfTrue="1" operator="equal">
      <formula>#REF!</formula>
    </cfRule>
  </conditionalFormatting>
  <conditionalFormatting sqref="P2">
    <cfRule type="cellIs" dxfId="896" priority="7" stopIfTrue="1" operator="equal">
      <formula>#REF!</formula>
    </cfRule>
  </conditionalFormatting>
  <conditionalFormatting sqref="K2">
    <cfRule type="cellIs" dxfId="895" priority="8" stopIfTrue="1" operator="equal">
      <formula>#REF!</formula>
    </cfRule>
  </conditionalFormatting>
  <conditionalFormatting sqref="H2">
    <cfRule type="cellIs" dxfId="894" priority="9" stopIfTrue="1" operator="equal">
      <formula>#REF!</formula>
    </cfRule>
  </conditionalFormatting>
  <conditionalFormatting sqref="C2">
    <cfRule type="cellIs" dxfId="893" priority="10" stopIfTrue="1" operator="equal">
      <formula>#REF!</formula>
    </cfRule>
  </conditionalFormatting>
  <conditionalFormatting sqref="D6:AE25">
    <cfRule type="cellIs" dxfId="892" priority="1" operator="equal">
      <formula>$S$2</formula>
    </cfRule>
    <cfRule type="cellIs" dxfId="891" priority="2" operator="equal">
      <formula>$P$2</formula>
    </cfRule>
    <cfRule type="cellIs" dxfId="890" priority="3" operator="equal">
      <formula>$K$2</formula>
    </cfRule>
    <cfRule type="cellIs" dxfId="889" priority="4" operator="equal">
      <formula>$H$2</formula>
    </cfRule>
    <cfRule type="cellIs" dxfId="888" priority="5" operator="equal">
      <formula>$C$2</formula>
    </cfRule>
  </conditionalFormatting>
  <dataValidations count="12">
    <dataValidation allowBlank="1" showInputMessage="1" showErrorMessage="1" prompt="Entrez les noms des employés dans cette colonne" sqref="B5"/>
    <dataValidation allowBlank="1" showInputMessage="1" showErrorMessage="1" prompt="Cette ligne définit les clés utilisées dans le tableau : Repos hebdomadaire en C2, Congé en H2, Arrêt Maladie en K2, Formation en O2 et Absence non justifiée en R2_x000a_" sqref="A3"/>
    <dataValidation allowBlank="1" showInputMessage="1" showErrorMessage="1" prompt="« ABS» indique une absence pour cause d'Absence non justifiée" sqref="Q3"/>
    <dataValidation allowBlank="1" showInputMessage="1" showErrorMessage="1" prompt=" « AM » indique une absence pour cause d'Arrêt maladie" sqref="J3"/>
    <dataValidation allowBlank="1" showInputMessage="1" showErrorMessage="1" prompt=" « FO » indique une absence pour Formation" sqref="N3"/>
    <dataValidation allowBlank="1" showInputMessage="1" showErrorMessage="1" prompt="« CP» indique une absence pour cause de congé" sqref="G3"/>
    <dataValidation allowBlank="1" showInputMessage="1" showErrorMessage="1" prompt="Cette ligne définit les clés utilisées dans le tableau : Congé en C2, Personnel en F2 et Congé maladie en J2. Les cellules M2 et R2 sont personnalisables" sqref="B2"/>
    <dataValidation allowBlank="1" showInputMessage="1" showErrorMessage="1" prompt="La lettre « C » indique une absence pour cause de congé" sqref="H2"/>
    <dataValidation allowBlank="1" showInputMessage="1" showErrorMessage="1" prompt="La lettre « P » indique une absence pour motifs personnels" sqref="P2"/>
    <dataValidation allowBlank="1" showInputMessage="1" showErrorMessage="1" prompt="La lettre « M » indique une absence pour cause de maladie" sqref="S2"/>
    <dataValidation allowBlank="1" showInputMessage="1" showErrorMessage="1" prompt="Entrez une étiquette pour décrire la clé personnalisée à gauche" sqref="L2 D2"/>
    <dataValidation allowBlank="1" showInputMessage="1" showErrorMessage="1" prompt="Entrez une lettre et personnalisez l’étiquette à droite pour ajouter un élément de clé" sqref="K2 C2"/>
  </dataValidations>
  <pageMargins left="0.7" right="0.7" top="0.75" bottom="0.75" header="0.3" footer="0.3"/>
  <pageSetup paperSize="9" orientation="portrait" horizontalDpi="4294967293" verticalDpi="0"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Paramétrage!$B$3:$B$22</xm:f>
          </x14:formula1>
          <xm:sqref>B6</xm:sqref>
        </x14:dataValidation>
        <x14:dataValidation type="decimal" operator="equal" allowBlank="1" showInputMessage="1" showErrorMessage="1">
          <x14:formula1>
            <xm:f>Paramétrage!I3</xm:f>
          </x14:formula1>
          <xm:sqref>D6 D21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0.89999084444715716"/>
  </sheetPr>
  <dimension ref="A1:AG27"/>
  <sheetViews>
    <sheetView showGridLines="0" zoomScaleNormal="100" workbookViewId="0">
      <selection activeCell="I19" sqref="I19"/>
    </sheetView>
  </sheetViews>
  <sheetFormatPr baseColWidth="10" defaultColWidth="9.109375" defaultRowHeight="30" customHeight="1" x14ac:dyDescent="0.3"/>
  <cols>
    <col min="1" max="1" width="20.44140625" style="30" customWidth="1"/>
    <col min="2" max="32" width="5.5546875" style="30" customWidth="1"/>
    <col min="33" max="33" width="12.44140625" style="30" customWidth="1"/>
    <col min="34" max="34" width="2.6640625" style="29" customWidth="1"/>
    <col min="35" max="16384" width="9.109375" style="29"/>
  </cols>
  <sheetData>
    <row r="1" spans="1:33" ht="25.8" x14ac:dyDescent="0.3">
      <c r="A1" s="58" t="s">
        <v>90</v>
      </c>
      <c r="B1" s="58"/>
      <c r="C1" s="58"/>
      <c r="D1" s="58"/>
      <c r="E1" s="58"/>
      <c r="F1" s="58"/>
      <c r="G1" s="58"/>
      <c r="H1" s="58"/>
      <c r="I1" s="58"/>
      <c r="J1" s="58"/>
      <c r="K1" s="58"/>
      <c r="L1" s="58"/>
      <c r="M1" s="58"/>
      <c r="N1" s="58"/>
      <c r="O1" s="58"/>
      <c r="P1" s="58"/>
      <c r="Q1" s="58"/>
      <c r="R1" s="58"/>
      <c r="S1" s="58"/>
      <c r="T1" s="58"/>
      <c r="U1" s="58"/>
      <c r="V1" s="58"/>
      <c r="W1" s="58"/>
      <c r="X1" s="58"/>
      <c r="Y1" s="58"/>
      <c r="Z1" s="58"/>
      <c r="AA1" s="58"/>
      <c r="AB1" s="58"/>
      <c r="AC1" s="58"/>
      <c r="AD1" s="58"/>
      <c r="AE1" s="58"/>
      <c r="AF1" s="58"/>
      <c r="AG1" s="58"/>
    </row>
    <row r="2" spans="1:33" ht="12" x14ac:dyDescent="0.3">
      <c r="A2" s="41" t="s">
        <v>0</v>
      </c>
      <c r="B2" s="42" t="s">
        <v>88</v>
      </c>
      <c r="C2" s="57" t="s">
        <v>89</v>
      </c>
      <c r="D2" s="57"/>
      <c r="E2" s="57"/>
      <c r="F2" s="57"/>
      <c r="G2" s="9" t="s">
        <v>82</v>
      </c>
      <c r="H2" s="57" t="s">
        <v>9</v>
      </c>
      <c r="I2" s="57"/>
      <c r="J2" s="43" t="s">
        <v>84</v>
      </c>
      <c r="K2" s="57" t="s">
        <v>85</v>
      </c>
      <c r="L2" s="57"/>
      <c r="M2" s="57"/>
      <c r="N2" s="11" t="s">
        <v>60</v>
      </c>
      <c r="O2" s="57" t="s">
        <v>83</v>
      </c>
      <c r="P2" s="57"/>
      <c r="Q2" s="44" t="s">
        <v>86</v>
      </c>
      <c r="R2" s="57" t="s">
        <v>87</v>
      </c>
      <c r="S2" s="57"/>
      <c r="T2" s="57"/>
      <c r="U2" s="57"/>
    </row>
    <row r="3" spans="1:33" ht="12" x14ac:dyDescent="0.3">
      <c r="AG3" s="31" t="s">
        <v>40</v>
      </c>
    </row>
    <row r="4" spans="1:33" ht="25.8" x14ac:dyDescent="0.3">
      <c r="A4" s="59" t="s">
        <v>1</v>
      </c>
      <c r="B4" s="59" t="s">
        <v>109</v>
      </c>
      <c r="C4" s="59"/>
      <c r="D4" s="59"/>
      <c r="E4" s="59"/>
      <c r="F4" s="59"/>
      <c r="G4" s="59"/>
      <c r="H4" s="59"/>
      <c r="I4" s="59"/>
      <c r="J4" s="59"/>
      <c r="K4" s="59"/>
      <c r="L4" s="59"/>
      <c r="M4" s="59"/>
      <c r="N4" s="59"/>
      <c r="O4" s="59"/>
      <c r="P4" s="59"/>
      <c r="Q4" s="59"/>
      <c r="R4" s="59"/>
      <c r="S4" s="59"/>
      <c r="T4" s="59"/>
      <c r="U4" s="59"/>
      <c r="V4" s="59"/>
      <c r="W4" s="59"/>
      <c r="X4" s="59"/>
      <c r="Y4" s="59"/>
      <c r="Z4" s="59"/>
      <c r="AA4" s="59"/>
      <c r="AB4" s="59"/>
      <c r="AC4" s="59"/>
      <c r="AD4" s="59"/>
      <c r="AE4" s="59"/>
      <c r="AF4" s="59"/>
      <c r="AG4" s="59">
        <v>2023</v>
      </c>
    </row>
    <row r="5" spans="1:33" ht="12" x14ac:dyDescent="0.3">
      <c r="A5" s="59"/>
      <c r="B5" s="47" t="str">
        <f>TEXT(WEEKDAY(DATE(AnnéeCalendrier,1,1),1),"jjj")</f>
        <v>dim</v>
      </c>
      <c r="C5" s="32" t="str">
        <f>TEXT(WEEKDAY(DATE(AnnéeCalendrier,1,2),1),"jjj")</f>
        <v>lun</v>
      </c>
      <c r="D5" s="32" t="str">
        <f>TEXT(WEEKDAY(DATE(AnnéeCalendrier,1,3),1),"jjj")</f>
        <v>mar</v>
      </c>
      <c r="E5" s="32" t="str">
        <f>TEXT(WEEKDAY(DATE(AnnéeCalendrier,1,4),1),"jjj")</f>
        <v>mer</v>
      </c>
      <c r="F5" s="32" t="str">
        <f>TEXT(WEEKDAY(DATE(AnnéeCalendrier,1,5),1),"jjj")</f>
        <v>jeu</v>
      </c>
      <c r="G5" s="32" t="str">
        <f>TEXT(WEEKDAY(DATE(AnnéeCalendrier,1,6),1),"jjj")</f>
        <v>ven</v>
      </c>
      <c r="H5" s="32" t="str">
        <f>TEXT(WEEKDAY(DATE(AnnéeCalendrier,1,7),1),"jjj")</f>
        <v>sam</v>
      </c>
      <c r="I5" s="32" t="str">
        <f>TEXT(WEEKDAY(DATE(AnnéeCalendrier,1,8),1),"jjj")</f>
        <v>dim</v>
      </c>
      <c r="J5" s="32" t="str">
        <f>TEXT(WEEKDAY(DATE(AnnéeCalendrier,1,9),1),"jjj")</f>
        <v>lun</v>
      </c>
      <c r="K5" s="32" t="str">
        <f>TEXT(WEEKDAY(DATE(AnnéeCalendrier,1,10),1),"jjj")</f>
        <v>mar</v>
      </c>
      <c r="L5" s="32" t="str">
        <f>TEXT(WEEKDAY(DATE(AnnéeCalendrier,1,11),1),"jjj")</f>
        <v>mer</v>
      </c>
      <c r="M5" s="32" t="str">
        <f>TEXT(WEEKDAY(DATE(AnnéeCalendrier,1,12),1),"jjj")</f>
        <v>jeu</v>
      </c>
      <c r="N5" s="32" t="str">
        <f>TEXT(WEEKDAY(DATE(AnnéeCalendrier,1,13),1),"jjj")</f>
        <v>ven</v>
      </c>
      <c r="O5" s="32" t="str">
        <f>TEXT(WEEKDAY(DATE(AnnéeCalendrier,1,14),1),"jjj")</f>
        <v>sam</v>
      </c>
      <c r="P5" s="32" t="str">
        <f>TEXT(WEEKDAY(DATE(AnnéeCalendrier,1,15),1),"jjj")</f>
        <v>dim</v>
      </c>
      <c r="Q5" s="32" t="str">
        <f>TEXT(WEEKDAY(DATE(AnnéeCalendrier,1,16),1),"jjj")</f>
        <v>lun</v>
      </c>
      <c r="R5" s="32" t="str">
        <f>TEXT(WEEKDAY(DATE(AnnéeCalendrier,1,17),1),"jjj")</f>
        <v>mar</v>
      </c>
      <c r="S5" s="32" t="str">
        <f>TEXT(WEEKDAY(DATE(AnnéeCalendrier,1,18),1),"jjj")</f>
        <v>mer</v>
      </c>
      <c r="T5" s="32" t="str">
        <f>TEXT(WEEKDAY(DATE(AnnéeCalendrier,1,19),1),"jjj")</f>
        <v>jeu</v>
      </c>
      <c r="U5" s="32" t="str">
        <f>TEXT(WEEKDAY(DATE(AnnéeCalendrier,1,20),1),"jjj")</f>
        <v>ven</v>
      </c>
      <c r="V5" s="32" t="str">
        <f>TEXT(WEEKDAY(DATE(AnnéeCalendrier,1,21),1),"jjj")</f>
        <v>sam</v>
      </c>
      <c r="W5" s="32" t="str">
        <f>TEXT(WEEKDAY(DATE(AnnéeCalendrier,1,22),1),"jjj")</f>
        <v>dim</v>
      </c>
      <c r="X5" s="32" t="str">
        <f>TEXT(WEEKDAY(DATE(AnnéeCalendrier,1,23),1),"jjj")</f>
        <v>lun</v>
      </c>
      <c r="Y5" s="32" t="str">
        <f>TEXT(WEEKDAY(DATE(AnnéeCalendrier,1,24),1),"jjj")</f>
        <v>mar</v>
      </c>
      <c r="Z5" s="32" t="str">
        <f>TEXT(WEEKDAY(DATE(AnnéeCalendrier,1,25),1),"jjj")</f>
        <v>mer</v>
      </c>
      <c r="AA5" s="32" t="str">
        <f>TEXT(WEEKDAY(DATE(AnnéeCalendrier,1,26),1),"jjj")</f>
        <v>jeu</v>
      </c>
      <c r="AB5" s="32" t="str">
        <f>TEXT(WEEKDAY(DATE(AnnéeCalendrier,1,27),1),"jjj")</f>
        <v>ven</v>
      </c>
      <c r="AC5" s="32" t="str">
        <f>TEXT(WEEKDAY(DATE(AnnéeCalendrier,1,28),1),"jjj")</f>
        <v>sam</v>
      </c>
      <c r="AD5" s="32" t="str">
        <f>TEXT(WEEKDAY(DATE(AnnéeCalendrier,1,29),1),"jjj")</f>
        <v>dim</v>
      </c>
      <c r="AE5" s="32" t="str">
        <f>TEXT(WEEKDAY(DATE(AnnéeCalendrier,1,30),1),"jjj")</f>
        <v>lun</v>
      </c>
      <c r="AF5" s="32" t="str">
        <f>TEXT(WEEKDAY(DATE(AnnéeCalendrier,1,31),1),"jjj")</f>
        <v>mar</v>
      </c>
      <c r="AG5" s="59"/>
    </row>
    <row r="6" spans="1:33" ht="24" x14ac:dyDescent="0.3">
      <c r="A6" s="33" t="s">
        <v>2</v>
      </c>
      <c r="B6" s="34" t="s">
        <v>8</v>
      </c>
      <c r="C6" s="34" t="s">
        <v>10</v>
      </c>
      <c r="D6" s="34" t="s">
        <v>11</v>
      </c>
      <c r="E6" s="34" t="s">
        <v>12</v>
      </c>
      <c r="F6" s="34" t="s">
        <v>13</v>
      </c>
      <c r="G6" s="34" t="s">
        <v>14</v>
      </c>
      <c r="H6" s="34" t="s">
        <v>15</v>
      </c>
      <c r="I6" s="34" t="s">
        <v>16</v>
      </c>
      <c r="J6" s="34" t="s">
        <v>17</v>
      </c>
      <c r="K6" s="34" t="s">
        <v>18</v>
      </c>
      <c r="L6" s="34" t="s">
        <v>19</v>
      </c>
      <c r="M6" s="34" t="s">
        <v>20</v>
      </c>
      <c r="N6" s="34" t="s">
        <v>21</v>
      </c>
      <c r="O6" s="34" t="s">
        <v>22</v>
      </c>
      <c r="P6" s="34" t="s">
        <v>23</v>
      </c>
      <c r="Q6" s="34" t="s">
        <v>24</v>
      </c>
      <c r="R6" s="34" t="s">
        <v>25</v>
      </c>
      <c r="S6" s="34" t="s">
        <v>26</v>
      </c>
      <c r="T6" s="34" t="s">
        <v>27</v>
      </c>
      <c r="U6" s="34" t="s">
        <v>28</v>
      </c>
      <c r="V6" s="34" t="s">
        <v>29</v>
      </c>
      <c r="W6" s="34" t="s">
        <v>30</v>
      </c>
      <c r="X6" s="34" t="s">
        <v>31</v>
      </c>
      <c r="Y6" s="34" t="s">
        <v>32</v>
      </c>
      <c r="Z6" s="34" t="s">
        <v>33</v>
      </c>
      <c r="AA6" s="34" t="s">
        <v>34</v>
      </c>
      <c r="AB6" s="34" t="s">
        <v>35</v>
      </c>
      <c r="AC6" s="34" t="s">
        <v>36</v>
      </c>
      <c r="AD6" s="34" t="s">
        <v>37</v>
      </c>
      <c r="AE6" s="34" t="s">
        <v>38</v>
      </c>
      <c r="AF6" s="34" t="s">
        <v>39</v>
      </c>
      <c r="AG6" s="35" t="s">
        <v>107</v>
      </c>
    </row>
    <row r="7" spans="1:33" ht="15" customHeight="1" x14ac:dyDescent="0.3">
      <c r="A7" s="36" t="s">
        <v>3</v>
      </c>
      <c r="B7" s="34"/>
      <c r="C7" s="34"/>
      <c r="D7" s="34"/>
      <c r="E7" s="34"/>
      <c r="F7" s="34"/>
      <c r="G7" s="34"/>
      <c r="H7" s="34"/>
      <c r="I7" s="34"/>
      <c r="J7" s="34"/>
      <c r="K7" s="34"/>
      <c r="L7" s="34"/>
      <c r="M7" s="34"/>
      <c r="N7" s="34"/>
      <c r="O7" s="34"/>
      <c r="P7" s="34"/>
      <c r="Q7" s="34"/>
      <c r="R7" s="34"/>
      <c r="S7" s="34"/>
      <c r="T7" s="34"/>
      <c r="U7" s="34"/>
      <c r="V7" s="34"/>
      <c r="W7" s="34"/>
      <c r="X7" s="34"/>
      <c r="Y7" s="34"/>
      <c r="Z7" s="34"/>
      <c r="AA7" s="34"/>
      <c r="AB7" s="34"/>
      <c r="AC7" s="34"/>
      <c r="AD7" s="34"/>
      <c r="AE7" s="34"/>
      <c r="AF7" s="34"/>
      <c r="AG7" s="18">
        <f>COUNTIF(Janvier[[#This Row],[1]:[31]],Paramétrage!G3)*Paramétrage!I3+COUNTIF(Janvier[[#This Row],[1]:[31]],Paramétrage!G4)*Paramétrage!I4+COUNTIF(Janvier[[#This Row],[1]:[31]],Paramétrage!G5)*Paramétrage!I5+COUNTIF(Janvier[[#This Row],[1]:[31]],Paramétrage!G6)*Paramétrage!I6+COUNTIF(Janvier[[#This Row],[1]:[31]],Paramétrage!G7)*Paramétrage!I7+COUNTIF(Janvier[[#This Row],[1]:[31]],Paramétrage!G8)*Paramétrage!I8+COUNTIF(Janvier[[#This Row],[1]:[31]],Paramétrage!G9)*Paramétrage!I9+COUNTIF(Janvier[[#This Row],[1]:[31]],Paramétrage!G10)*Paramétrage!I10+COUNTIF(Janvier[[#This Row],[1]:[31]],Paramétrage!G11)*Paramétrage!I11+COUNTIF(Janvier[[#This Row],[1]:[31]],Paramétrage!G12)*Paramétrage!I12+COUNTIF(Janvier[[#This Row],[1]:[31]],Paramétrage!G13)*Paramétrage!I13+COUNTIF(Janvier[[#This Row],[1]:[31]],Paramétrage!G14*Paramétrage!I14+COUNTIF(Janvier[[#This Row],[1]:[31]],Paramétrage!G15)*Paramétrage!I15+COUNTIF(Janvier[[#This Row],[1]:[31]],Paramétrage!G16)*Paramétrage!I16)</f>
        <v>0</v>
      </c>
    </row>
    <row r="8" spans="1:33" ht="15" customHeight="1" x14ac:dyDescent="0.3">
      <c r="A8" s="36" t="s">
        <v>4</v>
      </c>
      <c r="B8" s="34"/>
      <c r="C8" s="34"/>
      <c r="D8" s="34"/>
      <c r="E8" s="34"/>
      <c r="F8" s="34"/>
      <c r="G8" s="34"/>
      <c r="H8" s="34"/>
      <c r="I8" s="34"/>
      <c r="J8" s="34"/>
      <c r="K8" s="34"/>
      <c r="L8" s="34"/>
      <c r="M8" s="34"/>
      <c r="N8" s="34"/>
      <c r="O8" s="34"/>
      <c r="P8" s="34"/>
      <c r="Q8" s="34"/>
      <c r="R8" s="34"/>
      <c r="S8" s="34"/>
      <c r="T8" s="34"/>
      <c r="U8" s="34"/>
      <c r="V8" s="34"/>
      <c r="W8" s="34"/>
      <c r="X8" s="34"/>
      <c r="Y8" s="34"/>
      <c r="Z8" s="34"/>
      <c r="AA8" s="34"/>
      <c r="AB8" s="34"/>
      <c r="AC8" s="34"/>
      <c r="AD8" s="34"/>
      <c r="AE8" s="34"/>
      <c r="AF8" s="34"/>
      <c r="AG8" s="18">
        <f>COUNTIF(Janvier[[#This Row],[1]:[31]],Paramétrage!G4)*Paramétrage!I4+COUNTIF(Janvier[[#This Row],[1]:[31]],Paramétrage!G5)*Paramétrage!I5+COUNTIF(Janvier[[#This Row],[1]:[31]],Paramétrage!G6)*Paramétrage!I6+COUNTIF(Janvier[[#This Row],[1]:[31]],Paramétrage!G7)*Paramétrage!I7+COUNTIF(Janvier[[#This Row],[1]:[31]],Paramétrage!G8)*Paramétrage!I8+COUNTIF(Janvier[[#This Row],[1]:[31]],Paramétrage!G9)*Paramétrage!I9+COUNTIF(Janvier[[#This Row],[1]:[31]],Paramétrage!G10)*Paramétrage!I10+COUNTIF(Janvier[[#This Row],[1]:[31]],Paramétrage!G11)*Paramétrage!I11+COUNTIF(Janvier[[#This Row],[1]:[31]],Paramétrage!G12)*Paramétrage!I12+COUNTIF(Janvier[[#This Row],[1]:[31]],Paramétrage!G13)*Paramétrage!I13+COUNTIF(Janvier[[#This Row],[1]:[31]],Paramétrage!G14)*Paramétrage!I14+COUNTIF(Janvier[[#This Row],[1]:[31]],Paramétrage!G15*Paramétrage!I15+COUNTIF(Janvier[[#This Row],[1]:[31]],Paramétrage!G16)*Paramétrage!I16+COUNTIF(Janvier[[#This Row],[1]:[31]],Paramétrage!G17)*Paramétrage!I17)</f>
        <v>0</v>
      </c>
    </row>
    <row r="9" spans="1:33" ht="15" customHeight="1" x14ac:dyDescent="0.3">
      <c r="A9" s="36" t="s">
        <v>5</v>
      </c>
      <c r="B9" s="34"/>
      <c r="C9" s="34"/>
      <c r="D9" s="34"/>
      <c r="E9" s="34"/>
      <c r="F9" s="34"/>
      <c r="G9" s="34"/>
      <c r="H9" s="34"/>
      <c r="I9" s="34"/>
      <c r="J9" s="34"/>
      <c r="K9" s="34"/>
      <c r="L9" s="34"/>
      <c r="M9" s="34"/>
      <c r="N9" s="34"/>
      <c r="O9" s="34"/>
      <c r="P9" s="34"/>
      <c r="Q9" s="34"/>
      <c r="R9" s="34"/>
      <c r="S9" s="34"/>
      <c r="T9" s="34"/>
      <c r="U9" s="34"/>
      <c r="V9" s="34"/>
      <c r="W9" s="34"/>
      <c r="X9" s="34"/>
      <c r="Y9" s="34"/>
      <c r="Z9" s="34"/>
      <c r="AA9" s="34"/>
      <c r="AB9" s="34"/>
      <c r="AC9" s="34"/>
      <c r="AD9" s="34"/>
      <c r="AE9" s="34"/>
      <c r="AF9" s="34"/>
      <c r="AG9" s="18">
        <f>COUNTIF(Janvier[[#This Row],[1]:[31]],Paramétrage!G5)*Paramétrage!I5+COUNTIF(Janvier[[#This Row],[1]:[31]],Paramétrage!G6)*Paramétrage!I6+COUNTIF(Janvier[[#This Row],[1]:[31]],Paramétrage!G7)*Paramétrage!I7+COUNTIF(Janvier[[#This Row],[1]:[31]],Paramétrage!G8)*Paramétrage!I8+COUNTIF(Janvier[[#This Row],[1]:[31]],Paramétrage!G9)*Paramétrage!I9+COUNTIF(Janvier[[#This Row],[1]:[31]],Paramétrage!G10)*Paramétrage!I10+COUNTIF(Janvier[[#This Row],[1]:[31]],Paramétrage!G11)*Paramétrage!I11+COUNTIF(Janvier[[#This Row],[1]:[31]],Paramétrage!G12)*Paramétrage!I12+COUNTIF(Janvier[[#This Row],[1]:[31]],Paramétrage!G13)*Paramétrage!I13+COUNTIF(Janvier[[#This Row],[1]:[31]],Paramétrage!G14)*Paramétrage!I14+COUNTIF(Janvier[[#This Row],[1]:[31]],Paramétrage!G15)*Paramétrage!I15+COUNTIF(Janvier[[#This Row],[1]:[31]],Paramétrage!G16*Paramétrage!I16+COUNTIF(Janvier[[#This Row],[1]:[31]],Paramétrage!G17)*Paramétrage!I17+COUNTIF(Janvier[[#This Row],[1]:[31]],Paramétrage!G18)*Paramétrage!I18)</f>
        <v>0</v>
      </c>
    </row>
    <row r="10" spans="1:33" ht="15" customHeight="1" x14ac:dyDescent="0.3">
      <c r="A10" s="36" t="s">
        <v>6</v>
      </c>
      <c r="B10" s="34"/>
      <c r="C10" s="34"/>
      <c r="D10" s="34"/>
      <c r="E10" s="34"/>
      <c r="F10" s="34"/>
      <c r="G10" s="34"/>
      <c r="H10" s="34"/>
      <c r="I10" s="34"/>
      <c r="J10" s="34"/>
      <c r="K10" s="34"/>
      <c r="L10" s="34"/>
      <c r="M10" s="34"/>
      <c r="N10" s="34"/>
      <c r="O10" s="34"/>
      <c r="P10" s="34"/>
      <c r="Q10" s="34"/>
      <c r="R10" s="34"/>
      <c r="S10" s="34"/>
      <c r="T10" s="34"/>
      <c r="U10" s="34"/>
      <c r="V10" s="34"/>
      <c r="W10" s="34"/>
      <c r="X10" s="34"/>
      <c r="Y10" s="34"/>
      <c r="Z10" s="34"/>
      <c r="AA10" s="34"/>
      <c r="AB10" s="34"/>
      <c r="AC10" s="34"/>
      <c r="AD10" s="34"/>
      <c r="AE10" s="34"/>
      <c r="AF10" s="34"/>
      <c r="AG10" s="18">
        <f>COUNTIF(Janvier[[#This Row],[1]:[31]],Paramétrage!G6)*Paramétrage!I6+COUNTIF(Janvier[[#This Row],[1]:[31]],Paramétrage!G7)*Paramétrage!I7+COUNTIF(Janvier[[#This Row],[1]:[31]],Paramétrage!G8)*Paramétrage!I8+COUNTIF(Janvier[[#This Row],[1]:[31]],Paramétrage!G9)*Paramétrage!I9+COUNTIF(Janvier[[#This Row],[1]:[31]],Paramétrage!G10)*Paramétrage!I10+COUNTIF(Janvier[[#This Row],[1]:[31]],Paramétrage!G11)*Paramétrage!I11+COUNTIF(Janvier[[#This Row],[1]:[31]],Paramétrage!G12)*Paramétrage!I12+COUNTIF(Janvier[[#This Row],[1]:[31]],Paramétrage!G13)*Paramétrage!I13+COUNTIF(Janvier[[#This Row],[1]:[31]],Paramétrage!G14)*Paramétrage!I14+COUNTIF(Janvier[[#This Row],[1]:[31]],Paramétrage!G15)*Paramétrage!I15+COUNTIF(Janvier[[#This Row],[1]:[31]],Paramétrage!G16)*Paramétrage!I16+COUNTIF(Janvier[[#This Row],[1]:[31]],Paramétrage!G17*Paramétrage!I17+COUNTIF(Janvier[[#This Row],[1]:[31]],Paramétrage!G18)*Paramétrage!I18+COUNTIF(Janvier[[#This Row],[1]:[31]],Paramétrage!G19)*Paramétrage!I19)</f>
        <v>0</v>
      </c>
    </row>
    <row r="11" spans="1:33" ht="15" customHeight="1" x14ac:dyDescent="0.3">
      <c r="A11" s="36" t="s">
        <v>7</v>
      </c>
      <c r="B11" s="34"/>
      <c r="C11" s="34"/>
      <c r="D11" s="34"/>
      <c r="E11" s="34"/>
      <c r="F11" s="34"/>
      <c r="G11" s="34"/>
      <c r="H11" s="34"/>
      <c r="I11" s="34"/>
      <c r="J11" s="34"/>
      <c r="K11" s="34"/>
      <c r="L11" s="34"/>
      <c r="M11" s="34"/>
      <c r="N11" s="34"/>
      <c r="O11" s="34"/>
      <c r="P11" s="34"/>
      <c r="Q11" s="34"/>
      <c r="R11" s="34"/>
      <c r="S11" s="34"/>
      <c r="T11" s="34"/>
      <c r="U11" s="34"/>
      <c r="V11" s="34"/>
      <c r="W11" s="34"/>
      <c r="X11" s="34"/>
      <c r="Y11" s="34"/>
      <c r="Z11" s="34"/>
      <c r="AA11" s="34"/>
      <c r="AB11" s="34"/>
      <c r="AC11" s="34"/>
      <c r="AD11" s="34"/>
      <c r="AE11" s="34"/>
      <c r="AF11" s="34"/>
      <c r="AG11" s="18">
        <f>COUNTIF(Janvier[[#This Row],[1]:[31]],Paramétrage!G7)*Paramétrage!I7+COUNTIF(Janvier[[#This Row],[1]:[31]],Paramétrage!G8)*Paramétrage!I8+COUNTIF(Janvier[[#This Row],[1]:[31]],Paramétrage!G9)*Paramétrage!I9+COUNTIF(Janvier[[#This Row],[1]:[31]],Paramétrage!G10)*Paramétrage!I10+COUNTIF(Janvier[[#This Row],[1]:[31]],Paramétrage!G11)*Paramétrage!I11+COUNTIF(Janvier[[#This Row],[1]:[31]],Paramétrage!G12)*Paramétrage!I12+COUNTIF(Janvier[[#This Row],[1]:[31]],Paramétrage!G13)*Paramétrage!I13+COUNTIF(Janvier[[#This Row],[1]:[31]],Paramétrage!G14)*Paramétrage!I14+COUNTIF(Janvier[[#This Row],[1]:[31]],Paramétrage!G15)*Paramétrage!I15+COUNTIF(Janvier[[#This Row],[1]:[31]],Paramétrage!G16)*Paramétrage!I16+COUNTIF(Janvier[[#This Row],[1]:[31]],Paramétrage!G17)*Paramétrage!I17+COUNTIF(Janvier[[#This Row],[1]:[31]],Paramétrage!G18*Paramétrage!I18+COUNTIF(Janvier[[#This Row],[1]:[31]],Paramétrage!G19)*Paramétrage!I19+COUNTIF(Janvier[[#This Row],[1]:[31]],Paramétrage!G20)*Paramétrage!I20)</f>
        <v>0</v>
      </c>
    </row>
    <row r="12" spans="1:33" ht="15" customHeight="1" x14ac:dyDescent="0.3">
      <c r="A12" s="36" t="s">
        <v>55</v>
      </c>
      <c r="B12" s="34"/>
      <c r="C12" s="34"/>
      <c r="D12" s="34"/>
      <c r="E12" s="34"/>
      <c r="F12" s="34"/>
      <c r="G12" s="34"/>
      <c r="H12" s="34"/>
      <c r="I12" s="34"/>
      <c r="J12" s="34"/>
      <c r="K12" s="34"/>
      <c r="L12" s="34"/>
      <c r="M12" s="34"/>
      <c r="N12" s="34"/>
      <c r="O12" s="34"/>
      <c r="P12" s="34"/>
      <c r="Q12" s="34"/>
      <c r="R12" s="34"/>
      <c r="S12" s="34"/>
      <c r="T12" s="34"/>
      <c r="U12" s="34"/>
      <c r="V12" s="34"/>
      <c r="W12" s="34"/>
      <c r="X12" s="34"/>
      <c r="Y12" s="34"/>
      <c r="Z12" s="34"/>
      <c r="AA12" s="34"/>
      <c r="AB12" s="34"/>
      <c r="AC12" s="34"/>
      <c r="AD12" s="34"/>
      <c r="AE12" s="34"/>
      <c r="AF12" s="34"/>
      <c r="AG12" s="18">
        <f>COUNTIF(Janvier[[#This Row],[1]:[31]],Paramétrage!G8)*Paramétrage!I8+COUNTIF(Janvier[[#This Row],[1]:[31]],Paramétrage!G9)*Paramétrage!I9+COUNTIF(Janvier[[#This Row],[1]:[31]],Paramétrage!G10)*Paramétrage!I10+COUNTIF(Janvier[[#This Row],[1]:[31]],Paramétrage!G11)*Paramétrage!I11+COUNTIF(Janvier[[#This Row],[1]:[31]],Paramétrage!G12)*Paramétrage!I12+COUNTIF(Janvier[[#This Row],[1]:[31]],Paramétrage!G13)*Paramétrage!I13+COUNTIF(Janvier[[#This Row],[1]:[31]],Paramétrage!G14)*Paramétrage!I14+COUNTIF(Janvier[[#This Row],[1]:[31]],Paramétrage!G15)*Paramétrage!I15+COUNTIF(Janvier[[#This Row],[1]:[31]],Paramétrage!G16)*Paramétrage!I16+COUNTIF(Janvier[[#This Row],[1]:[31]],Paramétrage!G17)*Paramétrage!I17+COUNTIF(Janvier[[#This Row],[1]:[31]],Paramétrage!G18)*Paramétrage!I18+COUNTIF(Janvier[[#This Row],[1]:[31]],Paramétrage!G19*Paramétrage!I19+COUNTIF(Janvier[[#This Row],[1]:[31]],Paramétrage!G20)*Paramétrage!I20+COUNTIF(Janvier[[#This Row],[1]:[31]],Paramétrage!G21)*Paramétrage!I21)</f>
        <v>0</v>
      </c>
    </row>
    <row r="13" spans="1:33" ht="15" customHeight="1" x14ac:dyDescent="0.3">
      <c r="A13" s="36" t="s">
        <v>56</v>
      </c>
      <c r="B13" s="34"/>
      <c r="C13" s="34"/>
      <c r="D13" s="34"/>
      <c r="E13" s="34"/>
      <c r="F13" s="34"/>
      <c r="G13" s="34"/>
      <c r="H13" s="34"/>
      <c r="I13" s="34"/>
      <c r="J13" s="34"/>
      <c r="K13" s="34"/>
      <c r="L13" s="34"/>
      <c r="M13" s="34"/>
      <c r="N13" s="34"/>
      <c r="O13" s="34"/>
      <c r="P13" s="34"/>
      <c r="Q13" s="34"/>
      <c r="R13" s="34"/>
      <c r="S13" s="34"/>
      <c r="T13" s="34"/>
      <c r="U13" s="34"/>
      <c r="V13" s="34"/>
      <c r="W13" s="34"/>
      <c r="X13" s="34"/>
      <c r="Y13" s="34"/>
      <c r="Z13" s="34"/>
      <c r="AA13" s="34"/>
      <c r="AB13" s="34"/>
      <c r="AC13" s="34"/>
      <c r="AD13" s="34"/>
      <c r="AE13" s="34"/>
      <c r="AF13" s="34"/>
      <c r="AG13" s="18">
        <f>COUNTIF(Janvier[[#This Row],[1]:[31]],Paramétrage!G9)*Paramétrage!I9+COUNTIF(Janvier[[#This Row],[1]:[31]],Paramétrage!G10)*Paramétrage!I10+COUNTIF(Janvier[[#This Row],[1]:[31]],Paramétrage!G11)*Paramétrage!I11+COUNTIF(Janvier[[#This Row],[1]:[31]],Paramétrage!G12)*Paramétrage!I12+COUNTIF(Janvier[[#This Row],[1]:[31]],Paramétrage!G13)*Paramétrage!I13+COUNTIF(Janvier[[#This Row],[1]:[31]],Paramétrage!G14)*Paramétrage!I14+COUNTIF(Janvier[[#This Row],[1]:[31]],Paramétrage!G15)*Paramétrage!I15+COUNTIF(Janvier[[#This Row],[1]:[31]],Paramétrage!G16)*Paramétrage!I16+COUNTIF(Janvier[[#This Row],[1]:[31]],Paramétrage!G17)*Paramétrage!I17+COUNTIF(Janvier[[#This Row],[1]:[31]],Paramétrage!G18)*Paramétrage!I18+COUNTIF(Janvier[[#This Row],[1]:[31]],Paramétrage!G19)*Paramétrage!I19+COUNTIF(Janvier[[#This Row],[1]:[31]],Paramétrage!G20*Paramétrage!I20+COUNTIF(Janvier[[#This Row],[1]:[31]],Paramétrage!G21)*Paramétrage!I21+COUNTIF(Janvier[[#This Row],[1]:[31]],Paramétrage!G22)*Paramétrage!I22)</f>
        <v>0</v>
      </c>
    </row>
    <row r="14" spans="1:33" ht="15" customHeight="1" x14ac:dyDescent="0.3">
      <c r="A14" s="36" t="s">
        <v>57</v>
      </c>
      <c r="B14" s="34"/>
      <c r="C14" s="34"/>
      <c r="D14" s="34"/>
      <c r="E14" s="34"/>
      <c r="F14" s="34"/>
      <c r="G14" s="34"/>
      <c r="H14" s="34"/>
      <c r="I14" s="34"/>
      <c r="J14" s="34"/>
      <c r="K14" s="34"/>
      <c r="L14" s="34"/>
      <c r="M14" s="34"/>
      <c r="N14" s="34"/>
      <c r="O14" s="34"/>
      <c r="P14" s="34"/>
      <c r="Q14" s="34"/>
      <c r="R14" s="34"/>
      <c r="S14" s="34"/>
      <c r="T14" s="34"/>
      <c r="U14" s="34"/>
      <c r="V14" s="34"/>
      <c r="W14" s="34"/>
      <c r="X14" s="34"/>
      <c r="Y14" s="34"/>
      <c r="Z14" s="34"/>
      <c r="AA14" s="34"/>
      <c r="AB14" s="34"/>
      <c r="AC14" s="34"/>
      <c r="AD14" s="34"/>
      <c r="AE14" s="34"/>
      <c r="AF14" s="34"/>
      <c r="AG14" s="18">
        <f>COUNTIF(Janvier[[#This Row],[1]:[31]],Paramétrage!G10)*Paramétrage!I10+COUNTIF(Janvier[[#This Row],[1]:[31]],Paramétrage!G11)*Paramétrage!I11+COUNTIF(Janvier[[#This Row],[1]:[31]],Paramétrage!G12)*Paramétrage!I12+COUNTIF(Janvier[[#This Row],[1]:[31]],Paramétrage!G13)*Paramétrage!I13+COUNTIF(Janvier[[#This Row],[1]:[31]],Paramétrage!G14)*Paramétrage!I14+COUNTIF(Janvier[[#This Row],[1]:[31]],Paramétrage!G15)*Paramétrage!I15+COUNTIF(Janvier[[#This Row],[1]:[31]],Paramétrage!G16)*Paramétrage!I16+COUNTIF(Janvier[[#This Row],[1]:[31]],Paramétrage!G17)*Paramétrage!I17+COUNTIF(Janvier[[#This Row],[1]:[31]],Paramétrage!G18)*Paramétrage!I18+COUNTIF(Janvier[[#This Row],[1]:[31]],Paramétrage!G19)*Paramétrage!I19+COUNTIF(Janvier[[#This Row],[1]:[31]],Paramétrage!G20)*Paramétrage!I20+COUNTIF(Janvier[[#This Row],[1]:[31]],Paramétrage!G21*Paramétrage!I21+COUNTIF(Janvier[[#This Row],[1]:[31]],Paramétrage!G22)*Paramétrage!I22+COUNTIF(Janvier[[#This Row],[1]:[31]],Paramétrage!G23)*Paramétrage!I23)</f>
        <v>0</v>
      </c>
    </row>
    <row r="15" spans="1:33" ht="15" customHeight="1" x14ac:dyDescent="0.3">
      <c r="A15" s="36" t="s">
        <v>61</v>
      </c>
      <c r="B15" s="34"/>
      <c r="C15" s="34"/>
      <c r="D15" s="34"/>
      <c r="E15" s="34"/>
      <c r="F15" s="34"/>
      <c r="G15" s="34"/>
      <c r="H15" s="34"/>
      <c r="I15" s="34"/>
      <c r="J15" s="34"/>
      <c r="K15" s="34"/>
      <c r="L15" s="34"/>
      <c r="M15" s="34"/>
      <c r="N15" s="34"/>
      <c r="O15" s="34"/>
      <c r="P15" s="34"/>
      <c r="Q15" s="34"/>
      <c r="R15" s="34"/>
      <c r="S15" s="34"/>
      <c r="T15" s="34"/>
      <c r="U15" s="34"/>
      <c r="V15" s="34"/>
      <c r="W15" s="34"/>
      <c r="X15" s="34"/>
      <c r="Y15" s="34"/>
      <c r="Z15" s="34"/>
      <c r="AA15" s="34"/>
      <c r="AB15" s="34"/>
      <c r="AC15" s="34"/>
      <c r="AD15" s="34"/>
      <c r="AE15" s="34"/>
      <c r="AF15" s="34"/>
      <c r="AG15" s="18">
        <f>COUNTIF(Janvier[[#This Row],[1]:[31]],Paramétrage!G11)*Paramétrage!I11+COUNTIF(Janvier[[#This Row],[1]:[31]],Paramétrage!G12)*Paramétrage!I12+COUNTIF(Janvier[[#This Row],[1]:[31]],Paramétrage!G13)*Paramétrage!I13+COUNTIF(Janvier[[#This Row],[1]:[31]],Paramétrage!G14)*Paramétrage!I14+COUNTIF(Janvier[[#This Row],[1]:[31]],Paramétrage!G15)*Paramétrage!I15+COUNTIF(Janvier[[#This Row],[1]:[31]],Paramétrage!G16)*Paramétrage!I16+COUNTIF(Janvier[[#This Row],[1]:[31]],Paramétrage!G17)*Paramétrage!I17+COUNTIF(Janvier[[#This Row],[1]:[31]],Paramétrage!G18)*Paramétrage!I18+COUNTIF(Janvier[[#This Row],[1]:[31]],Paramétrage!G19)*Paramétrage!I19+COUNTIF(Janvier[[#This Row],[1]:[31]],Paramétrage!G20)*Paramétrage!I20+COUNTIF(Janvier[[#This Row],[1]:[31]],Paramétrage!G21)*Paramétrage!I21+COUNTIF(Janvier[[#This Row],[1]:[31]],Paramétrage!G22*Paramétrage!I22+COUNTIF(Janvier[[#This Row],[1]:[31]],Paramétrage!G23)*Paramétrage!I23+COUNTIF(Janvier[[#This Row],[1]:[31]],Paramétrage!G24)*Paramétrage!I24)</f>
        <v>0</v>
      </c>
    </row>
    <row r="16" spans="1:33" ht="15" customHeight="1" x14ac:dyDescent="0.3">
      <c r="A16" s="36" t="s">
        <v>62</v>
      </c>
      <c r="B16" s="34"/>
      <c r="C16" s="34"/>
      <c r="D16" s="34"/>
      <c r="E16" s="34"/>
      <c r="F16" s="34"/>
      <c r="G16" s="34"/>
      <c r="H16" s="34"/>
      <c r="I16" s="34"/>
      <c r="J16" s="34"/>
      <c r="K16" s="34"/>
      <c r="L16" s="34"/>
      <c r="M16" s="34"/>
      <c r="N16" s="34"/>
      <c r="O16" s="34"/>
      <c r="P16" s="34"/>
      <c r="Q16" s="34"/>
      <c r="R16" s="34"/>
      <c r="S16" s="34"/>
      <c r="T16" s="34"/>
      <c r="U16" s="34"/>
      <c r="V16" s="34"/>
      <c r="W16" s="34"/>
      <c r="X16" s="34"/>
      <c r="Y16" s="34"/>
      <c r="Z16" s="34"/>
      <c r="AA16" s="34"/>
      <c r="AB16" s="34"/>
      <c r="AC16" s="34"/>
      <c r="AD16" s="34"/>
      <c r="AE16" s="34"/>
      <c r="AF16" s="34"/>
      <c r="AG16" s="18">
        <f>COUNTIF(Janvier[[#This Row],[1]:[31]],Paramétrage!G12)*Paramétrage!I12+COUNTIF(Janvier[[#This Row],[1]:[31]],Paramétrage!G13)*Paramétrage!I13+COUNTIF(Janvier[[#This Row],[1]:[31]],Paramétrage!G14)*Paramétrage!I14+COUNTIF(Janvier[[#This Row],[1]:[31]],Paramétrage!G15)*Paramétrage!I15+COUNTIF(Janvier[[#This Row],[1]:[31]],Paramétrage!G16)*Paramétrage!I16+COUNTIF(Janvier[[#This Row],[1]:[31]],Paramétrage!G17)*Paramétrage!I17+COUNTIF(Janvier[[#This Row],[1]:[31]],Paramétrage!G18)*Paramétrage!I18+COUNTIF(Janvier[[#This Row],[1]:[31]],Paramétrage!G19)*Paramétrage!I19+COUNTIF(Janvier[[#This Row],[1]:[31]],Paramétrage!G20)*Paramétrage!I20+COUNTIF(Janvier[[#This Row],[1]:[31]],Paramétrage!G21)*Paramétrage!I21+COUNTIF(Janvier[[#This Row],[1]:[31]],Paramétrage!G22)*Paramétrage!I22+COUNTIF(Janvier[[#This Row],[1]:[31]],Paramétrage!G23*Paramétrage!I23+COUNTIF(Janvier[[#This Row],[1]:[31]],Paramétrage!G24)*Paramétrage!I24+COUNTIF(Janvier[[#This Row],[1]:[31]],Paramétrage!G25)*Paramétrage!I25)</f>
        <v>0</v>
      </c>
    </row>
    <row r="17" spans="1:33" ht="15" customHeight="1" x14ac:dyDescent="0.3">
      <c r="A17" s="36" t="s">
        <v>63</v>
      </c>
      <c r="B17" s="34"/>
      <c r="C17" s="34"/>
      <c r="D17" s="34"/>
      <c r="E17" s="34"/>
      <c r="F17" s="34"/>
      <c r="G17" s="34"/>
      <c r="H17" s="34"/>
      <c r="I17" s="34"/>
      <c r="J17" s="34"/>
      <c r="K17" s="34"/>
      <c r="L17" s="34"/>
      <c r="M17" s="34"/>
      <c r="N17" s="34"/>
      <c r="O17" s="34"/>
      <c r="P17" s="34"/>
      <c r="Q17" s="34"/>
      <c r="R17" s="34"/>
      <c r="S17" s="34"/>
      <c r="T17" s="34"/>
      <c r="U17" s="34"/>
      <c r="V17" s="34"/>
      <c r="W17" s="34"/>
      <c r="X17" s="34"/>
      <c r="Y17" s="34"/>
      <c r="Z17" s="34"/>
      <c r="AA17" s="34"/>
      <c r="AB17" s="34"/>
      <c r="AC17" s="34"/>
      <c r="AD17" s="34"/>
      <c r="AE17" s="34"/>
      <c r="AF17" s="34"/>
      <c r="AG17" s="18">
        <f>COUNTIF(Janvier[[#This Row],[1]:[31]],Paramétrage!G13)*Paramétrage!I13+COUNTIF(Janvier[[#This Row],[1]:[31]],Paramétrage!G14)*Paramétrage!I14+COUNTIF(Janvier[[#This Row],[1]:[31]],Paramétrage!G15)*Paramétrage!I15+COUNTIF(Janvier[[#This Row],[1]:[31]],Paramétrage!G16)*Paramétrage!I16+COUNTIF(Janvier[[#This Row],[1]:[31]],Paramétrage!G17)*Paramétrage!I17+COUNTIF(Janvier[[#This Row],[1]:[31]],Paramétrage!G18)*Paramétrage!I18+COUNTIF(Janvier[[#This Row],[1]:[31]],Paramétrage!G19)*Paramétrage!I19+COUNTIF(Janvier[[#This Row],[1]:[31]],Paramétrage!G20)*Paramétrage!I20+COUNTIF(Janvier[[#This Row],[1]:[31]],Paramétrage!G21)*Paramétrage!I21+COUNTIF(Janvier[[#This Row],[1]:[31]],Paramétrage!G22)*Paramétrage!I22+COUNTIF(Janvier[[#This Row],[1]:[31]],Paramétrage!G23)*Paramétrage!I23+COUNTIF(Janvier[[#This Row],[1]:[31]],Paramétrage!G24*Paramétrage!I24+COUNTIF(Janvier[[#This Row],[1]:[31]],Paramétrage!G25)*Paramétrage!I25+COUNTIF(Janvier[[#This Row],[1]:[31]],Paramétrage!G26)*Paramétrage!I26)</f>
        <v>0</v>
      </c>
    </row>
    <row r="18" spans="1:33" ht="15" customHeight="1" x14ac:dyDescent="0.3">
      <c r="A18" s="36" t="s">
        <v>65</v>
      </c>
      <c r="B18" s="34"/>
      <c r="C18" s="34"/>
      <c r="D18" s="34"/>
      <c r="E18" s="34"/>
      <c r="F18" s="34"/>
      <c r="G18" s="34"/>
      <c r="H18" s="34"/>
      <c r="I18" s="34"/>
      <c r="J18" s="34"/>
      <c r="K18" s="34"/>
      <c r="L18" s="34"/>
      <c r="M18" s="34"/>
      <c r="N18" s="34"/>
      <c r="O18" s="34"/>
      <c r="P18" s="34"/>
      <c r="Q18" s="34"/>
      <c r="R18" s="34"/>
      <c r="S18" s="34"/>
      <c r="T18" s="34"/>
      <c r="U18" s="34"/>
      <c r="V18" s="34"/>
      <c r="W18" s="34"/>
      <c r="X18" s="34"/>
      <c r="Y18" s="34"/>
      <c r="Z18" s="34"/>
      <c r="AA18" s="34"/>
      <c r="AB18" s="34"/>
      <c r="AC18" s="34"/>
      <c r="AD18" s="34"/>
      <c r="AE18" s="34"/>
      <c r="AF18" s="34"/>
      <c r="AG18" s="18">
        <f>COUNTIF(Janvier[[#This Row],[1]:[31]],Paramétrage!G14)*Paramétrage!I14+COUNTIF(Janvier[[#This Row],[1]:[31]],Paramétrage!G15)*Paramétrage!I15+COUNTIF(Janvier[[#This Row],[1]:[31]],Paramétrage!G16)*Paramétrage!I16+COUNTIF(Janvier[[#This Row],[1]:[31]],Paramétrage!G17)*Paramétrage!I17+COUNTIF(Janvier[[#This Row],[1]:[31]],Paramétrage!G18)*Paramétrage!I18+COUNTIF(Janvier[[#This Row],[1]:[31]],Paramétrage!G19)*Paramétrage!I19+COUNTIF(Janvier[[#This Row],[1]:[31]],Paramétrage!G20)*Paramétrage!I20+COUNTIF(Janvier[[#This Row],[1]:[31]],Paramétrage!G21)*Paramétrage!I21+COUNTIF(Janvier[[#This Row],[1]:[31]],Paramétrage!G22)*Paramétrage!I22+COUNTIF(Janvier[[#This Row],[1]:[31]],Paramétrage!G23)*Paramétrage!I23+COUNTIF(Janvier[[#This Row],[1]:[31]],Paramétrage!G24)*Paramétrage!I24+COUNTIF(Janvier[[#This Row],[1]:[31]],Paramétrage!G25*Paramétrage!I25+COUNTIF(Janvier[[#This Row],[1]:[31]],Paramétrage!G26)*Paramétrage!I26+COUNTIF(Janvier[[#This Row],[1]:[31]],Paramétrage!G27)*Paramétrage!I27)</f>
        <v>0</v>
      </c>
    </row>
    <row r="19" spans="1:33" ht="15" customHeight="1" x14ac:dyDescent="0.3">
      <c r="A19" s="36" t="s">
        <v>66</v>
      </c>
      <c r="B19" s="34"/>
      <c r="C19" s="34"/>
      <c r="D19" s="34"/>
      <c r="E19" s="34"/>
      <c r="F19" s="34"/>
      <c r="G19" s="34"/>
      <c r="H19" s="34"/>
      <c r="I19" s="34"/>
      <c r="J19" s="34"/>
      <c r="K19" s="34"/>
      <c r="L19" s="34"/>
      <c r="M19" s="34"/>
      <c r="N19" s="34"/>
      <c r="O19" s="34"/>
      <c r="P19" s="34"/>
      <c r="Q19" s="34"/>
      <c r="R19" s="34"/>
      <c r="S19" s="34"/>
      <c r="T19" s="34"/>
      <c r="U19" s="34"/>
      <c r="V19" s="34"/>
      <c r="W19" s="34"/>
      <c r="X19" s="34"/>
      <c r="Y19" s="34"/>
      <c r="Z19" s="34"/>
      <c r="AA19" s="34"/>
      <c r="AB19" s="34"/>
      <c r="AC19" s="34"/>
      <c r="AD19" s="34"/>
      <c r="AE19" s="34"/>
      <c r="AF19" s="34"/>
      <c r="AG19" s="18">
        <f>COUNTIF(Janvier[[#This Row],[1]:[31]],Paramétrage!G15)*Paramétrage!I15+COUNTIF(Janvier[[#This Row],[1]:[31]],Paramétrage!G16)*Paramétrage!I16+COUNTIF(Janvier[[#This Row],[1]:[31]],Paramétrage!G17)*Paramétrage!I17+COUNTIF(Janvier[[#This Row],[1]:[31]],Paramétrage!G18)*Paramétrage!I18+COUNTIF(Janvier[[#This Row],[1]:[31]],Paramétrage!G19)*Paramétrage!I19+COUNTIF(Janvier[[#This Row],[1]:[31]],Paramétrage!G20)*Paramétrage!I20+COUNTIF(Janvier[[#This Row],[1]:[31]],Paramétrage!G21)*Paramétrage!I21+COUNTIF(Janvier[[#This Row],[1]:[31]],Paramétrage!G22)*Paramétrage!I22+COUNTIF(Janvier[[#This Row],[1]:[31]],Paramétrage!G23)*Paramétrage!I23+COUNTIF(Janvier[[#This Row],[1]:[31]],Paramétrage!G24)*Paramétrage!I24+COUNTIF(Janvier[[#This Row],[1]:[31]],Paramétrage!G25)*Paramétrage!I25+COUNTIF(Janvier[[#This Row],[1]:[31]],Paramétrage!G26*Paramétrage!I26+COUNTIF(Janvier[[#This Row],[1]:[31]],Paramétrage!G27)*Paramétrage!I27+COUNTIF(Janvier[[#This Row],[1]:[31]],Paramétrage!G28)*Paramétrage!I28)</f>
        <v>0</v>
      </c>
    </row>
    <row r="20" spans="1:33" ht="15" customHeight="1" x14ac:dyDescent="0.3">
      <c r="A20" s="36" t="s">
        <v>67</v>
      </c>
      <c r="B20" s="34"/>
      <c r="C20" s="34"/>
      <c r="D20" s="34"/>
      <c r="E20" s="34"/>
      <c r="F20" s="34"/>
      <c r="G20" s="34"/>
      <c r="H20" s="34"/>
      <c r="I20" s="34"/>
      <c r="J20" s="34"/>
      <c r="K20" s="34"/>
      <c r="L20" s="34"/>
      <c r="M20" s="34"/>
      <c r="N20" s="34"/>
      <c r="O20" s="34"/>
      <c r="P20" s="34"/>
      <c r="Q20" s="34"/>
      <c r="R20" s="34"/>
      <c r="S20" s="34"/>
      <c r="T20" s="34"/>
      <c r="U20" s="34"/>
      <c r="V20" s="34"/>
      <c r="W20" s="34"/>
      <c r="X20" s="34"/>
      <c r="Y20" s="34"/>
      <c r="Z20" s="34"/>
      <c r="AA20" s="34"/>
      <c r="AB20" s="34"/>
      <c r="AC20" s="34"/>
      <c r="AD20" s="34"/>
      <c r="AE20" s="34"/>
      <c r="AF20" s="34"/>
      <c r="AG20" s="18">
        <f>COUNTIF(Janvier[[#This Row],[1]:[31]],Paramétrage!G16)*Paramétrage!I16+COUNTIF(Janvier[[#This Row],[1]:[31]],Paramétrage!G17)*Paramétrage!I17+COUNTIF(Janvier[[#This Row],[1]:[31]],Paramétrage!G18)*Paramétrage!I18+COUNTIF(Janvier[[#This Row],[1]:[31]],Paramétrage!G19)*Paramétrage!I19+COUNTIF(Janvier[[#This Row],[1]:[31]],Paramétrage!G20)*Paramétrage!I20+COUNTIF(Janvier[[#This Row],[1]:[31]],Paramétrage!G21)*Paramétrage!I21+COUNTIF(Janvier[[#This Row],[1]:[31]],Paramétrage!G22)*Paramétrage!I22+COUNTIF(Janvier[[#This Row],[1]:[31]],Paramétrage!G23)*Paramétrage!I23+COUNTIF(Janvier[[#This Row],[1]:[31]],Paramétrage!G24)*Paramétrage!I24+COUNTIF(Janvier[[#This Row],[1]:[31]],Paramétrage!G25)*Paramétrage!I25+COUNTIF(Janvier[[#This Row],[1]:[31]],Paramétrage!G26)*Paramétrage!I26+COUNTIF(Janvier[[#This Row],[1]:[31]],Paramétrage!G27*Paramétrage!I27+COUNTIF(Janvier[[#This Row],[1]:[31]],Paramétrage!G28)*Paramétrage!I28+COUNTIF(Janvier[[#This Row],[1]:[31]],Paramétrage!G29)*Paramétrage!I29)</f>
        <v>0</v>
      </c>
    </row>
    <row r="21" spans="1:33" ht="15" customHeight="1" x14ac:dyDescent="0.3">
      <c r="A21" s="36" t="s">
        <v>68</v>
      </c>
      <c r="B21" s="34"/>
      <c r="C21" s="34"/>
      <c r="D21" s="34"/>
      <c r="E21" s="34"/>
      <c r="F21" s="34"/>
      <c r="G21" s="34"/>
      <c r="H21" s="34"/>
      <c r="I21" s="34"/>
      <c r="J21" s="34"/>
      <c r="K21" s="34"/>
      <c r="L21" s="34"/>
      <c r="M21" s="34"/>
      <c r="N21" s="34"/>
      <c r="O21" s="34"/>
      <c r="P21" s="34"/>
      <c r="Q21" s="34"/>
      <c r="R21" s="34"/>
      <c r="S21" s="34"/>
      <c r="T21" s="34"/>
      <c r="U21" s="34"/>
      <c r="V21" s="34"/>
      <c r="W21" s="34"/>
      <c r="X21" s="34"/>
      <c r="Y21" s="34"/>
      <c r="Z21" s="34"/>
      <c r="AA21" s="34"/>
      <c r="AB21" s="34"/>
      <c r="AC21" s="34"/>
      <c r="AD21" s="34"/>
      <c r="AE21" s="34"/>
      <c r="AF21" s="34"/>
      <c r="AG21" s="18">
        <f>COUNTIF(Janvier[[#This Row],[1]:[31]],Paramétrage!G17)*Paramétrage!I17+COUNTIF(Janvier[[#This Row],[1]:[31]],Paramétrage!G18)*Paramétrage!I18+COUNTIF(Janvier[[#This Row],[1]:[31]],Paramétrage!G19)*Paramétrage!I19+COUNTIF(Janvier[[#This Row],[1]:[31]],Paramétrage!G20)*Paramétrage!I20+COUNTIF(Janvier[[#This Row],[1]:[31]],Paramétrage!G21)*Paramétrage!I21+COUNTIF(Janvier[[#This Row],[1]:[31]],Paramétrage!G22)*Paramétrage!I22+COUNTIF(Janvier[[#This Row],[1]:[31]],Paramétrage!G23)*Paramétrage!I23+COUNTIF(Janvier[[#This Row],[1]:[31]],Paramétrage!G24)*Paramétrage!I24+COUNTIF(Janvier[[#This Row],[1]:[31]],Paramétrage!G25)*Paramétrage!I25+COUNTIF(Janvier[[#This Row],[1]:[31]],Paramétrage!G26)*Paramétrage!I26+COUNTIF(Janvier[[#This Row],[1]:[31]],Paramétrage!G27)*Paramétrage!I27+COUNTIF(Janvier[[#This Row],[1]:[31]],Paramétrage!G28*Paramétrage!I28+COUNTIF(Janvier[[#This Row],[1]:[31]],Paramétrage!G29)*Paramétrage!I29+COUNTIF(Janvier[[#This Row],[1]:[31]],Paramétrage!G30)*Paramétrage!I30)</f>
        <v>0</v>
      </c>
    </row>
    <row r="22" spans="1:33" ht="15" customHeight="1" x14ac:dyDescent="0.3">
      <c r="A22" s="36" t="s">
        <v>91</v>
      </c>
      <c r="B22" s="37"/>
      <c r="C22" s="37"/>
      <c r="D22" s="37"/>
      <c r="E22" s="37"/>
      <c r="F22" s="37"/>
      <c r="G22" s="37"/>
      <c r="H22" s="37"/>
      <c r="I22" s="37"/>
      <c r="J22" s="37"/>
      <c r="K22" s="37"/>
      <c r="L22" s="37"/>
      <c r="M22" s="37"/>
      <c r="N22" s="37"/>
      <c r="O22" s="37"/>
      <c r="P22" s="37"/>
      <c r="Q22" s="37"/>
      <c r="R22" s="37"/>
      <c r="S22" s="37"/>
      <c r="T22" s="37"/>
      <c r="U22" s="37"/>
      <c r="V22" s="37"/>
      <c r="W22" s="37"/>
      <c r="X22" s="37"/>
      <c r="Y22" s="37"/>
      <c r="Z22" s="37"/>
      <c r="AA22" s="37"/>
      <c r="AB22" s="37"/>
      <c r="AC22" s="37"/>
      <c r="AD22" s="37"/>
      <c r="AE22" s="37"/>
      <c r="AF22" s="37"/>
      <c r="AG22" s="18">
        <f>COUNTIF(Janvier[[#This Row],[1]:[31]],Paramétrage!G18)*Paramétrage!I18+COUNTIF(Janvier[[#This Row],[1]:[31]],Paramétrage!G19)*Paramétrage!I19+COUNTIF(Janvier[[#This Row],[1]:[31]],Paramétrage!G20)*Paramétrage!I20+COUNTIF(Janvier[[#This Row],[1]:[31]],Paramétrage!G21)*Paramétrage!I21+COUNTIF(Janvier[[#This Row],[1]:[31]],Paramétrage!G22)*Paramétrage!I22+COUNTIF(Janvier[[#This Row],[1]:[31]],Paramétrage!G23)*Paramétrage!I23+COUNTIF(Janvier[[#This Row],[1]:[31]],Paramétrage!G24)*Paramétrage!I24+COUNTIF(Janvier[[#This Row],[1]:[31]],Paramétrage!G25)*Paramétrage!I25+COUNTIF(Janvier[[#This Row],[1]:[31]],Paramétrage!G26)*Paramétrage!I26+COUNTIF(Janvier[[#This Row],[1]:[31]],Paramétrage!G27)*Paramétrage!I27+COUNTIF(Janvier[[#This Row],[1]:[31]],Paramétrage!G28)*Paramétrage!I28+COUNTIF(Janvier[[#This Row],[1]:[31]],Paramétrage!G29*Paramétrage!I29+COUNTIF(Janvier[[#This Row],[1]:[31]],Paramétrage!G30)*Paramétrage!I30+COUNTIF(Janvier[[#This Row],[1]:[31]],Paramétrage!G31)*Paramétrage!I31)</f>
        <v>0</v>
      </c>
    </row>
    <row r="23" spans="1:33" ht="15" customHeight="1" x14ac:dyDescent="0.3">
      <c r="A23" s="36" t="s">
        <v>92</v>
      </c>
      <c r="B23" s="37"/>
      <c r="C23" s="37"/>
      <c r="D23" s="37"/>
      <c r="E23" s="37"/>
      <c r="F23" s="37"/>
      <c r="G23" s="37"/>
      <c r="H23" s="37"/>
      <c r="I23" s="37"/>
      <c r="J23" s="37"/>
      <c r="K23" s="37"/>
      <c r="L23" s="37"/>
      <c r="M23" s="37"/>
      <c r="N23" s="37"/>
      <c r="O23" s="37"/>
      <c r="P23" s="37"/>
      <c r="Q23" s="37"/>
      <c r="R23" s="37"/>
      <c r="S23" s="37"/>
      <c r="T23" s="37"/>
      <c r="U23" s="37"/>
      <c r="V23" s="37"/>
      <c r="W23" s="37"/>
      <c r="X23" s="37"/>
      <c r="Y23" s="37"/>
      <c r="Z23" s="37"/>
      <c r="AA23" s="37"/>
      <c r="AB23" s="37"/>
      <c r="AC23" s="37"/>
      <c r="AD23" s="37"/>
      <c r="AE23" s="37"/>
      <c r="AF23" s="37"/>
      <c r="AG23" s="18">
        <f>COUNTIF(Janvier[[#This Row],[1]:[31]],Paramétrage!G19)*Paramétrage!I19+COUNTIF(Janvier[[#This Row],[1]:[31]],Paramétrage!G20)*Paramétrage!I20+COUNTIF(Janvier[[#This Row],[1]:[31]],Paramétrage!G21)*Paramétrage!I21+COUNTIF(Janvier[[#This Row],[1]:[31]],Paramétrage!G22)*Paramétrage!I22+COUNTIF(Janvier[[#This Row],[1]:[31]],Paramétrage!G23)*Paramétrage!I23+COUNTIF(Janvier[[#This Row],[1]:[31]],Paramétrage!G24)*Paramétrage!I24+COUNTIF(Janvier[[#This Row],[1]:[31]],Paramétrage!G25)*Paramétrage!I25+COUNTIF(Janvier[[#This Row],[1]:[31]],Paramétrage!G26)*Paramétrage!I26+COUNTIF(Janvier[[#This Row],[1]:[31]],Paramétrage!G27)*Paramétrage!I27+COUNTIF(Janvier[[#This Row],[1]:[31]],Paramétrage!G28)*Paramétrage!I28+COUNTIF(Janvier[[#This Row],[1]:[31]],Paramétrage!G29)*Paramétrage!I29+COUNTIF(Janvier[[#This Row],[1]:[31]],Paramétrage!G30*Paramétrage!I30+COUNTIF(Janvier[[#This Row],[1]:[31]],Paramétrage!G31)*Paramétrage!I31+COUNTIF(Janvier[[#This Row],[1]:[31]],Paramétrage!G32)*Paramétrage!I32)</f>
        <v>0</v>
      </c>
    </row>
    <row r="24" spans="1:33" ht="15" customHeight="1" x14ac:dyDescent="0.3">
      <c r="A24" s="36" t="s">
        <v>93</v>
      </c>
      <c r="B24" s="37"/>
      <c r="C24" s="37"/>
      <c r="D24" s="37"/>
      <c r="E24" s="37"/>
      <c r="F24" s="37"/>
      <c r="G24" s="37"/>
      <c r="H24" s="37"/>
      <c r="I24" s="37"/>
      <c r="J24" s="37"/>
      <c r="K24" s="37"/>
      <c r="L24" s="37"/>
      <c r="M24" s="37"/>
      <c r="N24" s="37"/>
      <c r="O24" s="37"/>
      <c r="P24" s="37"/>
      <c r="Q24" s="37"/>
      <c r="R24" s="37"/>
      <c r="S24" s="37"/>
      <c r="T24" s="37"/>
      <c r="U24" s="37"/>
      <c r="V24" s="37"/>
      <c r="W24" s="37"/>
      <c r="X24" s="37"/>
      <c r="Y24" s="37"/>
      <c r="Z24" s="37"/>
      <c r="AA24" s="37"/>
      <c r="AB24" s="37"/>
      <c r="AC24" s="37"/>
      <c r="AD24" s="37"/>
      <c r="AE24" s="37"/>
      <c r="AF24" s="37"/>
      <c r="AG24" s="18">
        <f>COUNTIF(Janvier[[#This Row],[1]:[31]],Paramétrage!G20)*Paramétrage!I20+COUNTIF(Janvier[[#This Row],[1]:[31]],Paramétrage!G21)*Paramétrage!I21+COUNTIF(Janvier[[#This Row],[1]:[31]],Paramétrage!G22)*Paramétrage!I22+COUNTIF(Janvier[[#This Row],[1]:[31]],Paramétrage!G23)*Paramétrage!I23+COUNTIF(Janvier[[#This Row],[1]:[31]],Paramétrage!G24)*Paramétrage!I24+COUNTIF(Janvier[[#This Row],[1]:[31]],Paramétrage!G25)*Paramétrage!I25+COUNTIF(Janvier[[#This Row],[1]:[31]],Paramétrage!G26)*Paramétrage!I26+COUNTIF(Janvier[[#This Row],[1]:[31]],Paramétrage!G27)*Paramétrage!I27+COUNTIF(Janvier[[#This Row],[1]:[31]],Paramétrage!G28)*Paramétrage!I28+COUNTIF(Janvier[[#This Row],[1]:[31]],Paramétrage!G29)*Paramétrage!I29+COUNTIF(Janvier[[#This Row],[1]:[31]],Paramétrage!G30)*Paramétrage!I30+COUNTIF(Janvier[[#This Row],[1]:[31]],Paramétrage!G31*Paramétrage!I31+COUNTIF(Janvier[[#This Row],[1]:[31]],Paramétrage!G32)*Paramétrage!I32+COUNTIF(Janvier[[#This Row],[1]:[31]],Paramétrage!G33)*Paramétrage!I33)</f>
        <v>0</v>
      </c>
    </row>
    <row r="25" spans="1:33" ht="15" customHeight="1" x14ac:dyDescent="0.3">
      <c r="A25" s="36" t="s">
        <v>94</v>
      </c>
      <c r="B25" s="37"/>
      <c r="C25" s="37"/>
      <c r="D25" s="37"/>
      <c r="E25" s="37"/>
      <c r="F25" s="37"/>
      <c r="G25" s="37"/>
      <c r="H25" s="37"/>
      <c r="I25" s="37"/>
      <c r="J25" s="37"/>
      <c r="K25" s="37"/>
      <c r="L25" s="37"/>
      <c r="M25" s="37"/>
      <c r="N25" s="37"/>
      <c r="O25" s="37"/>
      <c r="P25" s="37"/>
      <c r="Q25" s="37"/>
      <c r="R25" s="37"/>
      <c r="S25" s="37"/>
      <c r="T25" s="37"/>
      <c r="U25" s="37"/>
      <c r="V25" s="37"/>
      <c r="W25" s="37"/>
      <c r="X25" s="37"/>
      <c r="Y25" s="37"/>
      <c r="Z25" s="37"/>
      <c r="AA25" s="37"/>
      <c r="AB25" s="37"/>
      <c r="AC25" s="37"/>
      <c r="AD25" s="37"/>
      <c r="AE25" s="37"/>
      <c r="AF25" s="37"/>
      <c r="AG25" s="18">
        <f>COUNTIF(Janvier[[#This Row],[1]:[31]],Paramétrage!G21)*Paramétrage!I21+COUNTIF(Janvier[[#This Row],[1]:[31]],Paramétrage!G22)*Paramétrage!I22+COUNTIF(Janvier[[#This Row],[1]:[31]],Paramétrage!G23)*Paramétrage!I23+COUNTIF(Janvier[[#This Row],[1]:[31]],Paramétrage!G24)*Paramétrage!I24+COUNTIF(Janvier[[#This Row],[1]:[31]],Paramétrage!G25)*Paramétrage!I25+COUNTIF(Janvier[[#This Row],[1]:[31]],Paramétrage!G26)*Paramétrage!I26+COUNTIF(Janvier[[#This Row],[1]:[31]],Paramétrage!G27)*Paramétrage!I27+COUNTIF(Janvier[[#This Row],[1]:[31]],Paramétrage!G28)*Paramétrage!I28+COUNTIF(Janvier[[#This Row],[1]:[31]],Paramétrage!G29)*Paramétrage!I29+COUNTIF(Janvier[[#This Row],[1]:[31]],Paramétrage!G30)*Paramétrage!I30+COUNTIF(Janvier[[#This Row],[1]:[31]],Paramétrage!G31)*Paramétrage!I31+COUNTIF(Janvier[[#This Row],[1]:[31]],Paramétrage!G32*Paramétrage!I32+COUNTIF(Janvier[[#This Row],[1]:[31]],Paramétrage!G33)*Paramétrage!I33+COUNTIF(Janvier[[#This Row],[1]:[31]],Paramétrage!G34)*Paramétrage!I34)</f>
        <v>0</v>
      </c>
    </row>
    <row r="26" spans="1:33" ht="15" customHeight="1" x14ac:dyDescent="0.3">
      <c r="A26" s="36" t="s">
        <v>95</v>
      </c>
      <c r="B26" s="37"/>
      <c r="C26" s="37"/>
      <c r="D26" s="37"/>
      <c r="E26" s="37"/>
      <c r="F26" s="37"/>
      <c r="G26" s="37"/>
      <c r="H26" s="37"/>
      <c r="I26" s="37"/>
      <c r="J26" s="37"/>
      <c r="K26" s="37"/>
      <c r="L26" s="37"/>
      <c r="M26" s="37"/>
      <c r="N26" s="37"/>
      <c r="O26" s="37"/>
      <c r="P26" s="37"/>
      <c r="Q26" s="37"/>
      <c r="R26" s="37"/>
      <c r="S26" s="37"/>
      <c r="T26" s="37"/>
      <c r="U26" s="37"/>
      <c r="V26" s="37"/>
      <c r="W26" s="37"/>
      <c r="X26" s="37"/>
      <c r="Y26" s="37"/>
      <c r="Z26" s="37"/>
      <c r="AA26" s="37"/>
      <c r="AB26" s="37"/>
      <c r="AC26" s="37"/>
      <c r="AD26" s="37"/>
      <c r="AE26" s="37"/>
      <c r="AF26" s="37"/>
      <c r="AG26" s="18">
        <f>COUNTIF(Janvier[[#This Row],[1]:[31]],Paramétrage!G22)*Paramétrage!I22+COUNTIF(Janvier[[#This Row],[1]:[31]],Paramétrage!G23)*Paramétrage!I23+COUNTIF(Janvier[[#This Row],[1]:[31]],Paramétrage!G24)*Paramétrage!I24+COUNTIF(Janvier[[#This Row],[1]:[31]],Paramétrage!G25)*Paramétrage!I25+COUNTIF(Janvier[[#This Row],[1]:[31]],Paramétrage!G26)*Paramétrage!I26+COUNTIF(Janvier[[#This Row],[1]:[31]],Paramétrage!G27)*Paramétrage!I27+COUNTIF(Janvier[[#This Row],[1]:[31]],Paramétrage!G28)*Paramétrage!I28+COUNTIF(Janvier[[#This Row],[1]:[31]],Paramétrage!G29)*Paramétrage!I29+COUNTIF(Janvier[[#This Row],[1]:[31]],Paramétrage!G30)*Paramétrage!I30+COUNTIF(Janvier[[#This Row],[1]:[31]],Paramétrage!G31)*Paramétrage!I31+COUNTIF(Janvier[[#This Row],[1]:[31]],Paramétrage!G32)*Paramétrage!I32+COUNTIF(Janvier[[#This Row],[1]:[31]],Paramétrage!G33*Paramétrage!I33+COUNTIF(Janvier[[#This Row],[1]:[31]],Paramétrage!G34)*Paramétrage!I34+COUNTIF(Janvier[[#This Row],[1]:[31]],Paramétrage!G35)*Paramétrage!I35)</f>
        <v>0</v>
      </c>
    </row>
    <row r="27" spans="1:33" ht="24" x14ac:dyDescent="0.3">
      <c r="A27" s="38" t="s">
        <v>106</v>
      </c>
      <c r="B27" s="39">
        <f>COUNTA(Janvier[1])-COUNTIF(Janvier[1],CléReposhebdomadaire)-COUNTIF(Janvier[1],CléCongé)-COUNTIF(Janvier[1],CléMaladie)-COUNTIF(Janvier[1],CléFormation)-COUNTIF(Janvier[1],CléAbsencenonjustifiée)</f>
        <v>0</v>
      </c>
      <c r="C27" s="39">
        <f>COUNTA(Janvier[2])-COUNTIF(Janvier[2],CléReposhebdomadaire)-COUNTIF(Janvier[2],CléCongé)-COUNTIF(Janvier[2],CléMaladie)-COUNTIF(Janvier[2],CléFormation)-COUNTIF(Janvier[2],CléAbsencenonjustifiée)</f>
        <v>0</v>
      </c>
      <c r="D27" s="39">
        <f>COUNTA(Janvier[3])-COUNTIF(Janvier[3],CléReposhebdomadaire)-COUNTIF(Janvier[3],CléCongé)-COUNTIF(Janvier[3],CléMaladie)-COUNTIF(Janvier[3],CléFormation)-COUNTIF(Janvier[3],CléAbsencenonjustifiée)</f>
        <v>0</v>
      </c>
      <c r="E27" s="39">
        <f>COUNTA(Janvier[4])-COUNTIF(Janvier[4],CléReposhebdomadaire)-COUNTIF(Janvier[4],CléCongé)-COUNTIF(Janvier[4],CléMaladie)-COUNTIF(Janvier[4],CléFormation)-COUNTIF(Janvier[4],CléAbsencenonjustifiée)</f>
        <v>0</v>
      </c>
      <c r="F27" s="39">
        <f>COUNTA(Janvier[5])-COUNTIF(Janvier[5],CléReposhebdomadaire)-COUNTIF(Janvier[5],CléCongé)-COUNTIF(Janvier[5],CléMaladie)-COUNTIF(Janvier[5],CléFormation)-COUNTIF(Janvier[5],CléAbsencenonjustifiée)</f>
        <v>0</v>
      </c>
      <c r="G27" s="39">
        <f>COUNTA(Janvier[6])-COUNTIF(Janvier[6],CléReposhebdomadaire)-COUNTIF(Janvier[6],CléCongé)-COUNTIF(Janvier[6],CléMaladie)-COUNTIF(Janvier[6],CléFormation)-COUNTIF(Janvier[6],CléAbsencenonjustifiée)</f>
        <v>0</v>
      </c>
      <c r="H27" s="39">
        <f>COUNTA(Janvier[7])-COUNTIF(Janvier[7],CléReposhebdomadaire)-COUNTIF(Janvier[7],CléCongé)-COUNTIF(Janvier[7],CléMaladie)-COUNTIF(Janvier[7],CléFormation)-COUNTIF(Janvier[7],CléAbsencenonjustifiée)</f>
        <v>0</v>
      </c>
      <c r="I27" s="39">
        <f>COUNTA(Janvier[8])-COUNTIF(Janvier[8],CléReposhebdomadaire)-COUNTIF(Janvier[8],CléCongé)-COUNTIF(Janvier[8],CléMaladie)-COUNTIF(Janvier[8],CléFormation)-COUNTIF(Janvier[8],CléAbsencenonjustifiée)</f>
        <v>0</v>
      </c>
      <c r="J27" s="39">
        <f>COUNTA(Janvier[9])-COUNTIF(Janvier[9],CléReposhebdomadaire)-COUNTIF(Janvier[9],CléCongé)-COUNTIF(Janvier[9],CléMaladie)-COUNTIF(Janvier[9],CléFormation)-COUNTIF(Janvier[9],CléAbsencenonjustifiée)</f>
        <v>0</v>
      </c>
      <c r="K27" s="39">
        <f>COUNTA(Janvier[10])-COUNTIF(Janvier[10],CléReposhebdomadaire)-COUNTIF(Janvier[10],CléCongé)-COUNTIF(Janvier[10],CléMaladie)-COUNTIF(Janvier[10],CléFormation)-COUNTIF(Janvier[10],CléAbsencenonjustifiée)</f>
        <v>0</v>
      </c>
      <c r="L27" s="39">
        <f>COUNTA(Janvier[11])-COUNTIF(Janvier[11],CléReposhebdomadaire)-COUNTIF(Janvier[11],CléCongé)-COUNTIF(Janvier[11],CléMaladie)-COUNTIF(Janvier[11],CléFormation)-COUNTIF(Janvier[11],CléAbsencenonjustifiée)</f>
        <v>0</v>
      </c>
      <c r="M27" s="39">
        <f>COUNTA(Janvier[12])-COUNTIF(Janvier[12],CléReposhebdomadaire)-COUNTIF(Janvier[12],CléCongé)-COUNTIF(Janvier[12],CléMaladie)-COUNTIF(Janvier[12],CléFormation)-COUNTIF(Janvier[12],CléAbsencenonjustifiée)</f>
        <v>0</v>
      </c>
      <c r="N27" s="39">
        <f>COUNTA(Janvier[13])-COUNTIF(Janvier[13],CléReposhebdomadaire)-COUNTIF(Janvier[13],CléCongé)-COUNTIF(Janvier[13],CléMaladie)-COUNTIF(Janvier[13],CléFormation)-COUNTIF(Janvier[13],CléAbsencenonjustifiée)</f>
        <v>0</v>
      </c>
      <c r="O27" s="39">
        <f>COUNTA(Janvier[14])-COUNTIF(Janvier[14],CléReposhebdomadaire)-COUNTIF(Janvier[14],CléCongé)-COUNTIF(Janvier[14],CléMaladie)-COUNTIF(Janvier[14],CléFormation)-COUNTIF(Janvier[14],CléAbsencenonjustifiée)</f>
        <v>0</v>
      </c>
      <c r="P27" s="39">
        <f>COUNTA(Janvier[15])-COUNTIF(Janvier[15],CléReposhebdomadaire)-COUNTIF(Janvier[15],CléCongé)-COUNTIF(Janvier[15],CléMaladie)-COUNTIF(Janvier[15],CléFormation)-COUNTIF(Janvier[15],CléAbsencenonjustifiée)</f>
        <v>0</v>
      </c>
      <c r="Q27" s="39">
        <f>COUNTA(Janvier[16])-COUNTIF(Janvier[16],CléReposhebdomadaire)-COUNTIF(Janvier[16],CléCongé)-COUNTIF(Janvier[16],CléMaladie)-COUNTIF(Janvier[16],CléFormation)-COUNTIF(Janvier[16],CléAbsencenonjustifiée)</f>
        <v>0</v>
      </c>
      <c r="R27" s="39">
        <f>COUNTA(Janvier[17])-COUNTIF(Janvier[17],CléReposhebdomadaire)-COUNTIF(Janvier[17],CléCongé)-COUNTIF(Janvier[17],CléMaladie)-COUNTIF(Janvier[17],CléFormation)-COUNTIF(Janvier[17],CléAbsencenonjustifiée)</f>
        <v>0</v>
      </c>
      <c r="S27" s="39">
        <f>COUNTA(Janvier[18])-COUNTIF(Janvier[18],CléReposhebdomadaire)-COUNTIF(Janvier[18],CléCongé)-COUNTIF(Janvier[18],CléMaladie)-COUNTIF(Janvier[18],CléFormation)-COUNTIF(Janvier[18],CléAbsencenonjustifiée)</f>
        <v>0</v>
      </c>
      <c r="T27" s="39">
        <f>COUNTA(Janvier[19])-COUNTIF(Janvier[19],CléReposhebdomadaire)-COUNTIF(Janvier[19],CléCongé)-COUNTIF(Janvier[19],CléMaladie)-COUNTIF(Janvier[19],CléFormation)-COUNTIF(Janvier[19],CléAbsencenonjustifiée)</f>
        <v>0</v>
      </c>
      <c r="U27" s="39">
        <f>COUNTA(Janvier[20])-COUNTIF(Janvier[20],CléReposhebdomadaire)-COUNTIF(Janvier[20],CléCongé)-COUNTIF(Janvier[20],CléMaladie)-COUNTIF(Janvier[20],CléFormation)-COUNTIF(Janvier[20],CléAbsencenonjustifiée)</f>
        <v>0</v>
      </c>
      <c r="V27" s="39">
        <f>COUNTA(Janvier[21])-COUNTIF(Janvier[21],CléReposhebdomadaire)-COUNTIF(Janvier[21],CléCongé)-COUNTIF(Janvier[21],CléMaladie)-COUNTIF(Janvier[21],CléFormation)-COUNTIF(Janvier[21],CléAbsencenonjustifiée)</f>
        <v>0</v>
      </c>
      <c r="W27" s="39">
        <f>COUNTA(Janvier[22])-COUNTIF(Janvier[22],CléReposhebdomadaire)-COUNTIF(Janvier[22],CléCongé)-COUNTIF(Janvier[22],CléMaladie)-COUNTIF(Janvier[22],CléFormation)-COUNTIF(Janvier[22],CléAbsencenonjustifiée)</f>
        <v>0</v>
      </c>
      <c r="X27" s="39">
        <f>COUNTA(Janvier[23])-COUNTIF(Janvier[23],CléReposhebdomadaire)-COUNTIF(Janvier[23],CléCongé)-COUNTIF(Janvier[23],CléMaladie)-COUNTIF(Janvier[23],CléFormation)-COUNTIF(Janvier[23],CléAbsencenonjustifiée)</f>
        <v>0</v>
      </c>
      <c r="Y27" s="39">
        <f>COUNTA(Janvier[24])-COUNTIF(Janvier[24],CléReposhebdomadaire)-COUNTIF(Janvier[24],CléCongé)-COUNTIF(Janvier[24],CléMaladie)-COUNTIF(Janvier[24],CléFormation)-COUNTIF(Janvier[24],CléAbsencenonjustifiée)</f>
        <v>0</v>
      </c>
      <c r="Z27" s="39">
        <f>COUNTA(Janvier[25])-COUNTIF(Janvier[25],CléReposhebdomadaire)-COUNTIF(Janvier[25],CléCongé)-COUNTIF(Janvier[25],CléMaladie)-COUNTIF(Janvier[25],CléFormation)-COUNTIF(Janvier[25],CléAbsencenonjustifiée)</f>
        <v>0</v>
      </c>
      <c r="AA27" s="39">
        <f>COUNTA(Janvier[26])-COUNTIF(Janvier[26],CléReposhebdomadaire)-COUNTIF(Janvier[26],CléCongé)-COUNTIF(Janvier[26],CléMaladie)-COUNTIF(Janvier[26],CléFormation)-COUNTIF(Janvier[26],CléAbsencenonjustifiée)</f>
        <v>0</v>
      </c>
      <c r="AB27" s="39">
        <f>COUNTA(Janvier[27])-COUNTIF(Janvier[27],CléReposhebdomadaire)-COUNTIF(Janvier[27],CléCongé)-COUNTIF(Janvier[27],CléMaladie)-COUNTIF(Janvier[27],CléFormation)-COUNTIF(Janvier[27],CléAbsencenonjustifiée)</f>
        <v>0</v>
      </c>
      <c r="AC27" s="39">
        <f>COUNTA(Janvier[28])-COUNTIF(Janvier[28],CléReposhebdomadaire)-COUNTIF(Janvier[28],CléCongé)-COUNTIF(Janvier[28],CléMaladie)-COUNTIF(Janvier[28],CléFormation)-COUNTIF(Janvier[28],CléAbsencenonjustifiée)</f>
        <v>0</v>
      </c>
      <c r="AD27" s="39">
        <f>COUNTA(Janvier[29])-COUNTIF(Janvier[29],CléReposhebdomadaire)-COUNTIF(Janvier[29],CléCongé)-COUNTIF(Janvier[29],CléMaladie)-COUNTIF(Janvier[29],CléFormation)-COUNTIF(Janvier[29],CléAbsencenonjustifiée)</f>
        <v>0</v>
      </c>
      <c r="AE27" s="39">
        <f>COUNTA(Janvier[30])-COUNTIF(Janvier[30],CléReposhebdomadaire)-COUNTIF(Janvier[30],CléCongé)-COUNTIF(Janvier[30],CléMaladie)-COUNTIF(Janvier[30],CléFormation)-COUNTIF(Janvier[30],CléAbsencenonjustifiée)</f>
        <v>0</v>
      </c>
      <c r="AF27" s="39">
        <f>COUNTA(Janvier[31])-COUNTIF(Janvier[31],CléReposhebdomadaire)-COUNTIF(Janvier[31],CléCongé)-COUNTIF(Janvier[31],CléMaladie)-COUNTIF(Janvier[31],CléFormation)-COUNTIF(Janvier[31],CléAbsencenonjustifiée)</f>
        <v>0</v>
      </c>
      <c r="AG27" s="40">
        <f ca="1">SUBTOTAL(109,Mars[Total des Heures effectuées])</f>
        <v>0</v>
      </c>
    </row>
  </sheetData>
  <dataConsolidate/>
  <mergeCells count="9">
    <mergeCell ref="A1:AG1"/>
    <mergeCell ref="B4:AF4"/>
    <mergeCell ref="R2:U2"/>
    <mergeCell ref="C2:F2"/>
    <mergeCell ref="H2:I2"/>
    <mergeCell ref="K2:M2"/>
    <mergeCell ref="O2:P2"/>
    <mergeCell ref="A4:A5"/>
    <mergeCell ref="AG4:AG5"/>
  </mergeCells>
  <conditionalFormatting sqref="B27:AF27">
    <cfRule type="dataBar" priority="11">
      <dataBar>
        <cfvo type="num" val="0"/>
        <cfvo type="num" val="31"/>
        <color theme="2" tint="-0.249977111117893"/>
      </dataBar>
      <extLst>
        <ext xmlns:x14="http://schemas.microsoft.com/office/spreadsheetml/2009/9/main" uri="{B025F937-C7B1-47D3-B67F-A62EFF666E3E}">
          <x14:id>{C3461121-24A6-4439-BBE4-E49A996DE1D7}</x14:id>
        </ext>
      </extLst>
    </cfRule>
  </conditionalFormatting>
  <conditionalFormatting sqref="B7:AF26">
    <cfRule type="cellIs" dxfId="887" priority="1" operator="equal">
      <formula>$Q$2</formula>
    </cfRule>
    <cfRule type="cellIs" dxfId="886" priority="2" operator="equal">
      <formula>$N$2</formula>
    </cfRule>
    <cfRule type="cellIs" dxfId="885" priority="3" operator="equal">
      <formula>$J$2</formula>
    </cfRule>
    <cfRule type="cellIs" dxfId="884" priority="4" operator="equal">
      <formula>$G$2</formula>
    </cfRule>
    <cfRule type="cellIs" dxfId="883" priority="5" operator="equal">
      <formula>$B$2</formula>
    </cfRule>
  </conditionalFormatting>
  <dataValidations count="13">
    <dataValidation allowBlank="1" showInputMessage="1" showErrorMessage="1" prompt="Entrez l’année dans cette cellule." sqref="AG4"/>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A6"/>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B6"/>
    <dataValidation allowBlank="1" showInputMessage="1" showErrorMessage="1" prompt="Les jours de la semaine dans cette ligne sont mis à jour automatiquement pour le mois en fonction de l’année entrée dans AH4. Chaque jour du mois est une colonne dans laquelle noter l’absence et le motif d’absence d’un employé" sqref="B5"/>
    <dataValidation allowBlank="1" showInputMessage="1" showErrorMessage="1" prompt="Calcule automatiquement le nombre total des heures effectives d’un employé durant ce mois" sqref="AG6"/>
    <dataValidation allowBlank="1" showInputMessage="1" showErrorMessage="1" prompt="Mois de ce calendrier des Plannings. Mettez à jour l’année dans la cellule AH4. Suivez les totaux mensuels dans la dernière cellule du tableau. Entrez les noms des employés dans la colonne B du tableau" sqref="A4"/>
    <dataValidation allowBlank="1" showInputMessage="1" showErrorMessage="1" prompt="« CP» indique une absence pour cause de congé" sqref="G2"/>
    <dataValidation allowBlank="1" showInputMessage="1" showErrorMessage="1" prompt=" « FO » indique une absence pour Formation" sqref="N2"/>
    <dataValidation allowBlank="1" showInputMessage="1" showErrorMessage="1" prompt=" « AM » indique une absence pour cause d'Arrêt maladie" sqref="J2"/>
    <dataValidation allowBlank="1" showInputMessage="1" showErrorMessage="1" prompt="« ABS» indique une absence pour cause d'Absence non justifiée" sqref="Q2"/>
    <dataValidation allowBlank="1" showInputMessage="1" showErrorMessage="1" prompt="Entrez l’année dans la cellule ci-dessous" sqref="AG3"/>
    <dataValidation allowBlank="1" showInputMessage="1" showErrorMessage="1" prompt="Le titre mis à jour automatiquement figure dans cette cellule. Pour modifier le titre, mettez à jour la cellule B1 de la feuille de calcul Janvier" sqref="A1"/>
    <dataValidation allowBlank="1" showInputMessage="1" showErrorMessage="1" prompt="Cette ligne définit les clés utilisées dans le tableau : Repos hebdomadaire en C2, Congé en H2, Arrêt Maladie en K2, Formation en O2 et Absence non justifiée en R2_x000a_" sqref="A2"/>
  </dataValidations>
  <pageMargins left="0.7" right="0.7" top="0.75" bottom="0.75" header="0.3" footer="0.3"/>
  <pageSetup paperSize="9" fitToHeight="0" orientation="portrait"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C3461121-24A6-4439-BBE4-E49A996DE1D7}">
            <x14:dataBar minLength="0" maxLength="100">
              <x14:cfvo type="num">
                <xm:f>0</xm:f>
              </x14:cfvo>
              <x14:cfvo type="num">
                <xm:f>31</xm:f>
              </x14:cfvo>
              <x14:negativeFillColor rgb="FFFF0000"/>
              <x14:axisColor rgb="FF000000"/>
            </x14:dataBar>
          </x14:cfRule>
          <xm:sqref>B27:AF27</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14:formula1>
            <xm:f>Paramétrage!$B$3:$B$22</xm:f>
          </x14:formula1>
          <xm:sqref>A7:A26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0.749992370372631"/>
  </sheetPr>
  <dimension ref="A1:AG28"/>
  <sheetViews>
    <sheetView showGridLines="0" zoomScaleNormal="100" workbookViewId="0">
      <selection sqref="A1:XFD6"/>
    </sheetView>
  </sheetViews>
  <sheetFormatPr baseColWidth="10" defaultColWidth="9.109375" defaultRowHeight="30" customHeight="1" x14ac:dyDescent="0.3"/>
  <cols>
    <col min="1" max="1" width="20.44140625" style="30" customWidth="1"/>
    <col min="2" max="32" width="5.5546875" style="30" customWidth="1"/>
    <col min="33" max="33" width="12.44140625" style="30" customWidth="1"/>
    <col min="34" max="34" width="2.6640625" style="29" customWidth="1"/>
    <col min="35" max="16384" width="9.109375" style="29"/>
  </cols>
  <sheetData>
    <row r="1" spans="1:33" ht="25.8" x14ac:dyDescent="0.3">
      <c r="A1" s="58" t="s">
        <v>90</v>
      </c>
      <c r="B1" s="58"/>
      <c r="C1" s="58"/>
      <c r="D1" s="58"/>
      <c r="E1" s="58"/>
      <c r="F1" s="58"/>
      <c r="G1" s="58"/>
      <c r="H1" s="58"/>
      <c r="I1" s="58"/>
      <c r="J1" s="58"/>
      <c r="K1" s="58"/>
      <c r="L1" s="58"/>
      <c r="M1" s="58"/>
      <c r="N1" s="58"/>
      <c r="O1" s="58"/>
      <c r="P1" s="58"/>
      <c r="Q1" s="58"/>
      <c r="R1" s="58"/>
      <c r="S1" s="58"/>
      <c r="T1" s="58"/>
      <c r="U1" s="58"/>
      <c r="V1" s="58"/>
      <c r="W1" s="58"/>
      <c r="X1" s="58"/>
      <c r="Y1" s="58"/>
      <c r="Z1" s="58"/>
      <c r="AA1" s="58"/>
      <c r="AB1" s="58"/>
      <c r="AC1" s="58"/>
      <c r="AD1" s="58"/>
      <c r="AE1" s="58"/>
      <c r="AF1" s="58"/>
      <c r="AG1" s="58"/>
    </row>
    <row r="2" spans="1:33" ht="12" x14ac:dyDescent="0.3">
      <c r="A2" s="41" t="s">
        <v>0</v>
      </c>
      <c r="B2" s="42" t="s">
        <v>88</v>
      </c>
      <c r="C2" s="57" t="s">
        <v>89</v>
      </c>
      <c r="D2" s="57"/>
      <c r="E2" s="57"/>
      <c r="F2" s="57"/>
      <c r="G2" s="9" t="s">
        <v>82</v>
      </c>
      <c r="H2" s="57" t="s">
        <v>9</v>
      </c>
      <c r="I2" s="57"/>
      <c r="J2" s="43" t="s">
        <v>84</v>
      </c>
      <c r="K2" s="57" t="s">
        <v>85</v>
      </c>
      <c r="L2" s="57"/>
      <c r="M2" s="57"/>
      <c r="N2" s="11" t="s">
        <v>60</v>
      </c>
      <c r="O2" s="57" t="s">
        <v>83</v>
      </c>
      <c r="P2" s="57"/>
      <c r="Q2" s="44" t="s">
        <v>86</v>
      </c>
      <c r="R2" s="57" t="s">
        <v>87</v>
      </c>
      <c r="S2" s="57"/>
      <c r="T2" s="57"/>
      <c r="U2" s="57"/>
    </row>
    <row r="3" spans="1:33" ht="12" x14ac:dyDescent="0.3">
      <c r="AG3" s="31"/>
    </row>
    <row r="4" spans="1:33" ht="25.8" x14ac:dyDescent="0.3">
      <c r="A4" s="59" t="s">
        <v>41</v>
      </c>
      <c r="B4" s="59" t="s">
        <v>109</v>
      </c>
      <c r="C4" s="59"/>
      <c r="D4" s="59"/>
      <c r="E4" s="59"/>
      <c r="F4" s="59"/>
      <c r="G4" s="59"/>
      <c r="H4" s="59"/>
      <c r="I4" s="59"/>
      <c r="J4" s="59"/>
      <c r="K4" s="59"/>
      <c r="L4" s="59"/>
      <c r="M4" s="59"/>
      <c r="N4" s="59"/>
      <c r="O4" s="59"/>
      <c r="P4" s="59"/>
      <c r="Q4" s="59"/>
      <c r="R4" s="59"/>
      <c r="S4" s="59"/>
      <c r="T4" s="59"/>
      <c r="U4" s="59"/>
      <c r="V4" s="59"/>
      <c r="W4" s="59"/>
      <c r="X4" s="59"/>
      <c r="Y4" s="59"/>
      <c r="Z4" s="59"/>
      <c r="AA4" s="59"/>
      <c r="AB4" s="59"/>
      <c r="AC4" s="59"/>
      <c r="AD4" s="59"/>
      <c r="AE4" s="59"/>
      <c r="AF4" s="59"/>
      <c r="AG4" s="59">
        <f>AnnéeCalendrier</f>
        <v>2023</v>
      </c>
    </row>
    <row r="5" spans="1:33" ht="12" x14ac:dyDescent="0.3">
      <c r="A5" s="59"/>
      <c r="B5" s="47" t="str">
        <f>TEXT(WEEKDAY(DATE(AnnéeCalendrier,2,1),1),"jjj")</f>
        <v>mer</v>
      </c>
      <c r="C5" s="32" t="str">
        <f>TEXT(WEEKDAY(DATE(AnnéeCalendrier,2,2),1),"jjj")</f>
        <v>jeu</v>
      </c>
      <c r="D5" s="32" t="str">
        <f>TEXT(WEEKDAY(DATE(AnnéeCalendrier,2,3),1),"jjj")</f>
        <v>ven</v>
      </c>
      <c r="E5" s="32" t="str">
        <f>TEXT(WEEKDAY(DATE(AnnéeCalendrier,2,4),1),"jjj")</f>
        <v>sam</v>
      </c>
      <c r="F5" s="32" t="str">
        <f>TEXT(WEEKDAY(DATE(AnnéeCalendrier,2,5),1),"jjj")</f>
        <v>dim</v>
      </c>
      <c r="G5" s="32" t="str">
        <f>TEXT(WEEKDAY(DATE(AnnéeCalendrier,2,6),1),"jjj")</f>
        <v>lun</v>
      </c>
      <c r="H5" s="32" t="str">
        <f>TEXT(WEEKDAY(DATE(AnnéeCalendrier,2,7),1),"jjj")</f>
        <v>mar</v>
      </c>
      <c r="I5" s="32" t="str">
        <f>TEXT(WEEKDAY(DATE(AnnéeCalendrier,2,8),1),"jjj")</f>
        <v>mer</v>
      </c>
      <c r="J5" s="32" t="str">
        <f>TEXT(WEEKDAY(DATE(AnnéeCalendrier,2,9),1),"jjj")</f>
        <v>jeu</v>
      </c>
      <c r="K5" s="32" t="str">
        <f>TEXT(WEEKDAY(DATE(AnnéeCalendrier,2,10),1),"jjj")</f>
        <v>ven</v>
      </c>
      <c r="L5" s="32" t="str">
        <f>TEXT(WEEKDAY(DATE(AnnéeCalendrier,2,11),1),"jjj")</f>
        <v>sam</v>
      </c>
      <c r="M5" s="32" t="str">
        <f>TEXT(WEEKDAY(DATE(AnnéeCalendrier,2,12),1),"jjj")</f>
        <v>dim</v>
      </c>
      <c r="N5" s="32" t="str">
        <f>TEXT(WEEKDAY(DATE(AnnéeCalendrier,2,13),1),"jjj")</f>
        <v>lun</v>
      </c>
      <c r="O5" s="32" t="str">
        <f>TEXT(WEEKDAY(DATE(AnnéeCalendrier,2,14),1),"jjj")</f>
        <v>mar</v>
      </c>
      <c r="P5" s="32" t="str">
        <f>TEXT(WEEKDAY(DATE(AnnéeCalendrier,2,15),1),"jjj")</f>
        <v>mer</v>
      </c>
      <c r="Q5" s="32" t="str">
        <f>TEXT(WEEKDAY(DATE(AnnéeCalendrier,2,16),1),"jjj")</f>
        <v>jeu</v>
      </c>
      <c r="R5" s="32" t="str">
        <f>TEXT(WEEKDAY(DATE(AnnéeCalendrier,2,17),1),"jjj")</f>
        <v>ven</v>
      </c>
      <c r="S5" s="32" t="str">
        <f>TEXT(WEEKDAY(DATE(AnnéeCalendrier,2,18),1),"jjj")</f>
        <v>sam</v>
      </c>
      <c r="T5" s="32" t="str">
        <f>TEXT(WEEKDAY(DATE(AnnéeCalendrier,2,19),1),"jjj")</f>
        <v>dim</v>
      </c>
      <c r="U5" s="32" t="str">
        <f>TEXT(WEEKDAY(DATE(AnnéeCalendrier,2,20),1),"jjj")</f>
        <v>lun</v>
      </c>
      <c r="V5" s="32" t="str">
        <f>TEXT(WEEKDAY(DATE(AnnéeCalendrier,2,21),1),"jjj")</f>
        <v>mar</v>
      </c>
      <c r="W5" s="32" t="str">
        <f>TEXT(WEEKDAY(DATE(AnnéeCalendrier,2,22),1),"jjj")</f>
        <v>mer</v>
      </c>
      <c r="X5" s="32" t="str">
        <f>TEXT(WEEKDAY(DATE(AnnéeCalendrier,2,23),1),"jjj")</f>
        <v>jeu</v>
      </c>
      <c r="Y5" s="32" t="str">
        <f>TEXT(WEEKDAY(DATE(AnnéeCalendrier,2,24),1),"jjj")</f>
        <v>ven</v>
      </c>
      <c r="Z5" s="32" t="str">
        <f>TEXT(WEEKDAY(DATE(AnnéeCalendrier,2,25),1),"jjj")</f>
        <v>sam</v>
      </c>
      <c r="AA5" s="32" t="str">
        <f>TEXT(WEEKDAY(DATE(AnnéeCalendrier,2,26),1),"jjj")</f>
        <v>dim</v>
      </c>
      <c r="AB5" s="32" t="str">
        <f>TEXT(WEEKDAY(DATE(AnnéeCalendrier,2,27),1),"jjj")</f>
        <v>lun</v>
      </c>
      <c r="AC5" s="32" t="str">
        <f>TEXT(WEEKDAY(DATE(AnnéeCalendrier,2,28),1),"jjj")</f>
        <v>mar</v>
      </c>
      <c r="AD5" s="32" t="str">
        <f>TEXT(WEEKDAY(DATE(AnnéeCalendrier,2,29),1),"jjj")</f>
        <v>mer</v>
      </c>
      <c r="AE5" s="32"/>
      <c r="AF5" s="32"/>
      <c r="AG5" s="59"/>
    </row>
    <row r="6" spans="1:33" ht="24" x14ac:dyDescent="0.3">
      <c r="A6" s="45" t="s">
        <v>2</v>
      </c>
      <c r="B6" s="46" t="s">
        <v>8</v>
      </c>
      <c r="C6" s="46" t="s">
        <v>10</v>
      </c>
      <c r="D6" s="46" t="s">
        <v>11</v>
      </c>
      <c r="E6" s="46" t="s">
        <v>12</v>
      </c>
      <c r="F6" s="46" t="s">
        <v>13</v>
      </c>
      <c r="G6" s="46" t="s">
        <v>14</v>
      </c>
      <c r="H6" s="46" t="s">
        <v>15</v>
      </c>
      <c r="I6" s="46" t="s">
        <v>16</v>
      </c>
      <c r="J6" s="46" t="s">
        <v>17</v>
      </c>
      <c r="K6" s="46" t="s">
        <v>18</v>
      </c>
      <c r="L6" s="46" t="s">
        <v>19</v>
      </c>
      <c r="M6" s="46" t="s">
        <v>20</v>
      </c>
      <c r="N6" s="46" t="s">
        <v>21</v>
      </c>
      <c r="O6" s="46" t="s">
        <v>22</v>
      </c>
      <c r="P6" s="46" t="s">
        <v>23</v>
      </c>
      <c r="Q6" s="46" t="s">
        <v>24</v>
      </c>
      <c r="R6" s="46" t="s">
        <v>25</v>
      </c>
      <c r="S6" s="46" t="s">
        <v>26</v>
      </c>
      <c r="T6" s="46" t="s">
        <v>27</v>
      </c>
      <c r="U6" s="46" t="s">
        <v>28</v>
      </c>
      <c r="V6" s="46" t="s">
        <v>29</v>
      </c>
      <c r="W6" s="46" t="s">
        <v>30</v>
      </c>
      <c r="X6" s="46" t="s">
        <v>31</v>
      </c>
      <c r="Y6" s="46" t="s">
        <v>32</v>
      </c>
      <c r="Z6" s="46" t="s">
        <v>33</v>
      </c>
      <c r="AA6" s="46" t="s">
        <v>34</v>
      </c>
      <c r="AB6" s="46" t="s">
        <v>35</v>
      </c>
      <c r="AC6" s="46" t="s">
        <v>36</v>
      </c>
      <c r="AD6" s="46" t="s">
        <v>37</v>
      </c>
      <c r="AE6" s="46" t="s">
        <v>42</v>
      </c>
      <c r="AF6" s="46" t="s">
        <v>43</v>
      </c>
      <c r="AG6" s="35" t="s">
        <v>107</v>
      </c>
    </row>
    <row r="7" spans="1:33" ht="15" customHeight="1" x14ac:dyDescent="0.3">
      <c r="A7" s="36" t="s">
        <v>3</v>
      </c>
      <c r="B7" s="34"/>
      <c r="C7" s="34"/>
      <c r="D7" s="34"/>
      <c r="E7" s="34"/>
      <c r="F7" s="34"/>
      <c r="G7" s="34"/>
      <c r="H7" s="34"/>
      <c r="I7" s="34"/>
      <c r="J7" s="34"/>
      <c r="K7" s="34"/>
      <c r="L7" s="34"/>
      <c r="M7" s="34"/>
      <c r="N7" s="34"/>
      <c r="O7" s="34"/>
      <c r="P7" s="34"/>
      <c r="Q7" s="34"/>
      <c r="R7" s="34"/>
      <c r="S7" s="34"/>
      <c r="T7" s="34"/>
      <c r="U7" s="34"/>
      <c r="V7" s="34"/>
      <c r="W7" s="34"/>
      <c r="X7" s="34"/>
      <c r="Y7" s="34"/>
      <c r="Z7" s="34"/>
      <c r="AA7" s="34"/>
      <c r="AB7" s="34"/>
      <c r="AC7" s="34"/>
      <c r="AD7" s="34"/>
      <c r="AE7" s="34"/>
      <c r="AF7" s="34"/>
      <c r="AG7" s="18">
        <f>COUNTIF(Janvier[[#This Row],[1]:[31]],Paramétrage!G3)*Paramétrage!I3+COUNTIF(Janvier[[#This Row],[1]:[31]],Paramétrage!G4)*Paramétrage!I4+COUNTIF(Janvier[[#This Row],[1]:[31]],Paramétrage!G5)*Paramétrage!I5+COUNTIF(Janvier[[#This Row],[1]:[31]],Paramétrage!G6)*Paramétrage!I6+COUNTIF(Janvier[[#This Row],[1]:[31]],Paramétrage!G7)*Paramétrage!I7+COUNTIF(Janvier[[#This Row],[1]:[31]],Paramétrage!G8)*Paramétrage!I8+COUNTIF(Janvier[[#This Row],[1]:[31]],Paramétrage!G9)*Paramétrage!I9+COUNTIF(Janvier[[#This Row],[1]:[31]],Paramétrage!G10)*Paramétrage!I10+COUNTIF(Janvier[[#This Row],[1]:[31]],Paramétrage!G11)*Paramétrage!I11+COUNTIF(Janvier[[#This Row],[1]:[31]],Paramétrage!G12)*Paramétrage!I12+COUNTIF(Janvier[[#This Row],[1]:[31]],Paramétrage!G13)*Paramétrage!I13+COUNTIF(Janvier[[#This Row],[1]:[31]],Paramétrage!G14*Paramétrage!I14+COUNTIF(Janvier[[#This Row],[1]:[31]],Paramétrage!G15)*Paramétrage!I15+COUNTIF(Janvier[[#This Row],[1]:[31]],Paramétrage!G16)*Paramétrage!I16)</f>
        <v>0</v>
      </c>
    </row>
    <row r="8" spans="1:33" ht="15" customHeight="1" x14ac:dyDescent="0.3">
      <c r="A8" s="36" t="s">
        <v>4</v>
      </c>
      <c r="B8" s="34"/>
      <c r="C8" s="34"/>
      <c r="D8" s="34"/>
      <c r="E8" s="34"/>
      <c r="F8" s="34"/>
      <c r="G8" s="34"/>
      <c r="H8" s="34"/>
      <c r="I8" s="34"/>
      <c r="J8" s="34"/>
      <c r="K8" s="34"/>
      <c r="L8" s="34"/>
      <c r="M8" s="34"/>
      <c r="N8" s="34"/>
      <c r="O8" s="34"/>
      <c r="P8" s="34"/>
      <c r="Q8" s="34"/>
      <c r="R8" s="34"/>
      <c r="S8" s="34"/>
      <c r="T8" s="34"/>
      <c r="U8" s="34"/>
      <c r="V8" s="34"/>
      <c r="W8" s="34"/>
      <c r="X8" s="34"/>
      <c r="Y8" s="34"/>
      <c r="Z8" s="34"/>
      <c r="AA8" s="34"/>
      <c r="AB8" s="34"/>
      <c r="AC8" s="34"/>
      <c r="AD8" s="34"/>
      <c r="AE8" s="34"/>
      <c r="AF8" s="34"/>
      <c r="AG8" s="18">
        <f>COUNTIF(Janvier[[#This Row],[1]:[31]],Paramétrage!G4)*Paramétrage!I4+COUNTIF(Janvier[[#This Row],[1]:[31]],Paramétrage!G5)*Paramétrage!I5+COUNTIF(Janvier[[#This Row],[1]:[31]],Paramétrage!G6)*Paramétrage!I6+COUNTIF(Janvier[[#This Row],[1]:[31]],Paramétrage!G7)*Paramétrage!I7+COUNTIF(Janvier[[#This Row],[1]:[31]],Paramétrage!G8)*Paramétrage!I8+COUNTIF(Janvier[[#This Row],[1]:[31]],Paramétrage!G9)*Paramétrage!I9+COUNTIF(Janvier[[#This Row],[1]:[31]],Paramétrage!G10)*Paramétrage!I10+COUNTIF(Janvier[[#This Row],[1]:[31]],Paramétrage!G11)*Paramétrage!I11+COUNTIF(Janvier[[#This Row],[1]:[31]],Paramétrage!G12)*Paramétrage!I12+COUNTIF(Janvier[[#This Row],[1]:[31]],Paramétrage!G13)*Paramétrage!I13+COUNTIF(Janvier[[#This Row],[1]:[31]],Paramétrage!G14)*Paramétrage!I14+COUNTIF(Janvier[[#This Row],[1]:[31]],Paramétrage!G15*Paramétrage!I15+COUNTIF(Janvier[[#This Row],[1]:[31]],Paramétrage!G16)*Paramétrage!I16+COUNTIF(Janvier[[#This Row],[1]:[31]],Paramétrage!G17)*Paramétrage!I17)</f>
        <v>0</v>
      </c>
    </row>
    <row r="9" spans="1:33" ht="15" customHeight="1" x14ac:dyDescent="0.3">
      <c r="A9" s="36" t="s">
        <v>5</v>
      </c>
      <c r="B9" s="34"/>
      <c r="C9" s="34"/>
      <c r="D9" s="34"/>
      <c r="E9" s="34"/>
      <c r="F9" s="34"/>
      <c r="G9" s="34"/>
      <c r="H9" s="34"/>
      <c r="I9" s="34"/>
      <c r="J9" s="34"/>
      <c r="K9" s="34"/>
      <c r="L9" s="34"/>
      <c r="M9" s="34"/>
      <c r="N9" s="34"/>
      <c r="O9" s="34"/>
      <c r="P9" s="34"/>
      <c r="Q9" s="34"/>
      <c r="R9" s="34"/>
      <c r="S9" s="34"/>
      <c r="T9" s="34"/>
      <c r="U9" s="34"/>
      <c r="V9" s="34"/>
      <c r="W9" s="34"/>
      <c r="X9" s="34"/>
      <c r="Y9" s="34"/>
      <c r="Z9" s="34"/>
      <c r="AA9" s="34"/>
      <c r="AB9" s="34"/>
      <c r="AC9" s="34"/>
      <c r="AD9" s="34"/>
      <c r="AE9" s="34"/>
      <c r="AF9" s="34"/>
      <c r="AG9" s="18">
        <f>COUNTIF(Janvier[[#This Row],[1]:[31]],Paramétrage!G5)*Paramétrage!I5+COUNTIF(Janvier[[#This Row],[1]:[31]],Paramétrage!G6)*Paramétrage!I6+COUNTIF(Janvier[[#This Row],[1]:[31]],Paramétrage!G7)*Paramétrage!I7+COUNTIF(Janvier[[#This Row],[1]:[31]],Paramétrage!G8)*Paramétrage!I8+COUNTIF(Janvier[[#This Row],[1]:[31]],Paramétrage!G9)*Paramétrage!I9+COUNTIF(Janvier[[#This Row],[1]:[31]],Paramétrage!G10)*Paramétrage!I10+COUNTIF(Janvier[[#This Row],[1]:[31]],Paramétrage!G11)*Paramétrage!I11+COUNTIF(Janvier[[#This Row],[1]:[31]],Paramétrage!G12)*Paramétrage!I12+COUNTIF(Janvier[[#This Row],[1]:[31]],Paramétrage!G13)*Paramétrage!I13+COUNTIF(Janvier[[#This Row],[1]:[31]],Paramétrage!G14)*Paramétrage!I14+COUNTIF(Janvier[[#This Row],[1]:[31]],Paramétrage!G15)*Paramétrage!I15+COUNTIF(Janvier[[#This Row],[1]:[31]],Paramétrage!G16*Paramétrage!I16+COUNTIF(Janvier[[#This Row],[1]:[31]],Paramétrage!G17)*Paramétrage!I17+COUNTIF(Janvier[[#This Row],[1]:[31]],Paramétrage!G18)*Paramétrage!I18)</f>
        <v>0</v>
      </c>
    </row>
    <row r="10" spans="1:33" ht="15" customHeight="1" x14ac:dyDescent="0.3">
      <c r="A10" s="36" t="s">
        <v>6</v>
      </c>
      <c r="B10" s="34"/>
      <c r="C10" s="34"/>
      <c r="D10" s="34"/>
      <c r="E10" s="34"/>
      <c r="F10" s="34"/>
      <c r="G10" s="34"/>
      <c r="H10" s="34"/>
      <c r="I10" s="34"/>
      <c r="J10" s="34"/>
      <c r="K10" s="34"/>
      <c r="L10" s="34"/>
      <c r="M10" s="34"/>
      <c r="N10" s="34"/>
      <c r="O10" s="34"/>
      <c r="P10" s="34"/>
      <c r="Q10" s="34"/>
      <c r="R10" s="34"/>
      <c r="S10" s="34"/>
      <c r="T10" s="34"/>
      <c r="U10" s="34"/>
      <c r="V10" s="34"/>
      <c r="W10" s="34"/>
      <c r="X10" s="34"/>
      <c r="Y10" s="34"/>
      <c r="Z10" s="34"/>
      <c r="AA10" s="34"/>
      <c r="AB10" s="34"/>
      <c r="AC10" s="34"/>
      <c r="AD10" s="34"/>
      <c r="AE10" s="34"/>
      <c r="AF10" s="34"/>
      <c r="AG10" s="18">
        <f>COUNTIF(Janvier[[#This Row],[1]:[31]],Paramétrage!G6)*Paramétrage!I6+COUNTIF(Janvier[[#This Row],[1]:[31]],Paramétrage!G7)*Paramétrage!I7+COUNTIF(Janvier[[#This Row],[1]:[31]],Paramétrage!G8)*Paramétrage!I8+COUNTIF(Janvier[[#This Row],[1]:[31]],Paramétrage!G9)*Paramétrage!I9+COUNTIF(Janvier[[#This Row],[1]:[31]],Paramétrage!G10)*Paramétrage!I10+COUNTIF(Janvier[[#This Row],[1]:[31]],Paramétrage!G11)*Paramétrage!I11+COUNTIF(Janvier[[#This Row],[1]:[31]],Paramétrage!G12)*Paramétrage!I12+COUNTIF(Janvier[[#This Row],[1]:[31]],Paramétrage!G13)*Paramétrage!I13+COUNTIF(Janvier[[#This Row],[1]:[31]],Paramétrage!G14)*Paramétrage!I14+COUNTIF(Janvier[[#This Row],[1]:[31]],Paramétrage!G15)*Paramétrage!I15+COUNTIF(Janvier[[#This Row],[1]:[31]],Paramétrage!G16)*Paramétrage!I16+COUNTIF(Janvier[[#This Row],[1]:[31]],Paramétrage!G17*Paramétrage!I17+COUNTIF(Janvier[[#This Row],[1]:[31]],Paramétrage!G18)*Paramétrage!I18+COUNTIF(Janvier[[#This Row],[1]:[31]],Paramétrage!G19)*Paramétrage!I19)</f>
        <v>0</v>
      </c>
    </row>
    <row r="11" spans="1:33" ht="15" customHeight="1" x14ac:dyDescent="0.3">
      <c r="A11" s="36" t="s">
        <v>7</v>
      </c>
      <c r="B11" s="34"/>
      <c r="C11" s="34"/>
      <c r="D11" s="34"/>
      <c r="E11" s="34"/>
      <c r="F11" s="34"/>
      <c r="G11" s="34"/>
      <c r="H11" s="34"/>
      <c r="I11" s="34"/>
      <c r="J11" s="34"/>
      <c r="K11" s="34"/>
      <c r="L11" s="34"/>
      <c r="M11" s="34"/>
      <c r="N11" s="34"/>
      <c r="O11" s="34"/>
      <c r="P11" s="34"/>
      <c r="Q11" s="34"/>
      <c r="R11" s="34"/>
      <c r="S11" s="34"/>
      <c r="T11" s="34"/>
      <c r="U11" s="34"/>
      <c r="V11" s="34"/>
      <c r="W11" s="34"/>
      <c r="X11" s="34"/>
      <c r="Y11" s="34"/>
      <c r="Z11" s="34"/>
      <c r="AA11" s="34"/>
      <c r="AB11" s="34"/>
      <c r="AC11" s="34"/>
      <c r="AD11" s="34"/>
      <c r="AE11" s="34"/>
      <c r="AF11" s="34"/>
      <c r="AG11" s="18">
        <f>COUNTIF(Janvier[[#This Row],[1]:[31]],Paramétrage!G7)*Paramétrage!I7+COUNTIF(Janvier[[#This Row],[1]:[31]],Paramétrage!G8)*Paramétrage!I8+COUNTIF(Janvier[[#This Row],[1]:[31]],Paramétrage!G9)*Paramétrage!I9+COUNTIF(Janvier[[#This Row],[1]:[31]],Paramétrage!G10)*Paramétrage!I10+COUNTIF(Janvier[[#This Row],[1]:[31]],Paramétrage!G11)*Paramétrage!I11+COUNTIF(Janvier[[#This Row],[1]:[31]],Paramétrage!G12)*Paramétrage!I12+COUNTIF(Janvier[[#This Row],[1]:[31]],Paramétrage!G13)*Paramétrage!I13+COUNTIF(Janvier[[#This Row],[1]:[31]],Paramétrage!G14)*Paramétrage!I14+COUNTIF(Janvier[[#This Row],[1]:[31]],Paramétrage!G15)*Paramétrage!I15+COUNTIF(Janvier[[#This Row],[1]:[31]],Paramétrage!G16)*Paramétrage!I16+COUNTIF(Janvier[[#This Row],[1]:[31]],Paramétrage!G17)*Paramétrage!I17+COUNTIF(Janvier[[#This Row],[1]:[31]],Paramétrage!G18*Paramétrage!I18+COUNTIF(Janvier[[#This Row],[1]:[31]],Paramétrage!G19)*Paramétrage!I19+COUNTIF(Janvier[[#This Row],[1]:[31]],Paramétrage!G20)*Paramétrage!I20)</f>
        <v>0</v>
      </c>
    </row>
    <row r="12" spans="1:33" ht="15" customHeight="1" x14ac:dyDescent="0.3">
      <c r="A12" s="36" t="s">
        <v>55</v>
      </c>
      <c r="B12" s="34"/>
      <c r="C12" s="34"/>
      <c r="D12" s="34"/>
      <c r="E12" s="34"/>
      <c r="F12" s="34"/>
      <c r="G12" s="34"/>
      <c r="H12" s="34"/>
      <c r="I12" s="34"/>
      <c r="J12" s="34"/>
      <c r="K12" s="34"/>
      <c r="L12" s="34"/>
      <c r="M12" s="34"/>
      <c r="N12" s="34"/>
      <c r="O12" s="34"/>
      <c r="P12" s="34"/>
      <c r="Q12" s="34"/>
      <c r="R12" s="34"/>
      <c r="S12" s="34"/>
      <c r="T12" s="34"/>
      <c r="U12" s="34"/>
      <c r="V12" s="34"/>
      <c r="W12" s="34"/>
      <c r="X12" s="34"/>
      <c r="Y12" s="34"/>
      <c r="Z12" s="34"/>
      <c r="AA12" s="34"/>
      <c r="AB12" s="34"/>
      <c r="AC12" s="34"/>
      <c r="AD12" s="34"/>
      <c r="AE12" s="34"/>
      <c r="AF12" s="34"/>
      <c r="AG12" s="18">
        <f>COUNTIF(Janvier[[#This Row],[1]:[31]],Paramétrage!G8)*Paramétrage!I8+COUNTIF(Janvier[[#This Row],[1]:[31]],Paramétrage!G9)*Paramétrage!I9+COUNTIF(Janvier[[#This Row],[1]:[31]],Paramétrage!G10)*Paramétrage!I10+COUNTIF(Janvier[[#This Row],[1]:[31]],Paramétrage!G11)*Paramétrage!I11+COUNTIF(Janvier[[#This Row],[1]:[31]],Paramétrage!G12)*Paramétrage!I12+COUNTIF(Janvier[[#This Row],[1]:[31]],Paramétrage!G13)*Paramétrage!I13+COUNTIF(Janvier[[#This Row],[1]:[31]],Paramétrage!G14)*Paramétrage!I14+COUNTIF(Janvier[[#This Row],[1]:[31]],Paramétrage!G15)*Paramétrage!I15+COUNTIF(Janvier[[#This Row],[1]:[31]],Paramétrage!G16)*Paramétrage!I16+COUNTIF(Janvier[[#This Row],[1]:[31]],Paramétrage!G17)*Paramétrage!I17+COUNTIF(Janvier[[#This Row],[1]:[31]],Paramétrage!G18)*Paramétrage!I18+COUNTIF(Janvier[[#This Row],[1]:[31]],Paramétrage!G19*Paramétrage!I19+COUNTIF(Janvier[[#This Row],[1]:[31]],Paramétrage!G20)*Paramétrage!I20+COUNTIF(Janvier[[#This Row],[1]:[31]],Paramétrage!G21)*Paramétrage!I21)</f>
        <v>0</v>
      </c>
    </row>
    <row r="13" spans="1:33" ht="15" customHeight="1" x14ac:dyDescent="0.3">
      <c r="A13" s="36" t="s">
        <v>56</v>
      </c>
      <c r="B13" s="34"/>
      <c r="C13" s="34"/>
      <c r="D13" s="34"/>
      <c r="E13" s="34"/>
      <c r="F13" s="34"/>
      <c r="G13" s="34"/>
      <c r="H13" s="34"/>
      <c r="I13" s="34"/>
      <c r="J13" s="34"/>
      <c r="K13" s="34"/>
      <c r="L13" s="34"/>
      <c r="M13" s="34"/>
      <c r="N13" s="34"/>
      <c r="O13" s="34"/>
      <c r="P13" s="34"/>
      <c r="Q13" s="34"/>
      <c r="R13" s="34"/>
      <c r="S13" s="34"/>
      <c r="T13" s="34"/>
      <c r="U13" s="34"/>
      <c r="V13" s="34"/>
      <c r="W13" s="34"/>
      <c r="X13" s="34"/>
      <c r="Y13" s="34"/>
      <c r="Z13" s="34"/>
      <c r="AA13" s="34"/>
      <c r="AB13" s="34"/>
      <c r="AC13" s="34"/>
      <c r="AD13" s="34"/>
      <c r="AE13" s="34"/>
      <c r="AF13" s="34"/>
      <c r="AG13" s="18">
        <f>COUNTIF(Janvier[[#This Row],[1]:[31]],Paramétrage!G9)*Paramétrage!I9+COUNTIF(Janvier[[#This Row],[1]:[31]],Paramétrage!G10)*Paramétrage!I10+COUNTIF(Janvier[[#This Row],[1]:[31]],Paramétrage!G11)*Paramétrage!I11+COUNTIF(Janvier[[#This Row],[1]:[31]],Paramétrage!G12)*Paramétrage!I12+COUNTIF(Janvier[[#This Row],[1]:[31]],Paramétrage!G13)*Paramétrage!I13+COUNTIF(Janvier[[#This Row],[1]:[31]],Paramétrage!G14)*Paramétrage!I14+COUNTIF(Janvier[[#This Row],[1]:[31]],Paramétrage!G15)*Paramétrage!I15+COUNTIF(Janvier[[#This Row],[1]:[31]],Paramétrage!G16)*Paramétrage!I16+COUNTIF(Janvier[[#This Row],[1]:[31]],Paramétrage!G17)*Paramétrage!I17+COUNTIF(Janvier[[#This Row],[1]:[31]],Paramétrage!G18)*Paramétrage!I18+COUNTIF(Janvier[[#This Row],[1]:[31]],Paramétrage!G19)*Paramétrage!I19+COUNTIF(Janvier[[#This Row],[1]:[31]],Paramétrage!G20*Paramétrage!I20+COUNTIF(Janvier[[#This Row],[1]:[31]],Paramétrage!G21)*Paramétrage!I21+COUNTIF(Janvier[[#This Row],[1]:[31]],Paramétrage!G22)*Paramétrage!I22)</f>
        <v>0</v>
      </c>
    </row>
    <row r="14" spans="1:33" ht="15" customHeight="1" x14ac:dyDescent="0.3">
      <c r="A14" s="36" t="s">
        <v>57</v>
      </c>
      <c r="B14" s="34"/>
      <c r="C14" s="34"/>
      <c r="D14" s="34"/>
      <c r="E14" s="34"/>
      <c r="F14" s="34"/>
      <c r="G14" s="34"/>
      <c r="H14" s="34"/>
      <c r="I14" s="34"/>
      <c r="J14" s="34"/>
      <c r="K14" s="34"/>
      <c r="L14" s="34"/>
      <c r="M14" s="34"/>
      <c r="N14" s="34"/>
      <c r="O14" s="34"/>
      <c r="P14" s="34"/>
      <c r="Q14" s="34"/>
      <c r="R14" s="34"/>
      <c r="S14" s="34"/>
      <c r="T14" s="34"/>
      <c r="U14" s="34"/>
      <c r="V14" s="34"/>
      <c r="W14" s="34"/>
      <c r="X14" s="34"/>
      <c r="Y14" s="34"/>
      <c r="Z14" s="34"/>
      <c r="AA14" s="34"/>
      <c r="AB14" s="34"/>
      <c r="AC14" s="34"/>
      <c r="AD14" s="34"/>
      <c r="AE14" s="34"/>
      <c r="AF14" s="34"/>
      <c r="AG14" s="18">
        <f>COUNTIF(Janvier[[#This Row],[1]:[31]],Paramétrage!G10)*Paramétrage!I10+COUNTIF(Janvier[[#This Row],[1]:[31]],Paramétrage!G11)*Paramétrage!I11+COUNTIF(Janvier[[#This Row],[1]:[31]],Paramétrage!G12)*Paramétrage!I12+COUNTIF(Janvier[[#This Row],[1]:[31]],Paramétrage!G13)*Paramétrage!I13+COUNTIF(Janvier[[#This Row],[1]:[31]],Paramétrage!G14)*Paramétrage!I14+COUNTIF(Janvier[[#This Row],[1]:[31]],Paramétrage!G15)*Paramétrage!I15+COUNTIF(Janvier[[#This Row],[1]:[31]],Paramétrage!G16)*Paramétrage!I16+COUNTIF(Janvier[[#This Row],[1]:[31]],Paramétrage!G17)*Paramétrage!I17+COUNTIF(Janvier[[#This Row],[1]:[31]],Paramétrage!G18)*Paramétrage!I18+COUNTIF(Janvier[[#This Row],[1]:[31]],Paramétrage!G19)*Paramétrage!I19+COUNTIF(Janvier[[#This Row],[1]:[31]],Paramétrage!G20)*Paramétrage!I20+COUNTIF(Janvier[[#This Row],[1]:[31]],Paramétrage!G21*Paramétrage!I21+COUNTIF(Janvier[[#This Row],[1]:[31]],Paramétrage!G22)*Paramétrage!I22+COUNTIF(Janvier[[#This Row],[1]:[31]],Paramétrage!G23)*Paramétrage!I23)</f>
        <v>0</v>
      </c>
    </row>
    <row r="15" spans="1:33" ht="15" customHeight="1" x14ac:dyDescent="0.3">
      <c r="A15" s="36" t="s">
        <v>61</v>
      </c>
      <c r="B15" s="34"/>
      <c r="C15" s="34"/>
      <c r="D15" s="34"/>
      <c r="E15" s="34"/>
      <c r="F15" s="34"/>
      <c r="G15" s="34"/>
      <c r="H15" s="34"/>
      <c r="I15" s="34"/>
      <c r="J15" s="34"/>
      <c r="K15" s="34"/>
      <c r="L15" s="34"/>
      <c r="M15" s="34"/>
      <c r="N15" s="34"/>
      <c r="O15" s="34"/>
      <c r="P15" s="34"/>
      <c r="Q15" s="34"/>
      <c r="R15" s="34"/>
      <c r="S15" s="34"/>
      <c r="T15" s="34"/>
      <c r="U15" s="34"/>
      <c r="V15" s="34"/>
      <c r="W15" s="34"/>
      <c r="X15" s="34"/>
      <c r="Y15" s="34"/>
      <c r="Z15" s="34"/>
      <c r="AA15" s="34"/>
      <c r="AB15" s="34"/>
      <c r="AC15" s="34"/>
      <c r="AD15" s="34"/>
      <c r="AE15" s="34"/>
      <c r="AF15" s="34"/>
      <c r="AG15" s="18">
        <f>COUNTIF(Janvier[[#This Row],[1]:[31]],Paramétrage!G11)*Paramétrage!I11+COUNTIF(Janvier[[#This Row],[1]:[31]],Paramétrage!G12)*Paramétrage!I12+COUNTIF(Janvier[[#This Row],[1]:[31]],Paramétrage!G13)*Paramétrage!I13+COUNTIF(Janvier[[#This Row],[1]:[31]],Paramétrage!G14)*Paramétrage!I14+COUNTIF(Janvier[[#This Row],[1]:[31]],Paramétrage!G15)*Paramétrage!I15+COUNTIF(Janvier[[#This Row],[1]:[31]],Paramétrage!G16)*Paramétrage!I16+COUNTIF(Janvier[[#This Row],[1]:[31]],Paramétrage!G17)*Paramétrage!I17+COUNTIF(Janvier[[#This Row],[1]:[31]],Paramétrage!G18)*Paramétrage!I18+COUNTIF(Janvier[[#This Row],[1]:[31]],Paramétrage!G19)*Paramétrage!I19+COUNTIF(Janvier[[#This Row],[1]:[31]],Paramétrage!G20)*Paramétrage!I20+COUNTIF(Janvier[[#This Row],[1]:[31]],Paramétrage!G21)*Paramétrage!I21+COUNTIF(Janvier[[#This Row],[1]:[31]],Paramétrage!G22*Paramétrage!I22+COUNTIF(Janvier[[#This Row],[1]:[31]],Paramétrage!G23)*Paramétrage!I23+COUNTIF(Janvier[[#This Row],[1]:[31]],Paramétrage!G24)*Paramétrage!I24)</f>
        <v>0</v>
      </c>
    </row>
    <row r="16" spans="1:33" ht="15" customHeight="1" x14ac:dyDescent="0.3">
      <c r="A16" s="36" t="s">
        <v>62</v>
      </c>
      <c r="B16" s="34"/>
      <c r="C16" s="34"/>
      <c r="D16" s="34"/>
      <c r="E16" s="34"/>
      <c r="F16" s="34"/>
      <c r="G16" s="34"/>
      <c r="H16" s="34"/>
      <c r="I16" s="34"/>
      <c r="J16" s="34"/>
      <c r="K16" s="34"/>
      <c r="L16" s="34"/>
      <c r="M16" s="34"/>
      <c r="N16" s="34"/>
      <c r="O16" s="34"/>
      <c r="P16" s="34"/>
      <c r="Q16" s="34"/>
      <c r="R16" s="34"/>
      <c r="S16" s="34"/>
      <c r="T16" s="34"/>
      <c r="U16" s="34"/>
      <c r="V16" s="34"/>
      <c r="W16" s="34"/>
      <c r="X16" s="34"/>
      <c r="Y16" s="34"/>
      <c r="Z16" s="34"/>
      <c r="AA16" s="34"/>
      <c r="AB16" s="34"/>
      <c r="AC16" s="34"/>
      <c r="AD16" s="34"/>
      <c r="AE16" s="34"/>
      <c r="AF16" s="34"/>
      <c r="AG16" s="18">
        <f>COUNTIF(Janvier[[#This Row],[1]:[31]],Paramétrage!G12)*Paramétrage!I12+COUNTIF(Janvier[[#This Row],[1]:[31]],Paramétrage!G13)*Paramétrage!I13+COUNTIF(Janvier[[#This Row],[1]:[31]],Paramétrage!G14)*Paramétrage!I14+COUNTIF(Janvier[[#This Row],[1]:[31]],Paramétrage!G15)*Paramétrage!I15+COUNTIF(Janvier[[#This Row],[1]:[31]],Paramétrage!G16)*Paramétrage!I16+COUNTIF(Janvier[[#This Row],[1]:[31]],Paramétrage!G17)*Paramétrage!I17+COUNTIF(Janvier[[#This Row],[1]:[31]],Paramétrage!G18)*Paramétrage!I18+COUNTIF(Janvier[[#This Row],[1]:[31]],Paramétrage!G19)*Paramétrage!I19+COUNTIF(Janvier[[#This Row],[1]:[31]],Paramétrage!G20)*Paramétrage!I20+COUNTIF(Janvier[[#This Row],[1]:[31]],Paramétrage!G21)*Paramétrage!I21+COUNTIF(Janvier[[#This Row],[1]:[31]],Paramétrage!G22)*Paramétrage!I22+COUNTIF(Janvier[[#This Row],[1]:[31]],Paramétrage!G23*Paramétrage!I23+COUNTIF(Janvier[[#This Row],[1]:[31]],Paramétrage!G24)*Paramétrage!I24+COUNTIF(Janvier[[#This Row],[1]:[31]],Paramétrage!G25)*Paramétrage!I25)</f>
        <v>0</v>
      </c>
    </row>
    <row r="17" spans="1:33" ht="15" customHeight="1" x14ac:dyDescent="0.3">
      <c r="A17" s="36" t="s">
        <v>63</v>
      </c>
      <c r="B17" s="34"/>
      <c r="C17" s="34"/>
      <c r="D17" s="34"/>
      <c r="E17" s="34"/>
      <c r="F17" s="34"/>
      <c r="G17" s="34"/>
      <c r="H17" s="34"/>
      <c r="I17" s="34"/>
      <c r="J17" s="34"/>
      <c r="K17" s="34"/>
      <c r="L17" s="34"/>
      <c r="M17" s="34"/>
      <c r="N17" s="34"/>
      <c r="O17" s="34"/>
      <c r="P17" s="34"/>
      <c r="Q17" s="34"/>
      <c r="R17" s="34"/>
      <c r="S17" s="34"/>
      <c r="T17" s="34"/>
      <c r="U17" s="34"/>
      <c r="V17" s="34"/>
      <c r="W17" s="34"/>
      <c r="X17" s="34"/>
      <c r="Y17" s="34"/>
      <c r="Z17" s="34"/>
      <c r="AA17" s="34"/>
      <c r="AB17" s="34"/>
      <c r="AC17" s="34"/>
      <c r="AD17" s="34"/>
      <c r="AE17" s="34"/>
      <c r="AF17" s="34"/>
      <c r="AG17" s="18">
        <f>COUNTIF(Janvier[[#This Row],[1]:[31]],Paramétrage!G13)*Paramétrage!I13+COUNTIF(Janvier[[#This Row],[1]:[31]],Paramétrage!G14)*Paramétrage!I14+COUNTIF(Janvier[[#This Row],[1]:[31]],Paramétrage!G15)*Paramétrage!I15+COUNTIF(Janvier[[#This Row],[1]:[31]],Paramétrage!G16)*Paramétrage!I16+COUNTIF(Janvier[[#This Row],[1]:[31]],Paramétrage!G17)*Paramétrage!I17+COUNTIF(Janvier[[#This Row],[1]:[31]],Paramétrage!G18)*Paramétrage!I18+COUNTIF(Janvier[[#This Row],[1]:[31]],Paramétrage!G19)*Paramétrage!I19+COUNTIF(Janvier[[#This Row],[1]:[31]],Paramétrage!G20)*Paramétrage!I20+COUNTIF(Janvier[[#This Row],[1]:[31]],Paramétrage!G21)*Paramétrage!I21+COUNTIF(Janvier[[#This Row],[1]:[31]],Paramétrage!G22)*Paramétrage!I22+COUNTIF(Janvier[[#This Row],[1]:[31]],Paramétrage!G23)*Paramétrage!I23+COUNTIF(Janvier[[#This Row],[1]:[31]],Paramétrage!G24*Paramétrage!I24+COUNTIF(Janvier[[#This Row],[1]:[31]],Paramétrage!G25)*Paramétrage!I25+COUNTIF(Janvier[[#This Row],[1]:[31]],Paramétrage!G26)*Paramétrage!I26)</f>
        <v>0</v>
      </c>
    </row>
    <row r="18" spans="1:33" ht="15" customHeight="1" x14ac:dyDescent="0.3">
      <c r="A18" s="36" t="s">
        <v>65</v>
      </c>
      <c r="B18" s="34"/>
      <c r="C18" s="34"/>
      <c r="D18" s="34"/>
      <c r="E18" s="34"/>
      <c r="F18" s="34"/>
      <c r="G18" s="34"/>
      <c r="H18" s="34"/>
      <c r="I18" s="34"/>
      <c r="J18" s="34"/>
      <c r="K18" s="34"/>
      <c r="L18" s="34"/>
      <c r="M18" s="34"/>
      <c r="N18" s="34"/>
      <c r="O18" s="34"/>
      <c r="P18" s="34"/>
      <c r="Q18" s="34"/>
      <c r="R18" s="34"/>
      <c r="S18" s="34"/>
      <c r="T18" s="34"/>
      <c r="U18" s="34"/>
      <c r="V18" s="34"/>
      <c r="W18" s="34"/>
      <c r="X18" s="34"/>
      <c r="Y18" s="34"/>
      <c r="Z18" s="34"/>
      <c r="AA18" s="34"/>
      <c r="AB18" s="34"/>
      <c r="AC18" s="34"/>
      <c r="AD18" s="34"/>
      <c r="AE18" s="34"/>
      <c r="AF18" s="34"/>
      <c r="AG18" s="18">
        <f>COUNTIF(Janvier[[#This Row],[1]:[31]],Paramétrage!G14)*Paramétrage!I14+COUNTIF(Janvier[[#This Row],[1]:[31]],Paramétrage!G15)*Paramétrage!I15+COUNTIF(Janvier[[#This Row],[1]:[31]],Paramétrage!G16)*Paramétrage!I16+COUNTIF(Janvier[[#This Row],[1]:[31]],Paramétrage!G17)*Paramétrage!I17+COUNTIF(Janvier[[#This Row],[1]:[31]],Paramétrage!G18)*Paramétrage!I18+COUNTIF(Janvier[[#This Row],[1]:[31]],Paramétrage!G19)*Paramétrage!I19+COUNTIF(Janvier[[#This Row],[1]:[31]],Paramétrage!G20)*Paramétrage!I20+COUNTIF(Janvier[[#This Row],[1]:[31]],Paramétrage!G21)*Paramétrage!I21+COUNTIF(Janvier[[#This Row],[1]:[31]],Paramétrage!G22)*Paramétrage!I22+COUNTIF(Janvier[[#This Row],[1]:[31]],Paramétrage!G23)*Paramétrage!I23+COUNTIF(Janvier[[#This Row],[1]:[31]],Paramétrage!G24)*Paramétrage!I24+COUNTIF(Janvier[[#This Row],[1]:[31]],Paramétrage!G25*Paramétrage!I25+COUNTIF(Janvier[[#This Row],[1]:[31]],Paramétrage!G26)*Paramétrage!I26+COUNTIF(Janvier[[#This Row],[1]:[31]],Paramétrage!G27)*Paramétrage!I27)</f>
        <v>0</v>
      </c>
    </row>
    <row r="19" spans="1:33" ht="15" customHeight="1" x14ac:dyDescent="0.3">
      <c r="A19" s="36" t="s">
        <v>66</v>
      </c>
      <c r="B19" s="34"/>
      <c r="C19" s="34"/>
      <c r="D19" s="34"/>
      <c r="E19" s="34"/>
      <c r="F19" s="34"/>
      <c r="G19" s="34"/>
      <c r="H19" s="34"/>
      <c r="I19" s="34"/>
      <c r="J19" s="34"/>
      <c r="K19" s="34"/>
      <c r="L19" s="34"/>
      <c r="M19" s="34"/>
      <c r="N19" s="34"/>
      <c r="O19" s="34"/>
      <c r="P19" s="34"/>
      <c r="Q19" s="34"/>
      <c r="R19" s="34"/>
      <c r="S19" s="34"/>
      <c r="T19" s="34"/>
      <c r="U19" s="34"/>
      <c r="V19" s="34"/>
      <c r="W19" s="34"/>
      <c r="X19" s="34"/>
      <c r="Y19" s="34"/>
      <c r="Z19" s="34"/>
      <c r="AA19" s="34"/>
      <c r="AB19" s="34"/>
      <c r="AC19" s="34"/>
      <c r="AD19" s="34"/>
      <c r="AE19" s="34"/>
      <c r="AF19" s="34"/>
      <c r="AG19" s="18">
        <f>COUNTIF(Janvier[[#This Row],[1]:[31]],Paramétrage!G15)*Paramétrage!I15+COUNTIF(Janvier[[#This Row],[1]:[31]],Paramétrage!G16)*Paramétrage!I16+COUNTIF(Janvier[[#This Row],[1]:[31]],Paramétrage!G17)*Paramétrage!I17+COUNTIF(Janvier[[#This Row],[1]:[31]],Paramétrage!G18)*Paramétrage!I18+COUNTIF(Janvier[[#This Row],[1]:[31]],Paramétrage!G19)*Paramétrage!I19+COUNTIF(Janvier[[#This Row],[1]:[31]],Paramétrage!G20)*Paramétrage!I20+COUNTIF(Janvier[[#This Row],[1]:[31]],Paramétrage!G21)*Paramétrage!I21+COUNTIF(Janvier[[#This Row],[1]:[31]],Paramétrage!G22)*Paramétrage!I22+COUNTIF(Janvier[[#This Row],[1]:[31]],Paramétrage!G23)*Paramétrage!I23+COUNTIF(Janvier[[#This Row],[1]:[31]],Paramétrage!G24)*Paramétrage!I24+COUNTIF(Janvier[[#This Row],[1]:[31]],Paramétrage!G25)*Paramétrage!I25+COUNTIF(Janvier[[#This Row],[1]:[31]],Paramétrage!G26*Paramétrage!I26+COUNTIF(Janvier[[#This Row],[1]:[31]],Paramétrage!G27)*Paramétrage!I27+COUNTIF(Janvier[[#This Row],[1]:[31]],Paramétrage!G28)*Paramétrage!I28)</f>
        <v>0</v>
      </c>
    </row>
    <row r="20" spans="1:33" ht="15" customHeight="1" x14ac:dyDescent="0.3">
      <c r="A20" s="36" t="s">
        <v>67</v>
      </c>
      <c r="B20" s="34"/>
      <c r="C20" s="34"/>
      <c r="D20" s="34"/>
      <c r="E20" s="34"/>
      <c r="F20" s="34"/>
      <c r="G20" s="34"/>
      <c r="H20" s="34"/>
      <c r="I20" s="34"/>
      <c r="J20" s="34"/>
      <c r="K20" s="34"/>
      <c r="L20" s="34"/>
      <c r="M20" s="34"/>
      <c r="N20" s="34"/>
      <c r="O20" s="34"/>
      <c r="P20" s="34"/>
      <c r="Q20" s="34"/>
      <c r="R20" s="34"/>
      <c r="S20" s="34"/>
      <c r="T20" s="34"/>
      <c r="U20" s="34"/>
      <c r="V20" s="34"/>
      <c r="W20" s="34"/>
      <c r="X20" s="34"/>
      <c r="Y20" s="34"/>
      <c r="Z20" s="34"/>
      <c r="AA20" s="34"/>
      <c r="AB20" s="34"/>
      <c r="AC20" s="34"/>
      <c r="AD20" s="34"/>
      <c r="AE20" s="34"/>
      <c r="AF20" s="34"/>
      <c r="AG20" s="18">
        <f>COUNTIF(Janvier[[#This Row],[1]:[31]],Paramétrage!G16)*Paramétrage!I16+COUNTIF(Janvier[[#This Row],[1]:[31]],Paramétrage!G17)*Paramétrage!I17+COUNTIF(Janvier[[#This Row],[1]:[31]],Paramétrage!G18)*Paramétrage!I18+COUNTIF(Janvier[[#This Row],[1]:[31]],Paramétrage!G19)*Paramétrage!I19+COUNTIF(Janvier[[#This Row],[1]:[31]],Paramétrage!G20)*Paramétrage!I20+COUNTIF(Janvier[[#This Row],[1]:[31]],Paramétrage!G21)*Paramétrage!I21+COUNTIF(Janvier[[#This Row],[1]:[31]],Paramétrage!G22)*Paramétrage!I22+COUNTIF(Janvier[[#This Row],[1]:[31]],Paramétrage!G23)*Paramétrage!I23+COUNTIF(Janvier[[#This Row],[1]:[31]],Paramétrage!G24)*Paramétrage!I24+COUNTIF(Janvier[[#This Row],[1]:[31]],Paramétrage!G25)*Paramétrage!I25+COUNTIF(Janvier[[#This Row],[1]:[31]],Paramétrage!G26)*Paramétrage!I26+COUNTIF(Janvier[[#This Row],[1]:[31]],Paramétrage!G27*Paramétrage!I27+COUNTIF(Janvier[[#This Row],[1]:[31]],Paramétrage!G28)*Paramétrage!I28+COUNTIF(Janvier[[#This Row],[1]:[31]],Paramétrage!G29)*Paramétrage!I29)</f>
        <v>0</v>
      </c>
    </row>
    <row r="21" spans="1:33" ht="15" customHeight="1" x14ac:dyDescent="0.3">
      <c r="A21" s="36" t="s">
        <v>68</v>
      </c>
      <c r="B21" s="34"/>
      <c r="C21" s="34"/>
      <c r="D21" s="34"/>
      <c r="E21" s="34"/>
      <c r="F21" s="34"/>
      <c r="G21" s="34"/>
      <c r="H21" s="34"/>
      <c r="I21" s="34"/>
      <c r="J21" s="34"/>
      <c r="K21" s="34"/>
      <c r="L21" s="34"/>
      <c r="M21" s="34"/>
      <c r="N21" s="34"/>
      <c r="O21" s="34"/>
      <c r="P21" s="34"/>
      <c r="Q21" s="34"/>
      <c r="R21" s="34"/>
      <c r="S21" s="34"/>
      <c r="T21" s="34"/>
      <c r="U21" s="34"/>
      <c r="V21" s="34"/>
      <c r="W21" s="34"/>
      <c r="X21" s="34"/>
      <c r="Y21" s="34"/>
      <c r="Z21" s="34"/>
      <c r="AA21" s="34"/>
      <c r="AB21" s="34"/>
      <c r="AC21" s="34"/>
      <c r="AD21" s="34"/>
      <c r="AE21" s="34"/>
      <c r="AF21" s="34"/>
      <c r="AG21" s="18">
        <f>COUNTIF(Janvier[[#This Row],[1]:[31]],Paramétrage!G17)*Paramétrage!I17+COUNTIF(Janvier[[#This Row],[1]:[31]],Paramétrage!G18)*Paramétrage!I18+COUNTIF(Janvier[[#This Row],[1]:[31]],Paramétrage!G19)*Paramétrage!I19+COUNTIF(Janvier[[#This Row],[1]:[31]],Paramétrage!G20)*Paramétrage!I20+COUNTIF(Janvier[[#This Row],[1]:[31]],Paramétrage!G21)*Paramétrage!I21+COUNTIF(Janvier[[#This Row],[1]:[31]],Paramétrage!G22)*Paramétrage!I22+COUNTIF(Janvier[[#This Row],[1]:[31]],Paramétrage!G23)*Paramétrage!I23+COUNTIF(Janvier[[#This Row],[1]:[31]],Paramétrage!G24)*Paramétrage!I24+COUNTIF(Janvier[[#This Row],[1]:[31]],Paramétrage!G25)*Paramétrage!I25+COUNTIF(Janvier[[#This Row],[1]:[31]],Paramétrage!G26)*Paramétrage!I26+COUNTIF(Janvier[[#This Row],[1]:[31]],Paramétrage!G27)*Paramétrage!I27+COUNTIF(Janvier[[#This Row],[1]:[31]],Paramétrage!G28*Paramétrage!I28+COUNTIF(Janvier[[#This Row],[1]:[31]],Paramétrage!G29)*Paramétrage!I29+COUNTIF(Janvier[[#This Row],[1]:[31]],Paramétrage!G30)*Paramétrage!I30)</f>
        <v>0</v>
      </c>
    </row>
    <row r="22" spans="1:33" ht="15" customHeight="1" x14ac:dyDescent="0.3">
      <c r="A22" s="36" t="s">
        <v>91</v>
      </c>
      <c r="B22" s="37"/>
      <c r="C22" s="37"/>
      <c r="D22" s="37"/>
      <c r="E22" s="37"/>
      <c r="F22" s="37"/>
      <c r="G22" s="37"/>
      <c r="H22" s="37"/>
      <c r="I22" s="37"/>
      <c r="J22" s="37"/>
      <c r="K22" s="37"/>
      <c r="L22" s="37"/>
      <c r="M22" s="37"/>
      <c r="N22" s="37"/>
      <c r="O22" s="37"/>
      <c r="P22" s="37"/>
      <c r="Q22" s="37"/>
      <c r="R22" s="37"/>
      <c r="S22" s="37"/>
      <c r="T22" s="37"/>
      <c r="U22" s="37"/>
      <c r="V22" s="37"/>
      <c r="W22" s="37"/>
      <c r="X22" s="37"/>
      <c r="Y22" s="37"/>
      <c r="Z22" s="37"/>
      <c r="AA22" s="37"/>
      <c r="AB22" s="37"/>
      <c r="AC22" s="37"/>
      <c r="AD22" s="37"/>
      <c r="AE22" s="37"/>
      <c r="AF22" s="37"/>
      <c r="AG22" s="18">
        <f>COUNTIF(Janvier[[#This Row],[1]:[31]],Paramétrage!G18)*Paramétrage!I18+COUNTIF(Janvier[[#This Row],[1]:[31]],Paramétrage!G19)*Paramétrage!I19+COUNTIF(Janvier[[#This Row],[1]:[31]],Paramétrage!G20)*Paramétrage!I20+COUNTIF(Janvier[[#This Row],[1]:[31]],Paramétrage!G21)*Paramétrage!I21+COUNTIF(Janvier[[#This Row],[1]:[31]],Paramétrage!G22)*Paramétrage!I22+COUNTIF(Janvier[[#This Row],[1]:[31]],Paramétrage!G23)*Paramétrage!I23+COUNTIF(Janvier[[#This Row],[1]:[31]],Paramétrage!G24)*Paramétrage!I24+COUNTIF(Janvier[[#This Row],[1]:[31]],Paramétrage!G25)*Paramétrage!I25+COUNTIF(Janvier[[#This Row],[1]:[31]],Paramétrage!G26)*Paramétrage!I26+COUNTIF(Janvier[[#This Row],[1]:[31]],Paramétrage!G27)*Paramétrage!I27+COUNTIF(Janvier[[#This Row],[1]:[31]],Paramétrage!G28)*Paramétrage!I28+COUNTIF(Janvier[[#This Row],[1]:[31]],Paramétrage!G29*Paramétrage!I29+COUNTIF(Janvier[[#This Row],[1]:[31]],Paramétrage!G30)*Paramétrage!I30+COUNTIF(Janvier[[#This Row],[1]:[31]],Paramétrage!G31)*Paramétrage!I31)</f>
        <v>0</v>
      </c>
    </row>
    <row r="23" spans="1:33" ht="15" customHeight="1" x14ac:dyDescent="0.3">
      <c r="A23" s="36" t="s">
        <v>92</v>
      </c>
      <c r="B23" s="37"/>
      <c r="C23" s="37"/>
      <c r="D23" s="37"/>
      <c r="E23" s="37"/>
      <c r="F23" s="37"/>
      <c r="G23" s="37"/>
      <c r="H23" s="37"/>
      <c r="I23" s="37"/>
      <c r="J23" s="37"/>
      <c r="K23" s="37"/>
      <c r="L23" s="37"/>
      <c r="M23" s="37"/>
      <c r="N23" s="37"/>
      <c r="O23" s="37"/>
      <c r="P23" s="37"/>
      <c r="Q23" s="37"/>
      <c r="R23" s="37"/>
      <c r="S23" s="37"/>
      <c r="T23" s="37"/>
      <c r="U23" s="37"/>
      <c r="V23" s="37"/>
      <c r="W23" s="37"/>
      <c r="X23" s="37"/>
      <c r="Y23" s="37"/>
      <c r="Z23" s="37"/>
      <c r="AA23" s="37"/>
      <c r="AB23" s="37"/>
      <c r="AC23" s="37"/>
      <c r="AD23" s="37"/>
      <c r="AE23" s="37"/>
      <c r="AF23" s="37"/>
      <c r="AG23" s="18">
        <f>COUNTIF(Janvier[[#This Row],[1]:[31]],Paramétrage!G19)*Paramétrage!I19+COUNTIF(Janvier[[#This Row],[1]:[31]],Paramétrage!G20)*Paramétrage!I20+COUNTIF(Janvier[[#This Row],[1]:[31]],Paramétrage!G21)*Paramétrage!I21+COUNTIF(Janvier[[#This Row],[1]:[31]],Paramétrage!G22)*Paramétrage!I22+COUNTIF(Janvier[[#This Row],[1]:[31]],Paramétrage!G23)*Paramétrage!I23+COUNTIF(Janvier[[#This Row],[1]:[31]],Paramétrage!G24)*Paramétrage!I24+COUNTIF(Janvier[[#This Row],[1]:[31]],Paramétrage!G25)*Paramétrage!I25+COUNTIF(Janvier[[#This Row],[1]:[31]],Paramétrage!G26)*Paramétrage!I26+COUNTIF(Janvier[[#This Row],[1]:[31]],Paramétrage!G27)*Paramétrage!I27+COUNTIF(Janvier[[#This Row],[1]:[31]],Paramétrage!G28)*Paramétrage!I28+COUNTIF(Janvier[[#This Row],[1]:[31]],Paramétrage!G29)*Paramétrage!I29+COUNTIF(Janvier[[#This Row],[1]:[31]],Paramétrage!G30*Paramétrage!I30+COUNTIF(Janvier[[#This Row],[1]:[31]],Paramétrage!G31)*Paramétrage!I31+COUNTIF(Janvier[[#This Row],[1]:[31]],Paramétrage!G32)*Paramétrage!I32)</f>
        <v>0</v>
      </c>
    </row>
    <row r="24" spans="1:33" ht="15" customHeight="1" x14ac:dyDescent="0.3">
      <c r="A24" s="36" t="s">
        <v>93</v>
      </c>
      <c r="B24" s="37"/>
      <c r="C24" s="37"/>
      <c r="D24" s="37"/>
      <c r="E24" s="37"/>
      <c r="F24" s="37"/>
      <c r="G24" s="37"/>
      <c r="H24" s="37"/>
      <c r="I24" s="37"/>
      <c r="J24" s="37"/>
      <c r="K24" s="37"/>
      <c r="L24" s="37"/>
      <c r="M24" s="37"/>
      <c r="N24" s="37"/>
      <c r="O24" s="37"/>
      <c r="P24" s="37"/>
      <c r="Q24" s="37"/>
      <c r="R24" s="37"/>
      <c r="S24" s="37"/>
      <c r="T24" s="37"/>
      <c r="U24" s="37"/>
      <c r="V24" s="37"/>
      <c r="W24" s="37"/>
      <c r="X24" s="37"/>
      <c r="Y24" s="37"/>
      <c r="Z24" s="37"/>
      <c r="AA24" s="37"/>
      <c r="AB24" s="37"/>
      <c r="AC24" s="37"/>
      <c r="AD24" s="37"/>
      <c r="AE24" s="37"/>
      <c r="AF24" s="37"/>
      <c r="AG24" s="18">
        <f>COUNTIF(Janvier[[#This Row],[1]:[31]],Paramétrage!G20)*Paramétrage!I20+COUNTIF(Janvier[[#This Row],[1]:[31]],Paramétrage!G21)*Paramétrage!I21+COUNTIF(Janvier[[#This Row],[1]:[31]],Paramétrage!G22)*Paramétrage!I22+COUNTIF(Janvier[[#This Row],[1]:[31]],Paramétrage!G23)*Paramétrage!I23+COUNTIF(Janvier[[#This Row],[1]:[31]],Paramétrage!G24)*Paramétrage!I24+COUNTIF(Janvier[[#This Row],[1]:[31]],Paramétrage!G25)*Paramétrage!I25+COUNTIF(Janvier[[#This Row],[1]:[31]],Paramétrage!G26)*Paramétrage!I26+COUNTIF(Janvier[[#This Row],[1]:[31]],Paramétrage!G27)*Paramétrage!I27+COUNTIF(Janvier[[#This Row],[1]:[31]],Paramétrage!G28)*Paramétrage!I28+COUNTIF(Janvier[[#This Row],[1]:[31]],Paramétrage!G29)*Paramétrage!I29+COUNTIF(Janvier[[#This Row],[1]:[31]],Paramétrage!G30)*Paramétrage!I30+COUNTIF(Janvier[[#This Row],[1]:[31]],Paramétrage!G31*Paramétrage!I31+COUNTIF(Janvier[[#This Row],[1]:[31]],Paramétrage!G32)*Paramétrage!I32+COUNTIF(Janvier[[#This Row],[1]:[31]],Paramétrage!G33)*Paramétrage!I33)</f>
        <v>0</v>
      </c>
    </row>
    <row r="25" spans="1:33" ht="15" customHeight="1" x14ac:dyDescent="0.3">
      <c r="A25" s="36" t="s">
        <v>94</v>
      </c>
      <c r="B25" s="37"/>
      <c r="C25" s="37"/>
      <c r="D25" s="37"/>
      <c r="E25" s="37"/>
      <c r="F25" s="37"/>
      <c r="G25" s="37"/>
      <c r="H25" s="37"/>
      <c r="I25" s="37"/>
      <c r="J25" s="37"/>
      <c r="K25" s="37"/>
      <c r="L25" s="37"/>
      <c r="M25" s="37"/>
      <c r="N25" s="37"/>
      <c r="O25" s="37"/>
      <c r="P25" s="37"/>
      <c r="Q25" s="37"/>
      <c r="R25" s="37"/>
      <c r="S25" s="37"/>
      <c r="T25" s="37"/>
      <c r="U25" s="37"/>
      <c r="V25" s="37"/>
      <c r="W25" s="37"/>
      <c r="X25" s="37"/>
      <c r="Y25" s="37"/>
      <c r="Z25" s="37"/>
      <c r="AA25" s="37"/>
      <c r="AB25" s="37"/>
      <c r="AC25" s="37"/>
      <c r="AD25" s="37"/>
      <c r="AE25" s="37"/>
      <c r="AF25" s="37"/>
      <c r="AG25" s="18">
        <f>COUNTIF(Janvier[[#This Row],[1]:[31]],Paramétrage!G21)*Paramétrage!I21+COUNTIF(Janvier[[#This Row],[1]:[31]],Paramétrage!G22)*Paramétrage!I22+COUNTIF(Janvier[[#This Row],[1]:[31]],Paramétrage!G23)*Paramétrage!I23+COUNTIF(Janvier[[#This Row],[1]:[31]],Paramétrage!G24)*Paramétrage!I24+COUNTIF(Janvier[[#This Row],[1]:[31]],Paramétrage!G25)*Paramétrage!I25+COUNTIF(Janvier[[#This Row],[1]:[31]],Paramétrage!G26)*Paramétrage!I26+COUNTIF(Janvier[[#This Row],[1]:[31]],Paramétrage!G27)*Paramétrage!I27+COUNTIF(Janvier[[#This Row],[1]:[31]],Paramétrage!G28)*Paramétrage!I28+COUNTIF(Janvier[[#This Row],[1]:[31]],Paramétrage!G29)*Paramétrage!I29+COUNTIF(Janvier[[#This Row],[1]:[31]],Paramétrage!G30)*Paramétrage!I30+COUNTIF(Janvier[[#This Row],[1]:[31]],Paramétrage!G31)*Paramétrage!I31+COUNTIF(Janvier[[#This Row],[1]:[31]],Paramétrage!G32*Paramétrage!I32+COUNTIF(Janvier[[#This Row],[1]:[31]],Paramétrage!G33)*Paramétrage!I33+COUNTIF(Janvier[[#This Row],[1]:[31]],Paramétrage!G34)*Paramétrage!I34)</f>
        <v>0</v>
      </c>
    </row>
    <row r="26" spans="1:33" ht="15" customHeight="1" x14ac:dyDescent="0.3">
      <c r="A26" s="36" t="s">
        <v>95</v>
      </c>
      <c r="B26" s="37"/>
      <c r="C26" s="37"/>
      <c r="D26" s="37"/>
      <c r="E26" s="37"/>
      <c r="F26" s="37"/>
      <c r="G26" s="37"/>
      <c r="H26" s="37"/>
      <c r="I26" s="37"/>
      <c r="J26" s="37"/>
      <c r="K26" s="37"/>
      <c r="L26" s="37"/>
      <c r="M26" s="37"/>
      <c r="N26" s="37"/>
      <c r="O26" s="37"/>
      <c r="P26" s="37"/>
      <c r="Q26" s="37"/>
      <c r="R26" s="37"/>
      <c r="S26" s="37"/>
      <c r="T26" s="37"/>
      <c r="U26" s="37"/>
      <c r="V26" s="37"/>
      <c r="W26" s="37"/>
      <c r="X26" s="37"/>
      <c r="Y26" s="37"/>
      <c r="Z26" s="37"/>
      <c r="AA26" s="37"/>
      <c r="AB26" s="37"/>
      <c r="AC26" s="37"/>
      <c r="AD26" s="37"/>
      <c r="AE26" s="37"/>
      <c r="AF26" s="37"/>
      <c r="AG26" s="18">
        <f>COUNTIF(Janvier[[#This Row],[1]:[31]],Paramétrage!G22)*Paramétrage!I22+COUNTIF(Janvier[[#This Row],[1]:[31]],Paramétrage!G23)*Paramétrage!I23+COUNTIF(Janvier[[#This Row],[1]:[31]],Paramétrage!G24)*Paramétrage!I24+COUNTIF(Janvier[[#This Row],[1]:[31]],Paramétrage!G25)*Paramétrage!I25+COUNTIF(Janvier[[#This Row],[1]:[31]],Paramétrage!G26)*Paramétrage!I26+COUNTIF(Janvier[[#This Row],[1]:[31]],Paramétrage!G27)*Paramétrage!I27+COUNTIF(Janvier[[#This Row],[1]:[31]],Paramétrage!G28)*Paramétrage!I28+COUNTIF(Janvier[[#This Row],[1]:[31]],Paramétrage!G29)*Paramétrage!I29+COUNTIF(Janvier[[#This Row],[1]:[31]],Paramétrage!G30)*Paramétrage!I30+COUNTIF(Janvier[[#This Row],[1]:[31]],Paramétrage!G31)*Paramétrage!I31+COUNTIF(Janvier[[#This Row],[1]:[31]],Paramétrage!G32)*Paramétrage!I32+COUNTIF(Janvier[[#This Row],[1]:[31]],Paramétrage!G33*Paramétrage!I33+COUNTIF(Janvier[[#This Row],[1]:[31]],Paramétrage!G34)*Paramétrage!I34+COUNTIF(Janvier[[#This Row],[1]:[31]],Paramétrage!G35)*Paramétrage!I35)</f>
        <v>0</v>
      </c>
    </row>
    <row r="27" spans="1:33" ht="24" x14ac:dyDescent="0.3">
      <c r="A27" s="38" t="s">
        <v>106</v>
      </c>
      <c r="B27" s="39">
        <f>COUNTA(Janvier[1])-COUNTIF(Janvier[1],CléReposhebdomadaire)-COUNTIF(Janvier[1],CléCongé)-COUNTIF(Janvier[1],CléMaladie)-COUNTIF(Janvier[1],CléFormation)-COUNTIF(Janvier[1],CléAbsencenonjustifiée)</f>
        <v>0</v>
      </c>
      <c r="C27" s="39">
        <f>COUNTA(Janvier[2])-COUNTIF(Janvier[2],CléReposhebdomadaire)-COUNTIF(Janvier[2],CléCongé)-COUNTIF(Janvier[2],CléMaladie)-COUNTIF(Janvier[2],CléFormation)-COUNTIF(Janvier[2],CléAbsencenonjustifiée)</f>
        <v>0</v>
      </c>
      <c r="D27" s="39">
        <f>COUNTA(Janvier[3])-COUNTIF(Janvier[3],CléReposhebdomadaire)-COUNTIF(Janvier[3],CléCongé)-COUNTIF(Janvier[3],CléMaladie)-COUNTIF(Janvier[3],CléFormation)-COUNTIF(Janvier[3],CléAbsencenonjustifiée)</f>
        <v>0</v>
      </c>
      <c r="E27" s="39">
        <f>COUNTA(Janvier[4])-COUNTIF(Janvier[4],CléReposhebdomadaire)-COUNTIF(Janvier[4],CléCongé)-COUNTIF(Janvier[4],CléMaladie)-COUNTIF(Janvier[4],CléFormation)-COUNTIF(Janvier[4],CléAbsencenonjustifiée)</f>
        <v>0</v>
      </c>
      <c r="F27" s="39">
        <f>COUNTA(Janvier[5])-COUNTIF(Janvier[5],CléReposhebdomadaire)-COUNTIF(Janvier[5],CléCongé)-COUNTIF(Janvier[5],CléMaladie)-COUNTIF(Janvier[5],CléFormation)-COUNTIF(Janvier[5],CléAbsencenonjustifiée)</f>
        <v>0</v>
      </c>
      <c r="G27" s="39">
        <f>COUNTA(Janvier[6])-COUNTIF(Janvier[6],CléReposhebdomadaire)-COUNTIF(Janvier[6],CléCongé)-COUNTIF(Janvier[6],CléMaladie)-COUNTIF(Janvier[6],CléFormation)-COUNTIF(Janvier[6],CléAbsencenonjustifiée)</f>
        <v>0</v>
      </c>
      <c r="H27" s="39">
        <f>COUNTA(Janvier[7])-COUNTIF(Janvier[7],CléReposhebdomadaire)-COUNTIF(Janvier[7],CléCongé)-COUNTIF(Janvier[7],CléMaladie)-COUNTIF(Janvier[7],CléFormation)-COUNTIF(Janvier[7],CléAbsencenonjustifiée)</f>
        <v>0</v>
      </c>
      <c r="I27" s="39">
        <f>COUNTA(Janvier[8])-COUNTIF(Janvier[8],CléReposhebdomadaire)-COUNTIF(Janvier[8],CléCongé)-COUNTIF(Janvier[8],CléMaladie)-COUNTIF(Janvier[8],CléFormation)-COUNTIF(Janvier[8],CléAbsencenonjustifiée)</f>
        <v>0</v>
      </c>
      <c r="J27" s="39">
        <f>COUNTA(Janvier[9])-COUNTIF(Janvier[9],CléReposhebdomadaire)-COUNTIF(Janvier[9],CléCongé)-COUNTIF(Janvier[9],CléMaladie)-COUNTIF(Janvier[9],CléFormation)-COUNTIF(Janvier[9],CléAbsencenonjustifiée)</f>
        <v>0</v>
      </c>
      <c r="K27" s="39">
        <f>COUNTA(Janvier[10])-COUNTIF(Janvier[10],CléReposhebdomadaire)-COUNTIF(Janvier[10],CléCongé)-COUNTIF(Janvier[10],CléMaladie)-COUNTIF(Janvier[10],CléFormation)-COUNTIF(Janvier[10],CléAbsencenonjustifiée)</f>
        <v>0</v>
      </c>
      <c r="L27" s="39">
        <f>COUNTA(Janvier[11])-COUNTIF(Janvier[11],CléReposhebdomadaire)-COUNTIF(Janvier[11],CléCongé)-COUNTIF(Janvier[11],CléMaladie)-COUNTIF(Janvier[11],CléFormation)-COUNTIF(Janvier[11],CléAbsencenonjustifiée)</f>
        <v>0</v>
      </c>
      <c r="M27" s="39">
        <f>COUNTA(Janvier[12])-COUNTIF(Janvier[12],CléReposhebdomadaire)-COUNTIF(Janvier[12],CléCongé)-COUNTIF(Janvier[12],CléMaladie)-COUNTIF(Janvier[12],CléFormation)-COUNTIF(Janvier[12],CléAbsencenonjustifiée)</f>
        <v>0</v>
      </c>
      <c r="N27" s="39">
        <f>COUNTA(Janvier[13])-COUNTIF(Janvier[13],CléReposhebdomadaire)-COUNTIF(Janvier[13],CléCongé)-COUNTIF(Janvier[13],CléMaladie)-COUNTIF(Janvier[13],CléFormation)-COUNTIF(Janvier[13],CléAbsencenonjustifiée)</f>
        <v>0</v>
      </c>
      <c r="O27" s="39">
        <f>COUNTA(Janvier[14])-COUNTIF(Janvier[14],CléReposhebdomadaire)-COUNTIF(Janvier[14],CléCongé)-COUNTIF(Janvier[14],CléMaladie)-COUNTIF(Janvier[14],CléFormation)-COUNTIF(Janvier[14],CléAbsencenonjustifiée)</f>
        <v>0</v>
      </c>
      <c r="P27" s="39">
        <f>COUNTA(Janvier[15])-COUNTIF(Janvier[15],CléReposhebdomadaire)-COUNTIF(Janvier[15],CléCongé)-COUNTIF(Janvier[15],CléMaladie)-COUNTIF(Janvier[15],CléFormation)-COUNTIF(Janvier[15],CléAbsencenonjustifiée)</f>
        <v>0</v>
      </c>
      <c r="Q27" s="39">
        <f>COUNTA(Janvier[16])-COUNTIF(Janvier[16],CléReposhebdomadaire)-COUNTIF(Janvier[16],CléCongé)-COUNTIF(Janvier[16],CléMaladie)-COUNTIF(Janvier[16],CléFormation)-COUNTIF(Janvier[16],CléAbsencenonjustifiée)</f>
        <v>0</v>
      </c>
      <c r="R27" s="39">
        <f>COUNTA(Janvier[17])-COUNTIF(Janvier[17],CléReposhebdomadaire)-COUNTIF(Janvier[17],CléCongé)-COUNTIF(Janvier[17],CléMaladie)-COUNTIF(Janvier[17],CléFormation)-COUNTIF(Janvier[17],CléAbsencenonjustifiée)</f>
        <v>0</v>
      </c>
      <c r="S27" s="39">
        <f>COUNTA(Janvier[18])-COUNTIF(Janvier[18],CléReposhebdomadaire)-COUNTIF(Janvier[18],CléCongé)-COUNTIF(Janvier[18],CléMaladie)-COUNTIF(Janvier[18],CléFormation)-COUNTIF(Janvier[18],CléAbsencenonjustifiée)</f>
        <v>0</v>
      </c>
      <c r="T27" s="39">
        <f>COUNTA(Janvier[19])-COUNTIF(Janvier[19],CléReposhebdomadaire)-COUNTIF(Janvier[19],CléCongé)-COUNTIF(Janvier[19],CléMaladie)-COUNTIF(Janvier[19],CléFormation)-COUNTIF(Janvier[19],CléAbsencenonjustifiée)</f>
        <v>0</v>
      </c>
      <c r="U27" s="39">
        <f>COUNTA(Janvier[20])-COUNTIF(Janvier[20],CléReposhebdomadaire)-COUNTIF(Janvier[20],CléCongé)-COUNTIF(Janvier[20],CléMaladie)-COUNTIF(Janvier[20],CléFormation)-COUNTIF(Janvier[20],CléAbsencenonjustifiée)</f>
        <v>0</v>
      </c>
      <c r="V27" s="39">
        <f>COUNTA(Janvier[21])-COUNTIF(Janvier[21],CléReposhebdomadaire)-COUNTIF(Janvier[21],CléCongé)-COUNTIF(Janvier[21],CléMaladie)-COUNTIF(Janvier[21],CléFormation)-COUNTIF(Janvier[21],CléAbsencenonjustifiée)</f>
        <v>0</v>
      </c>
      <c r="W27" s="39">
        <f>COUNTA(Janvier[22])-COUNTIF(Janvier[22],CléReposhebdomadaire)-COUNTIF(Janvier[22],CléCongé)-COUNTIF(Janvier[22],CléMaladie)-COUNTIF(Janvier[22],CléFormation)-COUNTIF(Janvier[22],CléAbsencenonjustifiée)</f>
        <v>0</v>
      </c>
      <c r="X27" s="39">
        <f>COUNTA(Janvier[23])-COUNTIF(Janvier[23],CléReposhebdomadaire)-COUNTIF(Janvier[23],CléCongé)-COUNTIF(Janvier[23],CléMaladie)-COUNTIF(Janvier[23],CléFormation)-COUNTIF(Janvier[23],CléAbsencenonjustifiée)</f>
        <v>0</v>
      </c>
      <c r="Y27" s="39">
        <f>COUNTA(Janvier[24])-COUNTIF(Janvier[24],CléReposhebdomadaire)-COUNTIF(Janvier[24],CléCongé)-COUNTIF(Janvier[24],CléMaladie)-COUNTIF(Janvier[24],CléFormation)-COUNTIF(Janvier[24],CléAbsencenonjustifiée)</f>
        <v>0</v>
      </c>
      <c r="Z27" s="39">
        <f>COUNTA(Janvier[25])-COUNTIF(Janvier[25],CléReposhebdomadaire)-COUNTIF(Janvier[25],CléCongé)-COUNTIF(Janvier[25],CléMaladie)-COUNTIF(Janvier[25],CléFormation)-COUNTIF(Janvier[25],CléAbsencenonjustifiée)</f>
        <v>0</v>
      </c>
      <c r="AA27" s="39">
        <f>COUNTA(Janvier[26])-COUNTIF(Janvier[26],CléReposhebdomadaire)-COUNTIF(Janvier[26],CléCongé)-COUNTIF(Janvier[26],CléMaladie)-COUNTIF(Janvier[26],CléFormation)-COUNTIF(Janvier[26],CléAbsencenonjustifiée)</f>
        <v>0</v>
      </c>
      <c r="AB27" s="39">
        <f>COUNTA(Janvier[27])-COUNTIF(Janvier[27],CléReposhebdomadaire)-COUNTIF(Janvier[27],CléCongé)-COUNTIF(Janvier[27],CléMaladie)-COUNTIF(Janvier[27],CléFormation)-COUNTIF(Janvier[27],CléAbsencenonjustifiée)</f>
        <v>0</v>
      </c>
      <c r="AC27" s="39">
        <f>COUNTA(Janvier[28])-COUNTIF(Janvier[28],CléReposhebdomadaire)-COUNTIF(Janvier[28],CléCongé)-COUNTIF(Janvier[28],CléMaladie)-COUNTIF(Janvier[28],CléFormation)-COUNTIF(Janvier[28],CléAbsencenonjustifiée)</f>
        <v>0</v>
      </c>
      <c r="AD27" s="39">
        <f>COUNTA(Janvier[29])-COUNTIF(Janvier[29],CléReposhebdomadaire)-COUNTIF(Janvier[29],CléCongé)-COUNTIF(Janvier[29],CléMaladie)-COUNTIF(Janvier[29],CléFormation)-COUNTIF(Janvier[29],CléAbsencenonjustifiée)</f>
        <v>0</v>
      </c>
      <c r="AE27" s="39">
        <f>COUNTA(Janvier[30])-COUNTIF(Janvier[30],CléReposhebdomadaire)-COUNTIF(Janvier[30],CléCongé)-COUNTIF(Janvier[30],CléMaladie)-COUNTIF(Janvier[30],CléFormation)-COUNTIF(Janvier[30],CléAbsencenonjustifiée)</f>
        <v>0</v>
      </c>
      <c r="AF27" s="39">
        <f>COUNTA(Janvier[31])-COUNTIF(Janvier[31],CléReposhebdomadaire)-COUNTIF(Janvier[31],CléCongé)-COUNTIF(Janvier[31],CléMaladie)-COUNTIF(Janvier[31],CléFormation)-COUNTIF(Janvier[31],CléAbsencenonjustifiée)</f>
        <v>0</v>
      </c>
      <c r="AG27" s="40">
        <f ca="1">SUBTOTAL(109,Mars[Total des Heures effectuées])</f>
        <v>0</v>
      </c>
    </row>
    <row r="28" spans="1:33" s="49" customFormat="1" ht="30" customHeight="1" x14ac:dyDescent="0.3">
      <c r="A28" s="48"/>
      <c r="B28" s="48"/>
      <c r="C28" s="48"/>
      <c r="D28" s="48"/>
      <c r="E28" s="48"/>
      <c r="F28" s="48"/>
      <c r="G28" s="48"/>
      <c r="H28" s="48"/>
      <c r="I28" s="48"/>
      <c r="J28" s="48"/>
      <c r="K28" s="48"/>
      <c r="L28" s="48"/>
      <c r="M28" s="48"/>
      <c r="N28" s="48"/>
      <c r="O28" s="48"/>
      <c r="P28" s="48"/>
      <c r="Q28" s="48"/>
      <c r="R28" s="48"/>
      <c r="S28" s="48"/>
      <c r="T28" s="48"/>
      <c r="U28" s="48"/>
      <c r="V28" s="48"/>
      <c r="W28" s="48"/>
      <c r="X28" s="48"/>
      <c r="Y28" s="48"/>
      <c r="Z28" s="48"/>
      <c r="AA28" s="48"/>
      <c r="AB28" s="48"/>
      <c r="AC28" s="48"/>
      <c r="AD28" s="48"/>
      <c r="AE28" s="48"/>
      <c r="AF28" s="48"/>
      <c r="AG28" s="48"/>
    </row>
  </sheetData>
  <mergeCells count="9">
    <mergeCell ref="A1:AG1"/>
    <mergeCell ref="B4:AF4"/>
    <mergeCell ref="H2:I2"/>
    <mergeCell ref="K2:M2"/>
    <mergeCell ref="O2:P2"/>
    <mergeCell ref="R2:U2"/>
    <mergeCell ref="C2:F2"/>
    <mergeCell ref="A4:A5"/>
    <mergeCell ref="AG4:AG5"/>
  </mergeCells>
  <conditionalFormatting sqref="B27:AF27">
    <cfRule type="dataBar" priority="11">
      <dataBar>
        <cfvo type="num" val="0"/>
        <cfvo type="num" val="31"/>
        <color theme="2" tint="-0.249977111117893"/>
      </dataBar>
      <extLst>
        <ext xmlns:x14="http://schemas.microsoft.com/office/spreadsheetml/2009/9/main" uri="{B025F937-C7B1-47D3-B67F-A62EFF666E3E}">
          <x14:id>{9BCA3113-9518-4056-AFDB-947B867E9094}</x14:id>
        </ext>
      </extLst>
    </cfRule>
  </conditionalFormatting>
  <conditionalFormatting sqref="B7:AF26">
    <cfRule type="cellIs" dxfId="845" priority="1" operator="equal">
      <formula>$Q$2</formula>
    </cfRule>
    <cfRule type="cellIs" dxfId="844" priority="2" operator="equal">
      <formula>$N$2</formula>
    </cfRule>
    <cfRule type="cellIs" dxfId="843" priority="3" operator="equal">
      <formula>$J$2</formula>
    </cfRule>
    <cfRule type="cellIs" dxfId="842" priority="4" operator="equal">
      <formula>$G$2</formula>
    </cfRule>
    <cfRule type="cellIs" dxfId="841" priority="5" operator="equal">
      <formula>$B$2</formula>
    </cfRule>
  </conditionalFormatting>
  <dataValidations xWindow="232" yWindow="365" count="12">
    <dataValidation allowBlank="1" showInputMessage="1" showErrorMessage="1" prompt="Année mise à jour automatiquement en fonction de l’année entrée dans la feuille de calcul Janvier" sqref="AG4"/>
    <dataValidation allowBlank="1" showInputMessage="1" showErrorMessage="1" prompt="Le titre mis à jour automatiquement figure dans cette cellule. Pour modifier le titre, mettez à jour la cellule B1 de la feuille de calcul Janvier" sqref="A1"/>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A4"/>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A6"/>
    <dataValidation allowBlank="1" showInputMessage="1" showErrorMessage="1" prompt="Cette ligne définit les clés utilisées dans le tableau : Repos hebdomadaire en C2, Congé en H2, Arrêt Maladie en K2, Formation en O2 et Absence non justifiée en R2_x000a_" sqref="A2"/>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B5"/>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B6"/>
    <dataValidation allowBlank="1" showInputMessage="1" showErrorMessage="1" prompt="« ABS» indique une absence pour cause d'Absence non justifiée" sqref="Q2"/>
    <dataValidation allowBlank="1" showInputMessage="1" showErrorMessage="1" prompt=" « AM » indique une absence pour cause d'Arrêt maladie" sqref="J2"/>
    <dataValidation allowBlank="1" showInputMessage="1" showErrorMessage="1" prompt=" « FO » indique une absence pour Formation" sqref="N2"/>
    <dataValidation allowBlank="1" showInputMessage="1" showErrorMessage="1" prompt="« CP» indique une absence pour cause de congé" sqref="G2"/>
    <dataValidation allowBlank="1" showInputMessage="1" showErrorMessage="1" prompt="Calcule automatiquement le nombre total des heures effectives d’un employé durant ce mois" sqref="AG6"/>
  </dataValidations>
  <pageMargins left="0.7" right="0.7" top="0.75" bottom="0.75" header="0.3" footer="0.3"/>
  <pageSetup paperSize="9" fitToHeight="0" orientation="portrait" verticalDpi="4294967293"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9BCA3113-9518-4056-AFDB-947B867E9094}">
            <x14:dataBar minLength="0" maxLength="100">
              <x14:cfvo type="num">
                <xm:f>0</xm:f>
              </x14:cfvo>
              <x14:cfvo type="num">
                <xm:f>31</xm:f>
              </x14:cfvo>
              <x14:negativeFillColor rgb="FFFF0000"/>
              <x14:axisColor rgb="FF000000"/>
            </x14:dataBar>
          </x14:cfRule>
          <xm:sqref>B27:AF27</xm:sqref>
        </x14:conditionalFormatting>
      </x14:conditionalFormattings>
    </ext>
    <ext xmlns:x14="http://schemas.microsoft.com/office/spreadsheetml/2009/9/main" uri="{CCE6A557-97BC-4b89-ADB6-D9C93CAAB3DF}">
      <x14:dataValidations xmlns:xm="http://schemas.microsoft.com/office/excel/2006/main" xWindow="232" yWindow="365" count="1">
        <x14:dataValidation type="list" allowBlank="1" showInputMessage="1" showErrorMessage="1">
          <x14:formula1>
            <xm:f>Paramétrage!$B$3:$B$22</xm:f>
          </x14:formula1>
          <xm:sqref>A7:A26</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0.499984740745262"/>
  </sheetPr>
  <dimension ref="A1:AG27"/>
  <sheetViews>
    <sheetView showGridLines="0" zoomScaleNormal="100" workbookViewId="0">
      <selection sqref="A1:XFD6"/>
    </sheetView>
  </sheetViews>
  <sheetFormatPr baseColWidth="10" defaultColWidth="9.109375" defaultRowHeight="30" customHeight="1" x14ac:dyDescent="0.3"/>
  <cols>
    <col min="1" max="1" width="20.44140625" style="30" customWidth="1"/>
    <col min="2" max="32" width="5.5546875" style="30" customWidth="1"/>
    <col min="33" max="33" width="12.44140625" style="30" customWidth="1"/>
    <col min="34" max="34" width="2.6640625" style="29" customWidth="1"/>
    <col min="35" max="16384" width="9.109375" style="29"/>
  </cols>
  <sheetData>
    <row r="1" spans="1:33" ht="25.8" x14ac:dyDescent="0.3">
      <c r="A1" s="58" t="str">
        <f>Titre_Absence_Employé</f>
        <v>PLANNING MENSUEL</v>
      </c>
      <c r="B1" s="58"/>
      <c r="C1" s="58"/>
      <c r="D1" s="58"/>
      <c r="E1" s="58"/>
      <c r="F1" s="58"/>
      <c r="G1" s="58"/>
      <c r="H1" s="58"/>
      <c r="I1" s="58"/>
      <c r="J1" s="58"/>
      <c r="K1" s="58"/>
      <c r="L1" s="58"/>
      <c r="M1" s="58"/>
      <c r="N1" s="58"/>
      <c r="O1" s="58"/>
      <c r="P1" s="58"/>
      <c r="Q1" s="58"/>
      <c r="R1" s="58"/>
      <c r="S1" s="58"/>
      <c r="T1" s="58"/>
      <c r="U1" s="58"/>
      <c r="V1" s="58"/>
      <c r="W1" s="58"/>
      <c r="X1" s="58"/>
      <c r="Y1" s="58"/>
      <c r="Z1" s="58"/>
      <c r="AA1" s="58"/>
      <c r="AB1" s="58"/>
      <c r="AC1" s="58"/>
      <c r="AD1" s="58"/>
      <c r="AE1" s="58"/>
      <c r="AF1" s="58"/>
      <c r="AG1" s="58"/>
    </row>
    <row r="2" spans="1:33" ht="12" x14ac:dyDescent="0.3">
      <c r="A2" s="41" t="s">
        <v>0</v>
      </c>
      <c r="B2" s="42" t="s">
        <v>88</v>
      </c>
      <c r="C2" s="57" t="s">
        <v>89</v>
      </c>
      <c r="D2" s="57"/>
      <c r="E2" s="57"/>
      <c r="F2" s="57"/>
      <c r="G2" s="9" t="s">
        <v>82</v>
      </c>
      <c r="H2" s="57" t="s">
        <v>9</v>
      </c>
      <c r="I2" s="57"/>
      <c r="J2" s="43" t="s">
        <v>84</v>
      </c>
      <c r="K2" s="57" t="s">
        <v>85</v>
      </c>
      <c r="L2" s="57"/>
      <c r="M2" s="57"/>
      <c r="N2" s="11" t="s">
        <v>60</v>
      </c>
      <c r="O2" s="57" t="s">
        <v>83</v>
      </c>
      <c r="P2" s="57"/>
      <c r="Q2" s="44" t="s">
        <v>86</v>
      </c>
      <c r="R2" s="57" t="s">
        <v>87</v>
      </c>
      <c r="S2" s="57"/>
      <c r="T2" s="57"/>
      <c r="U2" s="57"/>
    </row>
    <row r="3" spans="1:33" ht="12" x14ac:dyDescent="0.3">
      <c r="AG3" s="31"/>
    </row>
    <row r="4" spans="1:33" ht="25.8" x14ac:dyDescent="0.3">
      <c r="A4" s="59" t="s">
        <v>44</v>
      </c>
      <c r="B4" s="59" t="s">
        <v>109</v>
      </c>
      <c r="C4" s="59"/>
      <c r="D4" s="59"/>
      <c r="E4" s="59"/>
      <c r="F4" s="59"/>
      <c r="G4" s="59"/>
      <c r="H4" s="59"/>
      <c r="I4" s="59"/>
      <c r="J4" s="59"/>
      <c r="K4" s="59"/>
      <c r="L4" s="59"/>
      <c r="M4" s="59"/>
      <c r="N4" s="59"/>
      <c r="O4" s="59"/>
      <c r="P4" s="59"/>
      <c r="Q4" s="59"/>
      <c r="R4" s="59"/>
      <c r="S4" s="59"/>
      <c r="T4" s="59"/>
      <c r="U4" s="59"/>
      <c r="V4" s="59"/>
      <c r="W4" s="59"/>
      <c r="X4" s="59"/>
      <c r="Y4" s="59"/>
      <c r="Z4" s="59"/>
      <c r="AA4" s="59"/>
      <c r="AB4" s="59"/>
      <c r="AC4" s="59"/>
      <c r="AD4" s="59"/>
      <c r="AE4" s="59"/>
      <c r="AF4" s="59"/>
      <c r="AG4" s="59">
        <f>AnnéeCalendrier</f>
        <v>2023</v>
      </c>
    </row>
    <row r="5" spans="1:33" ht="12" x14ac:dyDescent="0.3">
      <c r="A5" s="59"/>
      <c r="B5" s="47" t="str">
        <f>TEXT(WEEKDAY(DATE(AnnéeCalendrier,3,1),1),"jjj")</f>
        <v>mer</v>
      </c>
      <c r="C5" s="32" t="str">
        <f>TEXT(WEEKDAY(DATE(AnnéeCalendrier,3,2),1),"jjj")</f>
        <v>jeu</v>
      </c>
      <c r="D5" s="32" t="str">
        <f>TEXT(WEEKDAY(DATE(AnnéeCalendrier,3,3),1),"jjj")</f>
        <v>ven</v>
      </c>
      <c r="E5" s="32" t="str">
        <f>TEXT(WEEKDAY(DATE(AnnéeCalendrier,3,4),1),"jjj")</f>
        <v>sam</v>
      </c>
      <c r="F5" s="32" t="str">
        <f>TEXT(WEEKDAY(DATE(AnnéeCalendrier,3,5),1),"jjj")</f>
        <v>dim</v>
      </c>
      <c r="G5" s="32" t="str">
        <f>TEXT(WEEKDAY(DATE(AnnéeCalendrier,3,6),1),"jjj")</f>
        <v>lun</v>
      </c>
      <c r="H5" s="32" t="str">
        <f>TEXT(WEEKDAY(DATE(AnnéeCalendrier,3,7),1),"jjj")</f>
        <v>mar</v>
      </c>
      <c r="I5" s="32" t="str">
        <f>TEXT(WEEKDAY(DATE(AnnéeCalendrier,3,8),1),"jjj")</f>
        <v>mer</v>
      </c>
      <c r="J5" s="32" t="str">
        <f>TEXT(WEEKDAY(DATE(AnnéeCalendrier,3,9),1),"jjj")</f>
        <v>jeu</v>
      </c>
      <c r="K5" s="32" t="str">
        <f>TEXT(WEEKDAY(DATE(AnnéeCalendrier,3,10),1),"jjj")</f>
        <v>ven</v>
      </c>
      <c r="L5" s="32" t="str">
        <f>TEXT(WEEKDAY(DATE(AnnéeCalendrier,3,11),1),"jjj")</f>
        <v>sam</v>
      </c>
      <c r="M5" s="32" t="str">
        <f>TEXT(WEEKDAY(DATE(AnnéeCalendrier,3,12),1),"jjj")</f>
        <v>dim</v>
      </c>
      <c r="N5" s="32" t="str">
        <f>TEXT(WEEKDAY(DATE(AnnéeCalendrier,3,13),1),"jjj")</f>
        <v>lun</v>
      </c>
      <c r="O5" s="32" t="str">
        <f>TEXT(WEEKDAY(DATE(AnnéeCalendrier,3,14),1),"jjj")</f>
        <v>mar</v>
      </c>
      <c r="P5" s="32" t="str">
        <f>TEXT(WEEKDAY(DATE(AnnéeCalendrier,3,15),1),"jjj")</f>
        <v>mer</v>
      </c>
      <c r="Q5" s="32" t="str">
        <f>TEXT(WEEKDAY(DATE(AnnéeCalendrier,3,16),1),"jjj")</f>
        <v>jeu</v>
      </c>
      <c r="R5" s="32" t="str">
        <f>TEXT(WEEKDAY(DATE(AnnéeCalendrier,3,17),1),"jjj")</f>
        <v>ven</v>
      </c>
      <c r="S5" s="32" t="str">
        <f>TEXT(WEEKDAY(DATE(AnnéeCalendrier,3,18),1),"jjj")</f>
        <v>sam</v>
      </c>
      <c r="T5" s="32" t="str">
        <f>TEXT(WEEKDAY(DATE(AnnéeCalendrier,3,19),1),"jjj")</f>
        <v>dim</v>
      </c>
      <c r="U5" s="32" t="str">
        <f>TEXT(WEEKDAY(DATE(AnnéeCalendrier,3,20),1),"jjj")</f>
        <v>lun</v>
      </c>
      <c r="V5" s="32" t="str">
        <f>TEXT(WEEKDAY(DATE(AnnéeCalendrier,3,21),1),"jjj")</f>
        <v>mar</v>
      </c>
      <c r="W5" s="32" t="str">
        <f>TEXT(WEEKDAY(DATE(AnnéeCalendrier,3,22),1),"jjj")</f>
        <v>mer</v>
      </c>
      <c r="X5" s="32" t="str">
        <f>TEXT(WEEKDAY(DATE(AnnéeCalendrier,3,23),1),"jjj")</f>
        <v>jeu</v>
      </c>
      <c r="Y5" s="32" t="str">
        <f>TEXT(WEEKDAY(DATE(AnnéeCalendrier,3,24),1),"jjj")</f>
        <v>ven</v>
      </c>
      <c r="Z5" s="32" t="str">
        <f>TEXT(WEEKDAY(DATE(AnnéeCalendrier,3,25),1),"jjj")</f>
        <v>sam</v>
      </c>
      <c r="AA5" s="32" t="str">
        <f>TEXT(WEEKDAY(DATE(AnnéeCalendrier,3,26),1),"jjj")</f>
        <v>dim</v>
      </c>
      <c r="AB5" s="32" t="str">
        <f>TEXT(WEEKDAY(DATE(AnnéeCalendrier,3,27),1),"jjj")</f>
        <v>lun</v>
      </c>
      <c r="AC5" s="32" t="str">
        <f>TEXT(WEEKDAY(DATE(AnnéeCalendrier,3,28),1),"jjj")</f>
        <v>mar</v>
      </c>
      <c r="AD5" s="32" t="str">
        <f>TEXT(WEEKDAY(DATE(AnnéeCalendrier,3,29),1),"jjj")</f>
        <v>mer</v>
      </c>
      <c r="AE5" s="32" t="str">
        <f>TEXT(WEEKDAY(DATE(AnnéeCalendrier,3,30),1),"jjj")</f>
        <v>jeu</v>
      </c>
      <c r="AF5" s="32" t="str">
        <f>TEXT(WEEKDAY(DATE(AnnéeCalendrier,3,31),1),"jjj")</f>
        <v>ven</v>
      </c>
      <c r="AG5" s="59"/>
    </row>
    <row r="6" spans="1:33" ht="24" x14ac:dyDescent="0.3">
      <c r="A6" s="45" t="s">
        <v>2</v>
      </c>
      <c r="B6" s="46" t="s">
        <v>8</v>
      </c>
      <c r="C6" s="46" t="s">
        <v>10</v>
      </c>
      <c r="D6" s="46" t="s">
        <v>11</v>
      </c>
      <c r="E6" s="46" t="s">
        <v>12</v>
      </c>
      <c r="F6" s="46" t="s">
        <v>13</v>
      </c>
      <c r="G6" s="46" t="s">
        <v>14</v>
      </c>
      <c r="H6" s="46" t="s">
        <v>15</v>
      </c>
      <c r="I6" s="46" t="s">
        <v>16</v>
      </c>
      <c r="J6" s="46" t="s">
        <v>17</v>
      </c>
      <c r="K6" s="46" t="s">
        <v>18</v>
      </c>
      <c r="L6" s="46" t="s">
        <v>19</v>
      </c>
      <c r="M6" s="46" t="s">
        <v>20</v>
      </c>
      <c r="N6" s="46" t="s">
        <v>21</v>
      </c>
      <c r="O6" s="46" t="s">
        <v>22</v>
      </c>
      <c r="P6" s="46" t="s">
        <v>23</v>
      </c>
      <c r="Q6" s="46" t="s">
        <v>24</v>
      </c>
      <c r="R6" s="46" t="s">
        <v>25</v>
      </c>
      <c r="S6" s="46" t="s">
        <v>26</v>
      </c>
      <c r="T6" s="46" t="s">
        <v>27</v>
      </c>
      <c r="U6" s="46" t="s">
        <v>28</v>
      </c>
      <c r="V6" s="46" t="s">
        <v>29</v>
      </c>
      <c r="W6" s="46" t="s">
        <v>30</v>
      </c>
      <c r="X6" s="46" t="s">
        <v>31</v>
      </c>
      <c r="Y6" s="46" t="s">
        <v>32</v>
      </c>
      <c r="Z6" s="46" t="s">
        <v>33</v>
      </c>
      <c r="AA6" s="46" t="s">
        <v>34</v>
      </c>
      <c r="AB6" s="46" t="s">
        <v>35</v>
      </c>
      <c r="AC6" s="46" t="s">
        <v>36</v>
      </c>
      <c r="AD6" s="46" t="s">
        <v>37</v>
      </c>
      <c r="AE6" s="46" t="s">
        <v>38</v>
      </c>
      <c r="AF6" s="46" t="s">
        <v>39</v>
      </c>
      <c r="AG6" s="35" t="s">
        <v>107</v>
      </c>
    </row>
    <row r="7" spans="1:33" ht="15" customHeight="1" x14ac:dyDescent="0.3">
      <c r="A7" s="36" t="s">
        <v>3</v>
      </c>
      <c r="B7" s="34"/>
      <c r="C7" s="34"/>
      <c r="D7" s="34"/>
      <c r="E7" s="34"/>
      <c r="F7" s="34"/>
      <c r="G7" s="34"/>
      <c r="H7" s="34"/>
      <c r="I7" s="34"/>
      <c r="J7" s="34"/>
      <c r="K7" s="34"/>
      <c r="L7" s="34"/>
      <c r="M7" s="34"/>
      <c r="N7" s="34"/>
      <c r="O7" s="34"/>
      <c r="P7" s="34"/>
      <c r="Q7" s="34"/>
      <c r="R7" s="34"/>
      <c r="S7" s="34"/>
      <c r="T7" s="34"/>
      <c r="U7" s="34"/>
      <c r="V7" s="34"/>
      <c r="W7" s="34"/>
      <c r="X7" s="34"/>
      <c r="Y7" s="34"/>
      <c r="Z7" s="34"/>
      <c r="AA7" s="34"/>
      <c r="AB7" s="34"/>
      <c r="AC7" s="34"/>
      <c r="AD7" s="34"/>
      <c r="AE7" s="34"/>
      <c r="AF7" s="34"/>
      <c r="AG7" s="18">
        <f>COUNTIF(Janvier[[#This Row],[1]:[31]],Paramétrage!G3)*Paramétrage!I3+COUNTIF(Janvier[[#This Row],[1]:[31]],Paramétrage!G4)*Paramétrage!I4+COUNTIF(Janvier[[#This Row],[1]:[31]],Paramétrage!G5)*Paramétrage!I5+COUNTIF(Janvier[[#This Row],[1]:[31]],Paramétrage!G6)*Paramétrage!I6+COUNTIF(Janvier[[#This Row],[1]:[31]],Paramétrage!G7)*Paramétrage!I7+COUNTIF(Janvier[[#This Row],[1]:[31]],Paramétrage!G8)*Paramétrage!I8+COUNTIF(Janvier[[#This Row],[1]:[31]],Paramétrage!G9)*Paramétrage!I9+COUNTIF(Janvier[[#This Row],[1]:[31]],Paramétrage!G10)*Paramétrage!I10+COUNTIF(Janvier[[#This Row],[1]:[31]],Paramétrage!G11)*Paramétrage!I11+COUNTIF(Janvier[[#This Row],[1]:[31]],Paramétrage!G12)*Paramétrage!I12+COUNTIF(Janvier[[#This Row],[1]:[31]],Paramétrage!G13)*Paramétrage!I13+COUNTIF(Janvier[[#This Row],[1]:[31]],Paramétrage!G14*Paramétrage!I14+COUNTIF(Janvier[[#This Row],[1]:[31]],Paramétrage!G15)*Paramétrage!I15+COUNTIF(Janvier[[#This Row],[1]:[31]],Paramétrage!G16)*Paramétrage!I16)</f>
        <v>0</v>
      </c>
    </row>
    <row r="8" spans="1:33" ht="15" customHeight="1" x14ac:dyDescent="0.3">
      <c r="A8" s="36" t="s">
        <v>4</v>
      </c>
      <c r="B8" s="34"/>
      <c r="C8" s="34"/>
      <c r="D8" s="34"/>
      <c r="E8" s="34"/>
      <c r="F8" s="34"/>
      <c r="G8" s="34"/>
      <c r="H8" s="34"/>
      <c r="I8" s="34"/>
      <c r="J8" s="34"/>
      <c r="K8" s="34"/>
      <c r="L8" s="34"/>
      <c r="M8" s="34"/>
      <c r="N8" s="34"/>
      <c r="O8" s="34"/>
      <c r="P8" s="34"/>
      <c r="Q8" s="34"/>
      <c r="R8" s="34"/>
      <c r="S8" s="34"/>
      <c r="T8" s="34"/>
      <c r="U8" s="34"/>
      <c r="V8" s="34"/>
      <c r="W8" s="34"/>
      <c r="X8" s="34"/>
      <c r="Y8" s="34"/>
      <c r="Z8" s="34"/>
      <c r="AA8" s="34"/>
      <c r="AB8" s="34"/>
      <c r="AC8" s="34"/>
      <c r="AD8" s="34"/>
      <c r="AE8" s="34"/>
      <c r="AF8" s="34"/>
      <c r="AG8" s="18">
        <f>COUNTIF(Janvier[[#This Row],[1]:[31]],Paramétrage!G4)*Paramétrage!I4+COUNTIF(Janvier[[#This Row],[1]:[31]],Paramétrage!G5)*Paramétrage!I5+COUNTIF(Janvier[[#This Row],[1]:[31]],Paramétrage!G6)*Paramétrage!I6+COUNTIF(Janvier[[#This Row],[1]:[31]],Paramétrage!G7)*Paramétrage!I7+COUNTIF(Janvier[[#This Row],[1]:[31]],Paramétrage!G8)*Paramétrage!I8+COUNTIF(Janvier[[#This Row],[1]:[31]],Paramétrage!G9)*Paramétrage!I9+COUNTIF(Janvier[[#This Row],[1]:[31]],Paramétrage!G10)*Paramétrage!I10+COUNTIF(Janvier[[#This Row],[1]:[31]],Paramétrage!G11)*Paramétrage!I11+COUNTIF(Janvier[[#This Row],[1]:[31]],Paramétrage!G12)*Paramétrage!I12+COUNTIF(Janvier[[#This Row],[1]:[31]],Paramétrage!G13)*Paramétrage!I13+COUNTIF(Janvier[[#This Row],[1]:[31]],Paramétrage!G14)*Paramétrage!I14+COUNTIF(Janvier[[#This Row],[1]:[31]],Paramétrage!G15*Paramétrage!I15+COUNTIF(Janvier[[#This Row],[1]:[31]],Paramétrage!G16)*Paramétrage!I16+COUNTIF(Janvier[[#This Row],[1]:[31]],Paramétrage!G17)*Paramétrage!I17)</f>
        <v>0</v>
      </c>
    </row>
    <row r="9" spans="1:33" ht="15" customHeight="1" x14ac:dyDescent="0.3">
      <c r="A9" s="36" t="s">
        <v>5</v>
      </c>
      <c r="B9" s="34"/>
      <c r="C9" s="34"/>
      <c r="D9" s="34"/>
      <c r="E9" s="34"/>
      <c r="F9" s="34"/>
      <c r="G9" s="34"/>
      <c r="H9" s="34"/>
      <c r="I9" s="34"/>
      <c r="J9" s="34"/>
      <c r="K9" s="34"/>
      <c r="L9" s="34"/>
      <c r="M9" s="34"/>
      <c r="N9" s="34"/>
      <c r="O9" s="34"/>
      <c r="P9" s="34"/>
      <c r="Q9" s="34"/>
      <c r="R9" s="34"/>
      <c r="S9" s="34"/>
      <c r="T9" s="34"/>
      <c r="U9" s="34"/>
      <c r="V9" s="34"/>
      <c r="W9" s="34"/>
      <c r="X9" s="34"/>
      <c r="Y9" s="34"/>
      <c r="Z9" s="34"/>
      <c r="AA9" s="34"/>
      <c r="AB9" s="34"/>
      <c r="AC9" s="34"/>
      <c r="AD9" s="34"/>
      <c r="AE9" s="34"/>
      <c r="AF9" s="34"/>
      <c r="AG9" s="18">
        <f>COUNTIF(Janvier[[#This Row],[1]:[31]],Paramétrage!G5)*Paramétrage!I5+COUNTIF(Janvier[[#This Row],[1]:[31]],Paramétrage!G6)*Paramétrage!I6+COUNTIF(Janvier[[#This Row],[1]:[31]],Paramétrage!G7)*Paramétrage!I7+COUNTIF(Janvier[[#This Row],[1]:[31]],Paramétrage!G8)*Paramétrage!I8+COUNTIF(Janvier[[#This Row],[1]:[31]],Paramétrage!G9)*Paramétrage!I9+COUNTIF(Janvier[[#This Row],[1]:[31]],Paramétrage!G10)*Paramétrage!I10+COUNTIF(Janvier[[#This Row],[1]:[31]],Paramétrage!G11)*Paramétrage!I11+COUNTIF(Janvier[[#This Row],[1]:[31]],Paramétrage!G12)*Paramétrage!I12+COUNTIF(Janvier[[#This Row],[1]:[31]],Paramétrage!G13)*Paramétrage!I13+COUNTIF(Janvier[[#This Row],[1]:[31]],Paramétrage!G14)*Paramétrage!I14+COUNTIF(Janvier[[#This Row],[1]:[31]],Paramétrage!G15)*Paramétrage!I15+COUNTIF(Janvier[[#This Row],[1]:[31]],Paramétrage!G16*Paramétrage!I16+COUNTIF(Janvier[[#This Row],[1]:[31]],Paramétrage!G17)*Paramétrage!I17+COUNTIF(Janvier[[#This Row],[1]:[31]],Paramétrage!G18)*Paramétrage!I18)</f>
        <v>0</v>
      </c>
    </row>
    <row r="10" spans="1:33" ht="15" customHeight="1" x14ac:dyDescent="0.3">
      <c r="A10" s="36" t="s">
        <v>6</v>
      </c>
      <c r="B10" s="34"/>
      <c r="C10" s="34"/>
      <c r="D10" s="34"/>
      <c r="E10" s="34"/>
      <c r="F10" s="34"/>
      <c r="G10" s="34"/>
      <c r="H10" s="34"/>
      <c r="I10" s="34"/>
      <c r="J10" s="34"/>
      <c r="K10" s="34"/>
      <c r="L10" s="34"/>
      <c r="M10" s="34"/>
      <c r="N10" s="34"/>
      <c r="O10" s="34"/>
      <c r="P10" s="34"/>
      <c r="Q10" s="34"/>
      <c r="R10" s="34"/>
      <c r="S10" s="34"/>
      <c r="T10" s="34"/>
      <c r="U10" s="34"/>
      <c r="V10" s="34"/>
      <c r="W10" s="34"/>
      <c r="X10" s="34"/>
      <c r="Y10" s="34"/>
      <c r="Z10" s="34"/>
      <c r="AA10" s="34"/>
      <c r="AB10" s="34"/>
      <c r="AC10" s="34"/>
      <c r="AD10" s="34"/>
      <c r="AE10" s="34"/>
      <c r="AF10" s="34"/>
      <c r="AG10" s="18">
        <f>COUNTIF(Janvier[[#This Row],[1]:[31]],Paramétrage!G6)*Paramétrage!I6+COUNTIF(Janvier[[#This Row],[1]:[31]],Paramétrage!G7)*Paramétrage!I7+COUNTIF(Janvier[[#This Row],[1]:[31]],Paramétrage!G8)*Paramétrage!I8+COUNTIF(Janvier[[#This Row],[1]:[31]],Paramétrage!G9)*Paramétrage!I9+COUNTIF(Janvier[[#This Row],[1]:[31]],Paramétrage!G10)*Paramétrage!I10+COUNTIF(Janvier[[#This Row],[1]:[31]],Paramétrage!G11)*Paramétrage!I11+COUNTIF(Janvier[[#This Row],[1]:[31]],Paramétrage!G12)*Paramétrage!I12+COUNTIF(Janvier[[#This Row],[1]:[31]],Paramétrage!G13)*Paramétrage!I13+COUNTIF(Janvier[[#This Row],[1]:[31]],Paramétrage!G14)*Paramétrage!I14+COUNTIF(Janvier[[#This Row],[1]:[31]],Paramétrage!G15)*Paramétrage!I15+COUNTIF(Janvier[[#This Row],[1]:[31]],Paramétrage!G16)*Paramétrage!I16+COUNTIF(Janvier[[#This Row],[1]:[31]],Paramétrage!G17*Paramétrage!I17+COUNTIF(Janvier[[#This Row],[1]:[31]],Paramétrage!G18)*Paramétrage!I18+COUNTIF(Janvier[[#This Row],[1]:[31]],Paramétrage!G19)*Paramétrage!I19)</f>
        <v>0</v>
      </c>
    </row>
    <row r="11" spans="1:33" ht="15" customHeight="1" x14ac:dyDescent="0.3">
      <c r="A11" s="36" t="s">
        <v>7</v>
      </c>
      <c r="B11" s="34"/>
      <c r="C11" s="34"/>
      <c r="D11" s="34"/>
      <c r="E11" s="34"/>
      <c r="F11" s="34"/>
      <c r="G11" s="34"/>
      <c r="H11" s="34"/>
      <c r="I11" s="34"/>
      <c r="J11" s="34"/>
      <c r="K11" s="34"/>
      <c r="L11" s="34"/>
      <c r="M11" s="34"/>
      <c r="N11" s="34"/>
      <c r="O11" s="34"/>
      <c r="P11" s="34"/>
      <c r="Q11" s="34"/>
      <c r="R11" s="34"/>
      <c r="S11" s="34"/>
      <c r="T11" s="34"/>
      <c r="U11" s="34"/>
      <c r="V11" s="34"/>
      <c r="W11" s="34"/>
      <c r="X11" s="34"/>
      <c r="Y11" s="34"/>
      <c r="Z11" s="34"/>
      <c r="AA11" s="34"/>
      <c r="AB11" s="34"/>
      <c r="AC11" s="34"/>
      <c r="AD11" s="34"/>
      <c r="AE11" s="34"/>
      <c r="AF11" s="34"/>
      <c r="AG11" s="18">
        <f>COUNTIF(Janvier[[#This Row],[1]:[31]],Paramétrage!G7)*Paramétrage!I7+COUNTIF(Janvier[[#This Row],[1]:[31]],Paramétrage!G8)*Paramétrage!I8+COUNTIF(Janvier[[#This Row],[1]:[31]],Paramétrage!G9)*Paramétrage!I9+COUNTIF(Janvier[[#This Row],[1]:[31]],Paramétrage!G10)*Paramétrage!I10+COUNTIF(Janvier[[#This Row],[1]:[31]],Paramétrage!G11)*Paramétrage!I11+COUNTIF(Janvier[[#This Row],[1]:[31]],Paramétrage!G12)*Paramétrage!I12+COUNTIF(Janvier[[#This Row],[1]:[31]],Paramétrage!G13)*Paramétrage!I13+COUNTIF(Janvier[[#This Row],[1]:[31]],Paramétrage!G14)*Paramétrage!I14+COUNTIF(Janvier[[#This Row],[1]:[31]],Paramétrage!G15)*Paramétrage!I15+COUNTIF(Janvier[[#This Row],[1]:[31]],Paramétrage!G16)*Paramétrage!I16+COUNTIF(Janvier[[#This Row],[1]:[31]],Paramétrage!G17)*Paramétrage!I17+COUNTIF(Janvier[[#This Row],[1]:[31]],Paramétrage!G18*Paramétrage!I18+COUNTIF(Janvier[[#This Row],[1]:[31]],Paramétrage!G19)*Paramétrage!I19+COUNTIF(Janvier[[#This Row],[1]:[31]],Paramétrage!G20)*Paramétrage!I20)</f>
        <v>0</v>
      </c>
    </row>
    <row r="12" spans="1:33" ht="15" customHeight="1" x14ac:dyDescent="0.3">
      <c r="A12" s="36" t="s">
        <v>55</v>
      </c>
      <c r="B12" s="34"/>
      <c r="C12" s="34"/>
      <c r="D12" s="34"/>
      <c r="E12" s="34"/>
      <c r="F12" s="34"/>
      <c r="G12" s="34"/>
      <c r="H12" s="34"/>
      <c r="I12" s="34"/>
      <c r="J12" s="34"/>
      <c r="K12" s="34"/>
      <c r="L12" s="34"/>
      <c r="M12" s="34"/>
      <c r="N12" s="34"/>
      <c r="O12" s="34"/>
      <c r="P12" s="34"/>
      <c r="Q12" s="34"/>
      <c r="R12" s="34"/>
      <c r="S12" s="34"/>
      <c r="T12" s="34"/>
      <c r="U12" s="34"/>
      <c r="V12" s="34"/>
      <c r="W12" s="34"/>
      <c r="X12" s="34"/>
      <c r="Y12" s="34"/>
      <c r="Z12" s="34"/>
      <c r="AA12" s="34"/>
      <c r="AB12" s="34"/>
      <c r="AC12" s="34"/>
      <c r="AD12" s="34"/>
      <c r="AE12" s="34"/>
      <c r="AF12" s="34"/>
      <c r="AG12" s="18">
        <f>COUNTIF(Janvier[[#This Row],[1]:[31]],Paramétrage!G8)*Paramétrage!I8+COUNTIF(Janvier[[#This Row],[1]:[31]],Paramétrage!G9)*Paramétrage!I9+COUNTIF(Janvier[[#This Row],[1]:[31]],Paramétrage!G10)*Paramétrage!I10+COUNTIF(Janvier[[#This Row],[1]:[31]],Paramétrage!G11)*Paramétrage!I11+COUNTIF(Janvier[[#This Row],[1]:[31]],Paramétrage!G12)*Paramétrage!I12+COUNTIF(Janvier[[#This Row],[1]:[31]],Paramétrage!G13)*Paramétrage!I13+COUNTIF(Janvier[[#This Row],[1]:[31]],Paramétrage!G14)*Paramétrage!I14+COUNTIF(Janvier[[#This Row],[1]:[31]],Paramétrage!G15)*Paramétrage!I15+COUNTIF(Janvier[[#This Row],[1]:[31]],Paramétrage!G16)*Paramétrage!I16+COUNTIF(Janvier[[#This Row],[1]:[31]],Paramétrage!G17)*Paramétrage!I17+COUNTIF(Janvier[[#This Row],[1]:[31]],Paramétrage!G18)*Paramétrage!I18+COUNTIF(Janvier[[#This Row],[1]:[31]],Paramétrage!G19*Paramétrage!I19+COUNTIF(Janvier[[#This Row],[1]:[31]],Paramétrage!G20)*Paramétrage!I20+COUNTIF(Janvier[[#This Row],[1]:[31]],Paramétrage!G21)*Paramétrage!I21)</f>
        <v>0</v>
      </c>
    </row>
    <row r="13" spans="1:33" ht="15" customHeight="1" x14ac:dyDescent="0.3">
      <c r="A13" s="36" t="s">
        <v>56</v>
      </c>
      <c r="B13" s="34"/>
      <c r="C13" s="34"/>
      <c r="D13" s="34"/>
      <c r="E13" s="34"/>
      <c r="F13" s="34"/>
      <c r="G13" s="34"/>
      <c r="H13" s="34"/>
      <c r="I13" s="34"/>
      <c r="J13" s="34"/>
      <c r="K13" s="34"/>
      <c r="L13" s="34"/>
      <c r="M13" s="34"/>
      <c r="N13" s="34"/>
      <c r="O13" s="34"/>
      <c r="P13" s="34"/>
      <c r="Q13" s="34"/>
      <c r="R13" s="34"/>
      <c r="S13" s="34"/>
      <c r="T13" s="34"/>
      <c r="U13" s="34"/>
      <c r="V13" s="34"/>
      <c r="W13" s="34"/>
      <c r="X13" s="34"/>
      <c r="Y13" s="34"/>
      <c r="Z13" s="34"/>
      <c r="AA13" s="34"/>
      <c r="AB13" s="34"/>
      <c r="AC13" s="34"/>
      <c r="AD13" s="34"/>
      <c r="AE13" s="34"/>
      <c r="AF13" s="34"/>
      <c r="AG13" s="18">
        <f>COUNTIF(Janvier[[#This Row],[1]:[31]],Paramétrage!G9)*Paramétrage!I9+COUNTIF(Janvier[[#This Row],[1]:[31]],Paramétrage!G10)*Paramétrage!I10+COUNTIF(Janvier[[#This Row],[1]:[31]],Paramétrage!G11)*Paramétrage!I11+COUNTIF(Janvier[[#This Row],[1]:[31]],Paramétrage!G12)*Paramétrage!I12+COUNTIF(Janvier[[#This Row],[1]:[31]],Paramétrage!G13)*Paramétrage!I13+COUNTIF(Janvier[[#This Row],[1]:[31]],Paramétrage!G14)*Paramétrage!I14+COUNTIF(Janvier[[#This Row],[1]:[31]],Paramétrage!G15)*Paramétrage!I15+COUNTIF(Janvier[[#This Row],[1]:[31]],Paramétrage!G16)*Paramétrage!I16+COUNTIF(Janvier[[#This Row],[1]:[31]],Paramétrage!G17)*Paramétrage!I17+COUNTIF(Janvier[[#This Row],[1]:[31]],Paramétrage!G18)*Paramétrage!I18+COUNTIF(Janvier[[#This Row],[1]:[31]],Paramétrage!G19)*Paramétrage!I19+COUNTIF(Janvier[[#This Row],[1]:[31]],Paramétrage!G20*Paramétrage!I20+COUNTIF(Janvier[[#This Row],[1]:[31]],Paramétrage!G21)*Paramétrage!I21+COUNTIF(Janvier[[#This Row],[1]:[31]],Paramétrage!G22)*Paramétrage!I22)</f>
        <v>0</v>
      </c>
    </row>
    <row r="14" spans="1:33" ht="15" customHeight="1" x14ac:dyDescent="0.3">
      <c r="A14" s="36" t="s">
        <v>57</v>
      </c>
      <c r="B14" s="34"/>
      <c r="C14" s="34"/>
      <c r="D14" s="34"/>
      <c r="E14" s="34"/>
      <c r="F14" s="34"/>
      <c r="G14" s="34"/>
      <c r="H14" s="34"/>
      <c r="I14" s="34"/>
      <c r="J14" s="34"/>
      <c r="K14" s="34"/>
      <c r="L14" s="34"/>
      <c r="M14" s="34"/>
      <c r="N14" s="34"/>
      <c r="O14" s="34"/>
      <c r="P14" s="34"/>
      <c r="Q14" s="34"/>
      <c r="R14" s="34"/>
      <c r="S14" s="34"/>
      <c r="T14" s="34"/>
      <c r="U14" s="34"/>
      <c r="V14" s="34"/>
      <c r="W14" s="34"/>
      <c r="X14" s="34"/>
      <c r="Y14" s="34"/>
      <c r="Z14" s="34"/>
      <c r="AA14" s="34"/>
      <c r="AB14" s="34"/>
      <c r="AC14" s="34"/>
      <c r="AD14" s="34"/>
      <c r="AE14" s="34"/>
      <c r="AF14" s="34"/>
      <c r="AG14" s="18">
        <f>COUNTIF(Janvier[[#This Row],[1]:[31]],Paramétrage!G10)*Paramétrage!I10+COUNTIF(Janvier[[#This Row],[1]:[31]],Paramétrage!G11)*Paramétrage!I11+COUNTIF(Janvier[[#This Row],[1]:[31]],Paramétrage!G12)*Paramétrage!I12+COUNTIF(Janvier[[#This Row],[1]:[31]],Paramétrage!G13)*Paramétrage!I13+COUNTIF(Janvier[[#This Row],[1]:[31]],Paramétrage!G14)*Paramétrage!I14+COUNTIF(Janvier[[#This Row],[1]:[31]],Paramétrage!G15)*Paramétrage!I15+COUNTIF(Janvier[[#This Row],[1]:[31]],Paramétrage!G16)*Paramétrage!I16+COUNTIF(Janvier[[#This Row],[1]:[31]],Paramétrage!G17)*Paramétrage!I17+COUNTIF(Janvier[[#This Row],[1]:[31]],Paramétrage!G18)*Paramétrage!I18+COUNTIF(Janvier[[#This Row],[1]:[31]],Paramétrage!G19)*Paramétrage!I19+COUNTIF(Janvier[[#This Row],[1]:[31]],Paramétrage!G20)*Paramétrage!I20+COUNTIF(Janvier[[#This Row],[1]:[31]],Paramétrage!G21*Paramétrage!I21+COUNTIF(Janvier[[#This Row],[1]:[31]],Paramétrage!G22)*Paramétrage!I22+COUNTIF(Janvier[[#This Row],[1]:[31]],Paramétrage!G23)*Paramétrage!I23)</f>
        <v>0</v>
      </c>
    </row>
    <row r="15" spans="1:33" ht="15" customHeight="1" x14ac:dyDescent="0.3">
      <c r="A15" s="36" t="s">
        <v>61</v>
      </c>
      <c r="B15" s="34"/>
      <c r="C15" s="34"/>
      <c r="D15" s="34"/>
      <c r="E15" s="34"/>
      <c r="F15" s="34"/>
      <c r="G15" s="34"/>
      <c r="H15" s="34"/>
      <c r="I15" s="34"/>
      <c r="J15" s="34"/>
      <c r="K15" s="34"/>
      <c r="L15" s="34"/>
      <c r="M15" s="34"/>
      <c r="N15" s="34"/>
      <c r="O15" s="34"/>
      <c r="P15" s="34"/>
      <c r="Q15" s="34"/>
      <c r="R15" s="34"/>
      <c r="S15" s="34"/>
      <c r="T15" s="34"/>
      <c r="U15" s="34"/>
      <c r="V15" s="34"/>
      <c r="W15" s="34"/>
      <c r="X15" s="34"/>
      <c r="Y15" s="34"/>
      <c r="Z15" s="34"/>
      <c r="AA15" s="34"/>
      <c r="AB15" s="34"/>
      <c r="AC15" s="34"/>
      <c r="AD15" s="34"/>
      <c r="AE15" s="34"/>
      <c r="AF15" s="34"/>
      <c r="AG15" s="18">
        <f>COUNTIF(Janvier[[#This Row],[1]:[31]],Paramétrage!G11)*Paramétrage!I11+COUNTIF(Janvier[[#This Row],[1]:[31]],Paramétrage!G12)*Paramétrage!I12+COUNTIF(Janvier[[#This Row],[1]:[31]],Paramétrage!G13)*Paramétrage!I13+COUNTIF(Janvier[[#This Row],[1]:[31]],Paramétrage!G14)*Paramétrage!I14+COUNTIF(Janvier[[#This Row],[1]:[31]],Paramétrage!G15)*Paramétrage!I15+COUNTIF(Janvier[[#This Row],[1]:[31]],Paramétrage!G16)*Paramétrage!I16+COUNTIF(Janvier[[#This Row],[1]:[31]],Paramétrage!G17)*Paramétrage!I17+COUNTIF(Janvier[[#This Row],[1]:[31]],Paramétrage!G18)*Paramétrage!I18+COUNTIF(Janvier[[#This Row],[1]:[31]],Paramétrage!G19)*Paramétrage!I19+COUNTIF(Janvier[[#This Row],[1]:[31]],Paramétrage!G20)*Paramétrage!I20+COUNTIF(Janvier[[#This Row],[1]:[31]],Paramétrage!G21)*Paramétrage!I21+COUNTIF(Janvier[[#This Row],[1]:[31]],Paramétrage!G22*Paramétrage!I22+COUNTIF(Janvier[[#This Row],[1]:[31]],Paramétrage!G23)*Paramétrage!I23+COUNTIF(Janvier[[#This Row],[1]:[31]],Paramétrage!G24)*Paramétrage!I24)</f>
        <v>0</v>
      </c>
    </row>
    <row r="16" spans="1:33" ht="15" customHeight="1" x14ac:dyDescent="0.3">
      <c r="A16" s="36" t="s">
        <v>62</v>
      </c>
      <c r="B16" s="34"/>
      <c r="C16" s="34"/>
      <c r="D16" s="34"/>
      <c r="E16" s="34"/>
      <c r="F16" s="34"/>
      <c r="G16" s="34"/>
      <c r="H16" s="34"/>
      <c r="I16" s="34"/>
      <c r="J16" s="34"/>
      <c r="K16" s="34"/>
      <c r="L16" s="34"/>
      <c r="M16" s="34"/>
      <c r="N16" s="34"/>
      <c r="O16" s="34"/>
      <c r="P16" s="34"/>
      <c r="Q16" s="34"/>
      <c r="R16" s="34"/>
      <c r="S16" s="34"/>
      <c r="T16" s="34"/>
      <c r="U16" s="34"/>
      <c r="V16" s="34"/>
      <c r="W16" s="34"/>
      <c r="X16" s="34"/>
      <c r="Y16" s="34"/>
      <c r="Z16" s="34"/>
      <c r="AA16" s="34"/>
      <c r="AB16" s="34"/>
      <c r="AC16" s="34"/>
      <c r="AD16" s="34"/>
      <c r="AE16" s="34"/>
      <c r="AF16" s="34"/>
      <c r="AG16" s="18">
        <f>COUNTIF(Janvier[[#This Row],[1]:[31]],Paramétrage!G12)*Paramétrage!I12+COUNTIF(Janvier[[#This Row],[1]:[31]],Paramétrage!G13)*Paramétrage!I13+COUNTIF(Janvier[[#This Row],[1]:[31]],Paramétrage!G14)*Paramétrage!I14+COUNTIF(Janvier[[#This Row],[1]:[31]],Paramétrage!G15)*Paramétrage!I15+COUNTIF(Janvier[[#This Row],[1]:[31]],Paramétrage!G16)*Paramétrage!I16+COUNTIF(Janvier[[#This Row],[1]:[31]],Paramétrage!G17)*Paramétrage!I17+COUNTIF(Janvier[[#This Row],[1]:[31]],Paramétrage!G18)*Paramétrage!I18+COUNTIF(Janvier[[#This Row],[1]:[31]],Paramétrage!G19)*Paramétrage!I19+COUNTIF(Janvier[[#This Row],[1]:[31]],Paramétrage!G20)*Paramétrage!I20+COUNTIF(Janvier[[#This Row],[1]:[31]],Paramétrage!G21)*Paramétrage!I21+COUNTIF(Janvier[[#This Row],[1]:[31]],Paramétrage!G22)*Paramétrage!I22+COUNTIF(Janvier[[#This Row],[1]:[31]],Paramétrage!G23*Paramétrage!I23+COUNTIF(Janvier[[#This Row],[1]:[31]],Paramétrage!G24)*Paramétrage!I24+COUNTIF(Janvier[[#This Row],[1]:[31]],Paramétrage!G25)*Paramétrage!I25)</f>
        <v>0</v>
      </c>
    </row>
    <row r="17" spans="1:33" ht="15" customHeight="1" x14ac:dyDescent="0.3">
      <c r="A17" s="36" t="s">
        <v>63</v>
      </c>
      <c r="B17" s="34"/>
      <c r="C17" s="34"/>
      <c r="D17" s="34"/>
      <c r="E17" s="34"/>
      <c r="F17" s="34"/>
      <c r="G17" s="34"/>
      <c r="H17" s="34"/>
      <c r="I17" s="34"/>
      <c r="J17" s="34"/>
      <c r="K17" s="34"/>
      <c r="L17" s="34"/>
      <c r="M17" s="34"/>
      <c r="N17" s="34"/>
      <c r="O17" s="34"/>
      <c r="P17" s="34"/>
      <c r="Q17" s="34"/>
      <c r="R17" s="34"/>
      <c r="S17" s="34"/>
      <c r="T17" s="34"/>
      <c r="U17" s="34"/>
      <c r="V17" s="34"/>
      <c r="W17" s="34"/>
      <c r="X17" s="34"/>
      <c r="Y17" s="34"/>
      <c r="Z17" s="34"/>
      <c r="AA17" s="34"/>
      <c r="AB17" s="34"/>
      <c r="AC17" s="34"/>
      <c r="AD17" s="34"/>
      <c r="AE17" s="34"/>
      <c r="AF17" s="34"/>
      <c r="AG17" s="18">
        <f>COUNTIF(Janvier[[#This Row],[1]:[31]],Paramétrage!G13)*Paramétrage!I13+COUNTIF(Janvier[[#This Row],[1]:[31]],Paramétrage!G14)*Paramétrage!I14+COUNTIF(Janvier[[#This Row],[1]:[31]],Paramétrage!G15)*Paramétrage!I15+COUNTIF(Janvier[[#This Row],[1]:[31]],Paramétrage!G16)*Paramétrage!I16+COUNTIF(Janvier[[#This Row],[1]:[31]],Paramétrage!G17)*Paramétrage!I17+COUNTIF(Janvier[[#This Row],[1]:[31]],Paramétrage!G18)*Paramétrage!I18+COUNTIF(Janvier[[#This Row],[1]:[31]],Paramétrage!G19)*Paramétrage!I19+COUNTIF(Janvier[[#This Row],[1]:[31]],Paramétrage!G20)*Paramétrage!I20+COUNTIF(Janvier[[#This Row],[1]:[31]],Paramétrage!G21)*Paramétrage!I21+COUNTIF(Janvier[[#This Row],[1]:[31]],Paramétrage!G22)*Paramétrage!I22+COUNTIF(Janvier[[#This Row],[1]:[31]],Paramétrage!G23)*Paramétrage!I23+COUNTIF(Janvier[[#This Row],[1]:[31]],Paramétrage!G24*Paramétrage!I24+COUNTIF(Janvier[[#This Row],[1]:[31]],Paramétrage!G25)*Paramétrage!I25+COUNTIF(Janvier[[#This Row],[1]:[31]],Paramétrage!G26)*Paramétrage!I26)</f>
        <v>0</v>
      </c>
    </row>
    <row r="18" spans="1:33" ht="15" customHeight="1" x14ac:dyDescent="0.3">
      <c r="A18" s="36" t="s">
        <v>65</v>
      </c>
      <c r="B18" s="34"/>
      <c r="C18" s="34"/>
      <c r="D18" s="34"/>
      <c r="E18" s="34"/>
      <c r="F18" s="34"/>
      <c r="G18" s="34"/>
      <c r="H18" s="34"/>
      <c r="I18" s="34"/>
      <c r="J18" s="34"/>
      <c r="K18" s="34"/>
      <c r="L18" s="34"/>
      <c r="M18" s="34"/>
      <c r="N18" s="34"/>
      <c r="O18" s="34"/>
      <c r="P18" s="34"/>
      <c r="Q18" s="34"/>
      <c r="R18" s="34"/>
      <c r="S18" s="34"/>
      <c r="T18" s="34"/>
      <c r="U18" s="34"/>
      <c r="V18" s="34"/>
      <c r="W18" s="34"/>
      <c r="X18" s="34"/>
      <c r="Y18" s="34"/>
      <c r="Z18" s="34"/>
      <c r="AA18" s="34"/>
      <c r="AB18" s="34"/>
      <c r="AC18" s="34"/>
      <c r="AD18" s="34"/>
      <c r="AE18" s="34"/>
      <c r="AF18" s="34"/>
      <c r="AG18" s="18">
        <f>COUNTIF(Janvier[[#This Row],[1]:[31]],Paramétrage!G14)*Paramétrage!I14+COUNTIF(Janvier[[#This Row],[1]:[31]],Paramétrage!G15)*Paramétrage!I15+COUNTIF(Janvier[[#This Row],[1]:[31]],Paramétrage!G16)*Paramétrage!I16+COUNTIF(Janvier[[#This Row],[1]:[31]],Paramétrage!G17)*Paramétrage!I17+COUNTIF(Janvier[[#This Row],[1]:[31]],Paramétrage!G18)*Paramétrage!I18+COUNTIF(Janvier[[#This Row],[1]:[31]],Paramétrage!G19)*Paramétrage!I19+COUNTIF(Janvier[[#This Row],[1]:[31]],Paramétrage!G20)*Paramétrage!I20+COUNTIF(Janvier[[#This Row],[1]:[31]],Paramétrage!G21)*Paramétrage!I21+COUNTIF(Janvier[[#This Row],[1]:[31]],Paramétrage!G22)*Paramétrage!I22+COUNTIF(Janvier[[#This Row],[1]:[31]],Paramétrage!G23)*Paramétrage!I23+COUNTIF(Janvier[[#This Row],[1]:[31]],Paramétrage!G24)*Paramétrage!I24+COUNTIF(Janvier[[#This Row],[1]:[31]],Paramétrage!G25*Paramétrage!I25+COUNTIF(Janvier[[#This Row],[1]:[31]],Paramétrage!G26)*Paramétrage!I26+COUNTIF(Janvier[[#This Row],[1]:[31]],Paramétrage!G27)*Paramétrage!I27)</f>
        <v>0</v>
      </c>
    </row>
    <row r="19" spans="1:33" ht="15" customHeight="1" x14ac:dyDescent="0.3">
      <c r="A19" s="36" t="s">
        <v>66</v>
      </c>
      <c r="B19" s="34"/>
      <c r="C19" s="34"/>
      <c r="D19" s="34"/>
      <c r="E19" s="34"/>
      <c r="F19" s="34"/>
      <c r="G19" s="34"/>
      <c r="H19" s="34"/>
      <c r="I19" s="34"/>
      <c r="J19" s="34"/>
      <c r="K19" s="34"/>
      <c r="L19" s="34"/>
      <c r="M19" s="34"/>
      <c r="N19" s="34"/>
      <c r="O19" s="34"/>
      <c r="P19" s="34"/>
      <c r="Q19" s="34"/>
      <c r="R19" s="34"/>
      <c r="S19" s="34"/>
      <c r="T19" s="34"/>
      <c r="U19" s="34"/>
      <c r="V19" s="34"/>
      <c r="W19" s="34"/>
      <c r="X19" s="34"/>
      <c r="Y19" s="34"/>
      <c r="Z19" s="34"/>
      <c r="AA19" s="34"/>
      <c r="AB19" s="34"/>
      <c r="AC19" s="34"/>
      <c r="AD19" s="34"/>
      <c r="AE19" s="34"/>
      <c r="AF19" s="34"/>
      <c r="AG19" s="18">
        <f>COUNTIF(Janvier[[#This Row],[1]:[31]],Paramétrage!G15)*Paramétrage!I15+COUNTIF(Janvier[[#This Row],[1]:[31]],Paramétrage!G16)*Paramétrage!I16+COUNTIF(Janvier[[#This Row],[1]:[31]],Paramétrage!G17)*Paramétrage!I17+COUNTIF(Janvier[[#This Row],[1]:[31]],Paramétrage!G18)*Paramétrage!I18+COUNTIF(Janvier[[#This Row],[1]:[31]],Paramétrage!G19)*Paramétrage!I19+COUNTIF(Janvier[[#This Row],[1]:[31]],Paramétrage!G20)*Paramétrage!I20+COUNTIF(Janvier[[#This Row],[1]:[31]],Paramétrage!G21)*Paramétrage!I21+COUNTIF(Janvier[[#This Row],[1]:[31]],Paramétrage!G22)*Paramétrage!I22+COUNTIF(Janvier[[#This Row],[1]:[31]],Paramétrage!G23)*Paramétrage!I23+COUNTIF(Janvier[[#This Row],[1]:[31]],Paramétrage!G24)*Paramétrage!I24+COUNTIF(Janvier[[#This Row],[1]:[31]],Paramétrage!G25)*Paramétrage!I25+COUNTIF(Janvier[[#This Row],[1]:[31]],Paramétrage!G26*Paramétrage!I26+COUNTIF(Janvier[[#This Row],[1]:[31]],Paramétrage!G27)*Paramétrage!I27+COUNTIF(Janvier[[#This Row],[1]:[31]],Paramétrage!G28)*Paramétrage!I28)</f>
        <v>0</v>
      </c>
    </row>
    <row r="20" spans="1:33" ht="15" customHeight="1" x14ac:dyDescent="0.3">
      <c r="A20" s="36" t="s">
        <v>67</v>
      </c>
      <c r="B20" s="34"/>
      <c r="C20" s="34"/>
      <c r="D20" s="34"/>
      <c r="E20" s="34"/>
      <c r="F20" s="34"/>
      <c r="G20" s="34"/>
      <c r="H20" s="34"/>
      <c r="I20" s="34"/>
      <c r="J20" s="34"/>
      <c r="K20" s="34"/>
      <c r="L20" s="34"/>
      <c r="M20" s="34"/>
      <c r="N20" s="34"/>
      <c r="O20" s="34"/>
      <c r="P20" s="34"/>
      <c r="Q20" s="34"/>
      <c r="R20" s="34"/>
      <c r="S20" s="34"/>
      <c r="T20" s="34"/>
      <c r="U20" s="34"/>
      <c r="V20" s="34"/>
      <c r="W20" s="34"/>
      <c r="X20" s="34"/>
      <c r="Y20" s="34"/>
      <c r="Z20" s="34"/>
      <c r="AA20" s="34"/>
      <c r="AB20" s="34"/>
      <c r="AC20" s="34"/>
      <c r="AD20" s="34"/>
      <c r="AE20" s="34"/>
      <c r="AF20" s="34"/>
      <c r="AG20" s="18">
        <f>COUNTIF(Janvier[[#This Row],[1]:[31]],Paramétrage!G16)*Paramétrage!I16+COUNTIF(Janvier[[#This Row],[1]:[31]],Paramétrage!G17)*Paramétrage!I17+COUNTIF(Janvier[[#This Row],[1]:[31]],Paramétrage!G18)*Paramétrage!I18+COUNTIF(Janvier[[#This Row],[1]:[31]],Paramétrage!G19)*Paramétrage!I19+COUNTIF(Janvier[[#This Row],[1]:[31]],Paramétrage!G20)*Paramétrage!I20+COUNTIF(Janvier[[#This Row],[1]:[31]],Paramétrage!G21)*Paramétrage!I21+COUNTIF(Janvier[[#This Row],[1]:[31]],Paramétrage!G22)*Paramétrage!I22+COUNTIF(Janvier[[#This Row],[1]:[31]],Paramétrage!G23)*Paramétrage!I23+COUNTIF(Janvier[[#This Row],[1]:[31]],Paramétrage!G24)*Paramétrage!I24+COUNTIF(Janvier[[#This Row],[1]:[31]],Paramétrage!G25)*Paramétrage!I25+COUNTIF(Janvier[[#This Row],[1]:[31]],Paramétrage!G26)*Paramétrage!I26+COUNTIF(Janvier[[#This Row],[1]:[31]],Paramétrage!G27*Paramétrage!I27+COUNTIF(Janvier[[#This Row],[1]:[31]],Paramétrage!G28)*Paramétrage!I28+COUNTIF(Janvier[[#This Row],[1]:[31]],Paramétrage!G29)*Paramétrage!I29)</f>
        <v>0</v>
      </c>
    </row>
    <row r="21" spans="1:33" ht="15" customHeight="1" x14ac:dyDescent="0.3">
      <c r="A21" s="36" t="s">
        <v>68</v>
      </c>
      <c r="B21" s="34"/>
      <c r="C21" s="34"/>
      <c r="D21" s="34"/>
      <c r="E21" s="34"/>
      <c r="F21" s="34"/>
      <c r="G21" s="34"/>
      <c r="H21" s="34"/>
      <c r="I21" s="34"/>
      <c r="J21" s="34"/>
      <c r="K21" s="34"/>
      <c r="L21" s="34"/>
      <c r="M21" s="34"/>
      <c r="N21" s="34"/>
      <c r="O21" s="34"/>
      <c r="P21" s="34"/>
      <c r="Q21" s="34"/>
      <c r="R21" s="34"/>
      <c r="S21" s="34"/>
      <c r="T21" s="34"/>
      <c r="U21" s="34"/>
      <c r="V21" s="34"/>
      <c r="W21" s="34"/>
      <c r="X21" s="34"/>
      <c r="Y21" s="34"/>
      <c r="Z21" s="34"/>
      <c r="AA21" s="34"/>
      <c r="AB21" s="34"/>
      <c r="AC21" s="34"/>
      <c r="AD21" s="34"/>
      <c r="AE21" s="34"/>
      <c r="AF21" s="34"/>
      <c r="AG21" s="18">
        <f>COUNTIF(Janvier[[#This Row],[1]:[31]],Paramétrage!G17)*Paramétrage!I17+COUNTIF(Janvier[[#This Row],[1]:[31]],Paramétrage!G18)*Paramétrage!I18+COUNTIF(Janvier[[#This Row],[1]:[31]],Paramétrage!G19)*Paramétrage!I19+COUNTIF(Janvier[[#This Row],[1]:[31]],Paramétrage!G20)*Paramétrage!I20+COUNTIF(Janvier[[#This Row],[1]:[31]],Paramétrage!G21)*Paramétrage!I21+COUNTIF(Janvier[[#This Row],[1]:[31]],Paramétrage!G22)*Paramétrage!I22+COUNTIF(Janvier[[#This Row],[1]:[31]],Paramétrage!G23)*Paramétrage!I23+COUNTIF(Janvier[[#This Row],[1]:[31]],Paramétrage!G24)*Paramétrage!I24+COUNTIF(Janvier[[#This Row],[1]:[31]],Paramétrage!G25)*Paramétrage!I25+COUNTIF(Janvier[[#This Row],[1]:[31]],Paramétrage!G26)*Paramétrage!I26+COUNTIF(Janvier[[#This Row],[1]:[31]],Paramétrage!G27)*Paramétrage!I27+COUNTIF(Janvier[[#This Row],[1]:[31]],Paramétrage!G28*Paramétrage!I28+COUNTIF(Janvier[[#This Row],[1]:[31]],Paramétrage!G29)*Paramétrage!I29+COUNTIF(Janvier[[#This Row],[1]:[31]],Paramétrage!G30)*Paramétrage!I30)</f>
        <v>0</v>
      </c>
    </row>
    <row r="22" spans="1:33" ht="15" customHeight="1" x14ac:dyDescent="0.3">
      <c r="A22" s="36" t="s">
        <v>91</v>
      </c>
      <c r="B22" s="37"/>
      <c r="C22" s="37"/>
      <c r="D22" s="37"/>
      <c r="E22" s="37"/>
      <c r="F22" s="37"/>
      <c r="G22" s="37"/>
      <c r="H22" s="37"/>
      <c r="I22" s="37"/>
      <c r="J22" s="37"/>
      <c r="K22" s="37"/>
      <c r="L22" s="37"/>
      <c r="M22" s="37"/>
      <c r="N22" s="37"/>
      <c r="O22" s="37"/>
      <c r="P22" s="37"/>
      <c r="Q22" s="37"/>
      <c r="R22" s="37"/>
      <c r="S22" s="37"/>
      <c r="T22" s="37"/>
      <c r="U22" s="37"/>
      <c r="V22" s="37"/>
      <c r="W22" s="37"/>
      <c r="X22" s="37"/>
      <c r="Y22" s="37"/>
      <c r="Z22" s="37"/>
      <c r="AA22" s="37"/>
      <c r="AB22" s="37"/>
      <c r="AC22" s="37"/>
      <c r="AD22" s="37"/>
      <c r="AE22" s="37"/>
      <c r="AF22" s="37"/>
      <c r="AG22" s="18">
        <f>COUNTIF(Janvier[[#This Row],[1]:[31]],Paramétrage!G18)*Paramétrage!I18+COUNTIF(Janvier[[#This Row],[1]:[31]],Paramétrage!G19)*Paramétrage!I19+COUNTIF(Janvier[[#This Row],[1]:[31]],Paramétrage!G20)*Paramétrage!I20+COUNTIF(Janvier[[#This Row],[1]:[31]],Paramétrage!G21)*Paramétrage!I21+COUNTIF(Janvier[[#This Row],[1]:[31]],Paramétrage!G22)*Paramétrage!I22+COUNTIF(Janvier[[#This Row],[1]:[31]],Paramétrage!G23)*Paramétrage!I23+COUNTIF(Janvier[[#This Row],[1]:[31]],Paramétrage!G24)*Paramétrage!I24+COUNTIF(Janvier[[#This Row],[1]:[31]],Paramétrage!G25)*Paramétrage!I25+COUNTIF(Janvier[[#This Row],[1]:[31]],Paramétrage!G26)*Paramétrage!I26+COUNTIF(Janvier[[#This Row],[1]:[31]],Paramétrage!G27)*Paramétrage!I27+COUNTIF(Janvier[[#This Row],[1]:[31]],Paramétrage!G28)*Paramétrage!I28+COUNTIF(Janvier[[#This Row],[1]:[31]],Paramétrage!G29*Paramétrage!I29+COUNTIF(Janvier[[#This Row],[1]:[31]],Paramétrage!G30)*Paramétrage!I30+COUNTIF(Janvier[[#This Row],[1]:[31]],Paramétrage!G31)*Paramétrage!I31)</f>
        <v>0</v>
      </c>
    </row>
    <row r="23" spans="1:33" ht="15" customHeight="1" x14ac:dyDescent="0.3">
      <c r="A23" s="36" t="s">
        <v>92</v>
      </c>
      <c r="B23" s="37"/>
      <c r="C23" s="37"/>
      <c r="D23" s="37"/>
      <c r="E23" s="37"/>
      <c r="F23" s="37"/>
      <c r="G23" s="37"/>
      <c r="H23" s="37"/>
      <c r="I23" s="37"/>
      <c r="J23" s="37"/>
      <c r="K23" s="37"/>
      <c r="L23" s="37"/>
      <c r="M23" s="37"/>
      <c r="N23" s="37"/>
      <c r="O23" s="37"/>
      <c r="P23" s="37"/>
      <c r="Q23" s="37"/>
      <c r="R23" s="37"/>
      <c r="S23" s="37"/>
      <c r="T23" s="37"/>
      <c r="U23" s="37"/>
      <c r="V23" s="37"/>
      <c r="W23" s="37"/>
      <c r="X23" s="37"/>
      <c r="Y23" s="37"/>
      <c r="Z23" s="37"/>
      <c r="AA23" s="37"/>
      <c r="AB23" s="37"/>
      <c r="AC23" s="37"/>
      <c r="AD23" s="37"/>
      <c r="AE23" s="37"/>
      <c r="AF23" s="37"/>
      <c r="AG23" s="18">
        <f>COUNTIF(Janvier[[#This Row],[1]:[31]],Paramétrage!G19)*Paramétrage!I19+COUNTIF(Janvier[[#This Row],[1]:[31]],Paramétrage!G20)*Paramétrage!I20+COUNTIF(Janvier[[#This Row],[1]:[31]],Paramétrage!G21)*Paramétrage!I21+COUNTIF(Janvier[[#This Row],[1]:[31]],Paramétrage!G22)*Paramétrage!I22+COUNTIF(Janvier[[#This Row],[1]:[31]],Paramétrage!G23)*Paramétrage!I23+COUNTIF(Janvier[[#This Row],[1]:[31]],Paramétrage!G24)*Paramétrage!I24+COUNTIF(Janvier[[#This Row],[1]:[31]],Paramétrage!G25)*Paramétrage!I25+COUNTIF(Janvier[[#This Row],[1]:[31]],Paramétrage!G26)*Paramétrage!I26+COUNTIF(Janvier[[#This Row],[1]:[31]],Paramétrage!G27)*Paramétrage!I27+COUNTIF(Janvier[[#This Row],[1]:[31]],Paramétrage!G28)*Paramétrage!I28+COUNTIF(Janvier[[#This Row],[1]:[31]],Paramétrage!G29)*Paramétrage!I29+COUNTIF(Janvier[[#This Row],[1]:[31]],Paramétrage!G30*Paramétrage!I30+COUNTIF(Janvier[[#This Row],[1]:[31]],Paramétrage!G31)*Paramétrage!I31+COUNTIF(Janvier[[#This Row],[1]:[31]],Paramétrage!G32)*Paramétrage!I32)</f>
        <v>0</v>
      </c>
    </row>
    <row r="24" spans="1:33" ht="15" customHeight="1" x14ac:dyDescent="0.3">
      <c r="A24" s="36" t="s">
        <v>93</v>
      </c>
      <c r="B24" s="37"/>
      <c r="C24" s="37"/>
      <c r="D24" s="37"/>
      <c r="E24" s="37"/>
      <c r="F24" s="37"/>
      <c r="G24" s="37"/>
      <c r="H24" s="37"/>
      <c r="I24" s="37"/>
      <c r="J24" s="37"/>
      <c r="K24" s="37"/>
      <c r="L24" s="37"/>
      <c r="M24" s="37"/>
      <c r="N24" s="37"/>
      <c r="O24" s="37"/>
      <c r="P24" s="37"/>
      <c r="Q24" s="37"/>
      <c r="R24" s="37"/>
      <c r="S24" s="37"/>
      <c r="T24" s="37"/>
      <c r="U24" s="37"/>
      <c r="V24" s="37"/>
      <c r="W24" s="37"/>
      <c r="X24" s="37"/>
      <c r="Y24" s="37"/>
      <c r="Z24" s="37"/>
      <c r="AA24" s="37"/>
      <c r="AB24" s="37"/>
      <c r="AC24" s="37"/>
      <c r="AD24" s="37"/>
      <c r="AE24" s="37"/>
      <c r="AF24" s="37"/>
      <c r="AG24" s="18">
        <f>COUNTIF(Janvier[[#This Row],[1]:[31]],Paramétrage!G20)*Paramétrage!I20+COUNTIF(Janvier[[#This Row],[1]:[31]],Paramétrage!G21)*Paramétrage!I21+COUNTIF(Janvier[[#This Row],[1]:[31]],Paramétrage!G22)*Paramétrage!I22+COUNTIF(Janvier[[#This Row],[1]:[31]],Paramétrage!G23)*Paramétrage!I23+COUNTIF(Janvier[[#This Row],[1]:[31]],Paramétrage!G24)*Paramétrage!I24+COUNTIF(Janvier[[#This Row],[1]:[31]],Paramétrage!G25)*Paramétrage!I25+COUNTIF(Janvier[[#This Row],[1]:[31]],Paramétrage!G26)*Paramétrage!I26+COUNTIF(Janvier[[#This Row],[1]:[31]],Paramétrage!G27)*Paramétrage!I27+COUNTIF(Janvier[[#This Row],[1]:[31]],Paramétrage!G28)*Paramétrage!I28+COUNTIF(Janvier[[#This Row],[1]:[31]],Paramétrage!G29)*Paramétrage!I29+COUNTIF(Janvier[[#This Row],[1]:[31]],Paramétrage!G30)*Paramétrage!I30+COUNTIF(Janvier[[#This Row],[1]:[31]],Paramétrage!G31*Paramétrage!I31+COUNTIF(Janvier[[#This Row],[1]:[31]],Paramétrage!G32)*Paramétrage!I32+COUNTIF(Janvier[[#This Row],[1]:[31]],Paramétrage!G33)*Paramétrage!I33)</f>
        <v>0</v>
      </c>
    </row>
    <row r="25" spans="1:33" ht="15" customHeight="1" x14ac:dyDescent="0.3">
      <c r="A25" s="36" t="s">
        <v>94</v>
      </c>
      <c r="B25" s="37"/>
      <c r="C25" s="37"/>
      <c r="D25" s="37"/>
      <c r="E25" s="37"/>
      <c r="F25" s="37"/>
      <c r="G25" s="37"/>
      <c r="H25" s="37"/>
      <c r="I25" s="37"/>
      <c r="J25" s="37"/>
      <c r="K25" s="37"/>
      <c r="L25" s="37"/>
      <c r="M25" s="37"/>
      <c r="N25" s="37"/>
      <c r="O25" s="37"/>
      <c r="P25" s="37"/>
      <c r="Q25" s="37"/>
      <c r="R25" s="37"/>
      <c r="S25" s="37"/>
      <c r="T25" s="37"/>
      <c r="U25" s="37"/>
      <c r="V25" s="37"/>
      <c r="W25" s="37"/>
      <c r="X25" s="37"/>
      <c r="Y25" s="37"/>
      <c r="Z25" s="37"/>
      <c r="AA25" s="37"/>
      <c r="AB25" s="37"/>
      <c r="AC25" s="37"/>
      <c r="AD25" s="37"/>
      <c r="AE25" s="37"/>
      <c r="AF25" s="37"/>
      <c r="AG25" s="18">
        <f>COUNTIF(Janvier[[#This Row],[1]:[31]],Paramétrage!G21)*Paramétrage!I21+COUNTIF(Janvier[[#This Row],[1]:[31]],Paramétrage!G22)*Paramétrage!I22+COUNTIF(Janvier[[#This Row],[1]:[31]],Paramétrage!G23)*Paramétrage!I23+COUNTIF(Janvier[[#This Row],[1]:[31]],Paramétrage!G24)*Paramétrage!I24+COUNTIF(Janvier[[#This Row],[1]:[31]],Paramétrage!G25)*Paramétrage!I25+COUNTIF(Janvier[[#This Row],[1]:[31]],Paramétrage!G26)*Paramétrage!I26+COUNTIF(Janvier[[#This Row],[1]:[31]],Paramétrage!G27)*Paramétrage!I27+COUNTIF(Janvier[[#This Row],[1]:[31]],Paramétrage!G28)*Paramétrage!I28+COUNTIF(Janvier[[#This Row],[1]:[31]],Paramétrage!G29)*Paramétrage!I29+COUNTIF(Janvier[[#This Row],[1]:[31]],Paramétrage!G30)*Paramétrage!I30+COUNTIF(Janvier[[#This Row],[1]:[31]],Paramétrage!G31)*Paramétrage!I31+COUNTIF(Janvier[[#This Row],[1]:[31]],Paramétrage!G32*Paramétrage!I32+COUNTIF(Janvier[[#This Row],[1]:[31]],Paramétrage!G33)*Paramétrage!I33+COUNTIF(Janvier[[#This Row],[1]:[31]],Paramétrage!G34)*Paramétrage!I34)</f>
        <v>0</v>
      </c>
    </row>
    <row r="26" spans="1:33" ht="15" customHeight="1" x14ac:dyDescent="0.3">
      <c r="A26" s="36" t="s">
        <v>95</v>
      </c>
      <c r="B26" s="37"/>
      <c r="C26" s="37"/>
      <c r="D26" s="37"/>
      <c r="E26" s="37"/>
      <c r="F26" s="37"/>
      <c r="G26" s="37"/>
      <c r="H26" s="37"/>
      <c r="I26" s="37"/>
      <c r="J26" s="37"/>
      <c r="K26" s="37"/>
      <c r="L26" s="37"/>
      <c r="M26" s="37"/>
      <c r="N26" s="37"/>
      <c r="O26" s="37"/>
      <c r="P26" s="37"/>
      <c r="Q26" s="37"/>
      <c r="R26" s="37"/>
      <c r="S26" s="37"/>
      <c r="T26" s="37"/>
      <c r="U26" s="37"/>
      <c r="V26" s="37"/>
      <c r="W26" s="37"/>
      <c r="X26" s="37"/>
      <c r="Y26" s="37"/>
      <c r="Z26" s="37"/>
      <c r="AA26" s="37"/>
      <c r="AB26" s="37"/>
      <c r="AC26" s="37"/>
      <c r="AD26" s="37"/>
      <c r="AE26" s="37"/>
      <c r="AF26" s="37"/>
      <c r="AG26" s="18">
        <f>COUNTIF(Janvier[[#This Row],[1]:[31]],Paramétrage!G22)*Paramétrage!I22+COUNTIF(Janvier[[#This Row],[1]:[31]],Paramétrage!G23)*Paramétrage!I23+COUNTIF(Janvier[[#This Row],[1]:[31]],Paramétrage!G24)*Paramétrage!I24+COUNTIF(Janvier[[#This Row],[1]:[31]],Paramétrage!G25)*Paramétrage!I25+COUNTIF(Janvier[[#This Row],[1]:[31]],Paramétrage!G26)*Paramétrage!I26+COUNTIF(Janvier[[#This Row],[1]:[31]],Paramétrage!G27)*Paramétrage!I27+COUNTIF(Janvier[[#This Row],[1]:[31]],Paramétrage!G28)*Paramétrage!I28+COUNTIF(Janvier[[#This Row],[1]:[31]],Paramétrage!G29)*Paramétrage!I29+COUNTIF(Janvier[[#This Row],[1]:[31]],Paramétrage!G30)*Paramétrage!I30+COUNTIF(Janvier[[#This Row],[1]:[31]],Paramétrage!G31)*Paramétrage!I31+COUNTIF(Janvier[[#This Row],[1]:[31]],Paramétrage!G32)*Paramétrage!I32+COUNTIF(Janvier[[#This Row],[1]:[31]],Paramétrage!G33*Paramétrage!I33+COUNTIF(Janvier[[#This Row],[1]:[31]],Paramétrage!G34)*Paramétrage!I34+COUNTIF(Janvier[[#This Row],[1]:[31]],Paramétrage!G35)*Paramétrage!I35)</f>
        <v>0</v>
      </c>
    </row>
    <row r="27" spans="1:33" ht="24" x14ac:dyDescent="0.3">
      <c r="A27" s="38" t="s">
        <v>106</v>
      </c>
      <c r="B27" s="39">
        <f>COUNTA(Janvier[1])-COUNTIF(Janvier[1],CléReposhebdomadaire)-COUNTIF(Janvier[1],CléCongé)-COUNTIF(Janvier[1],CléMaladie)-COUNTIF(Janvier[1],CléFormation)-COUNTIF(Janvier[1],CléAbsencenonjustifiée)</f>
        <v>0</v>
      </c>
      <c r="C27" s="39">
        <f>COUNTA(Janvier[2])-COUNTIF(Janvier[2],CléReposhebdomadaire)-COUNTIF(Janvier[2],CléCongé)-COUNTIF(Janvier[2],CléMaladie)-COUNTIF(Janvier[2],CléFormation)-COUNTIF(Janvier[2],CléAbsencenonjustifiée)</f>
        <v>0</v>
      </c>
      <c r="D27" s="39">
        <f>COUNTA(Janvier[3])-COUNTIF(Janvier[3],CléReposhebdomadaire)-COUNTIF(Janvier[3],CléCongé)-COUNTIF(Janvier[3],CléMaladie)-COUNTIF(Janvier[3],CléFormation)-COUNTIF(Janvier[3],CléAbsencenonjustifiée)</f>
        <v>0</v>
      </c>
      <c r="E27" s="39">
        <f>COUNTA(Janvier[4])-COUNTIF(Janvier[4],CléReposhebdomadaire)-COUNTIF(Janvier[4],CléCongé)-COUNTIF(Janvier[4],CléMaladie)-COUNTIF(Janvier[4],CléFormation)-COUNTIF(Janvier[4],CléAbsencenonjustifiée)</f>
        <v>0</v>
      </c>
      <c r="F27" s="39">
        <f>COUNTA(Janvier[5])-COUNTIF(Janvier[5],CléReposhebdomadaire)-COUNTIF(Janvier[5],CléCongé)-COUNTIF(Janvier[5],CléMaladie)-COUNTIF(Janvier[5],CléFormation)-COUNTIF(Janvier[5],CléAbsencenonjustifiée)</f>
        <v>0</v>
      </c>
      <c r="G27" s="39">
        <f>COUNTA(Janvier[6])-COUNTIF(Janvier[6],CléReposhebdomadaire)-COUNTIF(Janvier[6],CléCongé)-COUNTIF(Janvier[6],CléMaladie)-COUNTIF(Janvier[6],CléFormation)-COUNTIF(Janvier[6],CléAbsencenonjustifiée)</f>
        <v>0</v>
      </c>
      <c r="H27" s="39">
        <f>COUNTA(Janvier[7])-COUNTIF(Janvier[7],CléReposhebdomadaire)-COUNTIF(Janvier[7],CléCongé)-COUNTIF(Janvier[7],CléMaladie)-COUNTIF(Janvier[7],CléFormation)-COUNTIF(Janvier[7],CléAbsencenonjustifiée)</f>
        <v>0</v>
      </c>
      <c r="I27" s="39">
        <f>COUNTA(Janvier[8])-COUNTIF(Janvier[8],CléReposhebdomadaire)-COUNTIF(Janvier[8],CléCongé)-COUNTIF(Janvier[8],CléMaladie)-COUNTIF(Janvier[8],CléFormation)-COUNTIF(Janvier[8],CléAbsencenonjustifiée)</f>
        <v>0</v>
      </c>
      <c r="J27" s="39">
        <f>COUNTA(Janvier[9])-COUNTIF(Janvier[9],CléReposhebdomadaire)-COUNTIF(Janvier[9],CléCongé)-COUNTIF(Janvier[9],CléMaladie)-COUNTIF(Janvier[9],CléFormation)-COUNTIF(Janvier[9],CléAbsencenonjustifiée)</f>
        <v>0</v>
      </c>
      <c r="K27" s="39">
        <f>COUNTA(Janvier[10])-COUNTIF(Janvier[10],CléReposhebdomadaire)-COUNTIF(Janvier[10],CléCongé)-COUNTIF(Janvier[10],CléMaladie)-COUNTIF(Janvier[10],CléFormation)-COUNTIF(Janvier[10],CléAbsencenonjustifiée)</f>
        <v>0</v>
      </c>
      <c r="L27" s="39">
        <f>COUNTA(Janvier[11])-COUNTIF(Janvier[11],CléReposhebdomadaire)-COUNTIF(Janvier[11],CléCongé)-COUNTIF(Janvier[11],CléMaladie)-COUNTIF(Janvier[11],CléFormation)-COUNTIF(Janvier[11],CléAbsencenonjustifiée)</f>
        <v>0</v>
      </c>
      <c r="M27" s="39">
        <f>COUNTA(Janvier[12])-COUNTIF(Janvier[12],CléReposhebdomadaire)-COUNTIF(Janvier[12],CléCongé)-COUNTIF(Janvier[12],CléMaladie)-COUNTIF(Janvier[12],CléFormation)-COUNTIF(Janvier[12],CléAbsencenonjustifiée)</f>
        <v>0</v>
      </c>
      <c r="N27" s="39">
        <f>COUNTA(Janvier[13])-COUNTIF(Janvier[13],CléReposhebdomadaire)-COUNTIF(Janvier[13],CléCongé)-COUNTIF(Janvier[13],CléMaladie)-COUNTIF(Janvier[13],CléFormation)-COUNTIF(Janvier[13],CléAbsencenonjustifiée)</f>
        <v>0</v>
      </c>
      <c r="O27" s="39">
        <f>COUNTA(Janvier[14])-COUNTIF(Janvier[14],CléReposhebdomadaire)-COUNTIF(Janvier[14],CléCongé)-COUNTIF(Janvier[14],CléMaladie)-COUNTIF(Janvier[14],CléFormation)-COUNTIF(Janvier[14],CléAbsencenonjustifiée)</f>
        <v>0</v>
      </c>
      <c r="P27" s="39">
        <f>COUNTA(Janvier[15])-COUNTIF(Janvier[15],CléReposhebdomadaire)-COUNTIF(Janvier[15],CléCongé)-COUNTIF(Janvier[15],CléMaladie)-COUNTIF(Janvier[15],CléFormation)-COUNTIF(Janvier[15],CléAbsencenonjustifiée)</f>
        <v>0</v>
      </c>
      <c r="Q27" s="39">
        <f>COUNTA(Janvier[16])-COUNTIF(Janvier[16],CléReposhebdomadaire)-COUNTIF(Janvier[16],CléCongé)-COUNTIF(Janvier[16],CléMaladie)-COUNTIF(Janvier[16],CléFormation)-COUNTIF(Janvier[16],CléAbsencenonjustifiée)</f>
        <v>0</v>
      </c>
      <c r="R27" s="39">
        <f>COUNTA(Janvier[17])-COUNTIF(Janvier[17],CléReposhebdomadaire)-COUNTIF(Janvier[17],CléCongé)-COUNTIF(Janvier[17],CléMaladie)-COUNTIF(Janvier[17],CléFormation)-COUNTIF(Janvier[17],CléAbsencenonjustifiée)</f>
        <v>0</v>
      </c>
      <c r="S27" s="39">
        <f>COUNTA(Janvier[18])-COUNTIF(Janvier[18],CléReposhebdomadaire)-COUNTIF(Janvier[18],CléCongé)-COUNTIF(Janvier[18],CléMaladie)-COUNTIF(Janvier[18],CléFormation)-COUNTIF(Janvier[18],CléAbsencenonjustifiée)</f>
        <v>0</v>
      </c>
      <c r="T27" s="39">
        <f>COUNTA(Janvier[19])-COUNTIF(Janvier[19],CléReposhebdomadaire)-COUNTIF(Janvier[19],CléCongé)-COUNTIF(Janvier[19],CléMaladie)-COUNTIF(Janvier[19],CléFormation)-COUNTIF(Janvier[19],CléAbsencenonjustifiée)</f>
        <v>0</v>
      </c>
      <c r="U27" s="39">
        <f>COUNTA(Janvier[20])-COUNTIF(Janvier[20],CléReposhebdomadaire)-COUNTIF(Janvier[20],CléCongé)-COUNTIF(Janvier[20],CléMaladie)-COUNTIF(Janvier[20],CléFormation)-COUNTIF(Janvier[20],CléAbsencenonjustifiée)</f>
        <v>0</v>
      </c>
      <c r="V27" s="39">
        <f>COUNTA(Janvier[21])-COUNTIF(Janvier[21],CléReposhebdomadaire)-COUNTIF(Janvier[21],CléCongé)-COUNTIF(Janvier[21],CléMaladie)-COUNTIF(Janvier[21],CléFormation)-COUNTIF(Janvier[21],CléAbsencenonjustifiée)</f>
        <v>0</v>
      </c>
      <c r="W27" s="39">
        <f>COUNTA(Janvier[22])-COUNTIF(Janvier[22],CléReposhebdomadaire)-COUNTIF(Janvier[22],CléCongé)-COUNTIF(Janvier[22],CléMaladie)-COUNTIF(Janvier[22],CléFormation)-COUNTIF(Janvier[22],CléAbsencenonjustifiée)</f>
        <v>0</v>
      </c>
      <c r="X27" s="39">
        <f>COUNTA(Janvier[23])-COUNTIF(Janvier[23],CléReposhebdomadaire)-COUNTIF(Janvier[23],CléCongé)-COUNTIF(Janvier[23],CléMaladie)-COUNTIF(Janvier[23],CléFormation)-COUNTIF(Janvier[23],CléAbsencenonjustifiée)</f>
        <v>0</v>
      </c>
      <c r="Y27" s="39">
        <f>COUNTA(Janvier[24])-COUNTIF(Janvier[24],CléReposhebdomadaire)-COUNTIF(Janvier[24],CléCongé)-COUNTIF(Janvier[24],CléMaladie)-COUNTIF(Janvier[24],CléFormation)-COUNTIF(Janvier[24],CléAbsencenonjustifiée)</f>
        <v>0</v>
      </c>
      <c r="Z27" s="39">
        <f>COUNTA(Janvier[25])-COUNTIF(Janvier[25],CléReposhebdomadaire)-COUNTIF(Janvier[25],CléCongé)-COUNTIF(Janvier[25],CléMaladie)-COUNTIF(Janvier[25],CléFormation)-COUNTIF(Janvier[25],CléAbsencenonjustifiée)</f>
        <v>0</v>
      </c>
      <c r="AA27" s="39">
        <f>COUNTA(Janvier[26])-COUNTIF(Janvier[26],CléReposhebdomadaire)-COUNTIF(Janvier[26],CléCongé)-COUNTIF(Janvier[26],CléMaladie)-COUNTIF(Janvier[26],CléFormation)-COUNTIF(Janvier[26],CléAbsencenonjustifiée)</f>
        <v>0</v>
      </c>
      <c r="AB27" s="39">
        <f>COUNTA(Janvier[27])-COUNTIF(Janvier[27],CléReposhebdomadaire)-COUNTIF(Janvier[27],CléCongé)-COUNTIF(Janvier[27],CléMaladie)-COUNTIF(Janvier[27],CléFormation)-COUNTIF(Janvier[27],CléAbsencenonjustifiée)</f>
        <v>0</v>
      </c>
      <c r="AC27" s="39">
        <f>COUNTA(Janvier[28])-COUNTIF(Janvier[28],CléReposhebdomadaire)-COUNTIF(Janvier[28],CléCongé)-COUNTIF(Janvier[28],CléMaladie)-COUNTIF(Janvier[28],CléFormation)-COUNTIF(Janvier[28],CléAbsencenonjustifiée)</f>
        <v>0</v>
      </c>
      <c r="AD27" s="39">
        <f>COUNTA(Janvier[29])-COUNTIF(Janvier[29],CléReposhebdomadaire)-COUNTIF(Janvier[29],CléCongé)-COUNTIF(Janvier[29],CléMaladie)-COUNTIF(Janvier[29],CléFormation)-COUNTIF(Janvier[29],CléAbsencenonjustifiée)</f>
        <v>0</v>
      </c>
      <c r="AE27" s="39">
        <f>COUNTA(Janvier[30])-COUNTIF(Janvier[30],CléReposhebdomadaire)-COUNTIF(Janvier[30],CléCongé)-COUNTIF(Janvier[30],CléMaladie)-COUNTIF(Janvier[30],CléFormation)-COUNTIF(Janvier[30],CléAbsencenonjustifiée)</f>
        <v>0</v>
      </c>
      <c r="AF27" s="39">
        <f>COUNTA(Janvier[31])-COUNTIF(Janvier[31],CléReposhebdomadaire)-COUNTIF(Janvier[31],CléCongé)-COUNTIF(Janvier[31],CléMaladie)-COUNTIF(Janvier[31],CléFormation)-COUNTIF(Janvier[31],CléAbsencenonjustifiée)</f>
        <v>0</v>
      </c>
      <c r="AG27" s="40">
        <f ca="1">SUBTOTAL(109,Mars[Total des Heures effectuées])</f>
        <v>0</v>
      </c>
    </row>
  </sheetData>
  <mergeCells count="9">
    <mergeCell ref="A1:AG1"/>
    <mergeCell ref="A4:A5"/>
    <mergeCell ref="AG4:AG5"/>
    <mergeCell ref="B4:AF4"/>
    <mergeCell ref="R2:U2"/>
    <mergeCell ref="C2:F2"/>
    <mergeCell ref="H2:I2"/>
    <mergeCell ref="K2:M2"/>
    <mergeCell ref="O2:P2"/>
  </mergeCells>
  <conditionalFormatting sqref="B27:AF27">
    <cfRule type="dataBar" priority="11">
      <dataBar>
        <cfvo type="num" val="0"/>
        <cfvo type="num" val="31"/>
        <color theme="2" tint="-0.249977111117893"/>
      </dataBar>
      <extLst>
        <ext xmlns:x14="http://schemas.microsoft.com/office/spreadsheetml/2009/9/main" uri="{B025F937-C7B1-47D3-B67F-A62EFF666E3E}">
          <x14:id>{8DC12FE7-C04A-4211-9155-04360C601E48}</x14:id>
        </ext>
      </extLst>
    </cfRule>
  </conditionalFormatting>
  <conditionalFormatting sqref="B7:AF26">
    <cfRule type="cellIs" dxfId="770" priority="1" operator="equal">
      <formula>$Q$2</formula>
    </cfRule>
    <cfRule type="cellIs" dxfId="769" priority="2" operator="equal">
      <formula>$N$2</formula>
    </cfRule>
    <cfRule type="cellIs" dxfId="768" priority="3" operator="equal">
      <formula>$J$2</formula>
    </cfRule>
    <cfRule type="cellIs" dxfId="767" priority="4" operator="equal">
      <formula>$G$2</formula>
    </cfRule>
    <cfRule type="cellIs" dxfId="766" priority="5" operator="equal">
      <formula>$B$2</formula>
    </cfRule>
  </conditionalFormatting>
  <dataValidations count="12">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B6"/>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B5"/>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A4"/>
    <dataValidation allowBlank="1" showInputMessage="1" showErrorMessage="1" prompt="Le titre mis à jour automatiquement figure dans cette cellule. Pour modifier le titre, mettez à jour la cellule B1 de la feuille de calcul Janvier" sqref="A1"/>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A6"/>
    <dataValidation allowBlank="1" showInputMessage="1" showErrorMessage="1" prompt="Année mise à jour automatiquement en fonction de l’année entrée dans la feuille de calcul Janvier" sqref="AG4"/>
    <dataValidation allowBlank="1" showInputMessage="1" showErrorMessage="1" prompt="« CP» indique une absence pour cause de congé" sqref="G2"/>
    <dataValidation allowBlank="1" showInputMessage="1" showErrorMessage="1" prompt=" « FO » indique une absence pour Formation" sqref="N2"/>
    <dataValidation allowBlank="1" showInputMessage="1" showErrorMessage="1" prompt=" « AM » indique une absence pour cause d'Arrêt maladie" sqref="J2"/>
    <dataValidation allowBlank="1" showInputMessage="1" showErrorMessage="1" prompt="« ABS» indique une absence pour cause d'Absence non justifiée" sqref="Q2"/>
    <dataValidation allowBlank="1" showInputMessage="1" showErrorMessage="1" prompt="Cette ligne définit les clés utilisées dans le tableau : Repos hebdomadaire en C2, Congé en H2, Arrêt Maladie en K2, Formation en O2 et Absence non justifiée en R2_x000a_" sqref="A2"/>
    <dataValidation allowBlank="1" showInputMessage="1" showErrorMessage="1" prompt="Calcule automatiquement le nombre total des heures effectives d’un employé durant ce mois" sqref="AG6"/>
  </dataValidations>
  <pageMargins left="0.7" right="0.7" top="0.75" bottom="0.75" header="0.3" footer="0.3"/>
  <pageSetup paperSize="9" fitToHeight="0" orientation="portrait" verticalDpi="4294967293"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8DC12FE7-C04A-4211-9155-04360C601E48}">
            <x14:dataBar minLength="0" maxLength="100">
              <x14:cfvo type="num">
                <xm:f>0</xm:f>
              </x14:cfvo>
              <x14:cfvo type="num">
                <xm:f>31</xm:f>
              </x14:cfvo>
              <x14:negativeFillColor rgb="FFFF0000"/>
              <x14:axisColor rgb="FF000000"/>
            </x14:dataBar>
          </x14:cfRule>
          <xm:sqref>B27:AF27</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14:formula1>
            <xm:f>Paramétrage!$B$3:$B$22</xm:f>
          </x14:formula1>
          <xm:sqref>A7:A26</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0.249977111117893"/>
  </sheetPr>
  <dimension ref="A1:AG27"/>
  <sheetViews>
    <sheetView showGridLines="0" zoomScaleNormal="100" workbookViewId="0">
      <selection sqref="A1:XFD6"/>
    </sheetView>
  </sheetViews>
  <sheetFormatPr baseColWidth="10" defaultColWidth="9.109375" defaultRowHeight="30" customHeight="1" x14ac:dyDescent="0.3"/>
  <cols>
    <col min="1" max="1" width="20.44140625" style="30" customWidth="1"/>
    <col min="2" max="32" width="5.5546875" style="30" customWidth="1"/>
    <col min="33" max="33" width="12.44140625" style="30" customWidth="1"/>
    <col min="34" max="34" width="2.6640625" style="29" customWidth="1"/>
    <col min="35" max="16384" width="9.109375" style="29"/>
  </cols>
  <sheetData>
    <row r="1" spans="1:33" ht="25.8" x14ac:dyDescent="0.3">
      <c r="A1" s="58" t="str">
        <f>Titre_Absence_Employé</f>
        <v>PLANNING MENSUEL</v>
      </c>
      <c r="B1" s="58"/>
      <c r="C1" s="58"/>
      <c r="D1" s="58"/>
      <c r="E1" s="58"/>
      <c r="F1" s="58"/>
      <c r="G1" s="58"/>
      <c r="H1" s="58"/>
      <c r="I1" s="58"/>
      <c r="J1" s="58"/>
      <c r="K1" s="58"/>
      <c r="L1" s="58"/>
      <c r="M1" s="58"/>
      <c r="N1" s="58"/>
      <c r="O1" s="58"/>
      <c r="P1" s="58"/>
      <c r="Q1" s="58"/>
      <c r="R1" s="58"/>
      <c r="S1" s="58"/>
      <c r="T1" s="58"/>
      <c r="U1" s="58"/>
      <c r="V1" s="58"/>
      <c r="W1" s="58"/>
      <c r="X1" s="58"/>
      <c r="Y1" s="58"/>
      <c r="Z1" s="58"/>
      <c r="AA1" s="58"/>
      <c r="AB1" s="58"/>
      <c r="AC1" s="58"/>
      <c r="AD1" s="58"/>
      <c r="AE1" s="58"/>
      <c r="AF1" s="58"/>
      <c r="AG1" s="58"/>
    </row>
    <row r="2" spans="1:33" ht="12" x14ac:dyDescent="0.3">
      <c r="A2" s="41" t="s">
        <v>0</v>
      </c>
      <c r="B2" s="42" t="s">
        <v>88</v>
      </c>
      <c r="C2" s="57" t="s">
        <v>89</v>
      </c>
      <c r="D2" s="57"/>
      <c r="E2" s="57"/>
      <c r="F2" s="57"/>
      <c r="G2" s="9" t="s">
        <v>82</v>
      </c>
      <c r="H2" s="57" t="s">
        <v>9</v>
      </c>
      <c r="I2" s="57"/>
      <c r="J2" s="43" t="s">
        <v>84</v>
      </c>
      <c r="K2" s="57" t="s">
        <v>85</v>
      </c>
      <c r="L2" s="57"/>
      <c r="M2" s="57"/>
      <c r="N2" s="11" t="s">
        <v>60</v>
      </c>
      <c r="O2" s="57" t="s">
        <v>83</v>
      </c>
      <c r="P2" s="57"/>
      <c r="Q2" s="44" t="s">
        <v>86</v>
      </c>
      <c r="R2" s="57" t="s">
        <v>87</v>
      </c>
      <c r="S2" s="57"/>
      <c r="T2" s="57"/>
      <c r="U2" s="57"/>
    </row>
    <row r="3" spans="1:33" ht="12" x14ac:dyDescent="0.3">
      <c r="AG3" s="31"/>
    </row>
    <row r="4" spans="1:33" ht="25.8" x14ac:dyDescent="0.3">
      <c r="A4" s="59" t="s">
        <v>45</v>
      </c>
      <c r="B4" s="59" t="s">
        <v>109</v>
      </c>
      <c r="C4" s="59"/>
      <c r="D4" s="59"/>
      <c r="E4" s="59"/>
      <c r="F4" s="59"/>
      <c r="G4" s="59"/>
      <c r="H4" s="59"/>
      <c r="I4" s="59"/>
      <c r="J4" s="59"/>
      <c r="K4" s="59"/>
      <c r="L4" s="59"/>
      <c r="M4" s="59"/>
      <c r="N4" s="59"/>
      <c r="O4" s="59"/>
      <c r="P4" s="59"/>
      <c r="Q4" s="59"/>
      <c r="R4" s="59"/>
      <c r="S4" s="59"/>
      <c r="T4" s="59"/>
      <c r="U4" s="59"/>
      <c r="V4" s="59"/>
      <c r="W4" s="59"/>
      <c r="X4" s="59"/>
      <c r="Y4" s="59"/>
      <c r="Z4" s="59"/>
      <c r="AA4" s="59"/>
      <c r="AB4" s="59"/>
      <c r="AC4" s="59"/>
      <c r="AD4" s="59"/>
      <c r="AE4" s="59"/>
      <c r="AF4" s="59"/>
      <c r="AG4" s="59">
        <f>AnnéeCalendrier</f>
        <v>2023</v>
      </c>
    </row>
    <row r="5" spans="1:33" ht="12" x14ac:dyDescent="0.3">
      <c r="A5" s="59"/>
      <c r="B5" s="47" t="str">
        <f>TEXT(WEEKDAY(DATE(AnnéeCalendrier,4,1),1),"jjj")</f>
        <v>sam</v>
      </c>
      <c r="C5" s="32" t="str">
        <f>TEXT(WEEKDAY(DATE(AnnéeCalendrier,4,2),1),"jjj")</f>
        <v>dim</v>
      </c>
      <c r="D5" s="32" t="str">
        <f>TEXT(WEEKDAY(DATE(AnnéeCalendrier,4,3),1),"jjj")</f>
        <v>lun</v>
      </c>
      <c r="E5" s="32" t="str">
        <f>TEXT(WEEKDAY(DATE(AnnéeCalendrier,4,4),1),"jjj")</f>
        <v>mar</v>
      </c>
      <c r="F5" s="32" t="str">
        <f>TEXT(WEEKDAY(DATE(AnnéeCalendrier,4,5),1),"jjj")</f>
        <v>mer</v>
      </c>
      <c r="G5" s="32" t="str">
        <f>TEXT(WEEKDAY(DATE(AnnéeCalendrier,4,6),1),"jjj")</f>
        <v>jeu</v>
      </c>
      <c r="H5" s="32" t="str">
        <f>TEXT(WEEKDAY(DATE(AnnéeCalendrier,4,7),1),"jjj")</f>
        <v>ven</v>
      </c>
      <c r="I5" s="32" t="str">
        <f>TEXT(WEEKDAY(DATE(AnnéeCalendrier,4,8),1),"jjj")</f>
        <v>sam</v>
      </c>
      <c r="J5" s="32" t="str">
        <f>TEXT(WEEKDAY(DATE(AnnéeCalendrier,4,9),1),"jjj")</f>
        <v>dim</v>
      </c>
      <c r="K5" s="32" t="str">
        <f>TEXT(WEEKDAY(DATE(AnnéeCalendrier,4,10),1),"jjj")</f>
        <v>lun</v>
      </c>
      <c r="L5" s="32" t="str">
        <f>TEXT(WEEKDAY(DATE(AnnéeCalendrier,4,11),1),"jjj")</f>
        <v>mar</v>
      </c>
      <c r="M5" s="32" t="str">
        <f>TEXT(WEEKDAY(DATE(AnnéeCalendrier,4,12),1),"jjj")</f>
        <v>mer</v>
      </c>
      <c r="N5" s="32" t="str">
        <f>TEXT(WEEKDAY(DATE(AnnéeCalendrier,4,13),1),"jjj")</f>
        <v>jeu</v>
      </c>
      <c r="O5" s="32" t="str">
        <f>TEXT(WEEKDAY(DATE(AnnéeCalendrier,4,14),1),"jjj")</f>
        <v>ven</v>
      </c>
      <c r="P5" s="32" t="str">
        <f>TEXT(WEEKDAY(DATE(AnnéeCalendrier,4,15),1),"jjj")</f>
        <v>sam</v>
      </c>
      <c r="Q5" s="32" t="str">
        <f>TEXT(WEEKDAY(DATE(AnnéeCalendrier,4,16),1),"jjj")</f>
        <v>dim</v>
      </c>
      <c r="R5" s="32" t="str">
        <f>TEXT(WEEKDAY(DATE(AnnéeCalendrier,4,17),1),"jjj")</f>
        <v>lun</v>
      </c>
      <c r="S5" s="32" t="str">
        <f>TEXT(WEEKDAY(DATE(AnnéeCalendrier,4,18),1),"jjj")</f>
        <v>mar</v>
      </c>
      <c r="T5" s="32" t="str">
        <f>TEXT(WEEKDAY(DATE(AnnéeCalendrier,4,19),1),"jjj")</f>
        <v>mer</v>
      </c>
      <c r="U5" s="32" t="str">
        <f>TEXT(WEEKDAY(DATE(AnnéeCalendrier,4,20),1),"jjj")</f>
        <v>jeu</v>
      </c>
      <c r="V5" s="32" t="str">
        <f>TEXT(WEEKDAY(DATE(AnnéeCalendrier,4,21),1),"jjj")</f>
        <v>ven</v>
      </c>
      <c r="W5" s="32" t="str">
        <f>TEXT(WEEKDAY(DATE(AnnéeCalendrier,4,22),1),"jjj")</f>
        <v>sam</v>
      </c>
      <c r="X5" s="32" t="str">
        <f>TEXT(WEEKDAY(DATE(AnnéeCalendrier,4,23),1),"jjj")</f>
        <v>dim</v>
      </c>
      <c r="Y5" s="32" t="str">
        <f>TEXT(WEEKDAY(DATE(AnnéeCalendrier,4,24),1),"jjj")</f>
        <v>lun</v>
      </c>
      <c r="Z5" s="32" t="str">
        <f>TEXT(WEEKDAY(DATE(AnnéeCalendrier,4,25),1),"jjj")</f>
        <v>mar</v>
      </c>
      <c r="AA5" s="32" t="str">
        <f>TEXT(WEEKDAY(DATE(AnnéeCalendrier,4,26),1),"jjj")</f>
        <v>mer</v>
      </c>
      <c r="AB5" s="32" t="str">
        <f>TEXT(WEEKDAY(DATE(AnnéeCalendrier,4,27),1),"jjj")</f>
        <v>jeu</v>
      </c>
      <c r="AC5" s="32" t="str">
        <f>TEXT(WEEKDAY(DATE(AnnéeCalendrier,4,28),1),"jjj")</f>
        <v>ven</v>
      </c>
      <c r="AD5" s="32" t="str">
        <f>TEXT(WEEKDAY(DATE(AnnéeCalendrier,4,29),1),"jjj")</f>
        <v>sam</v>
      </c>
      <c r="AE5" s="32" t="str">
        <f>TEXT(WEEKDAY(DATE(AnnéeCalendrier,4,30),1),"jjj")</f>
        <v>dim</v>
      </c>
      <c r="AF5" s="32"/>
      <c r="AG5" s="59"/>
    </row>
    <row r="6" spans="1:33" ht="24" x14ac:dyDescent="0.3">
      <c r="A6" s="45" t="s">
        <v>2</v>
      </c>
      <c r="B6" s="46" t="s">
        <v>8</v>
      </c>
      <c r="C6" s="46" t="s">
        <v>10</v>
      </c>
      <c r="D6" s="46" t="s">
        <v>11</v>
      </c>
      <c r="E6" s="46" t="s">
        <v>12</v>
      </c>
      <c r="F6" s="46" t="s">
        <v>13</v>
      </c>
      <c r="G6" s="46" t="s">
        <v>14</v>
      </c>
      <c r="H6" s="46" t="s">
        <v>15</v>
      </c>
      <c r="I6" s="46" t="s">
        <v>16</v>
      </c>
      <c r="J6" s="46" t="s">
        <v>17</v>
      </c>
      <c r="K6" s="46" t="s">
        <v>18</v>
      </c>
      <c r="L6" s="46" t="s">
        <v>19</v>
      </c>
      <c r="M6" s="46" t="s">
        <v>20</v>
      </c>
      <c r="N6" s="46" t="s">
        <v>21</v>
      </c>
      <c r="O6" s="46" t="s">
        <v>22</v>
      </c>
      <c r="P6" s="46" t="s">
        <v>23</v>
      </c>
      <c r="Q6" s="46" t="s">
        <v>24</v>
      </c>
      <c r="R6" s="46" t="s">
        <v>25</v>
      </c>
      <c r="S6" s="46" t="s">
        <v>26</v>
      </c>
      <c r="T6" s="46" t="s">
        <v>27</v>
      </c>
      <c r="U6" s="46" t="s">
        <v>28</v>
      </c>
      <c r="V6" s="46" t="s">
        <v>29</v>
      </c>
      <c r="W6" s="46" t="s">
        <v>30</v>
      </c>
      <c r="X6" s="46" t="s">
        <v>31</v>
      </c>
      <c r="Y6" s="46" t="s">
        <v>32</v>
      </c>
      <c r="Z6" s="46" t="s">
        <v>33</v>
      </c>
      <c r="AA6" s="46" t="s">
        <v>34</v>
      </c>
      <c r="AB6" s="46" t="s">
        <v>35</v>
      </c>
      <c r="AC6" s="46" t="s">
        <v>36</v>
      </c>
      <c r="AD6" s="46" t="s">
        <v>37</v>
      </c>
      <c r="AE6" s="46" t="s">
        <v>38</v>
      </c>
      <c r="AF6" s="46" t="s">
        <v>42</v>
      </c>
      <c r="AG6" s="35" t="s">
        <v>107</v>
      </c>
    </row>
    <row r="7" spans="1:33" ht="15" customHeight="1" x14ac:dyDescent="0.3">
      <c r="A7" s="36" t="s">
        <v>3</v>
      </c>
      <c r="B7" s="34"/>
      <c r="C7" s="34"/>
      <c r="D7" s="34"/>
      <c r="E7" s="34"/>
      <c r="F7" s="34"/>
      <c r="G7" s="34"/>
      <c r="H7" s="34"/>
      <c r="I7" s="34"/>
      <c r="J7" s="34"/>
      <c r="K7" s="34"/>
      <c r="L7" s="34"/>
      <c r="M7" s="34"/>
      <c r="N7" s="34"/>
      <c r="O7" s="34"/>
      <c r="P7" s="34"/>
      <c r="Q7" s="34"/>
      <c r="R7" s="34"/>
      <c r="S7" s="34"/>
      <c r="T7" s="34"/>
      <c r="U7" s="34"/>
      <c r="V7" s="34"/>
      <c r="W7" s="34"/>
      <c r="X7" s="34"/>
      <c r="Y7" s="34"/>
      <c r="Z7" s="34"/>
      <c r="AA7" s="34"/>
      <c r="AB7" s="34"/>
      <c r="AC7" s="34"/>
      <c r="AD7" s="34"/>
      <c r="AE7" s="34"/>
      <c r="AF7" s="34"/>
      <c r="AG7" s="18">
        <f>COUNTIF(Janvier[[#This Row],[1]:[31]],Paramétrage!G3)*Paramétrage!I3+COUNTIF(Janvier[[#This Row],[1]:[31]],Paramétrage!G4)*Paramétrage!I4+COUNTIF(Janvier[[#This Row],[1]:[31]],Paramétrage!G5)*Paramétrage!I5+COUNTIF(Janvier[[#This Row],[1]:[31]],Paramétrage!G6)*Paramétrage!I6+COUNTIF(Janvier[[#This Row],[1]:[31]],Paramétrage!G7)*Paramétrage!I7+COUNTIF(Janvier[[#This Row],[1]:[31]],Paramétrage!G8)*Paramétrage!I8+COUNTIF(Janvier[[#This Row],[1]:[31]],Paramétrage!G9)*Paramétrage!I9+COUNTIF(Janvier[[#This Row],[1]:[31]],Paramétrage!G10)*Paramétrage!I10+COUNTIF(Janvier[[#This Row],[1]:[31]],Paramétrage!G11)*Paramétrage!I11+COUNTIF(Janvier[[#This Row],[1]:[31]],Paramétrage!G12)*Paramétrage!I12+COUNTIF(Janvier[[#This Row],[1]:[31]],Paramétrage!G13)*Paramétrage!I13+COUNTIF(Janvier[[#This Row],[1]:[31]],Paramétrage!G14*Paramétrage!I14+COUNTIF(Janvier[[#This Row],[1]:[31]],Paramétrage!G15)*Paramétrage!I15+COUNTIF(Janvier[[#This Row],[1]:[31]],Paramétrage!G16)*Paramétrage!I16)</f>
        <v>0</v>
      </c>
    </row>
    <row r="8" spans="1:33" ht="15" customHeight="1" x14ac:dyDescent="0.3">
      <c r="A8" s="36" t="s">
        <v>4</v>
      </c>
      <c r="B8" s="34"/>
      <c r="C8" s="34"/>
      <c r="D8" s="34"/>
      <c r="E8" s="34"/>
      <c r="F8" s="34"/>
      <c r="G8" s="34"/>
      <c r="H8" s="34"/>
      <c r="I8" s="34"/>
      <c r="J8" s="34"/>
      <c r="K8" s="34"/>
      <c r="L8" s="34"/>
      <c r="M8" s="34"/>
      <c r="N8" s="34"/>
      <c r="O8" s="34"/>
      <c r="P8" s="34"/>
      <c r="Q8" s="34"/>
      <c r="R8" s="34"/>
      <c r="S8" s="34"/>
      <c r="T8" s="34"/>
      <c r="U8" s="34"/>
      <c r="V8" s="34"/>
      <c r="W8" s="34"/>
      <c r="X8" s="34"/>
      <c r="Y8" s="34"/>
      <c r="Z8" s="34"/>
      <c r="AA8" s="34"/>
      <c r="AB8" s="34"/>
      <c r="AC8" s="34"/>
      <c r="AD8" s="34"/>
      <c r="AE8" s="34"/>
      <c r="AF8" s="34"/>
      <c r="AG8" s="18">
        <f>COUNTIF(Janvier[[#This Row],[1]:[31]],Paramétrage!G4)*Paramétrage!I4+COUNTIF(Janvier[[#This Row],[1]:[31]],Paramétrage!G5)*Paramétrage!I5+COUNTIF(Janvier[[#This Row],[1]:[31]],Paramétrage!G6)*Paramétrage!I6+COUNTIF(Janvier[[#This Row],[1]:[31]],Paramétrage!G7)*Paramétrage!I7+COUNTIF(Janvier[[#This Row],[1]:[31]],Paramétrage!G8)*Paramétrage!I8+COUNTIF(Janvier[[#This Row],[1]:[31]],Paramétrage!G9)*Paramétrage!I9+COUNTIF(Janvier[[#This Row],[1]:[31]],Paramétrage!G10)*Paramétrage!I10+COUNTIF(Janvier[[#This Row],[1]:[31]],Paramétrage!G11)*Paramétrage!I11+COUNTIF(Janvier[[#This Row],[1]:[31]],Paramétrage!G12)*Paramétrage!I12+COUNTIF(Janvier[[#This Row],[1]:[31]],Paramétrage!G13)*Paramétrage!I13+COUNTIF(Janvier[[#This Row],[1]:[31]],Paramétrage!G14)*Paramétrage!I14+COUNTIF(Janvier[[#This Row],[1]:[31]],Paramétrage!G15*Paramétrage!I15+COUNTIF(Janvier[[#This Row],[1]:[31]],Paramétrage!G16)*Paramétrage!I16+COUNTIF(Janvier[[#This Row],[1]:[31]],Paramétrage!G17)*Paramétrage!I17)</f>
        <v>0</v>
      </c>
    </row>
    <row r="9" spans="1:33" ht="15" customHeight="1" x14ac:dyDescent="0.3">
      <c r="A9" s="36" t="s">
        <v>5</v>
      </c>
      <c r="B9" s="34"/>
      <c r="C9" s="34"/>
      <c r="D9" s="34"/>
      <c r="E9" s="34"/>
      <c r="F9" s="34"/>
      <c r="G9" s="34"/>
      <c r="H9" s="34"/>
      <c r="I9" s="34"/>
      <c r="J9" s="34"/>
      <c r="K9" s="34"/>
      <c r="L9" s="34"/>
      <c r="M9" s="34"/>
      <c r="N9" s="34"/>
      <c r="O9" s="34"/>
      <c r="P9" s="34"/>
      <c r="Q9" s="34"/>
      <c r="R9" s="34"/>
      <c r="S9" s="34"/>
      <c r="T9" s="34"/>
      <c r="U9" s="34"/>
      <c r="V9" s="34"/>
      <c r="W9" s="34"/>
      <c r="X9" s="34"/>
      <c r="Y9" s="34"/>
      <c r="Z9" s="34"/>
      <c r="AA9" s="34"/>
      <c r="AB9" s="34"/>
      <c r="AC9" s="34"/>
      <c r="AD9" s="34"/>
      <c r="AE9" s="34"/>
      <c r="AF9" s="34"/>
      <c r="AG9" s="18">
        <f>COUNTIF(Janvier[[#This Row],[1]:[31]],Paramétrage!G5)*Paramétrage!I5+COUNTIF(Janvier[[#This Row],[1]:[31]],Paramétrage!G6)*Paramétrage!I6+COUNTIF(Janvier[[#This Row],[1]:[31]],Paramétrage!G7)*Paramétrage!I7+COUNTIF(Janvier[[#This Row],[1]:[31]],Paramétrage!G8)*Paramétrage!I8+COUNTIF(Janvier[[#This Row],[1]:[31]],Paramétrage!G9)*Paramétrage!I9+COUNTIF(Janvier[[#This Row],[1]:[31]],Paramétrage!G10)*Paramétrage!I10+COUNTIF(Janvier[[#This Row],[1]:[31]],Paramétrage!G11)*Paramétrage!I11+COUNTIF(Janvier[[#This Row],[1]:[31]],Paramétrage!G12)*Paramétrage!I12+COUNTIF(Janvier[[#This Row],[1]:[31]],Paramétrage!G13)*Paramétrage!I13+COUNTIF(Janvier[[#This Row],[1]:[31]],Paramétrage!G14)*Paramétrage!I14+COUNTIF(Janvier[[#This Row],[1]:[31]],Paramétrage!G15)*Paramétrage!I15+COUNTIF(Janvier[[#This Row],[1]:[31]],Paramétrage!G16*Paramétrage!I16+COUNTIF(Janvier[[#This Row],[1]:[31]],Paramétrage!G17)*Paramétrage!I17+COUNTIF(Janvier[[#This Row],[1]:[31]],Paramétrage!G18)*Paramétrage!I18)</f>
        <v>0</v>
      </c>
    </row>
    <row r="10" spans="1:33" ht="15" customHeight="1" x14ac:dyDescent="0.3">
      <c r="A10" s="36" t="s">
        <v>6</v>
      </c>
      <c r="B10" s="34"/>
      <c r="C10" s="34"/>
      <c r="D10" s="34"/>
      <c r="E10" s="34"/>
      <c r="F10" s="34"/>
      <c r="G10" s="34"/>
      <c r="H10" s="34"/>
      <c r="I10" s="34"/>
      <c r="J10" s="34"/>
      <c r="K10" s="34"/>
      <c r="L10" s="34"/>
      <c r="M10" s="34"/>
      <c r="N10" s="34"/>
      <c r="O10" s="34"/>
      <c r="P10" s="34"/>
      <c r="Q10" s="34"/>
      <c r="R10" s="34"/>
      <c r="S10" s="34"/>
      <c r="T10" s="34"/>
      <c r="U10" s="34"/>
      <c r="V10" s="34"/>
      <c r="W10" s="34"/>
      <c r="X10" s="34"/>
      <c r="Y10" s="34"/>
      <c r="Z10" s="34"/>
      <c r="AA10" s="34"/>
      <c r="AB10" s="34"/>
      <c r="AC10" s="34"/>
      <c r="AD10" s="34"/>
      <c r="AE10" s="34"/>
      <c r="AF10" s="34"/>
      <c r="AG10" s="18">
        <f>COUNTIF(Janvier[[#This Row],[1]:[31]],Paramétrage!G6)*Paramétrage!I6+COUNTIF(Janvier[[#This Row],[1]:[31]],Paramétrage!G7)*Paramétrage!I7+COUNTIF(Janvier[[#This Row],[1]:[31]],Paramétrage!G8)*Paramétrage!I8+COUNTIF(Janvier[[#This Row],[1]:[31]],Paramétrage!G9)*Paramétrage!I9+COUNTIF(Janvier[[#This Row],[1]:[31]],Paramétrage!G10)*Paramétrage!I10+COUNTIF(Janvier[[#This Row],[1]:[31]],Paramétrage!G11)*Paramétrage!I11+COUNTIF(Janvier[[#This Row],[1]:[31]],Paramétrage!G12)*Paramétrage!I12+COUNTIF(Janvier[[#This Row],[1]:[31]],Paramétrage!G13)*Paramétrage!I13+COUNTIF(Janvier[[#This Row],[1]:[31]],Paramétrage!G14)*Paramétrage!I14+COUNTIF(Janvier[[#This Row],[1]:[31]],Paramétrage!G15)*Paramétrage!I15+COUNTIF(Janvier[[#This Row],[1]:[31]],Paramétrage!G16)*Paramétrage!I16+COUNTIF(Janvier[[#This Row],[1]:[31]],Paramétrage!G17*Paramétrage!I17+COUNTIF(Janvier[[#This Row],[1]:[31]],Paramétrage!G18)*Paramétrage!I18+COUNTIF(Janvier[[#This Row],[1]:[31]],Paramétrage!G19)*Paramétrage!I19)</f>
        <v>0</v>
      </c>
    </row>
    <row r="11" spans="1:33" ht="15" customHeight="1" x14ac:dyDescent="0.3">
      <c r="A11" s="36" t="s">
        <v>7</v>
      </c>
      <c r="B11" s="34"/>
      <c r="C11" s="34"/>
      <c r="D11" s="34"/>
      <c r="E11" s="34"/>
      <c r="F11" s="34"/>
      <c r="G11" s="34"/>
      <c r="H11" s="34"/>
      <c r="I11" s="34"/>
      <c r="J11" s="34"/>
      <c r="K11" s="34"/>
      <c r="L11" s="34"/>
      <c r="M11" s="34"/>
      <c r="N11" s="34"/>
      <c r="O11" s="34"/>
      <c r="P11" s="34"/>
      <c r="Q11" s="34"/>
      <c r="R11" s="34"/>
      <c r="S11" s="34"/>
      <c r="T11" s="34"/>
      <c r="U11" s="34"/>
      <c r="V11" s="34"/>
      <c r="W11" s="34"/>
      <c r="X11" s="34"/>
      <c r="Y11" s="34"/>
      <c r="Z11" s="34"/>
      <c r="AA11" s="34"/>
      <c r="AB11" s="34"/>
      <c r="AC11" s="34"/>
      <c r="AD11" s="34"/>
      <c r="AE11" s="34"/>
      <c r="AF11" s="34"/>
      <c r="AG11" s="18">
        <f>COUNTIF(Janvier[[#This Row],[1]:[31]],Paramétrage!G7)*Paramétrage!I7+COUNTIF(Janvier[[#This Row],[1]:[31]],Paramétrage!G8)*Paramétrage!I8+COUNTIF(Janvier[[#This Row],[1]:[31]],Paramétrage!G9)*Paramétrage!I9+COUNTIF(Janvier[[#This Row],[1]:[31]],Paramétrage!G10)*Paramétrage!I10+COUNTIF(Janvier[[#This Row],[1]:[31]],Paramétrage!G11)*Paramétrage!I11+COUNTIF(Janvier[[#This Row],[1]:[31]],Paramétrage!G12)*Paramétrage!I12+COUNTIF(Janvier[[#This Row],[1]:[31]],Paramétrage!G13)*Paramétrage!I13+COUNTIF(Janvier[[#This Row],[1]:[31]],Paramétrage!G14)*Paramétrage!I14+COUNTIF(Janvier[[#This Row],[1]:[31]],Paramétrage!G15)*Paramétrage!I15+COUNTIF(Janvier[[#This Row],[1]:[31]],Paramétrage!G16)*Paramétrage!I16+COUNTIF(Janvier[[#This Row],[1]:[31]],Paramétrage!G17)*Paramétrage!I17+COUNTIF(Janvier[[#This Row],[1]:[31]],Paramétrage!G18*Paramétrage!I18+COUNTIF(Janvier[[#This Row],[1]:[31]],Paramétrage!G19)*Paramétrage!I19+COUNTIF(Janvier[[#This Row],[1]:[31]],Paramétrage!G20)*Paramétrage!I20)</f>
        <v>0</v>
      </c>
    </row>
    <row r="12" spans="1:33" ht="15" customHeight="1" x14ac:dyDescent="0.3">
      <c r="A12" s="36" t="s">
        <v>55</v>
      </c>
      <c r="B12" s="34"/>
      <c r="C12" s="34"/>
      <c r="D12" s="34"/>
      <c r="E12" s="34"/>
      <c r="F12" s="34"/>
      <c r="G12" s="34"/>
      <c r="H12" s="34"/>
      <c r="I12" s="34"/>
      <c r="J12" s="34"/>
      <c r="K12" s="34"/>
      <c r="L12" s="34"/>
      <c r="M12" s="34"/>
      <c r="N12" s="34"/>
      <c r="O12" s="34"/>
      <c r="P12" s="34"/>
      <c r="Q12" s="34"/>
      <c r="R12" s="34"/>
      <c r="S12" s="34"/>
      <c r="T12" s="34"/>
      <c r="U12" s="34"/>
      <c r="V12" s="34"/>
      <c r="W12" s="34"/>
      <c r="X12" s="34"/>
      <c r="Y12" s="34"/>
      <c r="Z12" s="34"/>
      <c r="AA12" s="34"/>
      <c r="AB12" s="34"/>
      <c r="AC12" s="34"/>
      <c r="AD12" s="34"/>
      <c r="AE12" s="34"/>
      <c r="AF12" s="34"/>
      <c r="AG12" s="18">
        <f>COUNTIF(Janvier[[#This Row],[1]:[31]],Paramétrage!G8)*Paramétrage!I8+COUNTIF(Janvier[[#This Row],[1]:[31]],Paramétrage!G9)*Paramétrage!I9+COUNTIF(Janvier[[#This Row],[1]:[31]],Paramétrage!G10)*Paramétrage!I10+COUNTIF(Janvier[[#This Row],[1]:[31]],Paramétrage!G11)*Paramétrage!I11+COUNTIF(Janvier[[#This Row],[1]:[31]],Paramétrage!G12)*Paramétrage!I12+COUNTIF(Janvier[[#This Row],[1]:[31]],Paramétrage!G13)*Paramétrage!I13+COUNTIF(Janvier[[#This Row],[1]:[31]],Paramétrage!G14)*Paramétrage!I14+COUNTIF(Janvier[[#This Row],[1]:[31]],Paramétrage!G15)*Paramétrage!I15+COUNTIF(Janvier[[#This Row],[1]:[31]],Paramétrage!G16)*Paramétrage!I16+COUNTIF(Janvier[[#This Row],[1]:[31]],Paramétrage!G17)*Paramétrage!I17+COUNTIF(Janvier[[#This Row],[1]:[31]],Paramétrage!G18)*Paramétrage!I18+COUNTIF(Janvier[[#This Row],[1]:[31]],Paramétrage!G19*Paramétrage!I19+COUNTIF(Janvier[[#This Row],[1]:[31]],Paramétrage!G20)*Paramétrage!I20+COUNTIF(Janvier[[#This Row],[1]:[31]],Paramétrage!G21)*Paramétrage!I21)</f>
        <v>0</v>
      </c>
    </row>
    <row r="13" spans="1:33" ht="15" customHeight="1" x14ac:dyDescent="0.3">
      <c r="A13" s="36" t="s">
        <v>56</v>
      </c>
      <c r="B13" s="34"/>
      <c r="C13" s="34"/>
      <c r="D13" s="34"/>
      <c r="E13" s="34"/>
      <c r="F13" s="34"/>
      <c r="G13" s="34"/>
      <c r="H13" s="34"/>
      <c r="I13" s="34"/>
      <c r="J13" s="34"/>
      <c r="K13" s="34"/>
      <c r="L13" s="34"/>
      <c r="M13" s="34"/>
      <c r="N13" s="34"/>
      <c r="O13" s="34"/>
      <c r="P13" s="34"/>
      <c r="Q13" s="34"/>
      <c r="R13" s="34"/>
      <c r="S13" s="34"/>
      <c r="T13" s="34"/>
      <c r="U13" s="34"/>
      <c r="V13" s="34"/>
      <c r="W13" s="34"/>
      <c r="X13" s="34"/>
      <c r="Y13" s="34"/>
      <c r="Z13" s="34"/>
      <c r="AA13" s="34"/>
      <c r="AB13" s="34"/>
      <c r="AC13" s="34"/>
      <c r="AD13" s="34"/>
      <c r="AE13" s="34"/>
      <c r="AF13" s="34"/>
      <c r="AG13" s="18">
        <f>COUNTIF(Janvier[[#This Row],[1]:[31]],Paramétrage!G9)*Paramétrage!I9+COUNTIF(Janvier[[#This Row],[1]:[31]],Paramétrage!G10)*Paramétrage!I10+COUNTIF(Janvier[[#This Row],[1]:[31]],Paramétrage!G11)*Paramétrage!I11+COUNTIF(Janvier[[#This Row],[1]:[31]],Paramétrage!G12)*Paramétrage!I12+COUNTIF(Janvier[[#This Row],[1]:[31]],Paramétrage!G13)*Paramétrage!I13+COUNTIF(Janvier[[#This Row],[1]:[31]],Paramétrage!G14)*Paramétrage!I14+COUNTIF(Janvier[[#This Row],[1]:[31]],Paramétrage!G15)*Paramétrage!I15+COUNTIF(Janvier[[#This Row],[1]:[31]],Paramétrage!G16)*Paramétrage!I16+COUNTIF(Janvier[[#This Row],[1]:[31]],Paramétrage!G17)*Paramétrage!I17+COUNTIF(Janvier[[#This Row],[1]:[31]],Paramétrage!G18)*Paramétrage!I18+COUNTIF(Janvier[[#This Row],[1]:[31]],Paramétrage!G19)*Paramétrage!I19+COUNTIF(Janvier[[#This Row],[1]:[31]],Paramétrage!G20*Paramétrage!I20+COUNTIF(Janvier[[#This Row],[1]:[31]],Paramétrage!G21)*Paramétrage!I21+COUNTIF(Janvier[[#This Row],[1]:[31]],Paramétrage!G22)*Paramétrage!I22)</f>
        <v>0</v>
      </c>
    </row>
    <row r="14" spans="1:33" ht="15" customHeight="1" x14ac:dyDescent="0.3">
      <c r="A14" s="36" t="s">
        <v>57</v>
      </c>
      <c r="B14" s="34"/>
      <c r="C14" s="34"/>
      <c r="D14" s="34"/>
      <c r="E14" s="34"/>
      <c r="F14" s="34"/>
      <c r="G14" s="34"/>
      <c r="H14" s="34"/>
      <c r="I14" s="34"/>
      <c r="J14" s="34"/>
      <c r="K14" s="34"/>
      <c r="L14" s="34"/>
      <c r="M14" s="34"/>
      <c r="N14" s="34"/>
      <c r="O14" s="34"/>
      <c r="P14" s="34"/>
      <c r="Q14" s="34"/>
      <c r="R14" s="34"/>
      <c r="S14" s="34"/>
      <c r="T14" s="34"/>
      <c r="U14" s="34"/>
      <c r="V14" s="34"/>
      <c r="W14" s="34"/>
      <c r="X14" s="34"/>
      <c r="Y14" s="34"/>
      <c r="Z14" s="34"/>
      <c r="AA14" s="34"/>
      <c r="AB14" s="34"/>
      <c r="AC14" s="34"/>
      <c r="AD14" s="34"/>
      <c r="AE14" s="34"/>
      <c r="AF14" s="34"/>
      <c r="AG14" s="18">
        <f>COUNTIF(Janvier[[#This Row],[1]:[31]],Paramétrage!G10)*Paramétrage!I10+COUNTIF(Janvier[[#This Row],[1]:[31]],Paramétrage!G11)*Paramétrage!I11+COUNTIF(Janvier[[#This Row],[1]:[31]],Paramétrage!G12)*Paramétrage!I12+COUNTIF(Janvier[[#This Row],[1]:[31]],Paramétrage!G13)*Paramétrage!I13+COUNTIF(Janvier[[#This Row],[1]:[31]],Paramétrage!G14)*Paramétrage!I14+COUNTIF(Janvier[[#This Row],[1]:[31]],Paramétrage!G15)*Paramétrage!I15+COUNTIF(Janvier[[#This Row],[1]:[31]],Paramétrage!G16)*Paramétrage!I16+COUNTIF(Janvier[[#This Row],[1]:[31]],Paramétrage!G17)*Paramétrage!I17+COUNTIF(Janvier[[#This Row],[1]:[31]],Paramétrage!G18)*Paramétrage!I18+COUNTIF(Janvier[[#This Row],[1]:[31]],Paramétrage!G19)*Paramétrage!I19+COUNTIF(Janvier[[#This Row],[1]:[31]],Paramétrage!G20)*Paramétrage!I20+COUNTIF(Janvier[[#This Row],[1]:[31]],Paramétrage!G21*Paramétrage!I21+COUNTIF(Janvier[[#This Row],[1]:[31]],Paramétrage!G22)*Paramétrage!I22+COUNTIF(Janvier[[#This Row],[1]:[31]],Paramétrage!G23)*Paramétrage!I23)</f>
        <v>0</v>
      </c>
    </row>
    <row r="15" spans="1:33" ht="15" customHeight="1" x14ac:dyDescent="0.3">
      <c r="A15" s="36" t="s">
        <v>61</v>
      </c>
      <c r="B15" s="34"/>
      <c r="C15" s="34"/>
      <c r="D15" s="34"/>
      <c r="E15" s="34"/>
      <c r="F15" s="34"/>
      <c r="G15" s="34"/>
      <c r="H15" s="34"/>
      <c r="I15" s="34"/>
      <c r="J15" s="34"/>
      <c r="K15" s="34"/>
      <c r="L15" s="34"/>
      <c r="M15" s="34"/>
      <c r="N15" s="34"/>
      <c r="O15" s="34"/>
      <c r="P15" s="34"/>
      <c r="Q15" s="34"/>
      <c r="R15" s="34"/>
      <c r="S15" s="34"/>
      <c r="T15" s="34"/>
      <c r="U15" s="34"/>
      <c r="V15" s="34"/>
      <c r="W15" s="34"/>
      <c r="X15" s="34"/>
      <c r="Y15" s="34"/>
      <c r="Z15" s="34"/>
      <c r="AA15" s="34"/>
      <c r="AB15" s="34"/>
      <c r="AC15" s="34"/>
      <c r="AD15" s="34"/>
      <c r="AE15" s="34"/>
      <c r="AF15" s="34"/>
      <c r="AG15" s="18">
        <f>COUNTIF(Janvier[[#This Row],[1]:[31]],Paramétrage!G11)*Paramétrage!I11+COUNTIF(Janvier[[#This Row],[1]:[31]],Paramétrage!G12)*Paramétrage!I12+COUNTIF(Janvier[[#This Row],[1]:[31]],Paramétrage!G13)*Paramétrage!I13+COUNTIF(Janvier[[#This Row],[1]:[31]],Paramétrage!G14)*Paramétrage!I14+COUNTIF(Janvier[[#This Row],[1]:[31]],Paramétrage!G15)*Paramétrage!I15+COUNTIF(Janvier[[#This Row],[1]:[31]],Paramétrage!G16)*Paramétrage!I16+COUNTIF(Janvier[[#This Row],[1]:[31]],Paramétrage!G17)*Paramétrage!I17+COUNTIF(Janvier[[#This Row],[1]:[31]],Paramétrage!G18)*Paramétrage!I18+COUNTIF(Janvier[[#This Row],[1]:[31]],Paramétrage!G19)*Paramétrage!I19+COUNTIF(Janvier[[#This Row],[1]:[31]],Paramétrage!G20)*Paramétrage!I20+COUNTIF(Janvier[[#This Row],[1]:[31]],Paramétrage!G21)*Paramétrage!I21+COUNTIF(Janvier[[#This Row],[1]:[31]],Paramétrage!G22*Paramétrage!I22+COUNTIF(Janvier[[#This Row],[1]:[31]],Paramétrage!G23)*Paramétrage!I23+COUNTIF(Janvier[[#This Row],[1]:[31]],Paramétrage!G24)*Paramétrage!I24)</f>
        <v>0</v>
      </c>
    </row>
    <row r="16" spans="1:33" ht="15" customHeight="1" x14ac:dyDescent="0.3">
      <c r="A16" s="36" t="s">
        <v>62</v>
      </c>
      <c r="B16" s="34"/>
      <c r="C16" s="34"/>
      <c r="D16" s="34"/>
      <c r="E16" s="34"/>
      <c r="F16" s="34"/>
      <c r="G16" s="34"/>
      <c r="H16" s="34"/>
      <c r="I16" s="34"/>
      <c r="J16" s="34"/>
      <c r="K16" s="34"/>
      <c r="L16" s="34"/>
      <c r="M16" s="34"/>
      <c r="N16" s="34"/>
      <c r="O16" s="34"/>
      <c r="P16" s="34"/>
      <c r="Q16" s="34"/>
      <c r="R16" s="34"/>
      <c r="S16" s="34"/>
      <c r="T16" s="34"/>
      <c r="U16" s="34"/>
      <c r="V16" s="34"/>
      <c r="W16" s="34"/>
      <c r="X16" s="34"/>
      <c r="Y16" s="34"/>
      <c r="Z16" s="34"/>
      <c r="AA16" s="34"/>
      <c r="AB16" s="34"/>
      <c r="AC16" s="34"/>
      <c r="AD16" s="34"/>
      <c r="AE16" s="34"/>
      <c r="AF16" s="34"/>
      <c r="AG16" s="18">
        <f>COUNTIF(Janvier[[#This Row],[1]:[31]],Paramétrage!G12)*Paramétrage!I12+COUNTIF(Janvier[[#This Row],[1]:[31]],Paramétrage!G13)*Paramétrage!I13+COUNTIF(Janvier[[#This Row],[1]:[31]],Paramétrage!G14)*Paramétrage!I14+COUNTIF(Janvier[[#This Row],[1]:[31]],Paramétrage!G15)*Paramétrage!I15+COUNTIF(Janvier[[#This Row],[1]:[31]],Paramétrage!G16)*Paramétrage!I16+COUNTIF(Janvier[[#This Row],[1]:[31]],Paramétrage!G17)*Paramétrage!I17+COUNTIF(Janvier[[#This Row],[1]:[31]],Paramétrage!G18)*Paramétrage!I18+COUNTIF(Janvier[[#This Row],[1]:[31]],Paramétrage!G19)*Paramétrage!I19+COUNTIF(Janvier[[#This Row],[1]:[31]],Paramétrage!G20)*Paramétrage!I20+COUNTIF(Janvier[[#This Row],[1]:[31]],Paramétrage!G21)*Paramétrage!I21+COUNTIF(Janvier[[#This Row],[1]:[31]],Paramétrage!G22)*Paramétrage!I22+COUNTIF(Janvier[[#This Row],[1]:[31]],Paramétrage!G23*Paramétrage!I23+COUNTIF(Janvier[[#This Row],[1]:[31]],Paramétrage!G24)*Paramétrage!I24+COUNTIF(Janvier[[#This Row],[1]:[31]],Paramétrage!G25)*Paramétrage!I25)</f>
        <v>0</v>
      </c>
    </row>
    <row r="17" spans="1:33" ht="15" customHeight="1" x14ac:dyDescent="0.3">
      <c r="A17" s="36" t="s">
        <v>63</v>
      </c>
      <c r="B17" s="34"/>
      <c r="C17" s="34"/>
      <c r="D17" s="34"/>
      <c r="E17" s="34"/>
      <c r="F17" s="34"/>
      <c r="G17" s="34"/>
      <c r="H17" s="34"/>
      <c r="I17" s="34"/>
      <c r="J17" s="34"/>
      <c r="K17" s="34"/>
      <c r="L17" s="34"/>
      <c r="M17" s="34"/>
      <c r="N17" s="34"/>
      <c r="O17" s="34"/>
      <c r="P17" s="34"/>
      <c r="Q17" s="34"/>
      <c r="R17" s="34"/>
      <c r="S17" s="34"/>
      <c r="T17" s="34"/>
      <c r="U17" s="34"/>
      <c r="V17" s="34"/>
      <c r="W17" s="34"/>
      <c r="X17" s="34"/>
      <c r="Y17" s="34"/>
      <c r="Z17" s="34"/>
      <c r="AA17" s="34"/>
      <c r="AB17" s="34"/>
      <c r="AC17" s="34"/>
      <c r="AD17" s="34"/>
      <c r="AE17" s="34"/>
      <c r="AF17" s="34"/>
      <c r="AG17" s="18">
        <f>COUNTIF(Janvier[[#This Row],[1]:[31]],Paramétrage!G13)*Paramétrage!I13+COUNTIF(Janvier[[#This Row],[1]:[31]],Paramétrage!G14)*Paramétrage!I14+COUNTIF(Janvier[[#This Row],[1]:[31]],Paramétrage!G15)*Paramétrage!I15+COUNTIF(Janvier[[#This Row],[1]:[31]],Paramétrage!G16)*Paramétrage!I16+COUNTIF(Janvier[[#This Row],[1]:[31]],Paramétrage!G17)*Paramétrage!I17+COUNTIF(Janvier[[#This Row],[1]:[31]],Paramétrage!G18)*Paramétrage!I18+COUNTIF(Janvier[[#This Row],[1]:[31]],Paramétrage!G19)*Paramétrage!I19+COUNTIF(Janvier[[#This Row],[1]:[31]],Paramétrage!G20)*Paramétrage!I20+COUNTIF(Janvier[[#This Row],[1]:[31]],Paramétrage!G21)*Paramétrage!I21+COUNTIF(Janvier[[#This Row],[1]:[31]],Paramétrage!G22)*Paramétrage!I22+COUNTIF(Janvier[[#This Row],[1]:[31]],Paramétrage!G23)*Paramétrage!I23+COUNTIF(Janvier[[#This Row],[1]:[31]],Paramétrage!G24*Paramétrage!I24+COUNTIF(Janvier[[#This Row],[1]:[31]],Paramétrage!G25)*Paramétrage!I25+COUNTIF(Janvier[[#This Row],[1]:[31]],Paramétrage!G26)*Paramétrage!I26)</f>
        <v>0</v>
      </c>
    </row>
    <row r="18" spans="1:33" ht="15" customHeight="1" x14ac:dyDescent="0.3">
      <c r="A18" s="36" t="s">
        <v>65</v>
      </c>
      <c r="B18" s="34"/>
      <c r="C18" s="34"/>
      <c r="D18" s="34"/>
      <c r="E18" s="34"/>
      <c r="F18" s="34"/>
      <c r="G18" s="34"/>
      <c r="H18" s="34"/>
      <c r="I18" s="34"/>
      <c r="J18" s="34"/>
      <c r="K18" s="34"/>
      <c r="L18" s="34"/>
      <c r="M18" s="34"/>
      <c r="N18" s="34"/>
      <c r="O18" s="34"/>
      <c r="P18" s="34"/>
      <c r="Q18" s="34"/>
      <c r="R18" s="34"/>
      <c r="S18" s="34"/>
      <c r="T18" s="34"/>
      <c r="U18" s="34"/>
      <c r="V18" s="34"/>
      <c r="W18" s="34"/>
      <c r="X18" s="34"/>
      <c r="Y18" s="34"/>
      <c r="Z18" s="34"/>
      <c r="AA18" s="34"/>
      <c r="AB18" s="34"/>
      <c r="AC18" s="34"/>
      <c r="AD18" s="34"/>
      <c r="AE18" s="34"/>
      <c r="AF18" s="34"/>
      <c r="AG18" s="18">
        <f>COUNTIF(Janvier[[#This Row],[1]:[31]],Paramétrage!G14)*Paramétrage!I14+COUNTIF(Janvier[[#This Row],[1]:[31]],Paramétrage!G15)*Paramétrage!I15+COUNTIF(Janvier[[#This Row],[1]:[31]],Paramétrage!G16)*Paramétrage!I16+COUNTIF(Janvier[[#This Row],[1]:[31]],Paramétrage!G17)*Paramétrage!I17+COUNTIF(Janvier[[#This Row],[1]:[31]],Paramétrage!G18)*Paramétrage!I18+COUNTIF(Janvier[[#This Row],[1]:[31]],Paramétrage!G19)*Paramétrage!I19+COUNTIF(Janvier[[#This Row],[1]:[31]],Paramétrage!G20)*Paramétrage!I20+COUNTIF(Janvier[[#This Row],[1]:[31]],Paramétrage!G21)*Paramétrage!I21+COUNTIF(Janvier[[#This Row],[1]:[31]],Paramétrage!G22)*Paramétrage!I22+COUNTIF(Janvier[[#This Row],[1]:[31]],Paramétrage!G23)*Paramétrage!I23+COUNTIF(Janvier[[#This Row],[1]:[31]],Paramétrage!G24)*Paramétrage!I24+COUNTIF(Janvier[[#This Row],[1]:[31]],Paramétrage!G25*Paramétrage!I25+COUNTIF(Janvier[[#This Row],[1]:[31]],Paramétrage!G26)*Paramétrage!I26+COUNTIF(Janvier[[#This Row],[1]:[31]],Paramétrage!G27)*Paramétrage!I27)</f>
        <v>0</v>
      </c>
    </row>
    <row r="19" spans="1:33" ht="15" customHeight="1" x14ac:dyDescent="0.3">
      <c r="A19" s="36" t="s">
        <v>66</v>
      </c>
      <c r="B19" s="34"/>
      <c r="C19" s="34"/>
      <c r="D19" s="34"/>
      <c r="E19" s="34"/>
      <c r="F19" s="34"/>
      <c r="G19" s="34"/>
      <c r="H19" s="34"/>
      <c r="I19" s="34"/>
      <c r="J19" s="34"/>
      <c r="K19" s="34"/>
      <c r="L19" s="34"/>
      <c r="M19" s="34"/>
      <c r="N19" s="34"/>
      <c r="O19" s="34"/>
      <c r="P19" s="34"/>
      <c r="Q19" s="34"/>
      <c r="R19" s="34"/>
      <c r="S19" s="34"/>
      <c r="T19" s="34"/>
      <c r="U19" s="34"/>
      <c r="V19" s="34"/>
      <c r="W19" s="34"/>
      <c r="X19" s="34"/>
      <c r="Y19" s="34"/>
      <c r="Z19" s="34"/>
      <c r="AA19" s="34"/>
      <c r="AB19" s="34"/>
      <c r="AC19" s="34"/>
      <c r="AD19" s="34"/>
      <c r="AE19" s="34"/>
      <c r="AF19" s="34"/>
      <c r="AG19" s="18">
        <f>COUNTIF(Janvier[[#This Row],[1]:[31]],Paramétrage!G15)*Paramétrage!I15+COUNTIF(Janvier[[#This Row],[1]:[31]],Paramétrage!G16)*Paramétrage!I16+COUNTIF(Janvier[[#This Row],[1]:[31]],Paramétrage!G17)*Paramétrage!I17+COUNTIF(Janvier[[#This Row],[1]:[31]],Paramétrage!G18)*Paramétrage!I18+COUNTIF(Janvier[[#This Row],[1]:[31]],Paramétrage!G19)*Paramétrage!I19+COUNTIF(Janvier[[#This Row],[1]:[31]],Paramétrage!G20)*Paramétrage!I20+COUNTIF(Janvier[[#This Row],[1]:[31]],Paramétrage!G21)*Paramétrage!I21+COUNTIF(Janvier[[#This Row],[1]:[31]],Paramétrage!G22)*Paramétrage!I22+COUNTIF(Janvier[[#This Row],[1]:[31]],Paramétrage!G23)*Paramétrage!I23+COUNTIF(Janvier[[#This Row],[1]:[31]],Paramétrage!G24)*Paramétrage!I24+COUNTIF(Janvier[[#This Row],[1]:[31]],Paramétrage!G25)*Paramétrage!I25+COUNTIF(Janvier[[#This Row],[1]:[31]],Paramétrage!G26*Paramétrage!I26+COUNTIF(Janvier[[#This Row],[1]:[31]],Paramétrage!G27)*Paramétrage!I27+COUNTIF(Janvier[[#This Row],[1]:[31]],Paramétrage!G28)*Paramétrage!I28)</f>
        <v>0</v>
      </c>
    </row>
    <row r="20" spans="1:33" ht="15" customHeight="1" x14ac:dyDescent="0.3">
      <c r="A20" s="36" t="s">
        <v>67</v>
      </c>
      <c r="B20" s="34"/>
      <c r="C20" s="34"/>
      <c r="D20" s="34"/>
      <c r="E20" s="34"/>
      <c r="F20" s="34"/>
      <c r="G20" s="34"/>
      <c r="H20" s="34"/>
      <c r="I20" s="34"/>
      <c r="J20" s="34"/>
      <c r="K20" s="34"/>
      <c r="L20" s="34"/>
      <c r="M20" s="34"/>
      <c r="N20" s="34"/>
      <c r="O20" s="34"/>
      <c r="P20" s="34"/>
      <c r="Q20" s="34"/>
      <c r="R20" s="34"/>
      <c r="S20" s="34"/>
      <c r="T20" s="34"/>
      <c r="U20" s="34"/>
      <c r="V20" s="34"/>
      <c r="W20" s="34"/>
      <c r="X20" s="34"/>
      <c r="Y20" s="34"/>
      <c r="Z20" s="34"/>
      <c r="AA20" s="34"/>
      <c r="AB20" s="34"/>
      <c r="AC20" s="34"/>
      <c r="AD20" s="34"/>
      <c r="AE20" s="34"/>
      <c r="AF20" s="34"/>
      <c r="AG20" s="18">
        <f>COUNTIF(Janvier[[#This Row],[1]:[31]],Paramétrage!G16)*Paramétrage!I16+COUNTIF(Janvier[[#This Row],[1]:[31]],Paramétrage!G17)*Paramétrage!I17+COUNTIF(Janvier[[#This Row],[1]:[31]],Paramétrage!G18)*Paramétrage!I18+COUNTIF(Janvier[[#This Row],[1]:[31]],Paramétrage!G19)*Paramétrage!I19+COUNTIF(Janvier[[#This Row],[1]:[31]],Paramétrage!G20)*Paramétrage!I20+COUNTIF(Janvier[[#This Row],[1]:[31]],Paramétrage!G21)*Paramétrage!I21+COUNTIF(Janvier[[#This Row],[1]:[31]],Paramétrage!G22)*Paramétrage!I22+COUNTIF(Janvier[[#This Row],[1]:[31]],Paramétrage!G23)*Paramétrage!I23+COUNTIF(Janvier[[#This Row],[1]:[31]],Paramétrage!G24)*Paramétrage!I24+COUNTIF(Janvier[[#This Row],[1]:[31]],Paramétrage!G25)*Paramétrage!I25+COUNTIF(Janvier[[#This Row],[1]:[31]],Paramétrage!G26)*Paramétrage!I26+COUNTIF(Janvier[[#This Row],[1]:[31]],Paramétrage!G27*Paramétrage!I27+COUNTIF(Janvier[[#This Row],[1]:[31]],Paramétrage!G28)*Paramétrage!I28+COUNTIF(Janvier[[#This Row],[1]:[31]],Paramétrage!G29)*Paramétrage!I29)</f>
        <v>0</v>
      </c>
    </row>
    <row r="21" spans="1:33" ht="15" customHeight="1" x14ac:dyDescent="0.3">
      <c r="A21" s="36" t="s">
        <v>68</v>
      </c>
      <c r="B21" s="34"/>
      <c r="C21" s="34"/>
      <c r="D21" s="34"/>
      <c r="E21" s="34"/>
      <c r="F21" s="34"/>
      <c r="G21" s="34"/>
      <c r="H21" s="34"/>
      <c r="I21" s="34"/>
      <c r="J21" s="34"/>
      <c r="K21" s="34"/>
      <c r="L21" s="34"/>
      <c r="M21" s="34"/>
      <c r="N21" s="34"/>
      <c r="O21" s="34"/>
      <c r="P21" s="34"/>
      <c r="Q21" s="34"/>
      <c r="R21" s="34"/>
      <c r="S21" s="34"/>
      <c r="T21" s="34"/>
      <c r="U21" s="34"/>
      <c r="V21" s="34"/>
      <c r="W21" s="34"/>
      <c r="X21" s="34"/>
      <c r="Y21" s="34"/>
      <c r="Z21" s="34"/>
      <c r="AA21" s="34"/>
      <c r="AB21" s="34"/>
      <c r="AC21" s="34"/>
      <c r="AD21" s="34"/>
      <c r="AE21" s="34"/>
      <c r="AF21" s="34"/>
      <c r="AG21" s="18">
        <f>COUNTIF(Janvier[[#This Row],[1]:[31]],Paramétrage!G17)*Paramétrage!I17+COUNTIF(Janvier[[#This Row],[1]:[31]],Paramétrage!G18)*Paramétrage!I18+COUNTIF(Janvier[[#This Row],[1]:[31]],Paramétrage!G19)*Paramétrage!I19+COUNTIF(Janvier[[#This Row],[1]:[31]],Paramétrage!G20)*Paramétrage!I20+COUNTIF(Janvier[[#This Row],[1]:[31]],Paramétrage!G21)*Paramétrage!I21+COUNTIF(Janvier[[#This Row],[1]:[31]],Paramétrage!G22)*Paramétrage!I22+COUNTIF(Janvier[[#This Row],[1]:[31]],Paramétrage!G23)*Paramétrage!I23+COUNTIF(Janvier[[#This Row],[1]:[31]],Paramétrage!G24)*Paramétrage!I24+COUNTIF(Janvier[[#This Row],[1]:[31]],Paramétrage!G25)*Paramétrage!I25+COUNTIF(Janvier[[#This Row],[1]:[31]],Paramétrage!G26)*Paramétrage!I26+COUNTIF(Janvier[[#This Row],[1]:[31]],Paramétrage!G27)*Paramétrage!I27+COUNTIF(Janvier[[#This Row],[1]:[31]],Paramétrage!G28*Paramétrage!I28+COUNTIF(Janvier[[#This Row],[1]:[31]],Paramétrage!G29)*Paramétrage!I29+COUNTIF(Janvier[[#This Row],[1]:[31]],Paramétrage!G30)*Paramétrage!I30)</f>
        <v>0</v>
      </c>
    </row>
    <row r="22" spans="1:33" ht="15" customHeight="1" x14ac:dyDescent="0.3">
      <c r="A22" s="36" t="s">
        <v>91</v>
      </c>
      <c r="B22" s="37"/>
      <c r="C22" s="37"/>
      <c r="D22" s="37"/>
      <c r="E22" s="37"/>
      <c r="F22" s="37"/>
      <c r="G22" s="37"/>
      <c r="H22" s="37"/>
      <c r="I22" s="37"/>
      <c r="J22" s="37"/>
      <c r="K22" s="37"/>
      <c r="L22" s="37"/>
      <c r="M22" s="37"/>
      <c r="N22" s="37"/>
      <c r="O22" s="37"/>
      <c r="P22" s="37"/>
      <c r="Q22" s="37"/>
      <c r="R22" s="37"/>
      <c r="S22" s="37"/>
      <c r="T22" s="37"/>
      <c r="U22" s="37"/>
      <c r="V22" s="37"/>
      <c r="W22" s="37"/>
      <c r="X22" s="37"/>
      <c r="Y22" s="37"/>
      <c r="Z22" s="37"/>
      <c r="AA22" s="37"/>
      <c r="AB22" s="37"/>
      <c r="AC22" s="37"/>
      <c r="AD22" s="37"/>
      <c r="AE22" s="37"/>
      <c r="AF22" s="37"/>
      <c r="AG22" s="18">
        <f>COUNTIF(Janvier[[#This Row],[1]:[31]],Paramétrage!G18)*Paramétrage!I18+COUNTIF(Janvier[[#This Row],[1]:[31]],Paramétrage!G19)*Paramétrage!I19+COUNTIF(Janvier[[#This Row],[1]:[31]],Paramétrage!G20)*Paramétrage!I20+COUNTIF(Janvier[[#This Row],[1]:[31]],Paramétrage!G21)*Paramétrage!I21+COUNTIF(Janvier[[#This Row],[1]:[31]],Paramétrage!G22)*Paramétrage!I22+COUNTIF(Janvier[[#This Row],[1]:[31]],Paramétrage!G23)*Paramétrage!I23+COUNTIF(Janvier[[#This Row],[1]:[31]],Paramétrage!G24)*Paramétrage!I24+COUNTIF(Janvier[[#This Row],[1]:[31]],Paramétrage!G25)*Paramétrage!I25+COUNTIF(Janvier[[#This Row],[1]:[31]],Paramétrage!G26)*Paramétrage!I26+COUNTIF(Janvier[[#This Row],[1]:[31]],Paramétrage!G27)*Paramétrage!I27+COUNTIF(Janvier[[#This Row],[1]:[31]],Paramétrage!G28)*Paramétrage!I28+COUNTIF(Janvier[[#This Row],[1]:[31]],Paramétrage!G29*Paramétrage!I29+COUNTIF(Janvier[[#This Row],[1]:[31]],Paramétrage!G30)*Paramétrage!I30+COUNTIF(Janvier[[#This Row],[1]:[31]],Paramétrage!G31)*Paramétrage!I31)</f>
        <v>0</v>
      </c>
    </row>
    <row r="23" spans="1:33" ht="15" customHeight="1" x14ac:dyDescent="0.3">
      <c r="A23" s="36" t="s">
        <v>92</v>
      </c>
      <c r="B23" s="37"/>
      <c r="C23" s="37"/>
      <c r="D23" s="37"/>
      <c r="E23" s="37"/>
      <c r="F23" s="37"/>
      <c r="G23" s="37"/>
      <c r="H23" s="37"/>
      <c r="I23" s="37"/>
      <c r="J23" s="37"/>
      <c r="K23" s="37"/>
      <c r="L23" s="37"/>
      <c r="M23" s="37"/>
      <c r="N23" s="37"/>
      <c r="O23" s="37"/>
      <c r="P23" s="37"/>
      <c r="Q23" s="37"/>
      <c r="R23" s="37"/>
      <c r="S23" s="37"/>
      <c r="T23" s="37"/>
      <c r="U23" s="37"/>
      <c r="V23" s="37"/>
      <c r="W23" s="37"/>
      <c r="X23" s="37"/>
      <c r="Y23" s="37"/>
      <c r="Z23" s="37"/>
      <c r="AA23" s="37"/>
      <c r="AB23" s="37"/>
      <c r="AC23" s="37"/>
      <c r="AD23" s="37"/>
      <c r="AE23" s="37"/>
      <c r="AF23" s="37"/>
      <c r="AG23" s="18">
        <f>COUNTIF(Janvier[[#This Row],[1]:[31]],Paramétrage!G19)*Paramétrage!I19+COUNTIF(Janvier[[#This Row],[1]:[31]],Paramétrage!G20)*Paramétrage!I20+COUNTIF(Janvier[[#This Row],[1]:[31]],Paramétrage!G21)*Paramétrage!I21+COUNTIF(Janvier[[#This Row],[1]:[31]],Paramétrage!G22)*Paramétrage!I22+COUNTIF(Janvier[[#This Row],[1]:[31]],Paramétrage!G23)*Paramétrage!I23+COUNTIF(Janvier[[#This Row],[1]:[31]],Paramétrage!G24)*Paramétrage!I24+COUNTIF(Janvier[[#This Row],[1]:[31]],Paramétrage!G25)*Paramétrage!I25+COUNTIF(Janvier[[#This Row],[1]:[31]],Paramétrage!G26)*Paramétrage!I26+COUNTIF(Janvier[[#This Row],[1]:[31]],Paramétrage!G27)*Paramétrage!I27+COUNTIF(Janvier[[#This Row],[1]:[31]],Paramétrage!G28)*Paramétrage!I28+COUNTIF(Janvier[[#This Row],[1]:[31]],Paramétrage!G29)*Paramétrage!I29+COUNTIF(Janvier[[#This Row],[1]:[31]],Paramétrage!G30*Paramétrage!I30+COUNTIF(Janvier[[#This Row],[1]:[31]],Paramétrage!G31)*Paramétrage!I31+COUNTIF(Janvier[[#This Row],[1]:[31]],Paramétrage!G32)*Paramétrage!I32)</f>
        <v>0</v>
      </c>
    </row>
    <row r="24" spans="1:33" ht="15" customHeight="1" x14ac:dyDescent="0.3">
      <c r="A24" s="36" t="s">
        <v>93</v>
      </c>
      <c r="B24" s="37"/>
      <c r="C24" s="37"/>
      <c r="D24" s="37"/>
      <c r="E24" s="37"/>
      <c r="F24" s="37"/>
      <c r="G24" s="37"/>
      <c r="H24" s="37"/>
      <c r="I24" s="37"/>
      <c r="J24" s="37"/>
      <c r="K24" s="37"/>
      <c r="L24" s="37"/>
      <c r="M24" s="37"/>
      <c r="N24" s="37"/>
      <c r="O24" s="37"/>
      <c r="P24" s="37"/>
      <c r="Q24" s="37"/>
      <c r="R24" s="37"/>
      <c r="S24" s="37"/>
      <c r="T24" s="37"/>
      <c r="U24" s="37"/>
      <c r="V24" s="37"/>
      <c r="W24" s="37"/>
      <c r="X24" s="37"/>
      <c r="Y24" s="37"/>
      <c r="Z24" s="37"/>
      <c r="AA24" s="37"/>
      <c r="AB24" s="37"/>
      <c r="AC24" s="37"/>
      <c r="AD24" s="37"/>
      <c r="AE24" s="37"/>
      <c r="AF24" s="37"/>
      <c r="AG24" s="18">
        <f>COUNTIF(Janvier[[#This Row],[1]:[31]],Paramétrage!G20)*Paramétrage!I20+COUNTIF(Janvier[[#This Row],[1]:[31]],Paramétrage!G21)*Paramétrage!I21+COUNTIF(Janvier[[#This Row],[1]:[31]],Paramétrage!G22)*Paramétrage!I22+COUNTIF(Janvier[[#This Row],[1]:[31]],Paramétrage!G23)*Paramétrage!I23+COUNTIF(Janvier[[#This Row],[1]:[31]],Paramétrage!G24)*Paramétrage!I24+COUNTIF(Janvier[[#This Row],[1]:[31]],Paramétrage!G25)*Paramétrage!I25+COUNTIF(Janvier[[#This Row],[1]:[31]],Paramétrage!G26)*Paramétrage!I26+COUNTIF(Janvier[[#This Row],[1]:[31]],Paramétrage!G27)*Paramétrage!I27+COUNTIF(Janvier[[#This Row],[1]:[31]],Paramétrage!G28)*Paramétrage!I28+COUNTIF(Janvier[[#This Row],[1]:[31]],Paramétrage!G29)*Paramétrage!I29+COUNTIF(Janvier[[#This Row],[1]:[31]],Paramétrage!G30)*Paramétrage!I30+COUNTIF(Janvier[[#This Row],[1]:[31]],Paramétrage!G31*Paramétrage!I31+COUNTIF(Janvier[[#This Row],[1]:[31]],Paramétrage!G32)*Paramétrage!I32+COUNTIF(Janvier[[#This Row],[1]:[31]],Paramétrage!G33)*Paramétrage!I33)</f>
        <v>0</v>
      </c>
    </row>
    <row r="25" spans="1:33" ht="15" customHeight="1" x14ac:dyDescent="0.3">
      <c r="A25" s="36" t="s">
        <v>94</v>
      </c>
      <c r="B25" s="37"/>
      <c r="C25" s="37"/>
      <c r="D25" s="37"/>
      <c r="E25" s="37"/>
      <c r="F25" s="37"/>
      <c r="G25" s="37"/>
      <c r="H25" s="37"/>
      <c r="I25" s="37"/>
      <c r="J25" s="37"/>
      <c r="K25" s="37"/>
      <c r="L25" s="37"/>
      <c r="M25" s="37"/>
      <c r="N25" s="37"/>
      <c r="O25" s="37"/>
      <c r="P25" s="37"/>
      <c r="Q25" s="37"/>
      <c r="R25" s="37"/>
      <c r="S25" s="37"/>
      <c r="T25" s="37"/>
      <c r="U25" s="37"/>
      <c r="V25" s="37"/>
      <c r="W25" s="37"/>
      <c r="X25" s="37"/>
      <c r="Y25" s="37"/>
      <c r="Z25" s="37"/>
      <c r="AA25" s="37"/>
      <c r="AB25" s="37"/>
      <c r="AC25" s="37"/>
      <c r="AD25" s="37"/>
      <c r="AE25" s="37"/>
      <c r="AF25" s="37"/>
      <c r="AG25" s="18">
        <f>COUNTIF(Janvier[[#This Row],[1]:[31]],Paramétrage!G21)*Paramétrage!I21+COUNTIF(Janvier[[#This Row],[1]:[31]],Paramétrage!G22)*Paramétrage!I22+COUNTIF(Janvier[[#This Row],[1]:[31]],Paramétrage!G23)*Paramétrage!I23+COUNTIF(Janvier[[#This Row],[1]:[31]],Paramétrage!G24)*Paramétrage!I24+COUNTIF(Janvier[[#This Row],[1]:[31]],Paramétrage!G25)*Paramétrage!I25+COUNTIF(Janvier[[#This Row],[1]:[31]],Paramétrage!G26)*Paramétrage!I26+COUNTIF(Janvier[[#This Row],[1]:[31]],Paramétrage!G27)*Paramétrage!I27+COUNTIF(Janvier[[#This Row],[1]:[31]],Paramétrage!G28)*Paramétrage!I28+COUNTIF(Janvier[[#This Row],[1]:[31]],Paramétrage!G29)*Paramétrage!I29+COUNTIF(Janvier[[#This Row],[1]:[31]],Paramétrage!G30)*Paramétrage!I30+COUNTIF(Janvier[[#This Row],[1]:[31]],Paramétrage!G31)*Paramétrage!I31+COUNTIF(Janvier[[#This Row],[1]:[31]],Paramétrage!G32*Paramétrage!I32+COUNTIF(Janvier[[#This Row],[1]:[31]],Paramétrage!G33)*Paramétrage!I33+COUNTIF(Janvier[[#This Row],[1]:[31]],Paramétrage!G34)*Paramétrage!I34)</f>
        <v>0</v>
      </c>
    </row>
    <row r="26" spans="1:33" ht="15" customHeight="1" x14ac:dyDescent="0.3">
      <c r="A26" s="36" t="s">
        <v>95</v>
      </c>
      <c r="B26" s="37"/>
      <c r="C26" s="37"/>
      <c r="D26" s="37"/>
      <c r="E26" s="37"/>
      <c r="F26" s="37"/>
      <c r="G26" s="37"/>
      <c r="H26" s="37"/>
      <c r="I26" s="37"/>
      <c r="J26" s="37"/>
      <c r="K26" s="37"/>
      <c r="L26" s="37"/>
      <c r="M26" s="37"/>
      <c r="N26" s="37"/>
      <c r="O26" s="37"/>
      <c r="P26" s="37"/>
      <c r="Q26" s="37"/>
      <c r="R26" s="37"/>
      <c r="S26" s="37"/>
      <c r="T26" s="37"/>
      <c r="U26" s="37"/>
      <c r="V26" s="37"/>
      <c r="W26" s="37"/>
      <c r="X26" s="37"/>
      <c r="Y26" s="37"/>
      <c r="Z26" s="37"/>
      <c r="AA26" s="37"/>
      <c r="AB26" s="37"/>
      <c r="AC26" s="37"/>
      <c r="AD26" s="37"/>
      <c r="AE26" s="37"/>
      <c r="AF26" s="37"/>
      <c r="AG26" s="18">
        <f>COUNTIF(Janvier[[#This Row],[1]:[31]],Paramétrage!G22)*Paramétrage!I22+COUNTIF(Janvier[[#This Row],[1]:[31]],Paramétrage!G23)*Paramétrage!I23+COUNTIF(Janvier[[#This Row],[1]:[31]],Paramétrage!G24)*Paramétrage!I24+COUNTIF(Janvier[[#This Row],[1]:[31]],Paramétrage!G25)*Paramétrage!I25+COUNTIF(Janvier[[#This Row],[1]:[31]],Paramétrage!G26)*Paramétrage!I26+COUNTIF(Janvier[[#This Row],[1]:[31]],Paramétrage!G27)*Paramétrage!I27+COUNTIF(Janvier[[#This Row],[1]:[31]],Paramétrage!G28)*Paramétrage!I28+COUNTIF(Janvier[[#This Row],[1]:[31]],Paramétrage!G29)*Paramétrage!I29+COUNTIF(Janvier[[#This Row],[1]:[31]],Paramétrage!G30)*Paramétrage!I30+COUNTIF(Janvier[[#This Row],[1]:[31]],Paramétrage!G31)*Paramétrage!I31+COUNTIF(Janvier[[#This Row],[1]:[31]],Paramétrage!G32)*Paramétrage!I32+COUNTIF(Janvier[[#This Row],[1]:[31]],Paramétrage!G33*Paramétrage!I33+COUNTIF(Janvier[[#This Row],[1]:[31]],Paramétrage!G34)*Paramétrage!I34+COUNTIF(Janvier[[#This Row],[1]:[31]],Paramétrage!G35)*Paramétrage!I35)</f>
        <v>0</v>
      </c>
    </row>
    <row r="27" spans="1:33" ht="24" x14ac:dyDescent="0.3">
      <c r="A27" s="38" t="s">
        <v>106</v>
      </c>
      <c r="B27" s="39">
        <f>COUNTA(Janvier[1])-COUNTIF(Janvier[1],CléReposhebdomadaire)-COUNTIF(Janvier[1],CléCongé)-COUNTIF(Janvier[1],CléMaladie)-COUNTIF(Janvier[1],CléFormation)-COUNTIF(Janvier[1],CléAbsencenonjustifiée)</f>
        <v>0</v>
      </c>
      <c r="C27" s="39">
        <f>COUNTA(Janvier[2])-COUNTIF(Janvier[2],CléReposhebdomadaire)-COUNTIF(Janvier[2],CléCongé)-COUNTIF(Janvier[2],CléMaladie)-COUNTIF(Janvier[2],CléFormation)-COUNTIF(Janvier[2],CléAbsencenonjustifiée)</f>
        <v>0</v>
      </c>
      <c r="D27" s="39">
        <f>COUNTA(Janvier[3])-COUNTIF(Janvier[3],CléReposhebdomadaire)-COUNTIF(Janvier[3],CléCongé)-COUNTIF(Janvier[3],CléMaladie)-COUNTIF(Janvier[3],CléFormation)-COUNTIF(Janvier[3],CléAbsencenonjustifiée)</f>
        <v>0</v>
      </c>
      <c r="E27" s="39">
        <f>COUNTA(Janvier[4])-COUNTIF(Janvier[4],CléReposhebdomadaire)-COUNTIF(Janvier[4],CléCongé)-COUNTIF(Janvier[4],CléMaladie)-COUNTIF(Janvier[4],CléFormation)-COUNTIF(Janvier[4],CléAbsencenonjustifiée)</f>
        <v>0</v>
      </c>
      <c r="F27" s="39">
        <f>COUNTA(Janvier[5])-COUNTIF(Janvier[5],CléReposhebdomadaire)-COUNTIF(Janvier[5],CléCongé)-COUNTIF(Janvier[5],CléMaladie)-COUNTIF(Janvier[5],CléFormation)-COUNTIF(Janvier[5],CléAbsencenonjustifiée)</f>
        <v>0</v>
      </c>
      <c r="G27" s="39">
        <f>COUNTA(Janvier[6])-COUNTIF(Janvier[6],CléReposhebdomadaire)-COUNTIF(Janvier[6],CléCongé)-COUNTIF(Janvier[6],CléMaladie)-COUNTIF(Janvier[6],CléFormation)-COUNTIF(Janvier[6],CléAbsencenonjustifiée)</f>
        <v>0</v>
      </c>
      <c r="H27" s="39">
        <f>COUNTA(Janvier[7])-COUNTIF(Janvier[7],CléReposhebdomadaire)-COUNTIF(Janvier[7],CléCongé)-COUNTIF(Janvier[7],CléMaladie)-COUNTIF(Janvier[7],CléFormation)-COUNTIF(Janvier[7],CléAbsencenonjustifiée)</f>
        <v>0</v>
      </c>
      <c r="I27" s="39">
        <f>COUNTA(Janvier[8])-COUNTIF(Janvier[8],CléReposhebdomadaire)-COUNTIF(Janvier[8],CléCongé)-COUNTIF(Janvier[8],CléMaladie)-COUNTIF(Janvier[8],CléFormation)-COUNTIF(Janvier[8],CléAbsencenonjustifiée)</f>
        <v>0</v>
      </c>
      <c r="J27" s="39">
        <f>COUNTA(Janvier[9])-COUNTIF(Janvier[9],CléReposhebdomadaire)-COUNTIF(Janvier[9],CléCongé)-COUNTIF(Janvier[9],CléMaladie)-COUNTIF(Janvier[9],CléFormation)-COUNTIF(Janvier[9],CléAbsencenonjustifiée)</f>
        <v>0</v>
      </c>
      <c r="K27" s="39">
        <f>COUNTA(Janvier[10])-COUNTIF(Janvier[10],CléReposhebdomadaire)-COUNTIF(Janvier[10],CléCongé)-COUNTIF(Janvier[10],CléMaladie)-COUNTIF(Janvier[10],CléFormation)-COUNTIF(Janvier[10],CléAbsencenonjustifiée)</f>
        <v>0</v>
      </c>
      <c r="L27" s="39">
        <f>COUNTA(Janvier[11])-COUNTIF(Janvier[11],CléReposhebdomadaire)-COUNTIF(Janvier[11],CléCongé)-COUNTIF(Janvier[11],CléMaladie)-COUNTIF(Janvier[11],CléFormation)-COUNTIF(Janvier[11],CléAbsencenonjustifiée)</f>
        <v>0</v>
      </c>
      <c r="M27" s="39">
        <f>COUNTA(Janvier[12])-COUNTIF(Janvier[12],CléReposhebdomadaire)-COUNTIF(Janvier[12],CléCongé)-COUNTIF(Janvier[12],CléMaladie)-COUNTIF(Janvier[12],CléFormation)-COUNTIF(Janvier[12],CléAbsencenonjustifiée)</f>
        <v>0</v>
      </c>
      <c r="N27" s="39">
        <f>COUNTA(Janvier[13])-COUNTIF(Janvier[13],CléReposhebdomadaire)-COUNTIF(Janvier[13],CléCongé)-COUNTIF(Janvier[13],CléMaladie)-COUNTIF(Janvier[13],CléFormation)-COUNTIF(Janvier[13],CléAbsencenonjustifiée)</f>
        <v>0</v>
      </c>
      <c r="O27" s="39">
        <f>COUNTA(Janvier[14])-COUNTIF(Janvier[14],CléReposhebdomadaire)-COUNTIF(Janvier[14],CléCongé)-COUNTIF(Janvier[14],CléMaladie)-COUNTIF(Janvier[14],CléFormation)-COUNTIF(Janvier[14],CléAbsencenonjustifiée)</f>
        <v>0</v>
      </c>
      <c r="P27" s="39">
        <f>COUNTA(Janvier[15])-COUNTIF(Janvier[15],CléReposhebdomadaire)-COUNTIF(Janvier[15],CléCongé)-COUNTIF(Janvier[15],CléMaladie)-COUNTIF(Janvier[15],CléFormation)-COUNTIF(Janvier[15],CléAbsencenonjustifiée)</f>
        <v>0</v>
      </c>
      <c r="Q27" s="39">
        <f>COUNTA(Janvier[16])-COUNTIF(Janvier[16],CléReposhebdomadaire)-COUNTIF(Janvier[16],CléCongé)-COUNTIF(Janvier[16],CléMaladie)-COUNTIF(Janvier[16],CléFormation)-COUNTIF(Janvier[16],CléAbsencenonjustifiée)</f>
        <v>0</v>
      </c>
      <c r="R27" s="39">
        <f>COUNTA(Janvier[17])-COUNTIF(Janvier[17],CléReposhebdomadaire)-COUNTIF(Janvier[17],CléCongé)-COUNTIF(Janvier[17],CléMaladie)-COUNTIF(Janvier[17],CléFormation)-COUNTIF(Janvier[17],CléAbsencenonjustifiée)</f>
        <v>0</v>
      </c>
      <c r="S27" s="39">
        <f>COUNTA(Janvier[18])-COUNTIF(Janvier[18],CléReposhebdomadaire)-COUNTIF(Janvier[18],CléCongé)-COUNTIF(Janvier[18],CléMaladie)-COUNTIF(Janvier[18],CléFormation)-COUNTIF(Janvier[18],CléAbsencenonjustifiée)</f>
        <v>0</v>
      </c>
      <c r="T27" s="39">
        <f>COUNTA(Janvier[19])-COUNTIF(Janvier[19],CléReposhebdomadaire)-COUNTIF(Janvier[19],CléCongé)-COUNTIF(Janvier[19],CléMaladie)-COUNTIF(Janvier[19],CléFormation)-COUNTIF(Janvier[19],CléAbsencenonjustifiée)</f>
        <v>0</v>
      </c>
      <c r="U27" s="39">
        <f>COUNTA(Janvier[20])-COUNTIF(Janvier[20],CléReposhebdomadaire)-COUNTIF(Janvier[20],CléCongé)-COUNTIF(Janvier[20],CléMaladie)-COUNTIF(Janvier[20],CléFormation)-COUNTIF(Janvier[20],CléAbsencenonjustifiée)</f>
        <v>0</v>
      </c>
      <c r="V27" s="39">
        <f>COUNTA(Janvier[21])-COUNTIF(Janvier[21],CléReposhebdomadaire)-COUNTIF(Janvier[21],CléCongé)-COUNTIF(Janvier[21],CléMaladie)-COUNTIF(Janvier[21],CléFormation)-COUNTIF(Janvier[21],CléAbsencenonjustifiée)</f>
        <v>0</v>
      </c>
      <c r="W27" s="39">
        <f>COUNTA(Janvier[22])-COUNTIF(Janvier[22],CléReposhebdomadaire)-COUNTIF(Janvier[22],CléCongé)-COUNTIF(Janvier[22],CléMaladie)-COUNTIF(Janvier[22],CléFormation)-COUNTIF(Janvier[22],CléAbsencenonjustifiée)</f>
        <v>0</v>
      </c>
      <c r="X27" s="39">
        <f>COUNTA(Janvier[23])-COUNTIF(Janvier[23],CléReposhebdomadaire)-COUNTIF(Janvier[23],CléCongé)-COUNTIF(Janvier[23],CléMaladie)-COUNTIF(Janvier[23],CléFormation)-COUNTIF(Janvier[23],CléAbsencenonjustifiée)</f>
        <v>0</v>
      </c>
      <c r="Y27" s="39">
        <f>COUNTA(Janvier[24])-COUNTIF(Janvier[24],CléReposhebdomadaire)-COUNTIF(Janvier[24],CléCongé)-COUNTIF(Janvier[24],CléMaladie)-COUNTIF(Janvier[24],CléFormation)-COUNTIF(Janvier[24],CléAbsencenonjustifiée)</f>
        <v>0</v>
      </c>
      <c r="Z27" s="39">
        <f>COUNTA(Janvier[25])-COUNTIF(Janvier[25],CléReposhebdomadaire)-COUNTIF(Janvier[25],CléCongé)-COUNTIF(Janvier[25],CléMaladie)-COUNTIF(Janvier[25],CléFormation)-COUNTIF(Janvier[25],CléAbsencenonjustifiée)</f>
        <v>0</v>
      </c>
      <c r="AA27" s="39">
        <f>COUNTA(Janvier[26])-COUNTIF(Janvier[26],CléReposhebdomadaire)-COUNTIF(Janvier[26],CléCongé)-COUNTIF(Janvier[26],CléMaladie)-COUNTIF(Janvier[26],CléFormation)-COUNTIF(Janvier[26],CléAbsencenonjustifiée)</f>
        <v>0</v>
      </c>
      <c r="AB27" s="39">
        <f>COUNTA(Janvier[27])-COUNTIF(Janvier[27],CléReposhebdomadaire)-COUNTIF(Janvier[27],CléCongé)-COUNTIF(Janvier[27],CléMaladie)-COUNTIF(Janvier[27],CléFormation)-COUNTIF(Janvier[27],CléAbsencenonjustifiée)</f>
        <v>0</v>
      </c>
      <c r="AC27" s="39">
        <f>COUNTA(Janvier[28])-COUNTIF(Janvier[28],CléReposhebdomadaire)-COUNTIF(Janvier[28],CléCongé)-COUNTIF(Janvier[28],CléMaladie)-COUNTIF(Janvier[28],CléFormation)-COUNTIF(Janvier[28],CléAbsencenonjustifiée)</f>
        <v>0</v>
      </c>
      <c r="AD27" s="39">
        <f>COUNTA(Janvier[29])-COUNTIF(Janvier[29],CléReposhebdomadaire)-COUNTIF(Janvier[29],CléCongé)-COUNTIF(Janvier[29],CléMaladie)-COUNTIF(Janvier[29],CléFormation)-COUNTIF(Janvier[29],CléAbsencenonjustifiée)</f>
        <v>0</v>
      </c>
      <c r="AE27" s="39">
        <f>COUNTA(Janvier[30])-COUNTIF(Janvier[30],CléReposhebdomadaire)-COUNTIF(Janvier[30],CléCongé)-COUNTIF(Janvier[30],CléMaladie)-COUNTIF(Janvier[30],CléFormation)-COUNTIF(Janvier[30],CléAbsencenonjustifiée)</f>
        <v>0</v>
      </c>
      <c r="AF27" s="39">
        <f>COUNTA(Janvier[31])-COUNTIF(Janvier[31],CléReposhebdomadaire)-COUNTIF(Janvier[31],CléCongé)-COUNTIF(Janvier[31],CléMaladie)-COUNTIF(Janvier[31],CléFormation)-COUNTIF(Janvier[31],CléAbsencenonjustifiée)</f>
        <v>0</v>
      </c>
      <c r="AG27" s="40">
        <f ca="1">SUBTOTAL(109,Mars[Total des Heures effectuées])</f>
        <v>0</v>
      </c>
    </row>
  </sheetData>
  <mergeCells count="9">
    <mergeCell ref="A1:AG1"/>
    <mergeCell ref="A4:A5"/>
    <mergeCell ref="AG4:AG5"/>
    <mergeCell ref="B4:AF4"/>
    <mergeCell ref="R2:U2"/>
    <mergeCell ref="C2:F2"/>
    <mergeCell ref="H2:I2"/>
    <mergeCell ref="K2:M2"/>
    <mergeCell ref="O2:P2"/>
  </mergeCells>
  <conditionalFormatting sqref="B27:AF27">
    <cfRule type="dataBar" priority="11">
      <dataBar>
        <cfvo type="num" val="0"/>
        <cfvo type="num" val="31"/>
        <color theme="2" tint="-0.249977111117893"/>
      </dataBar>
      <extLst>
        <ext xmlns:x14="http://schemas.microsoft.com/office/spreadsheetml/2009/9/main" uri="{B025F937-C7B1-47D3-B67F-A62EFF666E3E}">
          <x14:id>{C3752823-4498-4478-9552-F64B734A576B}</x14:id>
        </ext>
      </extLst>
    </cfRule>
  </conditionalFormatting>
  <conditionalFormatting sqref="B7:AF26">
    <cfRule type="cellIs" dxfId="695" priority="1" operator="equal">
      <formula>$Q$2</formula>
    </cfRule>
    <cfRule type="cellIs" dxfId="694" priority="2" operator="equal">
      <formula>$N$2</formula>
    </cfRule>
    <cfRule type="cellIs" dxfId="693" priority="3" operator="equal">
      <formula>$J$2</formula>
    </cfRule>
    <cfRule type="cellIs" dxfId="692" priority="4" operator="equal">
      <formula>$G$2</formula>
    </cfRule>
    <cfRule type="cellIs" dxfId="691" priority="5" operator="equal">
      <formula>$B$2</formula>
    </cfRule>
  </conditionalFormatting>
  <dataValidations count="12">
    <dataValidation allowBlank="1" showInputMessage="1" showErrorMessage="1" prompt="Année mise à jour automatiquement en fonction de l’année entrée dans la feuille de calcul Janvier" sqref="AG4"/>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A6"/>
    <dataValidation allowBlank="1" showInputMessage="1" showErrorMessage="1" prompt="Le titre mis à jour automatiquement figure dans cette cellule. Pour modifier le titre, mettez à jour la cellule B1 de la feuille de calcul Janvier" sqref="A1"/>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A4"/>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B6"/>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B5"/>
    <dataValidation allowBlank="1" showInputMessage="1" showErrorMessage="1" prompt="« CP» indique une absence pour cause de congé" sqref="G2"/>
    <dataValidation allowBlank="1" showInputMessage="1" showErrorMessage="1" prompt=" « FO » indique une absence pour Formation" sqref="N2"/>
    <dataValidation allowBlank="1" showInputMessage="1" showErrorMessage="1" prompt=" « AM » indique une absence pour cause d'Arrêt maladie" sqref="J2"/>
    <dataValidation allowBlank="1" showInputMessage="1" showErrorMessage="1" prompt="« ABS» indique une absence pour cause d'Absence non justifiée" sqref="Q2"/>
    <dataValidation allowBlank="1" showInputMessage="1" showErrorMessage="1" prompt="Cette ligne définit les clés utilisées dans le tableau : Repos hebdomadaire en C2, Congé en H2, Arrêt Maladie en K2, Formation en O2 et Absence non justifiée en R2_x000a_" sqref="A2"/>
    <dataValidation allowBlank="1" showInputMessage="1" showErrorMessage="1" prompt="Calcule automatiquement le nombre total des heures effectives d’un employé durant ce mois" sqref="AG6"/>
  </dataValidations>
  <pageMargins left="0.7" right="0.7" top="0.75" bottom="0.75" header="0.3" footer="0.3"/>
  <pageSetup paperSize="9" fitToHeight="0" orientation="portrait" verticalDpi="4294967293"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C3752823-4498-4478-9552-F64B734A576B}">
            <x14:dataBar minLength="0" maxLength="100">
              <x14:cfvo type="num">
                <xm:f>0</xm:f>
              </x14:cfvo>
              <x14:cfvo type="num">
                <xm:f>31</xm:f>
              </x14:cfvo>
              <x14:negativeFillColor rgb="FFFF0000"/>
              <x14:axisColor rgb="FF000000"/>
            </x14:dataBar>
          </x14:cfRule>
          <xm:sqref>B27:AF27</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14:formula1>
            <xm:f>Paramétrage!$B$3:$B$22</xm:f>
          </x14:formula1>
          <xm:sqref>A7:A26</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9.9978637043366805E-2"/>
  </sheetPr>
  <dimension ref="A1:AG27"/>
  <sheetViews>
    <sheetView showGridLines="0" zoomScaleNormal="100" workbookViewId="0">
      <selection sqref="A1:XFD6"/>
    </sheetView>
  </sheetViews>
  <sheetFormatPr baseColWidth="10" defaultColWidth="9.109375" defaultRowHeight="30" customHeight="1" x14ac:dyDescent="0.3"/>
  <cols>
    <col min="1" max="1" width="20.44140625" style="30" customWidth="1"/>
    <col min="2" max="32" width="5.5546875" style="30" customWidth="1"/>
    <col min="33" max="33" width="12.44140625" style="30" customWidth="1"/>
    <col min="34" max="34" width="2.6640625" style="29" customWidth="1"/>
    <col min="35" max="16384" width="9.109375" style="29"/>
  </cols>
  <sheetData>
    <row r="1" spans="1:33" ht="25.8" x14ac:dyDescent="0.3">
      <c r="A1" s="58" t="str">
        <f>Titre_Absence_Employé</f>
        <v>PLANNING MENSUEL</v>
      </c>
      <c r="B1" s="58"/>
      <c r="C1" s="58"/>
      <c r="D1" s="58"/>
      <c r="E1" s="58"/>
      <c r="F1" s="58"/>
      <c r="G1" s="58"/>
      <c r="H1" s="58"/>
      <c r="I1" s="58"/>
      <c r="J1" s="58"/>
      <c r="K1" s="58"/>
      <c r="L1" s="58"/>
      <c r="M1" s="58"/>
      <c r="N1" s="58"/>
      <c r="O1" s="58"/>
      <c r="P1" s="58"/>
      <c r="Q1" s="58"/>
      <c r="R1" s="58"/>
      <c r="S1" s="58"/>
      <c r="T1" s="58"/>
      <c r="U1" s="58"/>
      <c r="V1" s="58"/>
      <c r="W1" s="58"/>
      <c r="X1" s="58"/>
      <c r="Y1" s="58"/>
      <c r="Z1" s="58"/>
      <c r="AA1" s="58"/>
      <c r="AB1" s="58"/>
      <c r="AC1" s="58"/>
      <c r="AD1" s="58"/>
      <c r="AE1" s="58"/>
      <c r="AF1" s="58"/>
      <c r="AG1" s="58"/>
    </row>
    <row r="2" spans="1:33" ht="12" x14ac:dyDescent="0.3">
      <c r="A2" s="41" t="s">
        <v>0</v>
      </c>
      <c r="B2" s="42" t="s">
        <v>88</v>
      </c>
      <c r="C2" s="57" t="s">
        <v>89</v>
      </c>
      <c r="D2" s="57"/>
      <c r="E2" s="57"/>
      <c r="F2" s="57"/>
      <c r="G2" s="9" t="s">
        <v>82</v>
      </c>
      <c r="H2" s="57" t="s">
        <v>9</v>
      </c>
      <c r="I2" s="57"/>
      <c r="J2" s="43" t="s">
        <v>84</v>
      </c>
      <c r="K2" s="57" t="s">
        <v>85</v>
      </c>
      <c r="L2" s="57"/>
      <c r="M2" s="57"/>
      <c r="N2" s="11" t="s">
        <v>60</v>
      </c>
      <c r="O2" s="57" t="s">
        <v>83</v>
      </c>
      <c r="P2" s="57"/>
      <c r="Q2" s="44" t="s">
        <v>86</v>
      </c>
      <c r="R2" s="57" t="s">
        <v>87</v>
      </c>
      <c r="S2" s="57"/>
      <c r="T2" s="57"/>
      <c r="U2" s="57"/>
    </row>
    <row r="3" spans="1:33" ht="12" x14ac:dyDescent="0.3">
      <c r="AG3" s="31"/>
    </row>
    <row r="4" spans="1:33" ht="25.8" x14ac:dyDescent="0.3">
      <c r="A4" s="59" t="s">
        <v>46</v>
      </c>
      <c r="B4" s="59" t="s">
        <v>109</v>
      </c>
      <c r="C4" s="59"/>
      <c r="D4" s="59"/>
      <c r="E4" s="59"/>
      <c r="F4" s="59"/>
      <c r="G4" s="59"/>
      <c r="H4" s="59"/>
      <c r="I4" s="59"/>
      <c r="J4" s="59"/>
      <c r="K4" s="59"/>
      <c r="L4" s="59"/>
      <c r="M4" s="59"/>
      <c r="N4" s="59"/>
      <c r="O4" s="59"/>
      <c r="P4" s="59"/>
      <c r="Q4" s="59"/>
      <c r="R4" s="59"/>
      <c r="S4" s="59"/>
      <c r="T4" s="59"/>
      <c r="U4" s="59"/>
      <c r="V4" s="59"/>
      <c r="W4" s="59"/>
      <c r="X4" s="59"/>
      <c r="Y4" s="59"/>
      <c r="Z4" s="59"/>
      <c r="AA4" s="59"/>
      <c r="AB4" s="59"/>
      <c r="AC4" s="59"/>
      <c r="AD4" s="59"/>
      <c r="AE4" s="59"/>
      <c r="AF4" s="59"/>
      <c r="AG4" s="59">
        <f>AnnéeCalendrier</f>
        <v>2023</v>
      </c>
    </row>
    <row r="5" spans="1:33" ht="12" x14ac:dyDescent="0.3">
      <c r="A5" s="59"/>
      <c r="B5" s="47" t="str">
        <f>TEXT(WEEKDAY(DATE(AnnéeCalendrier,5,1),1),"jjj")</f>
        <v>lun</v>
      </c>
      <c r="C5" s="32" t="str">
        <f>TEXT(WEEKDAY(DATE(AnnéeCalendrier,5,2),1),"jjj")</f>
        <v>mar</v>
      </c>
      <c r="D5" s="32" t="str">
        <f>TEXT(WEEKDAY(DATE(AnnéeCalendrier,5,3),1),"jjj")</f>
        <v>mer</v>
      </c>
      <c r="E5" s="32" t="str">
        <f>TEXT(WEEKDAY(DATE(AnnéeCalendrier,5,4),1),"jjj")</f>
        <v>jeu</v>
      </c>
      <c r="F5" s="32" t="str">
        <f>TEXT(WEEKDAY(DATE(AnnéeCalendrier,5,5),1),"jjj")</f>
        <v>ven</v>
      </c>
      <c r="G5" s="32" t="str">
        <f>TEXT(WEEKDAY(DATE(AnnéeCalendrier,5,6),1),"jjj")</f>
        <v>sam</v>
      </c>
      <c r="H5" s="32" t="str">
        <f>TEXT(WEEKDAY(DATE(AnnéeCalendrier,5,7),1),"jjj")</f>
        <v>dim</v>
      </c>
      <c r="I5" s="32" t="str">
        <f>TEXT(WEEKDAY(DATE(AnnéeCalendrier,5,8),1),"jjj")</f>
        <v>lun</v>
      </c>
      <c r="J5" s="32" t="str">
        <f>TEXT(WEEKDAY(DATE(AnnéeCalendrier,5,9),1),"jjj")</f>
        <v>mar</v>
      </c>
      <c r="K5" s="32" t="str">
        <f>TEXT(WEEKDAY(DATE(AnnéeCalendrier,5,10),1),"jjj")</f>
        <v>mer</v>
      </c>
      <c r="L5" s="32" t="str">
        <f>TEXT(WEEKDAY(DATE(AnnéeCalendrier,5,11),1),"jjj")</f>
        <v>jeu</v>
      </c>
      <c r="M5" s="32" t="str">
        <f>TEXT(WEEKDAY(DATE(AnnéeCalendrier,5,12),1),"jjj")</f>
        <v>ven</v>
      </c>
      <c r="N5" s="32" t="str">
        <f>TEXT(WEEKDAY(DATE(AnnéeCalendrier,5,13),1),"jjj")</f>
        <v>sam</v>
      </c>
      <c r="O5" s="32" t="str">
        <f>TEXT(WEEKDAY(DATE(AnnéeCalendrier,5,14),1),"jjj")</f>
        <v>dim</v>
      </c>
      <c r="P5" s="32" t="str">
        <f>TEXT(WEEKDAY(DATE(AnnéeCalendrier,5,15),1),"jjj")</f>
        <v>lun</v>
      </c>
      <c r="Q5" s="32" t="str">
        <f>TEXT(WEEKDAY(DATE(AnnéeCalendrier,5,16),1),"jjj")</f>
        <v>mar</v>
      </c>
      <c r="R5" s="32" t="str">
        <f>TEXT(WEEKDAY(DATE(AnnéeCalendrier,5,17),1),"jjj")</f>
        <v>mer</v>
      </c>
      <c r="S5" s="32" t="str">
        <f>TEXT(WEEKDAY(DATE(AnnéeCalendrier,5,18),1),"jjj")</f>
        <v>jeu</v>
      </c>
      <c r="T5" s="32" t="str">
        <f>TEXT(WEEKDAY(DATE(AnnéeCalendrier,5,19),1),"jjj")</f>
        <v>ven</v>
      </c>
      <c r="U5" s="32" t="str">
        <f>TEXT(WEEKDAY(DATE(AnnéeCalendrier,5,20),1),"jjj")</f>
        <v>sam</v>
      </c>
      <c r="V5" s="32" t="str">
        <f>TEXT(WEEKDAY(DATE(AnnéeCalendrier,5,21),1),"jjj")</f>
        <v>dim</v>
      </c>
      <c r="W5" s="32" t="str">
        <f>TEXT(WEEKDAY(DATE(AnnéeCalendrier,5,22),1),"jjj")</f>
        <v>lun</v>
      </c>
      <c r="X5" s="32" t="str">
        <f>TEXT(WEEKDAY(DATE(AnnéeCalendrier,5,23),1),"jjj")</f>
        <v>mar</v>
      </c>
      <c r="Y5" s="32" t="str">
        <f>TEXT(WEEKDAY(DATE(AnnéeCalendrier,5,24),1),"jjj")</f>
        <v>mer</v>
      </c>
      <c r="Z5" s="32" t="str">
        <f>TEXT(WEEKDAY(DATE(AnnéeCalendrier,5,25),1),"jjj")</f>
        <v>jeu</v>
      </c>
      <c r="AA5" s="32" t="str">
        <f>TEXT(WEEKDAY(DATE(AnnéeCalendrier,5,26),1),"jjj")</f>
        <v>ven</v>
      </c>
      <c r="AB5" s="32" t="str">
        <f>TEXT(WEEKDAY(DATE(AnnéeCalendrier,5,27),1),"jjj")</f>
        <v>sam</v>
      </c>
      <c r="AC5" s="32" t="str">
        <f>TEXT(WEEKDAY(DATE(AnnéeCalendrier,5,28),1),"jjj")</f>
        <v>dim</v>
      </c>
      <c r="AD5" s="32" t="str">
        <f>TEXT(WEEKDAY(DATE(AnnéeCalendrier,5,29),1),"jjj")</f>
        <v>lun</v>
      </c>
      <c r="AE5" s="32" t="str">
        <f>TEXT(WEEKDAY(DATE(AnnéeCalendrier,5,30),1),"jjj")</f>
        <v>mar</v>
      </c>
      <c r="AF5" s="32" t="str">
        <f>TEXT(WEEKDAY(DATE(AnnéeCalendrier,5,31),1),"jjj")</f>
        <v>mer</v>
      </c>
      <c r="AG5" s="59"/>
    </row>
    <row r="6" spans="1:33" ht="24" x14ac:dyDescent="0.3">
      <c r="A6" s="45" t="s">
        <v>2</v>
      </c>
      <c r="B6" s="46" t="s">
        <v>8</v>
      </c>
      <c r="C6" s="46" t="s">
        <v>10</v>
      </c>
      <c r="D6" s="46" t="s">
        <v>11</v>
      </c>
      <c r="E6" s="46" t="s">
        <v>12</v>
      </c>
      <c r="F6" s="46" t="s">
        <v>13</v>
      </c>
      <c r="G6" s="46" t="s">
        <v>14</v>
      </c>
      <c r="H6" s="46" t="s">
        <v>15</v>
      </c>
      <c r="I6" s="46" t="s">
        <v>16</v>
      </c>
      <c r="J6" s="46" t="s">
        <v>17</v>
      </c>
      <c r="K6" s="46" t="s">
        <v>18</v>
      </c>
      <c r="L6" s="46" t="s">
        <v>19</v>
      </c>
      <c r="M6" s="46" t="s">
        <v>20</v>
      </c>
      <c r="N6" s="46" t="s">
        <v>21</v>
      </c>
      <c r="O6" s="46" t="s">
        <v>22</v>
      </c>
      <c r="P6" s="46" t="s">
        <v>23</v>
      </c>
      <c r="Q6" s="46" t="s">
        <v>24</v>
      </c>
      <c r="R6" s="46" t="s">
        <v>25</v>
      </c>
      <c r="S6" s="46" t="s">
        <v>26</v>
      </c>
      <c r="T6" s="46" t="s">
        <v>27</v>
      </c>
      <c r="U6" s="46" t="s">
        <v>28</v>
      </c>
      <c r="V6" s="46" t="s">
        <v>29</v>
      </c>
      <c r="W6" s="46" t="s">
        <v>30</v>
      </c>
      <c r="X6" s="46" t="s">
        <v>31</v>
      </c>
      <c r="Y6" s="46" t="s">
        <v>32</v>
      </c>
      <c r="Z6" s="46" t="s">
        <v>33</v>
      </c>
      <c r="AA6" s="46" t="s">
        <v>34</v>
      </c>
      <c r="AB6" s="46" t="s">
        <v>35</v>
      </c>
      <c r="AC6" s="46" t="s">
        <v>36</v>
      </c>
      <c r="AD6" s="46" t="s">
        <v>37</v>
      </c>
      <c r="AE6" s="46" t="s">
        <v>38</v>
      </c>
      <c r="AF6" s="46" t="s">
        <v>39</v>
      </c>
      <c r="AG6" s="35" t="s">
        <v>107</v>
      </c>
    </row>
    <row r="7" spans="1:33" ht="15" customHeight="1" x14ac:dyDescent="0.3">
      <c r="A7" s="36" t="s">
        <v>3</v>
      </c>
      <c r="B7" s="34"/>
      <c r="C7" s="34"/>
      <c r="D7" s="34"/>
      <c r="E7" s="34"/>
      <c r="F7" s="34"/>
      <c r="G7" s="34"/>
      <c r="H7" s="34"/>
      <c r="I7" s="34"/>
      <c r="J7" s="34"/>
      <c r="K7" s="34"/>
      <c r="L7" s="34"/>
      <c r="M7" s="34"/>
      <c r="N7" s="34"/>
      <c r="O7" s="34"/>
      <c r="P7" s="34"/>
      <c r="Q7" s="34"/>
      <c r="R7" s="34"/>
      <c r="S7" s="34"/>
      <c r="T7" s="34"/>
      <c r="U7" s="34"/>
      <c r="V7" s="34"/>
      <c r="W7" s="34"/>
      <c r="X7" s="34"/>
      <c r="Y7" s="34"/>
      <c r="Z7" s="34"/>
      <c r="AA7" s="34"/>
      <c r="AB7" s="34"/>
      <c r="AC7" s="34"/>
      <c r="AD7" s="34"/>
      <c r="AE7" s="34"/>
      <c r="AF7" s="34"/>
      <c r="AG7" s="18">
        <f>COUNTIF(Janvier[[#This Row],[1]:[31]],Paramétrage!G3)*Paramétrage!I3+COUNTIF(Janvier[[#This Row],[1]:[31]],Paramétrage!G4)*Paramétrage!I4+COUNTIF(Janvier[[#This Row],[1]:[31]],Paramétrage!G5)*Paramétrage!I5+COUNTIF(Janvier[[#This Row],[1]:[31]],Paramétrage!G6)*Paramétrage!I6+COUNTIF(Janvier[[#This Row],[1]:[31]],Paramétrage!G7)*Paramétrage!I7+COUNTIF(Janvier[[#This Row],[1]:[31]],Paramétrage!G8)*Paramétrage!I8+COUNTIF(Janvier[[#This Row],[1]:[31]],Paramétrage!G9)*Paramétrage!I9+COUNTIF(Janvier[[#This Row],[1]:[31]],Paramétrage!G10)*Paramétrage!I10+COUNTIF(Janvier[[#This Row],[1]:[31]],Paramétrage!G11)*Paramétrage!I11+COUNTIF(Janvier[[#This Row],[1]:[31]],Paramétrage!G12)*Paramétrage!I12+COUNTIF(Janvier[[#This Row],[1]:[31]],Paramétrage!G13)*Paramétrage!I13+COUNTIF(Janvier[[#This Row],[1]:[31]],Paramétrage!G14*Paramétrage!I14+COUNTIF(Janvier[[#This Row],[1]:[31]],Paramétrage!G15)*Paramétrage!I15+COUNTIF(Janvier[[#This Row],[1]:[31]],Paramétrage!G16)*Paramétrage!I16)</f>
        <v>0</v>
      </c>
    </row>
    <row r="8" spans="1:33" ht="15" customHeight="1" x14ac:dyDescent="0.3">
      <c r="A8" s="36" t="s">
        <v>4</v>
      </c>
      <c r="B8" s="34"/>
      <c r="C8" s="34"/>
      <c r="D8" s="34"/>
      <c r="E8" s="34"/>
      <c r="F8" s="34"/>
      <c r="G8" s="34"/>
      <c r="H8" s="34"/>
      <c r="I8" s="34"/>
      <c r="J8" s="34"/>
      <c r="K8" s="34"/>
      <c r="L8" s="34"/>
      <c r="M8" s="34"/>
      <c r="N8" s="34"/>
      <c r="O8" s="34"/>
      <c r="P8" s="34"/>
      <c r="Q8" s="34"/>
      <c r="R8" s="34"/>
      <c r="S8" s="34"/>
      <c r="T8" s="34"/>
      <c r="U8" s="34"/>
      <c r="V8" s="34"/>
      <c r="W8" s="34"/>
      <c r="X8" s="34"/>
      <c r="Y8" s="34"/>
      <c r="Z8" s="34"/>
      <c r="AA8" s="34"/>
      <c r="AB8" s="34"/>
      <c r="AC8" s="34"/>
      <c r="AD8" s="34"/>
      <c r="AE8" s="34"/>
      <c r="AF8" s="34"/>
      <c r="AG8" s="18">
        <f>COUNTIF(Janvier[[#This Row],[1]:[31]],Paramétrage!G4)*Paramétrage!I4+COUNTIF(Janvier[[#This Row],[1]:[31]],Paramétrage!G5)*Paramétrage!I5+COUNTIF(Janvier[[#This Row],[1]:[31]],Paramétrage!G6)*Paramétrage!I6+COUNTIF(Janvier[[#This Row],[1]:[31]],Paramétrage!G7)*Paramétrage!I7+COUNTIF(Janvier[[#This Row],[1]:[31]],Paramétrage!G8)*Paramétrage!I8+COUNTIF(Janvier[[#This Row],[1]:[31]],Paramétrage!G9)*Paramétrage!I9+COUNTIF(Janvier[[#This Row],[1]:[31]],Paramétrage!G10)*Paramétrage!I10+COUNTIF(Janvier[[#This Row],[1]:[31]],Paramétrage!G11)*Paramétrage!I11+COUNTIF(Janvier[[#This Row],[1]:[31]],Paramétrage!G12)*Paramétrage!I12+COUNTIF(Janvier[[#This Row],[1]:[31]],Paramétrage!G13)*Paramétrage!I13+COUNTIF(Janvier[[#This Row],[1]:[31]],Paramétrage!G14)*Paramétrage!I14+COUNTIF(Janvier[[#This Row],[1]:[31]],Paramétrage!G15*Paramétrage!I15+COUNTIF(Janvier[[#This Row],[1]:[31]],Paramétrage!G16)*Paramétrage!I16+COUNTIF(Janvier[[#This Row],[1]:[31]],Paramétrage!G17)*Paramétrage!I17)</f>
        <v>0</v>
      </c>
    </row>
    <row r="9" spans="1:33" ht="15" customHeight="1" x14ac:dyDescent="0.3">
      <c r="A9" s="36" t="s">
        <v>5</v>
      </c>
      <c r="B9" s="34"/>
      <c r="C9" s="34"/>
      <c r="D9" s="34"/>
      <c r="E9" s="34"/>
      <c r="F9" s="34"/>
      <c r="G9" s="34"/>
      <c r="H9" s="34"/>
      <c r="I9" s="34"/>
      <c r="J9" s="34"/>
      <c r="K9" s="34"/>
      <c r="L9" s="34"/>
      <c r="M9" s="34"/>
      <c r="N9" s="34"/>
      <c r="O9" s="34"/>
      <c r="P9" s="34"/>
      <c r="Q9" s="34"/>
      <c r="R9" s="34"/>
      <c r="S9" s="34"/>
      <c r="T9" s="34"/>
      <c r="U9" s="34"/>
      <c r="V9" s="34"/>
      <c r="W9" s="34"/>
      <c r="X9" s="34"/>
      <c r="Y9" s="34"/>
      <c r="Z9" s="34"/>
      <c r="AA9" s="34"/>
      <c r="AB9" s="34"/>
      <c r="AC9" s="34"/>
      <c r="AD9" s="34"/>
      <c r="AE9" s="34"/>
      <c r="AF9" s="34"/>
      <c r="AG9" s="18">
        <f>COUNTIF(Janvier[[#This Row],[1]:[31]],Paramétrage!G5)*Paramétrage!I5+COUNTIF(Janvier[[#This Row],[1]:[31]],Paramétrage!G6)*Paramétrage!I6+COUNTIF(Janvier[[#This Row],[1]:[31]],Paramétrage!G7)*Paramétrage!I7+COUNTIF(Janvier[[#This Row],[1]:[31]],Paramétrage!G8)*Paramétrage!I8+COUNTIF(Janvier[[#This Row],[1]:[31]],Paramétrage!G9)*Paramétrage!I9+COUNTIF(Janvier[[#This Row],[1]:[31]],Paramétrage!G10)*Paramétrage!I10+COUNTIF(Janvier[[#This Row],[1]:[31]],Paramétrage!G11)*Paramétrage!I11+COUNTIF(Janvier[[#This Row],[1]:[31]],Paramétrage!G12)*Paramétrage!I12+COUNTIF(Janvier[[#This Row],[1]:[31]],Paramétrage!G13)*Paramétrage!I13+COUNTIF(Janvier[[#This Row],[1]:[31]],Paramétrage!G14)*Paramétrage!I14+COUNTIF(Janvier[[#This Row],[1]:[31]],Paramétrage!G15)*Paramétrage!I15+COUNTIF(Janvier[[#This Row],[1]:[31]],Paramétrage!G16*Paramétrage!I16+COUNTIF(Janvier[[#This Row],[1]:[31]],Paramétrage!G17)*Paramétrage!I17+COUNTIF(Janvier[[#This Row],[1]:[31]],Paramétrage!G18)*Paramétrage!I18)</f>
        <v>0</v>
      </c>
    </row>
    <row r="10" spans="1:33" ht="15" customHeight="1" x14ac:dyDescent="0.3">
      <c r="A10" s="36" t="s">
        <v>6</v>
      </c>
      <c r="B10" s="34"/>
      <c r="C10" s="34"/>
      <c r="D10" s="34"/>
      <c r="E10" s="34"/>
      <c r="F10" s="34"/>
      <c r="G10" s="34"/>
      <c r="H10" s="34"/>
      <c r="I10" s="34"/>
      <c r="J10" s="34"/>
      <c r="K10" s="34"/>
      <c r="L10" s="34"/>
      <c r="M10" s="34"/>
      <c r="N10" s="34"/>
      <c r="O10" s="34"/>
      <c r="P10" s="34"/>
      <c r="Q10" s="34"/>
      <c r="R10" s="34"/>
      <c r="S10" s="34"/>
      <c r="T10" s="34"/>
      <c r="U10" s="34"/>
      <c r="V10" s="34"/>
      <c r="W10" s="34"/>
      <c r="X10" s="34"/>
      <c r="Y10" s="34"/>
      <c r="Z10" s="34"/>
      <c r="AA10" s="34"/>
      <c r="AB10" s="34"/>
      <c r="AC10" s="34"/>
      <c r="AD10" s="34"/>
      <c r="AE10" s="34"/>
      <c r="AF10" s="34"/>
      <c r="AG10" s="18">
        <f>COUNTIF(Janvier[[#This Row],[1]:[31]],Paramétrage!G6)*Paramétrage!I6+COUNTIF(Janvier[[#This Row],[1]:[31]],Paramétrage!G7)*Paramétrage!I7+COUNTIF(Janvier[[#This Row],[1]:[31]],Paramétrage!G8)*Paramétrage!I8+COUNTIF(Janvier[[#This Row],[1]:[31]],Paramétrage!G9)*Paramétrage!I9+COUNTIF(Janvier[[#This Row],[1]:[31]],Paramétrage!G10)*Paramétrage!I10+COUNTIF(Janvier[[#This Row],[1]:[31]],Paramétrage!G11)*Paramétrage!I11+COUNTIF(Janvier[[#This Row],[1]:[31]],Paramétrage!G12)*Paramétrage!I12+COUNTIF(Janvier[[#This Row],[1]:[31]],Paramétrage!G13)*Paramétrage!I13+COUNTIF(Janvier[[#This Row],[1]:[31]],Paramétrage!G14)*Paramétrage!I14+COUNTIF(Janvier[[#This Row],[1]:[31]],Paramétrage!G15)*Paramétrage!I15+COUNTIF(Janvier[[#This Row],[1]:[31]],Paramétrage!G16)*Paramétrage!I16+COUNTIF(Janvier[[#This Row],[1]:[31]],Paramétrage!G17*Paramétrage!I17+COUNTIF(Janvier[[#This Row],[1]:[31]],Paramétrage!G18)*Paramétrage!I18+COUNTIF(Janvier[[#This Row],[1]:[31]],Paramétrage!G19)*Paramétrage!I19)</f>
        <v>0</v>
      </c>
    </row>
    <row r="11" spans="1:33" ht="15" customHeight="1" x14ac:dyDescent="0.3">
      <c r="A11" s="36" t="s">
        <v>7</v>
      </c>
      <c r="B11" s="34"/>
      <c r="C11" s="34"/>
      <c r="D11" s="34"/>
      <c r="E11" s="34"/>
      <c r="F11" s="34"/>
      <c r="G11" s="34"/>
      <c r="H11" s="34"/>
      <c r="I11" s="34"/>
      <c r="J11" s="34"/>
      <c r="K11" s="34"/>
      <c r="L11" s="34"/>
      <c r="M11" s="34"/>
      <c r="N11" s="34"/>
      <c r="O11" s="34"/>
      <c r="P11" s="34"/>
      <c r="Q11" s="34"/>
      <c r="R11" s="34"/>
      <c r="S11" s="34"/>
      <c r="T11" s="34"/>
      <c r="U11" s="34"/>
      <c r="V11" s="34"/>
      <c r="W11" s="34"/>
      <c r="X11" s="34"/>
      <c r="Y11" s="34"/>
      <c r="Z11" s="34"/>
      <c r="AA11" s="34"/>
      <c r="AB11" s="34"/>
      <c r="AC11" s="34"/>
      <c r="AD11" s="34"/>
      <c r="AE11" s="34"/>
      <c r="AF11" s="34"/>
      <c r="AG11" s="18">
        <f>COUNTIF(Janvier[[#This Row],[1]:[31]],Paramétrage!G7)*Paramétrage!I7+COUNTIF(Janvier[[#This Row],[1]:[31]],Paramétrage!G8)*Paramétrage!I8+COUNTIF(Janvier[[#This Row],[1]:[31]],Paramétrage!G9)*Paramétrage!I9+COUNTIF(Janvier[[#This Row],[1]:[31]],Paramétrage!G10)*Paramétrage!I10+COUNTIF(Janvier[[#This Row],[1]:[31]],Paramétrage!G11)*Paramétrage!I11+COUNTIF(Janvier[[#This Row],[1]:[31]],Paramétrage!G12)*Paramétrage!I12+COUNTIF(Janvier[[#This Row],[1]:[31]],Paramétrage!G13)*Paramétrage!I13+COUNTIF(Janvier[[#This Row],[1]:[31]],Paramétrage!G14)*Paramétrage!I14+COUNTIF(Janvier[[#This Row],[1]:[31]],Paramétrage!G15)*Paramétrage!I15+COUNTIF(Janvier[[#This Row],[1]:[31]],Paramétrage!G16)*Paramétrage!I16+COUNTIF(Janvier[[#This Row],[1]:[31]],Paramétrage!G17)*Paramétrage!I17+COUNTIF(Janvier[[#This Row],[1]:[31]],Paramétrage!G18*Paramétrage!I18+COUNTIF(Janvier[[#This Row],[1]:[31]],Paramétrage!G19)*Paramétrage!I19+COUNTIF(Janvier[[#This Row],[1]:[31]],Paramétrage!G20)*Paramétrage!I20)</f>
        <v>0</v>
      </c>
    </row>
    <row r="12" spans="1:33" ht="15" customHeight="1" x14ac:dyDescent="0.3">
      <c r="A12" s="36" t="s">
        <v>55</v>
      </c>
      <c r="B12" s="34"/>
      <c r="C12" s="34"/>
      <c r="D12" s="34"/>
      <c r="E12" s="34"/>
      <c r="F12" s="34"/>
      <c r="G12" s="34"/>
      <c r="H12" s="34"/>
      <c r="I12" s="34"/>
      <c r="J12" s="34"/>
      <c r="K12" s="34"/>
      <c r="L12" s="34"/>
      <c r="M12" s="34"/>
      <c r="N12" s="34"/>
      <c r="O12" s="34"/>
      <c r="P12" s="34"/>
      <c r="Q12" s="34"/>
      <c r="R12" s="34"/>
      <c r="S12" s="34"/>
      <c r="T12" s="34"/>
      <c r="U12" s="34"/>
      <c r="V12" s="34"/>
      <c r="W12" s="34"/>
      <c r="X12" s="34"/>
      <c r="Y12" s="34"/>
      <c r="Z12" s="34"/>
      <c r="AA12" s="34"/>
      <c r="AB12" s="34"/>
      <c r="AC12" s="34"/>
      <c r="AD12" s="34"/>
      <c r="AE12" s="34"/>
      <c r="AF12" s="34"/>
      <c r="AG12" s="18">
        <f>COUNTIF(Janvier[[#This Row],[1]:[31]],Paramétrage!G8)*Paramétrage!I8+COUNTIF(Janvier[[#This Row],[1]:[31]],Paramétrage!G9)*Paramétrage!I9+COUNTIF(Janvier[[#This Row],[1]:[31]],Paramétrage!G10)*Paramétrage!I10+COUNTIF(Janvier[[#This Row],[1]:[31]],Paramétrage!G11)*Paramétrage!I11+COUNTIF(Janvier[[#This Row],[1]:[31]],Paramétrage!G12)*Paramétrage!I12+COUNTIF(Janvier[[#This Row],[1]:[31]],Paramétrage!G13)*Paramétrage!I13+COUNTIF(Janvier[[#This Row],[1]:[31]],Paramétrage!G14)*Paramétrage!I14+COUNTIF(Janvier[[#This Row],[1]:[31]],Paramétrage!G15)*Paramétrage!I15+COUNTIF(Janvier[[#This Row],[1]:[31]],Paramétrage!G16)*Paramétrage!I16+COUNTIF(Janvier[[#This Row],[1]:[31]],Paramétrage!G17)*Paramétrage!I17+COUNTIF(Janvier[[#This Row],[1]:[31]],Paramétrage!G18)*Paramétrage!I18+COUNTIF(Janvier[[#This Row],[1]:[31]],Paramétrage!G19*Paramétrage!I19+COUNTIF(Janvier[[#This Row],[1]:[31]],Paramétrage!G20)*Paramétrage!I20+COUNTIF(Janvier[[#This Row],[1]:[31]],Paramétrage!G21)*Paramétrage!I21)</f>
        <v>0</v>
      </c>
    </row>
    <row r="13" spans="1:33" ht="15" customHeight="1" x14ac:dyDescent="0.3">
      <c r="A13" s="36" t="s">
        <v>56</v>
      </c>
      <c r="B13" s="34"/>
      <c r="C13" s="34"/>
      <c r="D13" s="34"/>
      <c r="E13" s="34"/>
      <c r="F13" s="34"/>
      <c r="G13" s="34"/>
      <c r="H13" s="34"/>
      <c r="I13" s="34"/>
      <c r="J13" s="34"/>
      <c r="K13" s="34"/>
      <c r="L13" s="34"/>
      <c r="M13" s="34"/>
      <c r="N13" s="34"/>
      <c r="O13" s="34"/>
      <c r="P13" s="34"/>
      <c r="Q13" s="34"/>
      <c r="R13" s="34"/>
      <c r="S13" s="34"/>
      <c r="T13" s="34"/>
      <c r="U13" s="34"/>
      <c r="V13" s="34"/>
      <c r="W13" s="34"/>
      <c r="X13" s="34"/>
      <c r="Y13" s="34"/>
      <c r="Z13" s="34"/>
      <c r="AA13" s="34"/>
      <c r="AB13" s="34"/>
      <c r="AC13" s="34"/>
      <c r="AD13" s="34"/>
      <c r="AE13" s="34"/>
      <c r="AF13" s="34"/>
      <c r="AG13" s="18">
        <f>COUNTIF(Janvier[[#This Row],[1]:[31]],Paramétrage!G9)*Paramétrage!I9+COUNTIF(Janvier[[#This Row],[1]:[31]],Paramétrage!G10)*Paramétrage!I10+COUNTIF(Janvier[[#This Row],[1]:[31]],Paramétrage!G11)*Paramétrage!I11+COUNTIF(Janvier[[#This Row],[1]:[31]],Paramétrage!G12)*Paramétrage!I12+COUNTIF(Janvier[[#This Row],[1]:[31]],Paramétrage!G13)*Paramétrage!I13+COUNTIF(Janvier[[#This Row],[1]:[31]],Paramétrage!G14)*Paramétrage!I14+COUNTIF(Janvier[[#This Row],[1]:[31]],Paramétrage!G15)*Paramétrage!I15+COUNTIF(Janvier[[#This Row],[1]:[31]],Paramétrage!G16)*Paramétrage!I16+COUNTIF(Janvier[[#This Row],[1]:[31]],Paramétrage!G17)*Paramétrage!I17+COUNTIF(Janvier[[#This Row],[1]:[31]],Paramétrage!G18)*Paramétrage!I18+COUNTIF(Janvier[[#This Row],[1]:[31]],Paramétrage!G19)*Paramétrage!I19+COUNTIF(Janvier[[#This Row],[1]:[31]],Paramétrage!G20*Paramétrage!I20+COUNTIF(Janvier[[#This Row],[1]:[31]],Paramétrage!G21)*Paramétrage!I21+COUNTIF(Janvier[[#This Row],[1]:[31]],Paramétrage!G22)*Paramétrage!I22)</f>
        <v>0</v>
      </c>
    </row>
    <row r="14" spans="1:33" ht="15" customHeight="1" x14ac:dyDescent="0.3">
      <c r="A14" s="36" t="s">
        <v>57</v>
      </c>
      <c r="B14" s="34"/>
      <c r="C14" s="34"/>
      <c r="D14" s="34"/>
      <c r="E14" s="34"/>
      <c r="F14" s="34"/>
      <c r="G14" s="34"/>
      <c r="H14" s="34"/>
      <c r="I14" s="34"/>
      <c r="J14" s="34"/>
      <c r="K14" s="34"/>
      <c r="L14" s="34"/>
      <c r="M14" s="34"/>
      <c r="N14" s="34"/>
      <c r="O14" s="34"/>
      <c r="P14" s="34"/>
      <c r="Q14" s="34"/>
      <c r="R14" s="34"/>
      <c r="S14" s="34"/>
      <c r="T14" s="34"/>
      <c r="U14" s="34"/>
      <c r="V14" s="34"/>
      <c r="W14" s="34"/>
      <c r="X14" s="34"/>
      <c r="Y14" s="34"/>
      <c r="Z14" s="34"/>
      <c r="AA14" s="34"/>
      <c r="AB14" s="34"/>
      <c r="AC14" s="34"/>
      <c r="AD14" s="34"/>
      <c r="AE14" s="34"/>
      <c r="AF14" s="34"/>
      <c r="AG14" s="18">
        <f>COUNTIF(Janvier[[#This Row],[1]:[31]],Paramétrage!G10)*Paramétrage!I10+COUNTIF(Janvier[[#This Row],[1]:[31]],Paramétrage!G11)*Paramétrage!I11+COUNTIF(Janvier[[#This Row],[1]:[31]],Paramétrage!G12)*Paramétrage!I12+COUNTIF(Janvier[[#This Row],[1]:[31]],Paramétrage!G13)*Paramétrage!I13+COUNTIF(Janvier[[#This Row],[1]:[31]],Paramétrage!G14)*Paramétrage!I14+COUNTIF(Janvier[[#This Row],[1]:[31]],Paramétrage!G15)*Paramétrage!I15+COUNTIF(Janvier[[#This Row],[1]:[31]],Paramétrage!G16)*Paramétrage!I16+COUNTIF(Janvier[[#This Row],[1]:[31]],Paramétrage!G17)*Paramétrage!I17+COUNTIF(Janvier[[#This Row],[1]:[31]],Paramétrage!G18)*Paramétrage!I18+COUNTIF(Janvier[[#This Row],[1]:[31]],Paramétrage!G19)*Paramétrage!I19+COUNTIF(Janvier[[#This Row],[1]:[31]],Paramétrage!G20)*Paramétrage!I20+COUNTIF(Janvier[[#This Row],[1]:[31]],Paramétrage!G21*Paramétrage!I21+COUNTIF(Janvier[[#This Row],[1]:[31]],Paramétrage!G22)*Paramétrage!I22+COUNTIF(Janvier[[#This Row],[1]:[31]],Paramétrage!G23)*Paramétrage!I23)</f>
        <v>0</v>
      </c>
    </row>
    <row r="15" spans="1:33" ht="15" customHeight="1" x14ac:dyDescent="0.3">
      <c r="A15" s="36" t="s">
        <v>61</v>
      </c>
      <c r="B15" s="34"/>
      <c r="C15" s="34"/>
      <c r="D15" s="34"/>
      <c r="E15" s="34"/>
      <c r="F15" s="34"/>
      <c r="G15" s="34"/>
      <c r="H15" s="34"/>
      <c r="I15" s="34"/>
      <c r="J15" s="34"/>
      <c r="K15" s="34"/>
      <c r="L15" s="34"/>
      <c r="M15" s="34"/>
      <c r="N15" s="34"/>
      <c r="O15" s="34"/>
      <c r="P15" s="34"/>
      <c r="Q15" s="34"/>
      <c r="R15" s="34"/>
      <c r="S15" s="34"/>
      <c r="T15" s="34"/>
      <c r="U15" s="34"/>
      <c r="V15" s="34"/>
      <c r="W15" s="34"/>
      <c r="X15" s="34"/>
      <c r="Y15" s="34"/>
      <c r="Z15" s="34"/>
      <c r="AA15" s="34"/>
      <c r="AB15" s="34"/>
      <c r="AC15" s="34"/>
      <c r="AD15" s="34"/>
      <c r="AE15" s="34"/>
      <c r="AF15" s="34"/>
      <c r="AG15" s="18">
        <f>COUNTIF(Janvier[[#This Row],[1]:[31]],Paramétrage!G11)*Paramétrage!I11+COUNTIF(Janvier[[#This Row],[1]:[31]],Paramétrage!G12)*Paramétrage!I12+COUNTIF(Janvier[[#This Row],[1]:[31]],Paramétrage!G13)*Paramétrage!I13+COUNTIF(Janvier[[#This Row],[1]:[31]],Paramétrage!G14)*Paramétrage!I14+COUNTIF(Janvier[[#This Row],[1]:[31]],Paramétrage!G15)*Paramétrage!I15+COUNTIF(Janvier[[#This Row],[1]:[31]],Paramétrage!G16)*Paramétrage!I16+COUNTIF(Janvier[[#This Row],[1]:[31]],Paramétrage!G17)*Paramétrage!I17+COUNTIF(Janvier[[#This Row],[1]:[31]],Paramétrage!G18)*Paramétrage!I18+COUNTIF(Janvier[[#This Row],[1]:[31]],Paramétrage!G19)*Paramétrage!I19+COUNTIF(Janvier[[#This Row],[1]:[31]],Paramétrage!G20)*Paramétrage!I20+COUNTIF(Janvier[[#This Row],[1]:[31]],Paramétrage!G21)*Paramétrage!I21+COUNTIF(Janvier[[#This Row],[1]:[31]],Paramétrage!G22*Paramétrage!I22+COUNTIF(Janvier[[#This Row],[1]:[31]],Paramétrage!G23)*Paramétrage!I23+COUNTIF(Janvier[[#This Row],[1]:[31]],Paramétrage!G24)*Paramétrage!I24)</f>
        <v>0</v>
      </c>
    </row>
    <row r="16" spans="1:33" ht="15" customHeight="1" x14ac:dyDescent="0.3">
      <c r="A16" s="36" t="s">
        <v>62</v>
      </c>
      <c r="B16" s="34"/>
      <c r="C16" s="34"/>
      <c r="D16" s="34"/>
      <c r="E16" s="34"/>
      <c r="F16" s="34"/>
      <c r="G16" s="34"/>
      <c r="H16" s="34"/>
      <c r="I16" s="34"/>
      <c r="J16" s="34"/>
      <c r="K16" s="34"/>
      <c r="L16" s="34"/>
      <c r="M16" s="34"/>
      <c r="N16" s="34"/>
      <c r="O16" s="34"/>
      <c r="P16" s="34"/>
      <c r="Q16" s="34"/>
      <c r="R16" s="34"/>
      <c r="S16" s="34"/>
      <c r="T16" s="34"/>
      <c r="U16" s="34"/>
      <c r="V16" s="34"/>
      <c r="W16" s="34"/>
      <c r="X16" s="34"/>
      <c r="Y16" s="34"/>
      <c r="Z16" s="34"/>
      <c r="AA16" s="34"/>
      <c r="AB16" s="34"/>
      <c r="AC16" s="34"/>
      <c r="AD16" s="34"/>
      <c r="AE16" s="34"/>
      <c r="AF16" s="34"/>
      <c r="AG16" s="18">
        <f>COUNTIF(Janvier[[#This Row],[1]:[31]],Paramétrage!G12)*Paramétrage!I12+COUNTIF(Janvier[[#This Row],[1]:[31]],Paramétrage!G13)*Paramétrage!I13+COUNTIF(Janvier[[#This Row],[1]:[31]],Paramétrage!G14)*Paramétrage!I14+COUNTIF(Janvier[[#This Row],[1]:[31]],Paramétrage!G15)*Paramétrage!I15+COUNTIF(Janvier[[#This Row],[1]:[31]],Paramétrage!G16)*Paramétrage!I16+COUNTIF(Janvier[[#This Row],[1]:[31]],Paramétrage!G17)*Paramétrage!I17+COUNTIF(Janvier[[#This Row],[1]:[31]],Paramétrage!G18)*Paramétrage!I18+COUNTIF(Janvier[[#This Row],[1]:[31]],Paramétrage!G19)*Paramétrage!I19+COUNTIF(Janvier[[#This Row],[1]:[31]],Paramétrage!G20)*Paramétrage!I20+COUNTIF(Janvier[[#This Row],[1]:[31]],Paramétrage!G21)*Paramétrage!I21+COUNTIF(Janvier[[#This Row],[1]:[31]],Paramétrage!G22)*Paramétrage!I22+COUNTIF(Janvier[[#This Row],[1]:[31]],Paramétrage!G23*Paramétrage!I23+COUNTIF(Janvier[[#This Row],[1]:[31]],Paramétrage!G24)*Paramétrage!I24+COUNTIF(Janvier[[#This Row],[1]:[31]],Paramétrage!G25)*Paramétrage!I25)</f>
        <v>0</v>
      </c>
    </row>
    <row r="17" spans="1:33" ht="15" customHeight="1" x14ac:dyDescent="0.3">
      <c r="A17" s="36" t="s">
        <v>63</v>
      </c>
      <c r="B17" s="34"/>
      <c r="C17" s="34"/>
      <c r="D17" s="34"/>
      <c r="E17" s="34"/>
      <c r="F17" s="34"/>
      <c r="G17" s="34"/>
      <c r="H17" s="34"/>
      <c r="I17" s="34"/>
      <c r="J17" s="34"/>
      <c r="K17" s="34"/>
      <c r="L17" s="34"/>
      <c r="M17" s="34"/>
      <c r="N17" s="34"/>
      <c r="O17" s="34"/>
      <c r="P17" s="34"/>
      <c r="Q17" s="34"/>
      <c r="R17" s="34"/>
      <c r="S17" s="34"/>
      <c r="T17" s="34"/>
      <c r="U17" s="34"/>
      <c r="V17" s="34"/>
      <c r="W17" s="34"/>
      <c r="X17" s="34"/>
      <c r="Y17" s="34"/>
      <c r="Z17" s="34"/>
      <c r="AA17" s="34"/>
      <c r="AB17" s="34"/>
      <c r="AC17" s="34"/>
      <c r="AD17" s="34"/>
      <c r="AE17" s="34"/>
      <c r="AF17" s="34"/>
      <c r="AG17" s="18">
        <f>COUNTIF(Janvier[[#This Row],[1]:[31]],Paramétrage!G13)*Paramétrage!I13+COUNTIF(Janvier[[#This Row],[1]:[31]],Paramétrage!G14)*Paramétrage!I14+COUNTIF(Janvier[[#This Row],[1]:[31]],Paramétrage!G15)*Paramétrage!I15+COUNTIF(Janvier[[#This Row],[1]:[31]],Paramétrage!G16)*Paramétrage!I16+COUNTIF(Janvier[[#This Row],[1]:[31]],Paramétrage!G17)*Paramétrage!I17+COUNTIF(Janvier[[#This Row],[1]:[31]],Paramétrage!G18)*Paramétrage!I18+COUNTIF(Janvier[[#This Row],[1]:[31]],Paramétrage!G19)*Paramétrage!I19+COUNTIF(Janvier[[#This Row],[1]:[31]],Paramétrage!G20)*Paramétrage!I20+COUNTIF(Janvier[[#This Row],[1]:[31]],Paramétrage!G21)*Paramétrage!I21+COUNTIF(Janvier[[#This Row],[1]:[31]],Paramétrage!G22)*Paramétrage!I22+COUNTIF(Janvier[[#This Row],[1]:[31]],Paramétrage!G23)*Paramétrage!I23+COUNTIF(Janvier[[#This Row],[1]:[31]],Paramétrage!G24*Paramétrage!I24+COUNTIF(Janvier[[#This Row],[1]:[31]],Paramétrage!G25)*Paramétrage!I25+COUNTIF(Janvier[[#This Row],[1]:[31]],Paramétrage!G26)*Paramétrage!I26)</f>
        <v>0</v>
      </c>
    </row>
    <row r="18" spans="1:33" ht="15" customHeight="1" x14ac:dyDescent="0.3">
      <c r="A18" s="36" t="s">
        <v>65</v>
      </c>
      <c r="B18" s="34"/>
      <c r="C18" s="34"/>
      <c r="D18" s="34"/>
      <c r="E18" s="34"/>
      <c r="F18" s="34"/>
      <c r="G18" s="34"/>
      <c r="H18" s="34"/>
      <c r="I18" s="34"/>
      <c r="J18" s="34"/>
      <c r="K18" s="34"/>
      <c r="L18" s="34"/>
      <c r="M18" s="34"/>
      <c r="N18" s="34"/>
      <c r="O18" s="34"/>
      <c r="P18" s="34"/>
      <c r="Q18" s="34"/>
      <c r="R18" s="34"/>
      <c r="S18" s="34"/>
      <c r="T18" s="34"/>
      <c r="U18" s="34"/>
      <c r="V18" s="34"/>
      <c r="W18" s="34"/>
      <c r="X18" s="34"/>
      <c r="Y18" s="34"/>
      <c r="Z18" s="34"/>
      <c r="AA18" s="34"/>
      <c r="AB18" s="34"/>
      <c r="AC18" s="34"/>
      <c r="AD18" s="34"/>
      <c r="AE18" s="34"/>
      <c r="AF18" s="34"/>
      <c r="AG18" s="18">
        <f>COUNTIF(Janvier[[#This Row],[1]:[31]],Paramétrage!G14)*Paramétrage!I14+COUNTIF(Janvier[[#This Row],[1]:[31]],Paramétrage!G15)*Paramétrage!I15+COUNTIF(Janvier[[#This Row],[1]:[31]],Paramétrage!G16)*Paramétrage!I16+COUNTIF(Janvier[[#This Row],[1]:[31]],Paramétrage!G17)*Paramétrage!I17+COUNTIF(Janvier[[#This Row],[1]:[31]],Paramétrage!G18)*Paramétrage!I18+COUNTIF(Janvier[[#This Row],[1]:[31]],Paramétrage!G19)*Paramétrage!I19+COUNTIF(Janvier[[#This Row],[1]:[31]],Paramétrage!G20)*Paramétrage!I20+COUNTIF(Janvier[[#This Row],[1]:[31]],Paramétrage!G21)*Paramétrage!I21+COUNTIF(Janvier[[#This Row],[1]:[31]],Paramétrage!G22)*Paramétrage!I22+COUNTIF(Janvier[[#This Row],[1]:[31]],Paramétrage!G23)*Paramétrage!I23+COUNTIF(Janvier[[#This Row],[1]:[31]],Paramétrage!G24)*Paramétrage!I24+COUNTIF(Janvier[[#This Row],[1]:[31]],Paramétrage!G25*Paramétrage!I25+COUNTIF(Janvier[[#This Row],[1]:[31]],Paramétrage!G26)*Paramétrage!I26+COUNTIF(Janvier[[#This Row],[1]:[31]],Paramétrage!G27)*Paramétrage!I27)</f>
        <v>0</v>
      </c>
    </row>
    <row r="19" spans="1:33" ht="15" customHeight="1" x14ac:dyDescent="0.3">
      <c r="A19" s="36" t="s">
        <v>66</v>
      </c>
      <c r="B19" s="34"/>
      <c r="C19" s="34"/>
      <c r="D19" s="34"/>
      <c r="E19" s="34"/>
      <c r="F19" s="34"/>
      <c r="G19" s="34"/>
      <c r="H19" s="34"/>
      <c r="I19" s="34"/>
      <c r="J19" s="34"/>
      <c r="K19" s="34"/>
      <c r="L19" s="34"/>
      <c r="M19" s="34"/>
      <c r="N19" s="34"/>
      <c r="O19" s="34"/>
      <c r="P19" s="34"/>
      <c r="Q19" s="34"/>
      <c r="R19" s="34"/>
      <c r="S19" s="34"/>
      <c r="T19" s="34"/>
      <c r="U19" s="34"/>
      <c r="V19" s="34"/>
      <c r="W19" s="34"/>
      <c r="X19" s="34"/>
      <c r="Y19" s="34"/>
      <c r="Z19" s="34"/>
      <c r="AA19" s="34"/>
      <c r="AB19" s="34"/>
      <c r="AC19" s="34"/>
      <c r="AD19" s="34"/>
      <c r="AE19" s="34"/>
      <c r="AF19" s="34"/>
      <c r="AG19" s="18">
        <f>COUNTIF(Janvier[[#This Row],[1]:[31]],Paramétrage!G15)*Paramétrage!I15+COUNTIF(Janvier[[#This Row],[1]:[31]],Paramétrage!G16)*Paramétrage!I16+COUNTIF(Janvier[[#This Row],[1]:[31]],Paramétrage!G17)*Paramétrage!I17+COUNTIF(Janvier[[#This Row],[1]:[31]],Paramétrage!G18)*Paramétrage!I18+COUNTIF(Janvier[[#This Row],[1]:[31]],Paramétrage!G19)*Paramétrage!I19+COUNTIF(Janvier[[#This Row],[1]:[31]],Paramétrage!G20)*Paramétrage!I20+COUNTIF(Janvier[[#This Row],[1]:[31]],Paramétrage!G21)*Paramétrage!I21+COUNTIF(Janvier[[#This Row],[1]:[31]],Paramétrage!G22)*Paramétrage!I22+COUNTIF(Janvier[[#This Row],[1]:[31]],Paramétrage!G23)*Paramétrage!I23+COUNTIF(Janvier[[#This Row],[1]:[31]],Paramétrage!G24)*Paramétrage!I24+COUNTIF(Janvier[[#This Row],[1]:[31]],Paramétrage!G25)*Paramétrage!I25+COUNTIF(Janvier[[#This Row],[1]:[31]],Paramétrage!G26*Paramétrage!I26+COUNTIF(Janvier[[#This Row],[1]:[31]],Paramétrage!G27)*Paramétrage!I27+COUNTIF(Janvier[[#This Row],[1]:[31]],Paramétrage!G28)*Paramétrage!I28)</f>
        <v>0</v>
      </c>
    </row>
    <row r="20" spans="1:33" ht="15" customHeight="1" x14ac:dyDescent="0.3">
      <c r="A20" s="36" t="s">
        <v>67</v>
      </c>
      <c r="B20" s="34"/>
      <c r="C20" s="34"/>
      <c r="D20" s="34"/>
      <c r="E20" s="34"/>
      <c r="F20" s="34"/>
      <c r="G20" s="34"/>
      <c r="H20" s="34"/>
      <c r="I20" s="34"/>
      <c r="J20" s="34"/>
      <c r="K20" s="34"/>
      <c r="L20" s="34"/>
      <c r="M20" s="34"/>
      <c r="N20" s="34"/>
      <c r="O20" s="34"/>
      <c r="P20" s="34"/>
      <c r="Q20" s="34"/>
      <c r="R20" s="34"/>
      <c r="S20" s="34"/>
      <c r="T20" s="34"/>
      <c r="U20" s="34"/>
      <c r="V20" s="34"/>
      <c r="W20" s="34"/>
      <c r="X20" s="34"/>
      <c r="Y20" s="34"/>
      <c r="Z20" s="34"/>
      <c r="AA20" s="34"/>
      <c r="AB20" s="34"/>
      <c r="AC20" s="34"/>
      <c r="AD20" s="34"/>
      <c r="AE20" s="34"/>
      <c r="AF20" s="34"/>
      <c r="AG20" s="18">
        <f>COUNTIF(Janvier[[#This Row],[1]:[31]],Paramétrage!G16)*Paramétrage!I16+COUNTIF(Janvier[[#This Row],[1]:[31]],Paramétrage!G17)*Paramétrage!I17+COUNTIF(Janvier[[#This Row],[1]:[31]],Paramétrage!G18)*Paramétrage!I18+COUNTIF(Janvier[[#This Row],[1]:[31]],Paramétrage!G19)*Paramétrage!I19+COUNTIF(Janvier[[#This Row],[1]:[31]],Paramétrage!G20)*Paramétrage!I20+COUNTIF(Janvier[[#This Row],[1]:[31]],Paramétrage!G21)*Paramétrage!I21+COUNTIF(Janvier[[#This Row],[1]:[31]],Paramétrage!G22)*Paramétrage!I22+COUNTIF(Janvier[[#This Row],[1]:[31]],Paramétrage!G23)*Paramétrage!I23+COUNTIF(Janvier[[#This Row],[1]:[31]],Paramétrage!G24)*Paramétrage!I24+COUNTIF(Janvier[[#This Row],[1]:[31]],Paramétrage!G25)*Paramétrage!I25+COUNTIF(Janvier[[#This Row],[1]:[31]],Paramétrage!G26)*Paramétrage!I26+COUNTIF(Janvier[[#This Row],[1]:[31]],Paramétrage!G27*Paramétrage!I27+COUNTIF(Janvier[[#This Row],[1]:[31]],Paramétrage!G28)*Paramétrage!I28+COUNTIF(Janvier[[#This Row],[1]:[31]],Paramétrage!G29)*Paramétrage!I29)</f>
        <v>0</v>
      </c>
    </row>
    <row r="21" spans="1:33" ht="15" customHeight="1" x14ac:dyDescent="0.3">
      <c r="A21" s="36" t="s">
        <v>68</v>
      </c>
      <c r="B21" s="34"/>
      <c r="C21" s="34"/>
      <c r="D21" s="34"/>
      <c r="E21" s="34"/>
      <c r="F21" s="34"/>
      <c r="G21" s="34"/>
      <c r="H21" s="34"/>
      <c r="I21" s="34"/>
      <c r="J21" s="34"/>
      <c r="K21" s="34"/>
      <c r="L21" s="34"/>
      <c r="M21" s="34"/>
      <c r="N21" s="34"/>
      <c r="O21" s="34"/>
      <c r="P21" s="34"/>
      <c r="Q21" s="34"/>
      <c r="R21" s="34"/>
      <c r="S21" s="34"/>
      <c r="T21" s="34"/>
      <c r="U21" s="34"/>
      <c r="V21" s="34"/>
      <c r="W21" s="34"/>
      <c r="X21" s="34"/>
      <c r="Y21" s="34"/>
      <c r="Z21" s="34"/>
      <c r="AA21" s="34"/>
      <c r="AB21" s="34"/>
      <c r="AC21" s="34"/>
      <c r="AD21" s="34"/>
      <c r="AE21" s="34"/>
      <c r="AF21" s="34"/>
      <c r="AG21" s="18">
        <f>COUNTIF(Janvier[[#This Row],[1]:[31]],Paramétrage!G17)*Paramétrage!I17+COUNTIF(Janvier[[#This Row],[1]:[31]],Paramétrage!G18)*Paramétrage!I18+COUNTIF(Janvier[[#This Row],[1]:[31]],Paramétrage!G19)*Paramétrage!I19+COUNTIF(Janvier[[#This Row],[1]:[31]],Paramétrage!G20)*Paramétrage!I20+COUNTIF(Janvier[[#This Row],[1]:[31]],Paramétrage!G21)*Paramétrage!I21+COUNTIF(Janvier[[#This Row],[1]:[31]],Paramétrage!G22)*Paramétrage!I22+COUNTIF(Janvier[[#This Row],[1]:[31]],Paramétrage!G23)*Paramétrage!I23+COUNTIF(Janvier[[#This Row],[1]:[31]],Paramétrage!G24)*Paramétrage!I24+COUNTIF(Janvier[[#This Row],[1]:[31]],Paramétrage!G25)*Paramétrage!I25+COUNTIF(Janvier[[#This Row],[1]:[31]],Paramétrage!G26)*Paramétrage!I26+COUNTIF(Janvier[[#This Row],[1]:[31]],Paramétrage!G27)*Paramétrage!I27+COUNTIF(Janvier[[#This Row],[1]:[31]],Paramétrage!G28*Paramétrage!I28+COUNTIF(Janvier[[#This Row],[1]:[31]],Paramétrage!G29)*Paramétrage!I29+COUNTIF(Janvier[[#This Row],[1]:[31]],Paramétrage!G30)*Paramétrage!I30)</f>
        <v>0</v>
      </c>
    </row>
    <row r="22" spans="1:33" ht="15" customHeight="1" x14ac:dyDescent="0.3">
      <c r="A22" s="36" t="s">
        <v>91</v>
      </c>
      <c r="B22" s="37"/>
      <c r="C22" s="37"/>
      <c r="D22" s="37"/>
      <c r="E22" s="37"/>
      <c r="F22" s="37"/>
      <c r="G22" s="37"/>
      <c r="H22" s="37"/>
      <c r="I22" s="37"/>
      <c r="J22" s="37"/>
      <c r="K22" s="37"/>
      <c r="L22" s="37"/>
      <c r="M22" s="37"/>
      <c r="N22" s="37"/>
      <c r="O22" s="37"/>
      <c r="P22" s="37"/>
      <c r="Q22" s="37"/>
      <c r="R22" s="37"/>
      <c r="S22" s="37"/>
      <c r="T22" s="37"/>
      <c r="U22" s="37"/>
      <c r="V22" s="37"/>
      <c r="W22" s="37"/>
      <c r="X22" s="37"/>
      <c r="Y22" s="37"/>
      <c r="Z22" s="37"/>
      <c r="AA22" s="37"/>
      <c r="AB22" s="37"/>
      <c r="AC22" s="37"/>
      <c r="AD22" s="37"/>
      <c r="AE22" s="37"/>
      <c r="AF22" s="37"/>
      <c r="AG22" s="18">
        <f>COUNTIF(Janvier[[#This Row],[1]:[31]],Paramétrage!G18)*Paramétrage!I18+COUNTIF(Janvier[[#This Row],[1]:[31]],Paramétrage!G19)*Paramétrage!I19+COUNTIF(Janvier[[#This Row],[1]:[31]],Paramétrage!G20)*Paramétrage!I20+COUNTIF(Janvier[[#This Row],[1]:[31]],Paramétrage!G21)*Paramétrage!I21+COUNTIF(Janvier[[#This Row],[1]:[31]],Paramétrage!G22)*Paramétrage!I22+COUNTIF(Janvier[[#This Row],[1]:[31]],Paramétrage!G23)*Paramétrage!I23+COUNTIF(Janvier[[#This Row],[1]:[31]],Paramétrage!G24)*Paramétrage!I24+COUNTIF(Janvier[[#This Row],[1]:[31]],Paramétrage!G25)*Paramétrage!I25+COUNTIF(Janvier[[#This Row],[1]:[31]],Paramétrage!G26)*Paramétrage!I26+COUNTIF(Janvier[[#This Row],[1]:[31]],Paramétrage!G27)*Paramétrage!I27+COUNTIF(Janvier[[#This Row],[1]:[31]],Paramétrage!G28)*Paramétrage!I28+COUNTIF(Janvier[[#This Row],[1]:[31]],Paramétrage!G29*Paramétrage!I29+COUNTIF(Janvier[[#This Row],[1]:[31]],Paramétrage!G30)*Paramétrage!I30+COUNTIF(Janvier[[#This Row],[1]:[31]],Paramétrage!G31)*Paramétrage!I31)</f>
        <v>0</v>
      </c>
    </row>
    <row r="23" spans="1:33" ht="15" customHeight="1" x14ac:dyDescent="0.3">
      <c r="A23" s="36" t="s">
        <v>92</v>
      </c>
      <c r="B23" s="37"/>
      <c r="C23" s="37"/>
      <c r="D23" s="37"/>
      <c r="E23" s="37"/>
      <c r="F23" s="37"/>
      <c r="G23" s="37"/>
      <c r="H23" s="37"/>
      <c r="I23" s="37"/>
      <c r="J23" s="37"/>
      <c r="K23" s="37"/>
      <c r="L23" s="37"/>
      <c r="M23" s="37"/>
      <c r="N23" s="37"/>
      <c r="O23" s="37"/>
      <c r="P23" s="37"/>
      <c r="Q23" s="37"/>
      <c r="R23" s="37"/>
      <c r="S23" s="37"/>
      <c r="T23" s="37"/>
      <c r="U23" s="37"/>
      <c r="V23" s="37"/>
      <c r="W23" s="37"/>
      <c r="X23" s="37"/>
      <c r="Y23" s="37"/>
      <c r="Z23" s="37"/>
      <c r="AA23" s="37"/>
      <c r="AB23" s="37"/>
      <c r="AC23" s="37"/>
      <c r="AD23" s="37"/>
      <c r="AE23" s="37"/>
      <c r="AF23" s="37"/>
      <c r="AG23" s="18">
        <f>COUNTIF(Janvier[[#This Row],[1]:[31]],Paramétrage!G19)*Paramétrage!I19+COUNTIF(Janvier[[#This Row],[1]:[31]],Paramétrage!G20)*Paramétrage!I20+COUNTIF(Janvier[[#This Row],[1]:[31]],Paramétrage!G21)*Paramétrage!I21+COUNTIF(Janvier[[#This Row],[1]:[31]],Paramétrage!G22)*Paramétrage!I22+COUNTIF(Janvier[[#This Row],[1]:[31]],Paramétrage!G23)*Paramétrage!I23+COUNTIF(Janvier[[#This Row],[1]:[31]],Paramétrage!G24)*Paramétrage!I24+COUNTIF(Janvier[[#This Row],[1]:[31]],Paramétrage!G25)*Paramétrage!I25+COUNTIF(Janvier[[#This Row],[1]:[31]],Paramétrage!G26)*Paramétrage!I26+COUNTIF(Janvier[[#This Row],[1]:[31]],Paramétrage!G27)*Paramétrage!I27+COUNTIF(Janvier[[#This Row],[1]:[31]],Paramétrage!G28)*Paramétrage!I28+COUNTIF(Janvier[[#This Row],[1]:[31]],Paramétrage!G29)*Paramétrage!I29+COUNTIF(Janvier[[#This Row],[1]:[31]],Paramétrage!G30*Paramétrage!I30+COUNTIF(Janvier[[#This Row],[1]:[31]],Paramétrage!G31)*Paramétrage!I31+COUNTIF(Janvier[[#This Row],[1]:[31]],Paramétrage!G32)*Paramétrage!I32)</f>
        <v>0</v>
      </c>
    </row>
    <row r="24" spans="1:33" ht="15" customHeight="1" x14ac:dyDescent="0.3">
      <c r="A24" s="36" t="s">
        <v>93</v>
      </c>
      <c r="B24" s="37"/>
      <c r="C24" s="37"/>
      <c r="D24" s="37"/>
      <c r="E24" s="37"/>
      <c r="F24" s="37"/>
      <c r="G24" s="37"/>
      <c r="H24" s="37"/>
      <c r="I24" s="37"/>
      <c r="J24" s="37"/>
      <c r="K24" s="37"/>
      <c r="L24" s="37"/>
      <c r="M24" s="37"/>
      <c r="N24" s="37"/>
      <c r="O24" s="37"/>
      <c r="P24" s="37"/>
      <c r="Q24" s="37"/>
      <c r="R24" s="37"/>
      <c r="S24" s="37"/>
      <c r="T24" s="37"/>
      <c r="U24" s="37"/>
      <c r="V24" s="37"/>
      <c r="W24" s="37"/>
      <c r="X24" s="37"/>
      <c r="Y24" s="37"/>
      <c r="Z24" s="37"/>
      <c r="AA24" s="37"/>
      <c r="AB24" s="37"/>
      <c r="AC24" s="37"/>
      <c r="AD24" s="37"/>
      <c r="AE24" s="37"/>
      <c r="AF24" s="37"/>
      <c r="AG24" s="18">
        <f>COUNTIF(Janvier[[#This Row],[1]:[31]],Paramétrage!G20)*Paramétrage!I20+COUNTIF(Janvier[[#This Row],[1]:[31]],Paramétrage!G21)*Paramétrage!I21+COUNTIF(Janvier[[#This Row],[1]:[31]],Paramétrage!G22)*Paramétrage!I22+COUNTIF(Janvier[[#This Row],[1]:[31]],Paramétrage!G23)*Paramétrage!I23+COUNTIF(Janvier[[#This Row],[1]:[31]],Paramétrage!G24)*Paramétrage!I24+COUNTIF(Janvier[[#This Row],[1]:[31]],Paramétrage!G25)*Paramétrage!I25+COUNTIF(Janvier[[#This Row],[1]:[31]],Paramétrage!G26)*Paramétrage!I26+COUNTIF(Janvier[[#This Row],[1]:[31]],Paramétrage!G27)*Paramétrage!I27+COUNTIF(Janvier[[#This Row],[1]:[31]],Paramétrage!G28)*Paramétrage!I28+COUNTIF(Janvier[[#This Row],[1]:[31]],Paramétrage!G29)*Paramétrage!I29+COUNTIF(Janvier[[#This Row],[1]:[31]],Paramétrage!G30)*Paramétrage!I30+COUNTIF(Janvier[[#This Row],[1]:[31]],Paramétrage!G31*Paramétrage!I31+COUNTIF(Janvier[[#This Row],[1]:[31]],Paramétrage!G32)*Paramétrage!I32+COUNTIF(Janvier[[#This Row],[1]:[31]],Paramétrage!G33)*Paramétrage!I33)</f>
        <v>0</v>
      </c>
    </row>
    <row r="25" spans="1:33" ht="15" customHeight="1" x14ac:dyDescent="0.3">
      <c r="A25" s="36" t="s">
        <v>94</v>
      </c>
      <c r="B25" s="37"/>
      <c r="C25" s="37"/>
      <c r="D25" s="37"/>
      <c r="E25" s="37"/>
      <c r="F25" s="37"/>
      <c r="G25" s="37"/>
      <c r="H25" s="37"/>
      <c r="I25" s="37"/>
      <c r="J25" s="37"/>
      <c r="K25" s="37"/>
      <c r="L25" s="37"/>
      <c r="M25" s="37"/>
      <c r="N25" s="37"/>
      <c r="O25" s="37"/>
      <c r="P25" s="37"/>
      <c r="Q25" s="37"/>
      <c r="R25" s="37"/>
      <c r="S25" s="37"/>
      <c r="T25" s="37"/>
      <c r="U25" s="37"/>
      <c r="V25" s="37"/>
      <c r="W25" s="37"/>
      <c r="X25" s="37"/>
      <c r="Y25" s="37"/>
      <c r="Z25" s="37"/>
      <c r="AA25" s="37"/>
      <c r="AB25" s="37"/>
      <c r="AC25" s="37"/>
      <c r="AD25" s="37"/>
      <c r="AE25" s="37"/>
      <c r="AF25" s="37"/>
      <c r="AG25" s="18">
        <f>COUNTIF(Janvier[[#This Row],[1]:[31]],Paramétrage!G21)*Paramétrage!I21+COUNTIF(Janvier[[#This Row],[1]:[31]],Paramétrage!G22)*Paramétrage!I22+COUNTIF(Janvier[[#This Row],[1]:[31]],Paramétrage!G23)*Paramétrage!I23+COUNTIF(Janvier[[#This Row],[1]:[31]],Paramétrage!G24)*Paramétrage!I24+COUNTIF(Janvier[[#This Row],[1]:[31]],Paramétrage!G25)*Paramétrage!I25+COUNTIF(Janvier[[#This Row],[1]:[31]],Paramétrage!G26)*Paramétrage!I26+COUNTIF(Janvier[[#This Row],[1]:[31]],Paramétrage!G27)*Paramétrage!I27+COUNTIF(Janvier[[#This Row],[1]:[31]],Paramétrage!G28)*Paramétrage!I28+COUNTIF(Janvier[[#This Row],[1]:[31]],Paramétrage!G29)*Paramétrage!I29+COUNTIF(Janvier[[#This Row],[1]:[31]],Paramétrage!G30)*Paramétrage!I30+COUNTIF(Janvier[[#This Row],[1]:[31]],Paramétrage!G31)*Paramétrage!I31+COUNTIF(Janvier[[#This Row],[1]:[31]],Paramétrage!G32*Paramétrage!I32+COUNTIF(Janvier[[#This Row],[1]:[31]],Paramétrage!G33)*Paramétrage!I33+COUNTIF(Janvier[[#This Row],[1]:[31]],Paramétrage!G34)*Paramétrage!I34)</f>
        <v>0</v>
      </c>
    </row>
    <row r="26" spans="1:33" ht="15" customHeight="1" x14ac:dyDescent="0.3">
      <c r="A26" s="36" t="s">
        <v>95</v>
      </c>
      <c r="B26" s="37"/>
      <c r="C26" s="37"/>
      <c r="D26" s="37"/>
      <c r="E26" s="37"/>
      <c r="F26" s="37"/>
      <c r="G26" s="37"/>
      <c r="H26" s="37"/>
      <c r="I26" s="37"/>
      <c r="J26" s="37"/>
      <c r="K26" s="37"/>
      <c r="L26" s="37"/>
      <c r="M26" s="37"/>
      <c r="N26" s="37"/>
      <c r="O26" s="37"/>
      <c r="P26" s="37"/>
      <c r="Q26" s="37"/>
      <c r="R26" s="37"/>
      <c r="S26" s="37"/>
      <c r="T26" s="37"/>
      <c r="U26" s="37"/>
      <c r="V26" s="37"/>
      <c r="W26" s="37"/>
      <c r="X26" s="37"/>
      <c r="Y26" s="37"/>
      <c r="Z26" s="37"/>
      <c r="AA26" s="37"/>
      <c r="AB26" s="37"/>
      <c r="AC26" s="37"/>
      <c r="AD26" s="37"/>
      <c r="AE26" s="37"/>
      <c r="AF26" s="37"/>
      <c r="AG26" s="18">
        <f>COUNTIF(Janvier[[#This Row],[1]:[31]],Paramétrage!G22)*Paramétrage!I22+COUNTIF(Janvier[[#This Row],[1]:[31]],Paramétrage!G23)*Paramétrage!I23+COUNTIF(Janvier[[#This Row],[1]:[31]],Paramétrage!G24)*Paramétrage!I24+COUNTIF(Janvier[[#This Row],[1]:[31]],Paramétrage!G25)*Paramétrage!I25+COUNTIF(Janvier[[#This Row],[1]:[31]],Paramétrage!G26)*Paramétrage!I26+COUNTIF(Janvier[[#This Row],[1]:[31]],Paramétrage!G27)*Paramétrage!I27+COUNTIF(Janvier[[#This Row],[1]:[31]],Paramétrage!G28)*Paramétrage!I28+COUNTIF(Janvier[[#This Row],[1]:[31]],Paramétrage!G29)*Paramétrage!I29+COUNTIF(Janvier[[#This Row],[1]:[31]],Paramétrage!G30)*Paramétrage!I30+COUNTIF(Janvier[[#This Row],[1]:[31]],Paramétrage!G31)*Paramétrage!I31+COUNTIF(Janvier[[#This Row],[1]:[31]],Paramétrage!G32)*Paramétrage!I32+COUNTIF(Janvier[[#This Row],[1]:[31]],Paramétrage!G33*Paramétrage!I33+COUNTIF(Janvier[[#This Row],[1]:[31]],Paramétrage!G34)*Paramétrage!I34+COUNTIF(Janvier[[#This Row],[1]:[31]],Paramétrage!G35)*Paramétrage!I35)</f>
        <v>0</v>
      </c>
    </row>
    <row r="27" spans="1:33" ht="24" x14ac:dyDescent="0.3">
      <c r="A27" s="38" t="s">
        <v>106</v>
      </c>
      <c r="B27" s="39">
        <f>COUNTA(Janvier[1])-COUNTIF(Janvier[1],CléReposhebdomadaire)-COUNTIF(Janvier[1],CléCongé)-COUNTIF(Janvier[1],CléMaladie)-COUNTIF(Janvier[1],CléFormation)-COUNTIF(Janvier[1],CléAbsencenonjustifiée)</f>
        <v>0</v>
      </c>
      <c r="C27" s="39">
        <f>COUNTA(Janvier[2])-COUNTIF(Janvier[2],CléReposhebdomadaire)-COUNTIF(Janvier[2],CléCongé)-COUNTIF(Janvier[2],CléMaladie)-COUNTIF(Janvier[2],CléFormation)-COUNTIF(Janvier[2],CléAbsencenonjustifiée)</f>
        <v>0</v>
      </c>
      <c r="D27" s="39">
        <f>COUNTA(Janvier[3])-COUNTIF(Janvier[3],CléReposhebdomadaire)-COUNTIF(Janvier[3],CléCongé)-COUNTIF(Janvier[3],CléMaladie)-COUNTIF(Janvier[3],CléFormation)-COUNTIF(Janvier[3],CléAbsencenonjustifiée)</f>
        <v>0</v>
      </c>
      <c r="E27" s="39">
        <f>COUNTA(Janvier[4])-COUNTIF(Janvier[4],CléReposhebdomadaire)-COUNTIF(Janvier[4],CléCongé)-COUNTIF(Janvier[4],CléMaladie)-COUNTIF(Janvier[4],CléFormation)-COUNTIF(Janvier[4],CléAbsencenonjustifiée)</f>
        <v>0</v>
      </c>
      <c r="F27" s="39">
        <f>COUNTA(Janvier[5])-COUNTIF(Janvier[5],CléReposhebdomadaire)-COUNTIF(Janvier[5],CléCongé)-COUNTIF(Janvier[5],CléMaladie)-COUNTIF(Janvier[5],CléFormation)-COUNTIF(Janvier[5],CléAbsencenonjustifiée)</f>
        <v>0</v>
      </c>
      <c r="G27" s="39">
        <f>COUNTA(Janvier[6])-COUNTIF(Janvier[6],CléReposhebdomadaire)-COUNTIF(Janvier[6],CléCongé)-COUNTIF(Janvier[6],CléMaladie)-COUNTIF(Janvier[6],CléFormation)-COUNTIF(Janvier[6],CléAbsencenonjustifiée)</f>
        <v>0</v>
      </c>
      <c r="H27" s="39">
        <f>COUNTA(Janvier[7])-COUNTIF(Janvier[7],CléReposhebdomadaire)-COUNTIF(Janvier[7],CléCongé)-COUNTIF(Janvier[7],CléMaladie)-COUNTIF(Janvier[7],CléFormation)-COUNTIF(Janvier[7],CléAbsencenonjustifiée)</f>
        <v>0</v>
      </c>
      <c r="I27" s="39">
        <f>COUNTA(Janvier[8])-COUNTIF(Janvier[8],CléReposhebdomadaire)-COUNTIF(Janvier[8],CléCongé)-COUNTIF(Janvier[8],CléMaladie)-COUNTIF(Janvier[8],CléFormation)-COUNTIF(Janvier[8],CléAbsencenonjustifiée)</f>
        <v>0</v>
      </c>
      <c r="J27" s="39">
        <f>COUNTA(Janvier[9])-COUNTIF(Janvier[9],CléReposhebdomadaire)-COUNTIF(Janvier[9],CléCongé)-COUNTIF(Janvier[9],CléMaladie)-COUNTIF(Janvier[9],CléFormation)-COUNTIF(Janvier[9],CléAbsencenonjustifiée)</f>
        <v>0</v>
      </c>
      <c r="K27" s="39">
        <f>COUNTA(Janvier[10])-COUNTIF(Janvier[10],CléReposhebdomadaire)-COUNTIF(Janvier[10],CléCongé)-COUNTIF(Janvier[10],CléMaladie)-COUNTIF(Janvier[10],CléFormation)-COUNTIF(Janvier[10],CléAbsencenonjustifiée)</f>
        <v>0</v>
      </c>
      <c r="L27" s="39">
        <f>COUNTA(Janvier[11])-COUNTIF(Janvier[11],CléReposhebdomadaire)-COUNTIF(Janvier[11],CléCongé)-COUNTIF(Janvier[11],CléMaladie)-COUNTIF(Janvier[11],CléFormation)-COUNTIF(Janvier[11],CléAbsencenonjustifiée)</f>
        <v>0</v>
      </c>
      <c r="M27" s="39">
        <f>COUNTA(Janvier[12])-COUNTIF(Janvier[12],CléReposhebdomadaire)-COUNTIF(Janvier[12],CléCongé)-COUNTIF(Janvier[12],CléMaladie)-COUNTIF(Janvier[12],CléFormation)-COUNTIF(Janvier[12],CléAbsencenonjustifiée)</f>
        <v>0</v>
      </c>
      <c r="N27" s="39">
        <f>COUNTA(Janvier[13])-COUNTIF(Janvier[13],CléReposhebdomadaire)-COUNTIF(Janvier[13],CléCongé)-COUNTIF(Janvier[13],CléMaladie)-COUNTIF(Janvier[13],CléFormation)-COUNTIF(Janvier[13],CléAbsencenonjustifiée)</f>
        <v>0</v>
      </c>
      <c r="O27" s="39">
        <f>COUNTA(Janvier[14])-COUNTIF(Janvier[14],CléReposhebdomadaire)-COUNTIF(Janvier[14],CléCongé)-COUNTIF(Janvier[14],CléMaladie)-COUNTIF(Janvier[14],CléFormation)-COUNTIF(Janvier[14],CléAbsencenonjustifiée)</f>
        <v>0</v>
      </c>
      <c r="P27" s="39">
        <f>COUNTA(Janvier[15])-COUNTIF(Janvier[15],CléReposhebdomadaire)-COUNTIF(Janvier[15],CléCongé)-COUNTIF(Janvier[15],CléMaladie)-COUNTIF(Janvier[15],CléFormation)-COUNTIF(Janvier[15],CléAbsencenonjustifiée)</f>
        <v>0</v>
      </c>
      <c r="Q27" s="39">
        <f>COUNTA(Janvier[16])-COUNTIF(Janvier[16],CléReposhebdomadaire)-COUNTIF(Janvier[16],CléCongé)-COUNTIF(Janvier[16],CléMaladie)-COUNTIF(Janvier[16],CléFormation)-COUNTIF(Janvier[16],CléAbsencenonjustifiée)</f>
        <v>0</v>
      </c>
      <c r="R27" s="39">
        <f>COUNTA(Janvier[17])-COUNTIF(Janvier[17],CléReposhebdomadaire)-COUNTIF(Janvier[17],CléCongé)-COUNTIF(Janvier[17],CléMaladie)-COUNTIF(Janvier[17],CléFormation)-COUNTIF(Janvier[17],CléAbsencenonjustifiée)</f>
        <v>0</v>
      </c>
      <c r="S27" s="39">
        <f>COUNTA(Janvier[18])-COUNTIF(Janvier[18],CléReposhebdomadaire)-COUNTIF(Janvier[18],CléCongé)-COUNTIF(Janvier[18],CléMaladie)-COUNTIF(Janvier[18],CléFormation)-COUNTIF(Janvier[18],CléAbsencenonjustifiée)</f>
        <v>0</v>
      </c>
      <c r="T27" s="39">
        <f>COUNTA(Janvier[19])-COUNTIF(Janvier[19],CléReposhebdomadaire)-COUNTIF(Janvier[19],CléCongé)-COUNTIF(Janvier[19],CléMaladie)-COUNTIF(Janvier[19],CléFormation)-COUNTIF(Janvier[19],CléAbsencenonjustifiée)</f>
        <v>0</v>
      </c>
      <c r="U27" s="39">
        <f>COUNTA(Janvier[20])-COUNTIF(Janvier[20],CléReposhebdomadaire)-COUNTIF(Janvier[20],CléCongé)-COUNTIF(Janvier[20],CléMaladie)-COUNTIF(Janvier[20],CléFormation)-COUNTIF(Janvier[20],CléAbsencenonjustifiée)</f>
        <v>0</v>
      </c>
      <c r="V27" s="39">
        <f>COUNTA(Janvier[21])-COUNTIF(Janvier[21],CléReposhebdomadaire)-COUNTIF(Janvier[21],CléCongé)-COUNTIF(Janvier[21],CléMaladie)-COUNTIF(Janvier[21],CléFormation)-COUNTIF(Janvier[21],CléAbsencenonjustifiée)</f>
        <v>0</v>
      </c>
      <c r="W27" s="39">
        <f>COUNTA(Janvier[22])-COUNTIF(Janvier[22],CléReposhebdomadaire)-COUNTIF(Janvier[22],CléCongé)-COUNTIF(Janvier[22],CléMaladie)-COUNTIF(Janvier[22],CléFormation)-COUNTIF(Janvier[22],CléAbsencenonjustifiée)</f>
        <v>0</v>
      </c>
      <c r="X27" s="39">
        <f>COUNTA(Janvier[23])-COUNTIF(Janvier[23],CléReposhebdomadaire)-COUNTIF(Janvier[23],CléCongé)-COUNTIF(Janvier[23],CléMaladie)-COUNTIF(Janvier[23],CléFormation)-COUNTIF(Janvier[23],CléAbsencenonjustifiée)</f>
        <v>0</v>
      </c>
      <c r="Y27" s="39">
        <f>COUNTA(Janvier[24])-COUNTIF(Janvier[24],CléReposhebdomadaire)-COUNTIF(Janvier[24],CléCongé)-COUNTIF(Janvier[24],CléMaladie)-COUNTIF(Janvier[24],CléFormation)-COUNTIF(Janvier[24],CléAbsencenonjustifiée)</f>
        <v>0</v>
      </c>
      <c r="Z27" s="39">
        <f>COUNTA(Janvier[25])-COUNTIF(Janvier[25],CléReposhebdomadaire)-COUNTIF(Janvier[25],CléCongé)-COUNTIF(Janvier[25],CléMaladie)-COUNTIF(Janvier[25],CléFormation)-COUNTIF(Janvier[25],CléAbsencenonjustifiée)</f>
        <v>0</v>
      </c>
      <c r="AA27" s="39">
        <f>COUNTA(Janvier[26])-COUNTIF(Janvier[26],CléReposhebdomadaire)-COUNTIF(Janvier[26],CléCongé)-COUNTIF(Janvier[26],CléMaladie)-COUNTIF(Janvier[26],CléFormation)-COUNTIF(Janvier[26],CléAbsencenonjustifiée)</f>
        <v>0</v>
      </c>
      <c r="AB27" s="39">
        <f>COUNTA(Janvier[27])-COUNTIF(Janvier[27],CléReposhebdomadaire)-COUNTIF(Janvier[27],CléCongé)-COUNTIF(Janvier[27],CléMaladie)-COUNTIF(Janvier[27],CléFormation)-COUNTIF(Janvier[27],CléAbsencenonjustifiée)</f>
        <v>0</v>
      </c>
      <c r="AC27" s="39">
        <f>COUNTA(Janvier[28])-COUNTIF(Janvier[28],CléReposhebdomadaire)-COUNTIF(Janvier[28],CléCongé)-COUNTIF(Janvier[28],CléMaladie)-COUNTIF(Janvier[28],CléFormation)-COUNTIF(Janvier[28],CléAbsencenonjustifiée)</f>
        <v>0</v>
      </c>
      <c r="AD27" s="39">
        <f>COUNTA(Janvier[29])-COUNTIF(Janvier[29],CléReposhebdomadaire)-COUNTIF(Janvier[29],CléCongé)-COUNTIF(Janvier[29],CléMaladie)-COUNTIF(Janvier[29],CléFormation)-COUNTIF(Janvier[29],CléAbsencenonjustifiée)</f>
        <v>0</v>
      </c>
      <c r="AE27" s="39">
        <f>COUNTA(Janvier[30])-COUNTIF(Janvier[30],CléReposhebdomadaire)-COUNTIF(Janvier[30],CléCongé)-COUNTIF(Janvier[30],CléMaladie)-COUNTIF(Janvier[30],CléFormation)-COUNTIF(Janvier[30],CléAbsencenonjustifiée)</f>
        <v>0</v>
      </c>
      <c r="AF27" s="39">
        <f>COUNTA(Janvier[31])-COUNTIF(Janvier[31],CléReposhebdomadaire)-COUNTIF(Janvier[31],CléCongé)-COUNTIF(Janvier[31],CléMaladie)-COUNTIF(Janvier[31],CléFormation)-COUNTIF(Janvier[31],CléAbsencenonjustifiée)</f>
        <v>0</v>
      </c>
      <c r="AG27" s="40">
        <f ca="1">SUBTOTAL(109,Mars[Total des Heures effectuées])</f>
        <v>0</v>
      </c>
    </row>
  </sheetData>
  <mergeCells count="9">
    <mergeCell ref="A1:AG1"/>
    <mergeCell ref="A4:A5"/>
    <mergeCell ref="AG4:AG5"/>
    <mergeCell ref="B4:AF4"/>
    <mergeCell ref="R2:U2"/>
    <mergeCell ref="C2:F2"/>
    <mergeCell ref="H2:I2"/>
    <mergeCell ref="K2:M2"/>
    <mergeCell ref="O2:P2"/>
  </mergeCells>
  <conditionalFormatting sqref="B27:AF27">
    <cfRule type="dataBar" priority="11">
      <dataBar>
        <cfvo type="num" val="0"/>
        <cfvo type="num" val="31"/>
        <color theme="2" tint="-0.249977111117893"/>
      </dataBar>
      <extLst>
        <ext xmlns:x14="http://schemas.microsoft.com/office/spreadsheetml/2009/9/main" uri="{B025F937-C7B1-47D3-B67F-A62EFF666E3E}">
          <x14:id>{EB74CF2D-825A-4EB1-986E-7F4FA6089547}</x14:id>
        </ext>
      </extLst>
    </cfRule>
  </conditionalFormatting>
  <conditionalFormatting sqref="B7:AF26">
    <cfRule type="cellIs" dxfId="618" priority="1" operator="equal">
      <formula>$Q$2</formula>
    </cfRule>
    <cfRule type="cellIs" dxfId="617" priority="2" operator="equal">
      <formula>$N$2</formula>
    </cfRule>
    <cfRule type="cellIs" dxfId="616" priority="3" operator="equal">
      <formula>$J$2</formula>
    </cfRule>
    <cfRule type="cellIs" dxfId="615" priority="4" operator="equal">
      <formula>$G$2</formula>
    </cfRule>
    <cfRule type="cellIs" dxfId="614" priority="5" operator="equal">
      <formula>$B$2</formula>
    </cfRule>
  </conditionalFormatting>
  <dataValidations count="12">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B6"/>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A4"/>
    <dataValidation allowBlank="1" showInputMessage="1" showErrorMessage="1" prompt="Le titre mis à jour automatiquement figure dans cette cellule. Pour modifier le titre, mettez à jour la cellule B1 de la feuille de calcul Janvier" sqref="A1"/>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A6"/>
    <dataValidation allowBlank="1" showInputMessage="1" showErrorMessage="1" prompt="Année mise à jour automatiquement en fonction de l’année entrée dans la feuille de calcul Janvier" sqref="AG4"/>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B5"/>
    <dataValidation allowBlank="1" showInputMessage="1" showErrorMessage="1" prompt="Cette ligne définit les clés utilisées dans le tableau : Repos hebdomadaire en C2, Congé en H2, Arrêt Maladie en K2, Formation en O2 et Absence non justifiée en R2_x000a_" sqref="A2"/>
    <dataValidation allowBlank="1" showInputMessage="1" showErrorMessage="1" prompt="« ABS» indique une absence pour cause d'Absence non justifiée" sqref="Q2"/>
    <dataValidation allowBlank="1" showInputMessage="1" showErrorMessage="1" prompt=" « AM » indique une absence pour cause d'Arrêt maladie" sqref="J2"/>
    <dataValidation allowBlank="1" showInputMessage="1" showErrorMessage="1" prompt=" « FO » indique une absence pour Formation" sqref="N2"/>
    <dataValidation allowBlank="1" showInputMessage="1" showErrorMessage="1" prompt="« CP» indique une absence pour cause de congé" sqref="G2"/>
    <dataValidation allowBlank="1" showInputMessage="1" showErrorMessage="1" prompt="Calcule automatiquement le nombre total des heures effectives d’un employé durant ce mois" sqref="AG6"/>
  </dataValidations>
  <pageMargins left="0.7" right="0.7" top="0.75" bottom="0.75" header="0.3" footer="0.3"/>
  <pageSetup paperSize="9" fitToHeight="0" orientation="portrait" verticalDpi="4294967293"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EB74CF2D-825A-4EB1-986E-7F4FA6089547}">
            <x14:dataBar minLength="0" maxLength="100">
              <x14:cfvo type="num">
                <xm:f>0</xm:f>
              </x14:cfvo>
              <x14:cfvo type="num">
                <xm:f>31</xm:f>
              </x14:cfvo>
              <x14:negativeFillColor rgb="FFFF0000"/>
              <x14:axisColor rgb="FF000000"/>
            </x14:dataBar>
          </x14:cfRule>
          <xm:sqref>B27:AF27</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14:formula1>
            <xm:f>Paramétrage!$B$3:$B$22</xm:f>
          </x14:formula1>
          <xm:sqref>A7:A26</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sheetPr>
  <dimension ref="A1:AG27"/>
  <sheetViews>
    <sheetView showGridLines="0" zoomScaleNormal="100" workbookViewId="0">
      <selection sqref="A1:XFD6"/>
    </sheetView>
  </sheetViews>
  <sheetFormatPr baseColWidth="10" defaultColWidth="9.109375" defaultRowHeight="30" customHeight="1" x14ac:dyDescent="0.3"/>
  <cols>
    <col min="1" max="1" width="20.44140625" style="30" customWidth="1"/>
    <col min="2" max="32" width="5.5546875" style="30" customWidth="1"/>
    <col min="33" max="33" width="12.44140625" style="30" customWidth="1"/>
    <col min="34" max="34" width="2.6640625" style="29" customWidth="1"/>
    <col min="35" max="16384" width="9.109375" style="29"/>
  </cols>
  <sheetData>
    <row r="1" spans="1:33" ht="25.8" x14ac:dyDescent="0.3">
      <c r="A1" s="58" t="str">
        <f>Titre_Absence_Employé</f>
        <v>PLANNING MENSUEL</v>
      </c>
      <c r="B1" s="58"/>
      <c r="C1" s="58"/>
      <c r="D1" s="58"/>
      <c r="E1" s="58"/>
      <c r="F1" s="58"/>
      <c r="G1" s="58"/>
      <c r="H1" s="58"/>
      <c r="I1" s="58"/>
      <c r="J1" s="58"/>
      <c r="K1" s="58"/>
      <c r="L1" s="58"/>
      <c r="M1" s="58"/>
      <c r="N1" s="58"/>
      <c r="O1" s="58"/>
      <c r="P1" s="58"/>
      <c r="Q1" s="58"/>
      <c r="R1" s="58"/>
      <c r="S1" s="58"/>
      <c r="T1" s="58"/>
      <c r="U1" s="58"/>
      <c r="V1" s="58"/>
      <c r="W1" s="58"/>
      <c r="X1" s="58"/>
      <c r="Y1" s="58"/>
      <c r="Z1" s="58"/>
      <c r="AA1" s="58"/>
      <c r="AB1" s="58"/>
      <c r="AC1" s="58"/>
      <c r="AD1" s="58"/>
      <c r="AE1" s="58"/>
      <c r="AF1" s="58"/>
      <c r="AG1" s="58"/>
    </row>
    <row r="2" spans="1:33" ht="12" x14ac:dyDescent="0.3">
      <c r="A2" s="41" t="s">
        <v>0</v>
      </c>
      <c r="B2" s="42" t="s">
        <v>88</v>
      </c>
      <c r="C2" s="57" t="s">
        <v>89</v>
      </c>
      <c r="D2" s="57"/>
      <c r="E2" s="57"/>
      <c r="F2" s="57"/>
      <c r="G2" s="9" t="s">
        <v>82</v>
      </c>
      <c r="H2" s="57" t="s">
        <v>9</v>
      </c>
      <c r="I2" s="57"/>
      <c r="J2" s="43" t="s">
        <v>84</v>
      </c>
      <c r="K2" s="57" t="s">
        <v>85</v>
      </c>
      <c r="L2" s="57"/>
      <c r="M2" s="57"/>
      <c r="N2" s="11" t="s">
        <v>60</v>
      </c>
      <c r="O2" s="57" t="s">
        <v>83</v>
      </c>
      <c r="P2" s="57"/>
      <c r="Q2" s="44" t="s">
        <v>86</v>
      </c>
      <c r="R2" s="57" t="s">
        <v>87</v>
      </c>
      <c r="S2" s="57"/>
      <c r="T2" s="57"/>
      <c r="U2" s="57"/>
    </row>
    <row r="3" spans="1:33" ht="12" x14ac:dyDescent="0.3">
      <c r="AG3" s="31"/>
    </row>
    <row r="4" spans="1:33" ht="25.8" x14ac:dyDescent="0.3">
      <c r="A4" s="59" t="s">
        <v>47</v>
      </c>
      <c r="B4" s="59" t="s">
        <v>109</v>
      </c>
      <c r="C4" s="59"/>
      <c r="D4" s="59"/>
      <c r="E4" s="59"/>
      <c r="F4" s="59"/>
      <c r="G4" s="59"/>
      <c r="H4" s="59"/>
      <c r="I4" s="59"/>
      <c r="J4" s="59"/>
      <c r="K4" s="59"/>
      <c r="L4" s="59"/>
      <c r="M4" s="59"/>
      <c r="N4" s="59"/>
      <c r="O4" s="59"/>
      <c r="P4" s="59"/>
      <c r="Q4" s="59"/>
      <c r="R4" s="59"/>
      <c r="S4" s="59"/>
      <c r="T4" s="59"/>
      <c r="U4" s="59"/>
      <c r="V4" s="59"/>
      <c r="W4" s="59"/>
      <c r="X4" s="59"/>
      <c r="Y4" s="59"/>
      <c r="Z4" s="59"/>
      <c r="AA4" s="59"/>
      <c r="AB4" s="59"/>
      <c r="AC4" s="59"/>
      <c r="AD4" s="59"/>
      <c r="AE4" s="59"/>
      <c r="AF4" s="59"/>
      <c r="AG4" s="59">
        <f>AnnéeCalendrier</f>
        <v>2023</v>
      </c>
    </row>
    <row r="5" spans="1:33" ht="12" x14ac:dyDescent="0.3">
      <c r="A5" s="59"/>
      <c r="B5" s="47" t="str">
        <f>TEXT(WEEKDAY(DATE(AnnéeCalendrier,6,1),1),"jjj")</f>
        <v>jeu</v>
      </c>
      <c r="C5" s="32" t="str">
        <f>TEXT(WEEKDAY(DATE(AnnéeCalendrier,6,2),1),"jjj")</f>
        <v>ven</v>
      </c>
      <c r="D5" s="32" t="str">
        <f>TEXT(WEEKDAY(DATE(AnnéeCalendrier,6,3),1),"jjj")</f>
        <v>sam</v>
      </c>
      <c r="E5" s="32" t="str">
        <f>TEXT(WEEKDAY(DATE(AnnéeCalendrier,6,4),1),"jjj")</f>
        <v>dim</v>
      </c>
      <c r="F5" s="32" t="str">
        <f>TEXT(WEEKDAY(DATE(AnnéeCalendrier,6,5),1),"jjj")</f>
        <v>lun</v>
      </c>
      <c r="G5" s="32" t="str">
        <f>TEXT(WEEKDAY(DATE(AnnéeCalendrier,6,6),1),"jjj")</f>
        <v>mar</v>
      </c>
      <c r="H5" s="32" t="str">
        <f>TEXT(WEEKDAY(DATE(AnnéeCalendrier,6,7),1),"jjj")</f>
        <v>mer</v>
      </c>
      <c r="I5" s="32" t="str">
        <f>TEXT(WEEKDAY(DATE(AnnéeCalendrier,6,8),1),"jjj")</f>
        <v>jeu</v>
      </c>
      <c r="J5" s="32" t="str">
        <f>TEXT(WEEKDAY(DATE(AnnéeCalendrier,6,9),1),"jjj")</f>
        <v>ven</v>
      </c>
      <c r="K5" s="32" t="str">
        <f>TEXT(WEEKDAY(DATE(AnnéeCalendrier,6,10),1),"jjj")</f>
        <v>sam</v>
      </c>
      <c r="L5" s="32" t="str">
        <f>TEXT(WEEKDAY(DATE(AnnéeCalendrier,6,11),1),"jjj")</f>
        <v>dim</v>
      </c>
      <c r="M5" s="32" t="str">
        <f>TEXT(WEEKDAY(DATE(AnnéeCalendrier,6,12),1),"jjj")</f>
        <v>lun</v>
      </c>
      <c r="N5" s="32" t="str">
        <f>TEXT(WEEKDAY(DATE(AnnéeCalendrier,6,13),1),"jjj")</f>
        <v>mar</v>
      </c>
      <c r="O5" s="32" t="str">
        <f>TEXT(WEEKDAY(DATE(AnnéeCalendrier,6,14),1),"jjj")</f>
        <v>mer</v>
      </c>
      <c r="P5" s="32" t="str">
        <f>TEXT(WEEKDAY(DATE(AnnéeCalendrier,6,15),1),"jjj")</f>
        <v>jeu</v>
      </c>
      <c r="Q5" s="32" t="str">
        <f>TEXT(WEEKDAY(DATE(AnnéeCalendrier,6,16),1),"jjj")</f>
        <v>ven</v>
      </c>
      <c r="R5" s="32" t="str">
        <f>TEXT(WEEKDAY(DATE(AnnéeCalendrier,6,17),1),"jjj")</f>
        <v>sam</v>
      </c>
      <c r="S5" s="32" t="str">
        <f>TEXT(WEEKDAY(DATE(AnnéeCalendrier,6,18),1),"jjj")</f>
        <v>dim</v>
      </c>
      <c r="T5" s="32" t="str">
        <f>TEXT(WEEKDAY(DATE(AnnéeCalendrier,6,19),1),"jjj")</f>
        <v>lun</v>
      </c>
      <c r="U5" s="32" t="str">
        <f>TEXT(WEEKDAY(DATE(AnnéeCalendrier,6,20),1),"jjj")</f>
        <v>mar</v>
      </c>
      <c r="V5" s="32" t="str">
        <f>TEXT(WEEKDAY(DATE(AnnéeCalendrier,6,21),1),"jjj")</f>
        <v>mer</v>
      </c>
      <c r="W5" s="32" t="str">
        <f>TEXT(WEEKDAY(DATE(AnnéeCalendrier,6,22),1),"jjj")</f>
        <v>jeu</v>
      </c>
      <c r="X5" s="32" t="str">
        <f>TEXT(WEEKDAY(DATE(AnnéeCalendrier,6,23),1),"jjj")</f>
        <v>ven</v>
      </c>
      <c r="Y5" s="32" t="str">
        <f>TEXT(WEEKDAY(DATE(AnnéeCalendrier,6,24),1),"jjj")</f>
        <v>sam</v>
      </c>
      <c r="Z5" s="32" t="str">
        <f>TEXT(WEEKDAY(DATE(AnnéeCalendrier,6,25),1),"jjj")</f>
        <v>dim</v>
      </c>
      <c r="AA5" s="32" t="str">
        <f>TEXT(WEEKDAY(DATE(AnnéeCalendrier,6,26),1),"jjj")</f>
        <v>lun</v>
      </c>
      <c r="AB5" s="32" t="str">
        <f>TEXT(WEEKDAY(DATE(AnnéeCalendrier,6,27),1),"jjj")</f>
        <v>mar</v>
      </c>
      <c r="AC5" s="32" t="str">
        <f>TEXT(WEEKDAY(DATE(AnnéeCalendrier,6,28),1),"jjj")</f>
        <v>mer</v>
      </c>
      <c r="AD5" s="32" t="str">
        <f>TEXT(WEEKDAY(DATE(AnnéeCalendrier,6,29),1),"jjj")</f>
        <v>jeu</v>
      </c>
      <c r="AE5" s="32" t="str">
        <f>TEXT(WEEKDAY(DATE(AnnéeCalendrier,6,30),1),"jjj")</f>
        <v>ven</v>
      </c>
      <c r="AF5" s="32"/>
      <c r="AG5" s="59"/>
    </row>
    <row r="6" spans="1:33" ht="24" x14ac:dyDescent="0.3">
      <c r="A6" s="45" t="s">
        <v>2</v>
      </c>
      <c r="B6" s="46" t="s">
        <v>8</v>
      </c>
      <c r="C6" s="46" t="s">
        <v>10</v>
      </c>
      <c r="D6" s="46" t="s">
        <v>11</v>
      </c>
      <c r="E6" s="46" t="s">
        <v>12</v>
      </c>
      <c r="F6" s="46" t="s">
        <v>13</v>
      </c>
      <c r="G6" s="46" t="s">
        <v>14</v>
      </c>
      <c r="H6" s="46" t="s">
        <v>15</v>
      </c>
      <c r="I6" s="46" t="s">
        <v>16</v>
      </c>
      <c r="J6" s="46" t="s">
        <v>17</v>
      </c>
      <c r="K6" s="46" t="s">
        <v>18</v>
      </c>
      <c r="L6" s="46" t="s">
        <v>19</v>
      </c>
      <c r="M6" s="46" t="s">
        <v>20</v>
      </c>
      <c r="N6" s="46" t="s">
        <v>21</v>
      </c>
      <c r="O6" s="46" t="s">
        <v>22</v>
      </c>
      <c r="P6" s="46" t="s">
        <v>23</v>
      </c>
      <c r="Q6" s="46" t="s">
        <v>24</v>
      </c>
      <c r="R6" s="46" t="s">
        <v>25</v>
      </c>
      <c r="S6" s="46" t="s">
        <v>26</v>
      </c>
      <c r="T6" s="46" t="s">
        <v>27</v>
      </c>
      <c r="U6" s="46" t="s">
        <v>28</v>
      </c>
      <c r="V6" s="46" t="s">
        <v>29</v>
      </c>
      <c r="W6" s="46" t="s">
        <v>30</v>
      </c>
      <c r="X6" s="46" t="s">
        <v>31</v>
      </c>
      <c r="Y6" s="46" t="s">
        <v>32</v>
      </c>
      <c r="Z6" s="46" t="s">
        <v>33</v>
      </c>
      <c r="AA6" s="46" t="s">
        <v>34</v>
      </c>
      <c r="AB6" s="46" t="s">
        <v>35</v>
      </c>
      <c r="AC6" s="46" t="s">
        <v>36</v>
      </c>
      <c r="AD6" s="46" t="s">
        <v>37</v>
      </c>
      <c r="AE6" s="46" t="s">
        <v>38</v>
      </c>
      <c r="AF6" s="46" t="s">
        <v>42</v>
      </c>
      <c r="AG6" s="35" t="s">
        <v>107</v>
      </c>
    </row>
    <row r="7" spans="1:33" ht="15" customHeight="1" x14ac:dyDescent="0.3">
      <c r="A7" s="36" t="s">
        <v>3</v>
      </c>
      <c r="B7" s="34"/>
      <c r="C7" s="34"/>
      <c r="D7" s="34"/>
      <c r="E7" s="34"/>
      <c r="F7" s="34"/>
      <c r="G7" s="34"/>
      <c r="H7" s="34"/>
      <c r="I7" s="34"/>
      <c r="J7" s="34"/>
      <c r="K7" s="34"/>
      <c r="L7" s="34"/>
      <c r="M7" s="34"/>
      <c r="N7" s="34"/>
      <c r="O7" s="34"/>
      <c r="P7" s="34"/>
      <c r="Q7" s="34"/>
      <c r="R7" s="34"/>
      <c r="S7" s="34"/>
      <c r="T7" s="34"/>
      <c r="U7" s="34"/>
      <c r="V7" s="34"/>
      <c r="W7" s="34"/>
      <c r="X7" s="34"/>
      <c r="Y7" s="34"/>
      <c r="Z7" s="34"/>
      <c r="AA7" s="34"/>
      <c r="AB7" s="34"/>
      <c r="AC7" s="34"/>
      <c r="AD7" s="34"/>
      <c r="AE7" s="34"/>
      <c r="AF7" s="34"/>
      <c r="AG7" s="18">
        <f>COUNTIF(Janvier[[#This Row],[1]:[31]],Paramétrage!G3)*Paramétrage!I3+COUNTIF(Janvier[[#This Row],[1]:[31]],Paramétrage!G4)*Paramétrage!I4+COUNTIF(Janvier[[#This Row],[1]:[31]],Paramétrage!G5)*Paramétrage!I5+COUNTIF(Janvier[[#This Row],[1]:[31]],Paramétrage!G6)*Paramétrage!I6+COUNTIF(Janvier[[#This Row],[1]:[31]],Paramétrage!G7)*Paramétrage!I7+COUNTIF(Janvier[[#This Row],[1]:[31]],Paramétrage!G8)*Paramétrage!I8+COUNTIF(Janvier[[#This Row],[1]:[31]],Paramétrage!G9)*Paramétrage!I9+COUNTIF(Janvier[[#This Row],[1]:[31]],Paramétrage!G10)*Paramétrage!I10+COUNTIF(Janvier[[#This Row],[1]:[31]],Paramétrage!G11)*Paramétrage!I11+COUNTIF(Janvier[[#This Row],[1]:[31]],Paramétrage!G12)*Paramétrage!I12+COUNTIF(Janvier[[#This Row],[1]:[31]],Paramétrage!G13)*Paramétrage!I13+COUNTIF(Janvier[[#This Row],[1]:[31]],Paramétrage!G14*Paramétrage!I14+COUNTIF(Janvier[[#This Row],[1]:[31]],Paramétrage!G15)*Paramétrage!I15+COUNTIF(Janvier[[#This Row],[1]:[31]],Paramétrage!G16)*Paramétrage!I16)</f>
        <v>0</v>
      </c>
    </row>
    <row r="8" spans="1:33" ht="15" customHeight="1" x14ac:dyDescent="0.3">
      <c r="A8" s="36" t="s">
        <v>4</v>
      </c>
      <c r="B8" s="34"/>
      <c r="C8" s="34"/>
      <c r="D8" s="34"/>
      <c r="E8" s="34"/>
      <c r="F8" s="34"/>
      <c r="G8" s="34"/>
      <c r="H8" s="34"/>
      <c r="I8" s="34"/>
      <c r="J8" s="34"/>
      <c r="K8" s="34"/>
      <c r="L8" s="34"/>
      <c r="M8" s="34"/>
      <c r="N8" s="34"/>
      <c r="O8" s="34"/>
      <c r="P8" s="34"/>
      <c r="Q8" s="34"/>
      <c r="R8" s="34"/>
      <c r="S8" s="34"/>
      <c r="T8" s="34"/>
      <c r="U8" s="34"/>
      <c r="V8" s="34"/>
      <c r="W8" s="34"/>
      <c r="X8" s="34"/>
      <c r="Y8" s="34"/>
      <c r="Z8" s="34"/>
      <c r="AA8" s="34"/>
      <c r="AB8" s="34"/>
      <c r="AC8" s="34"/>
      <c r="AD8" s="34"/>
      <c r="AE8" s="34"/>
      <c r="AF8" s="34"/>
      <c r="AG8" s="18">
        <f>COUNTIF(Janvier[[#This Row],[1]:[31]],Paramétrage!G4)*Paramétrage!I4+COUNTIF(Janvier[[#This Row],[1]:[31]],Paramétrage!G5)*Paramétrage!I5+COUNTIF(Janvier[[#This Row],[1]:[31]],Paramétrage!G6)*Paramétrage!I6+COUNTIF(Janvier[[#This Row],[1]:[31]],Paramétrage!G7)*Paramétrage!I7+COUNTIF(Janvier[[#This Row],[1]:[31]],Paramétrage!G8)*Paramétrage!I8+COUNTIF(Janvier[[#This Row],[1]:[31]],Paramétrage!G9)*Paramétrage!I9+COUNTIF(Janvier[[#This Row],[1]:[31]],Paramétrage!G10)*Paramétrage!I10+COUNTIF(Janvier[[#This Row],[1]:[31]],Paramétrage!G11)*Paramétrage!I11+COUNTIF(Janvier[[#This Row],[1]:[31]],Paramétrage!G12)*Paramétrage!I12+COUNTIF(Janvier[[#This Row],[1]:[31]],Paramétrage!G13)*Paramétrage!I13+COUNTIF(Janvier[[#This Row],[1]:[31]],Paramétrage!G14)*Paramétrage!I14+COUNTIF(Janvier[[#This Row],[1]:[31]],Paramétrage!G15*Paramétrage!I15+COUNTIF(Janvier[[#This Row],[1]:[31]],Paramétrage!G16)*Paramétrage!I16+COUNTIF(Janvier[[#This Row],[1]:[31]],Paramétrage!G17)*Paramétrage!I17)</f>
        <v>0</v>
      </c>
    </row>
    <row r="9" spans="1:33" ht="15" customHeight="1" x14ac:dyDescent="0.3">
      <c r="A9" s="36" t="s">
        <v>5</v>
      </c>
      <c r="B9" s="34"/>
      <c r="C9" s="34"/>
      <c r="D9" s="34"/>
      <c r="E9" s="34"/>
      <c r="F9" s="34"/>
      <c r="G9" s="34"/>
      <c r="H9" s="34"/>
      <c r="I9" s="34"/>
      <c r="J9" s="34"/>
      <c r="K9" s="34"/>
      <c r="L9" s="34"/>
      <c r="M9" s="34"/>
      <c r="N9" s="34"/>
      <c r="O9" s="34"/>
      <c r="P9" s="34"/>
      <c r="Q9" s="34"/>
      <c r="R9" s="34"/>
      <c r="S9" s="34"/>
      <c r="T9" s="34"/>
      <c r="U9" s="34"/>
      <c r="V9" s="34"/>
      <c r="W9" s="34"/>
      <c r="X9" s="34"/>
      <c r="Y9" s="34"/>
      <c r="Z9" s="34"/>
      <c r="AA9" s="34"/>
      <c r="AB9" s="34"/>
      <c r="AC9" s="34"/>
      <c r="AD9" s="34"/>
      <c r="AE9" s="34"/>
      <c r="AF9" s="34"/>
      <c r="AG9" s="18">
        <f>COUNTIF(Janvier[[#This Row],[1]:[31]],Paramétrage!G5)*Paramétrage!I5+COUNTIF(Janvier[[#This Row],[1]:[31]],Paramétrage!G6)*Paramétrage!I6+COUNTIF(Janvier[[#This Row],[1]:[31]],Paramétrage!G7)*Paramétrage!I7+COUNTIF(Janvier[[#This Row],[1]:[31]],Paramétrage!G8)*Paramétrage!I8+COUNTIF(Janvier[[#This Row],[1]:[31]],Paramétrage!G9)*Paramétrage!I9+COUNTIF(Janvier[[#This Row],[1]:[31]],Paramétrage!G10)*Paramétrage!I10+COUNTIF(Janvier[[#This Row],[1]:[31]],Paramétrage!G11)*Paramétrage!I11+COUNTIF(Janvier[[#This Row],[1]:[31]],Paramétrage!G12)*Paramétrage!I12+COUNTIF(Janvier[[#This Row],[1]:[31]],Paramétrage!G13)*Paramétrage!I13+COUNTIF(Janvier[[#This Row],[1]:[31]],Paramétrage!G14)*Paramétrage!I14+COUNTIF(Janvier[[#This Row],[1]:[31]],Paramétrage!G15)*Paramétrage!I15+COUNTIF(Janvier[[#This Row],[1]:[31]],Paramétrage!G16*Paramétrage!I16+COUNTIF(Janvier[[#This Row],[1]:[31]],Paramétrage!G17)*Paramétrage!I17+COUNTIF(Janvier[[#This Row],[1]:[31]],Paramétrage!G18)*Paramétrage!I18)</f>
        <v>0</v>
      </c>
    </row>
    <row r="10" spans="1:33" ht="15" customHeight="1" x14ac:dyDescent="0.3">
      <c r="A10" s="36" t="s">
        <v>6</v>
      </c>
      <c r="B10" s="34"/>
      <c r="C10" s="34"/>
      <c r="D10" s="34"/>
      <c r="E10" s="34"/>
      <c r="F10" s="34"/>
      <c r="G10" s="34"/>
      <c r="H10" s="34"/>
      <c r="I10" s="34"/>
      <c r="J10" s="34"/>
      <c r="K10" s="34"/>
      <c r="L10" s="34"/>
      <c r="M10" s="34"/>
      <c r="N10" s="34"/>
      <c r="O10" s="34"/>
      <c r="P10" s="34"/>
      <c r="Q10" s="34"/>
      <c r="R10" s="34"/>
      <c r="S10" s="34"/>
      <c r="T10" s="34"/>
      <c r="U10" s="34"/>
      <c r="V10" s="34"/>
      <c r="W10" s="34"/>
      <c r="X10" s="34"/>
      <c r="Y10" s="34"/>
      <c r="Z10" s="34"/>
      <c r="AA10" s="34"/>
      <c r="AB10" s="34"/>
      <c r="AC10" s="34"/>
      <c r="AD10" s="34"/>
      <c r="AE10" s="34"/>
      <c r="AF10" s="34"/>
      <c r="AG10" s="18">
        <f>COUNTIF(Janvier[[#This Row],[1]:[31]],Paramétrage!G6)*Paramétrage!I6+COUNTIF(Janvier[[#This Row],[1]:[31]],Paramétrage!G7)*Paramétrage!I7+COUNTIF(Janvier[[#This Row],[1]:[31]],Paramétrage!G8)*Paramétrage!I8+COUNTIF(Janvier[[#This Row],[1]:[31]],Paramétrage!G9)*Paramétrage!I9+COUNTIF(Janvier[[#This Row],[1]:[31]],Paramétrage!G10)*Paramétrage!I10+COUNTIF(Janvier[[#This Row],[1]:[31]],Paramétrage!G11)*Paramétrage!I11+COUNTIF(Janvier[[#This Row],[1]:[31]],Paramétrage!G12)*Paramétrage!I12+COUNTIF(Janvier[[#This Row],[1]:[31]],Paramétrage!G13)*Paramétrage!I13+COUNTIF(Janvier[[#This Row],[1]:[31]],Paramétrage!G14)*Paramétrage!I14+COUNTIF(Janvier[[#This Row],[1]:[31]],Paramétrage!G15)*Paramétrage!I15+COUNTIF(Janvier[[#This Row],[1]:[31]],Paramétrage!G16)*Paramétrage!I16+COUNTIF(Janvier[[#This Row],[1]:[31]],Paramétrage!G17*Paramétrage!I17+COUNTIF(Janvier[[#This Row],[1]:[31]],Paramétrage!G18)*Paramétrage!I18+COUNTIF(Janvier[[#This Row],[1]:[31]],Paramétrage!G19)*Paramétrage!I19)</f>
        <v>0</v>
      </c>
    </row>
    <row r="11" spans="1:33" ht="15" customHeight="1" x14ac:dyDescent="0.3">
      <c r="A11" s="36" t="s">
        <v>7</v>
      </c>
      <c r="B11" s="34"/>
      <c r="C11" s="34"/>
      <c r="D11" s="34"/>
      <c r="E11" s="34"/>
      <c r="F11" s="34"/>
      <c r="G11" s="34"/>
      <c r="H11" s="34"/>
      <c r="I11" s="34"/>
      <c r="J11" s="34"/>
      <c r="K11" s="34"/>
      <c r="L11" s="34"/>
      <c r="M11" s="34"/>
      <c r="N11" s="34"/>
      <c r="O11" s="34"/>
      <c r="P11" s="34"/>
      <c r="Q11" s="34"/>
      <c r="R11" s="34"/>
      <c r="S11" s="34"/>
      <c r="T11" s="34"/>
      <c r="U11" s="34"/>
      <c r="V11" s="34"/>
      <c r="W11" s="34"/>
      <c r="X11" s="34"/>
      <c r="Y11" s="34"/>
      <c r="Z11" s="34"/>
      <c r="AA11" s="34"/>
      <c r="AB11" s="34"/>
      <c r="AC11" s="34"/>
      <c r="AD11" s="34"/>
      <c r="AE11" s="34"/>
      <c r="AF11" s="34"/>
      <c r="AG11" s="18">
        <f>COUNTIF(Janvier[[#This Row],[1]:[31]],Paramétrage!G7)*Paramétrage!I7+COUNTIF(Janvier[[#This Row],[1]:[31]],Paramétrage!G8)*Paramétrage!I8+COUNTIF(Janvier[[#This Row],[1]:[31]],Paramétrage!G9)*Paramétrage!I9+COUNTIF(Janvier[[#This Row],[1]:[31]],Paramétrage!G10)*Paramétrage!I10+COUNTIF(Janvier[[#This Row],[1]:[31]],Paramétrage!G11)*Paramétrage!I11+COUNTIF(Janvier[[#This Row],[1]:[31]],Paramétrage!G12)*Paramétrage!I12+COUNTIF(Janvier[[#This Row],[1]:[31]],Paramétrage!G13)*Paramétrage!I13+COUNTIF(Janvier[[#This Row],[1]:[31]],Paramétrage!G14)*Paramétrage!I14+COUNTIF(Janvier[[#This Row],[1]:[31]],Paramétrage!G15)*Paramétrage!I15+COUNTIF(Janvier[[#This Row],[1]:[31]],Paramétrage!G16)*Paramétrage!I16+COUNTIF(Janvier[[#This Row],[1]:[31]],Paramétrage!G17)*Paramétrage!I17+COUNTIF(Janvier[[#This Row],[1]:[31]],Paramétrage!G18*Paramétrage!I18+COUNTIF(Janvier[[#This Row],[1]:[31]],Paramétrage!G19)*Paramétrage!I19+COUNTIF(Janvier[[#This Row],[1]:[31]],Paramétrage!G20)*Paramétrage!I20)</f>
        <v>0</v>
      </c>
    </row>
    <row r="12" spans="1:33" ht="15" customHeight="1" x14ac:dyDescent="0.3">
      <c r="A12" s="36" t="s">
        <v>55</v>
      </c>
      <c r="B12" s="34"/>
      <c r="C12" s="34"/>
      <c r="D12" s="34"/>
      <c r="E12" s="34"/>
      <c r="F12" s="34"/>
      <c r="G12" s="34"/>
      <c r="H12" s="34"/>
      <c r="I12" s="34"/>
      <c r="J12" s="34"/>
      <c r="K12" s="34"/>
      <c r="L12" s="34"/>
      <c r="M12" s="34"/>
      <c r="N12" s="34"/>
      <c r="O12" s="34"/>
      <c r="P12" s="34"/>
      <c r="Q12" s="34"/>
      <c r="R12" s="34"/>
      <c r="S12" s="34"/>
      <c r="T12" s="34"/>
      <c r="U12" s="34"/>
      <c r="V12" s="34"/>
      <c r="W12" s="34"/>
      <c r="X12" s="34"/>
      <c r="Y12" s="34"/>
      <c r="Z12" s="34"/>
      <c r="AA12" s="34"/>
      <c r="AB12" s="34"/>
      <c r="AC12" s="34"/>
      <c r="AD12" s="34"/>
      <c r="AE12" s="34"/>
      <c r="AF12" s="34"/>
      <c r="AG12" s="18">
        <f>COUNTIF(Janvier[[#This Row],[1]:[31]],Paramétrage!G8)*Paramétrage!I8+COUNTIF(Janvier[[#This Row],[1]:[31]],Paramétrage!G9)*Paramétrage!I9+COUNTIF(Janvier[[#This Row],[1]:[31]],Paramétrage!G10)*Paramétrage!I10+COUNTIF(Janvier[[#This Row],[1]:[31]],Paramétrage!G11)*Paramétrage!I11+COUNTIF(Janvier[[#This Row],[1]:[31]],Paramétrage!G12)*Paramétrage!I12+COUNTIF(Janvier[[#This Row],[1]:[31]],Paramétrage!G13)*Paramétrage!I13+COUNTIF(Janvier[[#This Row],[1]:[31]],Paramétrage!G14)*Paramétrage!I14+COUNTIF(Janvier[[#This Row],[1]:[31]],Paramétrage!G15)*Paramétrage!I15+COUNTIF(Janvier[[#This Row],[1]:[31]],Paramétrage!G16)*Paramétrage!I16+COUNTIF(Janvier[[#This Row],[1]:[31]],Paramétrage!G17)*Paramétrage!I17+COUNTIF(Janvier[[#This Row],[1]:[31]],Paramétrage!G18)*Paramétrage!I18+COUNTIF(Janvier[[#This Row],[1]:[31]],Paramétrage!G19*Paramétrage!I19+COUNTIF(Janvier[[#This Row],[1]:[31]],Paramétrage!G20)*Paramétrage!I20+COUNTIF(Janvier[[#This Row],[1]:[31]],Paramétrage!G21)*Paramétrage!I21)</f>
        <v>0</v>
      </c>
    </row>
    <row r="13" spans="1:33" ht="15" customHeight="1" x14ac:dyDescent="0.3">
      <c r="A13" s="36" t="s">
        <v>56</v>
      </c>
      <c r="B13" s="34"/>
      <c r="C13" s="34"/>
      <c r="D13" s="34"/>
      <c r="E13" s="34"/>
      <c r="F13" s="34"/>
      <c r="G13" s="34"/>
      <c r="H13" s="34"/>
      <c r="I13" s="34"/>
      <c r="J13" s="34"/>
      <c r="K13" s="34"/>
      <c r="L13" s="34"/>
      <c r="M13" s="34"/>
      <c r="N13" s="34"/>
      <c r="O13" s="34"/>
      <c r="P13" s="34"/>
      <c r="Q13" s="34"/>
      <c r="R13" s="34"/>
      <c r="S13" s="34"/>
      <c r="T13" s="34"/>
      <c r="U13" s="34"/>
      <c r="V13" s="34"/>
      <c r="W13" s="34"/>
      <c r="X13" s="34"/>
      <c r="Y13" s="34"/>
      <c r="Z13" s="34"/>
      <c r="AA13" s="34"/>
      <c r="AB13" s="34"/>
      <c r="AC13" s="34"/>
      <c r="AD13" s="34"/>
      <c r="AE13" s="34"/>
      <c r="AF13" s="34"/>
      <c r="AG13" s="18">
        <f>COUNTIF(Janvier[[#This Row],[1]:[31]],Paramétrage!G9)*Paramétrage!I9+COUNTIF(Janvier[[#This Row],[1]:[31]],Paramétrage!G10)*Paramétrage!I10+COUNTIF(Janvier[[#This Row],[1]:[31]],Paramétrage!G11)*Paramétrage!I11+COUNTIF(Janvier[[#This Row],[1]:[31]],Paramétrage!G12)*Paramétrage!I12+COUNTIF(Janvier[[#This Row],[1]:[31]],Paramétrage!G13)*Paramétrage!I13+COUNTIF(Janvier[[#This Row],[1]:[31]],Paramétrage!G14)*Paramétrage!I14+COUNTIF(Janvier[[#This Row],[1]:[31]],Paramétrage!G15)*Paramétrage!I15+COUNTIF(Janvier[[#This Row],[1]:[31]],Paramétrage!G16)*Paramétrage!I16+COUNTIF(Janvier[[#This Row],[1]:[31]],Paramétrage!G17)*Paramétrage!I17+COUNTIF(Janvier[[#This Row],[1]:[31]],Paramétrage!G18)*Paramétrage!I18+COUNTIF(Janvier[[#This Row],[1]:[31]],Paramétrage!G19)*Paramétrage!I19+COUNTIF(Janvier[[#This Row],[1]:[31]],Paramétrage!G20*Paramétrage!I20+COUNTIF(Janvier[[#This Row],[1]:[31]],Paramétrage!G21)*Paramétrage!I21+COUNTIF(Janvier[[#This Row],[1]:[31]],Paramétrage!G22)*Paramétrage!I22)</f>
        <v>0</v>
      </c>
    </row>
    <row r="14" spans="1:33" ht="15" customHeight="1" x14ac:dyDescent="0.3">
      <c r="A14" s="36" t="s">
        <v>57</v>
      </c>
      <c r="B14" s="34"/>
      <c r="C14" s="34"/>
      <c r="D14" s="34"/>
      <c r="E14" s="34"/>
      <c r="F14" s="34"/>
      <c r="G14" s="34"/>
      <c r="H14" s="34"/>
      <c r="I14" s="34"/>
      <c r="J14" s="34"/>
      <c r="K14" s="34"/>
      <c r="L14" s="34"/>
      <c r="M14" s="34"/>
      <c r="N14" s="34"/>
      <c r="O14" s="34"/>
      <c r="P14" s="34"/>
      <c r="Q14" s="34"/>
      <c r="R14" s="34"/>
      <c r="S14" s="34"/>
      <c r="T14" s="34"/>
      <c r="U14" s="34"/>
      <c r="V14" s="34"/>
      <c r="W14" s="34"/>
      <c r="X14" s="34"/>
      <c r="Y14" s="34"/>
      <c r="Z14" s="34"/>
      <c r="AA14" s="34"/>
      <c r="AB14" s="34"/>
      <c r="AC14" s="34"/>
      <c r="AD14" s="34"/>
      <c r="AE14" s="34"/>
      <c r="AF14" s="34"/>
      <c r="AG14" s="18">
        <f>COUNTIF(Janvier[[#This Row],[1]:[31]],Paramétrage!G10)*Paramétrage!I10+COUNTIF(Janvier[[#This Row],[1]:[31]],Paramétrage!G11)*Paramétrage!I11+COUNTIF(Janvier[[#This Row],[1]:[31]],Paramétrage!G12)*Paramétrage!I12+COUNTIF(Janvier[[#This Row],[1]:[31]],Paramétrage!G13)*Paramétrage!I13+COUNTIF(Janvier[[#This Row],[1]:[31]],Paramétrage!G14)*Paramétrage!I14+COUNTIF(Janvier[[#This Row],[1]:[31]],Paramétrage!G15)*Paramétrage!I15+COUNTIF(Janvier[[#This Row],[1]:[31]],Paramétrage!G16)*Paramétrage!I16+COUNTIF(Janvier[[#This Row],[1]:[31]],Paramétrage!G17)*Paramétrage!I17+COUNTIF(Janvier[[#This Row],[1]:[31]],Paramétrage!G18)*Paramétrage!I18+COUNTIF(Janvier[[#This Row],[1]:[31]],Paramétrage!G19)*Paramétrage!I19+COUNTIF(Janvier[[#This Row],[1]:[31]],Paramétrage!G20)*Paramétrage!I20+COUNTIF(Janvier[[#This Row],[1]:[31]],Paramétrage!G21*Paramétrage!I21+COUNTIF(Janvier[[#This Row],[1]:[31]],Paramétrage!G22)*Paramétrage!I22+COUNTIF(Janvier[[#This Row],[1]:[31]],Paramétrage!G23)*Paramétrage!I23)</f>
        <v>0</v>
      </c>
    </row>
    <row r="15" spans="1:33" ht="15" customHeight="1" x14ac:dyDescent="0.3">
      <c r="A15" s="36" t="s">
        <v>61</v>
      </c>
      <c r="B15" s="34"/>
      <c r="C15" s="34"/>
      <c r="D15" s="34"/>
      <c r="E15" s="34"/>
      <c r="F15" s="34"/>
      <c r="G15" s="34"/>
      <c r="H15" s="34"/>
      <c r="I15" s="34"/>
      <c r="J15" s="34"/>
      <c r="K15" s="34"/>
      <c r="L15" s="34"/>
      <c r="M15" s="34"/>
      <c r="N15" s="34"/>
      <c r="O15" s="34"/>
      <c r="P15" s="34"/>
      <c r="Q15" s="34"/>
      <c r="R15" s="34"/>
      <c r="S15" s="34"/>
      <c r="T15" s="34"/>
      <c r="U15" s="34"/>
      <c r="V15" s="34"/>
      <c r="W15" s="34"/>
      <c r="X15" s="34"/>
      <c r="Y15" s="34"/>
      <c r="Z15" s="34"/>
      <c r="AA15" s="34"/>
      <c r="AB15" s="34"/>
      <c r="AC15" s="34"/>
      <c r="AD15" s="34"/>
      <c r="AE15" s="34"/>
      <c r="AF15" s="34"/>
      <c r="AG15" s="18">
        <f>COUNTIF(Janvier[[#This Row],[1]:[31]],Paramétrage!G11)*Paramétrage!I11+COUNTIF(Janvier[[#This Row],[1]:[31]],Paramétrage!G12)*Paramétrage!I12+COUNTIF(Janvier[[#This Row],[1]:[31]],Paramétrage!G13)*Paramétrage!I13+COUNTIF(Janvier[[#This Row],[1]:[31]],Paramétrage!G14)*Paramétrage!I14+COUNTIF(Janvier[[#This Row],[1]:[31]],Paramétrage!G15)*Paramétrage!I15+COUNTIF(Janvier[[#This Row],[1]:[31]],Paramétrage!G16)*Paramétrage!I16+COUNTIF(Janvier[[#This Row],[1]:[31]],Paramétrage!G17)*Paramétrage!I17+COUNTIF(Janvier[[#This Row],[1]:[31]],Paramétrage!G18)*Paramétrage!I18+COUNTIF(Janvier[[#This Row],[1]:[31]],Paramétrage!G19)*Paramétrage!I19+COUNTIF(Janvier[[#This Row],[1]:[31]],Paramétrage!G20)*Paramétrage!I20+COUNTIF(Janvier[[#This Row],[1]:[31]],Paramétrage!G21)*Paramétrage!I21+COUNTIF(Janvier[[#This Row],[1]:[31]],Paramétrage!G22*Paramétrage!I22+COUNTIF(Janvier[[#This Row],[1]:[31]],Paramétrage!G23)*Paramétrage!I23+COUNTIF(Janvier[[#This Row],[1]:[31]],Paramétrage!G24)*Paramétrage!I24)</f>
        <v>0</v>
      </c>
    </row>
    <row r="16" spans="1:33" ht="15" customHeight="1" x14ac:dyDescent="0.3">
      <c r="A16" s="36" t="s">
        <v>62</v>
      </c>
      <c r="B16" s="34"/>
      <c r="C16" s="34"/>
      <c r="D16" s="34"/>
      <c r="E16" s="34"/>
      <c r="F16" s="34"/>
      <c r="G16" s="34"/>
      <c r="H16" s="34"/>
      <c r="I16" s="34"/>
      <c r="J16" s="34"/>
      <c r="K16" s="34"/>
      <c r="L16" s="34"/>
      <c r="M16" s="34"/>
      <c r="N16" s="34"/>
      <c r="O16" s="34"/>
      <c r="P16" s="34"/>
      <c r="Q16" s="34"/>
      <c r="R16" s="34"/>
      <c r="S16" s="34"/>
      <c r="T16" s="34"/>
      <c r="U16" s="34"/>
      <c r="V16" s="34"/>
      <c r="W16" s="34"/>
      <c r="X16" s="34"/>
      <c r="Y16" s="34"/>
      <c r="Z16" s="34"/>
      <c r="AA16" s="34"/>
      <c r="AB16" s="34"/>
      <c r="AC16" s="34"/>
      <c r="AD16" s="34"/>
      <c r="AE16" s="34"/>
      <c r="AF16" s="34"/>
      <c r="AG16" s="18">
        <f>COUNTIF(Janvier[[#This Row],[1]:[31]],Paramétrage!G12)*Paramétrage!I12+COUNTIF(Janvier[[#This Row],[1]:[31]],Paramétrage!G13)*Paramétrage!I13+COUNTIF(Janvier[[#This Row],[1]:[31]],Paramétrage!G14)*Paramétrage!I14+COUNTIF(Janvier[[#This Row],[1]:[31]],Paramétrage!G15)*Paramétrage!I15+COUNTIF(Janvier[[#This Row],[1]:[31]],Paramétrage!G16)*Paramétrage!I16+COUNTIF(Janvier[[#This Row],[1]:[31]],Paramétrage!G17)*Paramétrage!I17+COUNTIF(Janvier[[#This Row],[1]:[31]],Paramétrage!G18)*Paramétrage!I18+COUNTIF(Janvier[[#This Row],[1]:[31]],Paramétrage!G19)*Paramétrage!I19+COUNTIF(Janvier[[#This Row],[1]:[31]],Paramétrage!G20)*Paramétrage!I20+COUNTIF(Janvier[[#This Row],[1]:[31]],Paramétrage!G21)*Paramétrage!I21+COUNTIF(Janvier[[#This Row],[1]:[31]],Paramétrage!G22)*Paramétrage!I22+COUNTIF(Janvier[[#This Row],[1]:[31]],Paramétrage!G23*Paramétrage!I23+COUNTIF(Janvier[[#This Row],[1]:[31]],Paramétrage!G24)*Paramétrage!I24+COUNTIF(Janvier[[#This Row],[1]:[31]],Paramétrage!G25)*Paramétrage!I25)</f>
        <v>0</v>
      </c>
    </row>
    <row r="17" spans="1:33" ht="15" customHeight="1" x14ac:dyDescent="0.3">
      <c r="A17" s="36" t="s">
        <v>63</v>
      </c>
      <c r="B17" s="34"/>
      <c r="C17" s="34"/>
      <c r="D17" s="34"/>
      <c r="E17" s="34"/>
      <c r="F17" s="34"/>
      <c r="G17" s="34"/>
      <c r="H17" s="34"/>
      <c r="I17" s="34"/>
      <c r="J17" s="34"/>
      <c r="K17" s="34"/>
      <c r="L17" s="34"/>
      <c r="M17" s="34"/>
      <c r="N17" s="34"/>
      <c r="O17" s="34"/>
      <c r="P17" s="34"/>
      <c r="Q17" s="34"/>
      <c r="R17" s="34"/>
      <c r="S17" s="34"/>
      <c r="T17" s="34"/>
      <c r="U17" s="34"/>
      <c r="V17" s="34"/>
      <c r="W17" s="34"/>
      <c r="X17" s="34"/>
      <c r="Y17" s="34"/>
      <c r="Z17" s="34"/>
      <c r="AA17" s="34"/>
      <c r="AB17" s="34"/>
      <c r="AC17" s="34"/>
      <c r="AD17" s="34"/>
      <c r="AE17" s="34"/>
      <c r="AF17" s="34"/>
      <c r="AG17" s="18">
        <f>COUNTIF(Janvier[[#This Row],[1]:[31]],Paramétrage!G13)*Paramétrage!I13+COUNTIF(Janvier[[#This Row],[1]:[31]],Paramétrage!G14)*Paramétrage!I14+COUNTIF(Janvier[[#This Row],[1]:[31]],Paramétrage!G15)*Paramétrage!I15+COUNTIF(Janvier[[#This Row],[1]:[31]],Paramétrage!G16)*Paramétrage!I16+COUNTIF(Janvier[[#This Row],[1]:[31]],Paramétrage!G17)*Paramétrage!I17+COUNTIF(Janvier[[#This Row],[1]:[31]],Paramétrage!G18)*Paramétrage!I18+COUNTIF(Janvier[[#This Row],[1]:[31]],Paramétrage!G19)*Paramétrage!I19+COUNTIF(Janvier[[#This Row],[1]:[31]],Paramétrage!G20)*Paramétrage!I20+COUNTIF(Janvier[[#This Row],[1]:[31]],Paramétrage!G21)*Paramétrage!I21+COUNTIF(Janvier[[#This Row],[1]:[31]],Paramétrage!G22)*Paramétrage!I22+COUNTIF(Janvier[[#This Row],[1]:[31]],Paramétrage!G23)*Paramétrage!I23+COUNTIF(Janvier[[#This Row],[1]:[31]],Paramétrage!G24*Paramétrage!I24+COUNTIF(Janvier[[#This Row],[1]:[31]],Paramétrage!G25)*Paramétrage!I25+COUNTIF(Janvier[[#This Row],[1]:[31]],Paramétrage!G26)*Paramétrage!I26)</f>
        <v>0</v>
      </c>
    </row>
    <row r="18" spans="1:33" ht="15" customHeight="1" x14ac:dyDescent="0.3">
      <c r="A18" s="36" t="s">
        <v>65</v>
      </c>
      <c r="B18" s="34"/>
      <c r="C18" s="34"/>
      <c r="D18" s="34"/>
      <c r="E18" s="34"/>
      <c r="F18" s="34"/>
      <c r="G18" s="34"/>
      <c r="H18" s="34"/>
      <c r="I18" s="34"/>
      <c r="J18" s="34"/>
      <c r="K18" s="34"/>
      <c r="L18" s="34"/>
      <c r="M18" s="34"/>
      <c r="N18" s="34"/>
      <c r="O18" s="34"/>
      <c r="P18" s="34"/>
      <c r="Q18" s="34"/>
      <c r="R18" s="34"/>
      <c r="S18" s="34"/>
      <c r="T18" s="34"/>
      <c r="U18" s="34"/>
      <c r="V18" s="34"/>
      <c r="W18" s="34"/>
      <c r="X18" s="34"/>
      <c r="Y18" s="34"/>
      <c r="Z18" s="34"/>
      <c r="AA18" s="34"/>
      <c r="AB18" s="34"/>
      <c r="AC18" s="34"/>
      <c r="AD18" s="34"/>
      <c r="AE18" s="34"/>
      <c r="AF18" s="34"/>
      <c r="AG18" s="18">
        <f>COUNTIF(Janvier[[#This Row],[1]:[31]],Paramétrage!G14)*Paramétrage!I14+COUNTIF(Janvier[[#This Row],[1]:[31]],Paramétrage!G15)*Paramétrage!I15+COUNTIF(Janvier[[#This Row],[1]:[31]],Paramétrage!G16)*Paramétrage!I16+COUNTIF(Janvier[[#This Row],[1]:[31]],Paramétrage!G17)*Paramétrage!I17+COUNTIF(Janvier[[#This Row],[1]:[31]],Paramétrage!G18)*Paramétrage!I18+COUNTIF(Janvier[[#This Row],[1]:[31]],Paramétrage!G19)*Paramétrage!I19+COUNTIF(Janvier[[#This Row],[1]:[31]],Paramétrage!G20)*Paramétrage!I20+COUNTIF(Janvier[[#This Row],[1]:[31]],Paramétrage!G21)*Paramétrage!I21+COUNTIF(Janvier[[#This Row],[1]:[31]],Paramétrage!G22)*Paramétrage!I22+COUNTIF(Janvier[[#This Row],[1]:[31]],Paramétrage!G23)*Paramétrage!I23+COUNTIF(Janvier[[#This Row],[1]:[31]],Paramétrage!G24)*Paramétrage!I24+COUNTIF(Janvier[[#This Row],[1]:[31]],Paramétrage!G25*Paramétrage!I25+COUNTIF(Janvier[[#This Row],[1]:[31]],Paramétrage!G26)*Paramétrage!I26+COUNTIF(Janvier[[#This Row],[1]:[31]],Paramétrage!G27)*Paramétrage!I27)</f>
        <v>0</v>
      </c>
    </row>
    <row r="19" spans="1:33" ht="15" customHeight="1" x14ac:dyDescent="0.3">
      <c r="A19" s="36" t="s">
        <v>66</v>
      </c>
      <c r="B19" s="34"/>
      <c r="C19" s="34"/>
      <c r="D19" s="34"/>
      <c r="E19" s="34"/>
      <c r="F19" s="34"/>
      <c r="G19" s="34"/>
      <c r="H19" s="34"/>
      <c r="I19" s="34"/>
      <c r="J19" s="34"/>
      <c r="K19" s="34"/>
      <c r="L19" s="34"/>
      <c r="M19" s="34"/>
      <c r="N19" s="34"/>
      <c r="O19" s="34"/>
      <c r="P19" s="34"/>
      <c r="Q19" s="34"/>
      <c r="R19" s="34"/>
      <c r="S19" s="34"/>
      <c r="T19" s="34"/>
      <c r="U19" s="34"/>
      <c r="V19" s="34"/>
      <c r="W19" s="34"/>
      <c r="X19" s="34"/>
      <c r="Y19" s="34"/>
      <c r="Z19" s="34"/>
      <c r="AA19" s="34"/>
      <c r="AB19" s="34"/>
      <c r="AC19" s="34"/>
      <c r="AD19" s="34"/>
      <c r="AE19" s="34"/>
      <c r="AF19" s="34"/>
      <c r="AG19" s="18">
        <f>COUNTIF(Janvier[[#This Row],[1]:[31]],Paramétrage!G15)*Paramétrage!I15+COUNTIF(Janvier[[#This Row],[1]:[31]],Paramétrage!G16)*Paramétrage!I16+COUNTIF(Janvier[[#This Row],[1]:[31]],Paramétrage!G17)*Paramétrage!I17+COUNTIF(Janvier[[#This Row],[1]:[31]],Paramétrage!G18)*Paramétrage!I18+COUNTIF(Janvier[[#This Row],[1]:[31]],Paramétrage!G19)*Paramétrage!I19+COUNTIF(Janvier[[#This Row],[1]:[31]],Paramétrage!G20)*Paramétrage!I20+COUNTIF(Janvier[[#This Row],[1]:[31]],Paramétrage!G21)*Paramétrage!I21+COUNTIF(Janvier[[#This Row],[1]:[31]],Paramétrage!G22)*Paramétrage!I22+COUNTIF(Janvier[[#This Row],[1]:[31]],Paramétrage!G23)*Paramétrage!I23+COUNTIF(Janvier[[#This Row],[1]:[31]],Paramétrage!G24)*Paramétrage!I24+COUNTIF(Janvier[[#This Row],[1]:[31]],Paramétrage!G25)*Paramétrage!I25+COUNTIF(Janvier[[#This Row],[1]:[31]],Paramétrage!G26*Paramétrage!I26+COUNTIF(Janvier[[#This Row],[1]:[31]],Paramétrage!G27)*Paramétrage!I27+COUNTIF(Janvier[[#This Row],[1]:[31]],Paramétrage!G28)*Paramétrage!I28)</f>
        <v>0</v>
      </c>
    </row>
    <row r="20" spans="1:33" ht="15" customHeight="1" x14ac:dyDescent="0.3">
      <c r="A20" s="36" t="s">
        <v>67</v>
      </c>
      <c r="B20" s="34"/>
      <c r="C20" s="34"/>
      <c r="D20" s="34"/>
      <c r="E20" s="34"/>
      <c r="F20" s="34"/>
      <c r="G20" s="34"/>
      <c r="H20" s="34"/>
      <c r="I20" s="34"/>
      <c r="J20" s="34"/>
      <c r="K20" s="34"/>
      <c r="L20" s="34"/>
      <c r="M20" s="34"/>
      <c r="N20" s="34"/>
      <c r="O20" s="34"/>
      <c r="P20" s="34"/>
      <c r="Q20" s="34"/>
      <c r="R20" s="34"/>
      <c r="S20" s="34"/>
      <c r="T20" s="34"/>
      <c r="U20" s="34"/>
      <c r="V20" s="34"/>
      <c r="W20" s="34"/>
      <c r="X20" s="34"/>
      <c r="Y20" s="34"/>
      <c r="Z20" s="34"/>
      <c r="AA20" s="34"/>
      <c r="AB20" s="34"/>
      <c r="AC20" s="34"/>
      <c r="AD20" s="34"/>
      <c r="AE20" s="34"/>
      <c r="AF20" s="34"/>
      <c r="AG20" s="18">
        <f>COUNTIF(Janvier[[#This Row],[1]:[31]],Paramétrage!G16)*Paramétrage!I16+COUNTIF(Janvier[[#This Row],[1]:[31]],Paramétrage!G17)*Paramétrage!I17+COUNTIF(Janvier[[#This Row],[1]:[31]],Paramétrage!G18)*Paramétrage!I18+COUNTIF(Janvier[[#This Row],[1]:[31]],Paramétrage!G19)*Paramétrage!I19+COUNTIF(Janvier[[#This Row],[1]:[31]],Paramétrage!G20)*Paramétrage!I20+COUNTIF(Janvier[[#This Row],[1]:[31]],Paramétrage!G21)*Paramétrage!I21+COUNTIF(Janvier[[#This Row],[1]:[31]],Paramétrage!G22)*Paramétrage!I22+COUNTIF(Janvier[[#This Row],[1]:[31]],Paramétrage!G23)*Paramétrage!I23+COUNTIF(Janvier[[#This Row],[1]:[31]],Paramétrage!G24)*Paramétrage!I24+COUNTIF(Janvier[[#This Row],[1]:[31]],Paramétrage!G25)*Paramétrage!I25+COUNTIF(Janvier[[#This Row],[1]:[31]],Paramétrage!G26)*Paramétrage!I26+COUNTIF(Janvier[[#This Row],[1]:[31]],Paramétrage!G27*Paramétrage!I27+COUNTIF(Janvier[[#This Row],[1]:[31]],Paramétrage!G28)*Paramétrage!I28+COUNTIF(Janvier[[#This Row],[1]:[31]],Paramétrage!G29)*Paramétrage!I29)</f>
        <v>0</v>
      </c>
    </row>
    <row r="21" spans="1:33" ht="15" customHeight="1" x14ac:dyDescent="0.3">
      <c r="A21" s="36" t="s">
        <v>68</v>
      </c>
      <c r="B21" s="34"/>
      <c r="C21" s="34"/>
      <c r="D21" s="34"/>
      <c r="E21" s="34"/>
      <c r="F21" s="34"/>
      <c r="G21" s="34"/>
      <c r="H21" s="34"/>
      <c r="I21" s="34"/>
      <c r="J21" s="34"/>
      <c r="K21" s="34"/>
      <c r="L21" s="34"/>
      <c r="M21" s="34"/>
      <c r="N21" s="34"/>
      <c r="O21" s="34"/>
      <c r="P21" s="34"/>
      <c r="Q21" s="34"/>
      <c r="R21" s="34"/>
      <c r="S21" s="34"/>
      <c r="T21" s="34"/>
      <c r="U21" s="34"/>
      <c r="V21" s="34"/>
      <c r="W21" s="34"/>
      <c r="X21" s="34"/>
      <c r="Y21" s="34"/>
      <c r="Z21" s="34"/>
      <c r="AA21" s="34"/>
      <c r="AB21" s="34"/>
      <c r="AC21" s="34"/>
      <c r="AD21" s="34"/>
      <c r="AE21" s="34"/>
      <c r="AF21" s="34"/>
      <c r="AG21" s="18">
        <f>COUNTIF(Janvier[[#This Row],[1]:[31]],Paramétrage!G17)*Paramétrage!I17+COUNTIF(Janvier[[#This Row],[1]:[31]],Paramétrage!G18)*Paramétrage!I18+COUNTIF(Janvier[[#This Row],[1]:[31]],Paramétrage!G19)*Paramétrage!I19+COUNTIF(Janvier[[#This Row],[1]:[31]],Paramétrage!G20)*Paramétrage!I20+COUNTIF(Janvier[[#This Row],[1]:[31]],Paramétrage!G21)*Paramétrage!I21+COUNTIF(Janvier[[#This Row],[1]:[31]],Paramétrage!G22)*Paramétrage!I22+COUNTIF(Janvier[[#This Row],[1]:[31]],Paramétrage!G23)*Paramétrage!I23+COUNTIF(Janvier[[#This Row],[1]:[31]],Paramétrage!G24)*Paramétrage!I24+COUNTIF(Janvier[[#This Row],[1]:[31]],Paramétrage!G25)*Paramétrage!I25+COUNTIF(Janvier[[#This Row],[1]:[31]],Paramétrage!G26)*Paramétrage!I26+COUNTIF(Janvier[[#This Row],[1]:[31]],Paramétrage!G27)*Paramétrage!I27+COUNTIF(Janvier[[#This Row],[1]:[31]],Paramétrage!G28*Paramétrage!I28+COUNTIF(Janvier[[#This Row],[1]:[31]],Paramétrage!G29)*Paramétrage!I29+COUNTIF(Janvier[[#This Row],[1]:[31]],Paramétrage!G30)*Paramétrage!I30)</f>
        <v>0</v>
      </c>
    </row>
    <row r="22" spans="1:33" ht="15" customHeight="1" x14ac:dyDescent="0.3">
      <c r="A22" s="36" t="s">
        <v>91</v>
      </c>
      <c r="B22" s="37"/>
      <c r="C22" s="37"/>
      <c r="D22" s="37"/>
      <c r="E22" s="37"/>
      <c r="F22" s="37"/>
      <c r="G22" s="37"/>
      <c r="H22" s="37"/>
      <c r="I22" s="37"/>
      <c r="J22" s="37"/>
      <c r="K22" s="37"/>
      <c r="L22" s="37"/>
      <c r="M22" s="37"/>
      <c r="N22" s="37"/>
      <c r="O22" s="37"/>
      <c r="P22" s="37"/>
      <c r="Q22" s="37"/>
      <c r="R22" s="37"/>
      <c r="S22" s="37"/>
      <c r="T22" s="37"/>
      <c r="U22" s="37"/>
      <c r="V22" s="37"/>
      <c r="W22" s="37"/>
      <c r="X22" s="37"/>
      <c r="Y22" s="37"/>
      <c r="Z22" s="37"/>
      <c r="AA22" s="37"/>
      <c r="AB22" s="37"/>
      <c r="AC22" s="37"/>
      <c r="AD22" s="37"/>
      <c r="AE22" s="37"/>
      <c r="AF22" s="37"/>
      <c r="AG22" s="18">
        <f>COUNTIF(Janvier[[#This Row],[1]:[31]],Paramétrage!G18)*Paramétrage!I18+COUNTIF(Janvier[[#This Row],[1]:[31]],Paramétrage!G19)*Paramétrage!I19+COUNTIF(Janvier[[#This Row],[1]:[31]],Paramétrage!G20)*Paramétrage!I20+COUNTIF(Janvier[[#This Row],[1]:[31]],Paramétrage!G21)*Paramétrage!I21+COUNTIF(Janvier[[#This Row],[1]:[31]],Paramétrage!G22)*Paramétrage!I22+COUNTIF(Janvier[[#This Row],[1]:[31]],Paramétrage!G23)*Paramétrage!I23+COUNTIF(Janvier[[#This Row],[1]:[31]],Paramétrage!G24)*Paramétrage!I24+COUNTIF(Janvier[[#This Row],[1]:[31]],Paramétrage!G25)*Paramétrage!I25+COUNTIF(Janvier[[#This Row],[1]:[31]],Paramétrage!G26)*Paramétrage!I26+COUNTIF(Janvier[[#This Row],[1]:[31]],Paramétrage!G27)*Paramétrage!I27+COUNTIF(Janvier[[#This Row],[1]:[31]],Paramétrage!G28)*Paramétrage!I28+COUNTIF(Janvier[[#This Row],[1]:[31]],Paramétrage!G29*Paramétrage!I29+COUNTIF(Janvier[[#This Row],[1]:[31]],Paramétrage!G30)*Paramétrage!I30+COUNTIF(Janvier[[#This Row],[1]:[31]],Paramétrage!G31)*Paramétrage!I31)</f>
        <v>0</v>
      </c>
    </row>
    <row r="23" spans="1:33" ht="15" customHeight="1" x14ac:dyDescent="0.3">
      <c r="A23" s="36" t="s">
        <v>92</v>
      </c>
      <c r="B23" s="37"/>
      <c r="C23" s="37"/>
      <c r="D23" s="37"/>
      <c r="E23" s="37"/>
      <c r="F23" s="37"/>
      <c r="G23" s="37"/>
      <c r="H23" s="37"/>
      <c r="I23" s="37"/>
      <c r="J23" s="37"/>
      <c r="K23" s="37"/>
      <c r="L23" s="37"/>
      <c r="M23" s="37"/>
      <c r="N23" s="37"/>
      <c r="O23" s="37"/>
      <c r="P23" s="37"/>
      <c r="Q23" s="37"/>
      <c r="R23" s="37"/>
      <c r="S23" s="37"/>
      <c r="T23" s="37"/>
      <c r="U23" s="37"/>
      <c r="V23" s="37"/>
      <c r="W23" s="37"/>
      <c r="X23" s="37"/>
      <c r="Y23" s="37"/>
      <c r="Z23" s="37"/>
      <c r="AA23" s="37"/>
      <c r="AB23" s="37"/>
      <c r="AC23" s="37"/>
      <c r="AD23" s="37"/>
      <c r="AE23" s="37"/>
      <c r="AF23" s="37"/>
      <c r="AG23" s="18">
        <f>COUNTIF(Janvier[[#This Row],[1]:[31]],Paramétrage!G19)*Paramétrage!I19+COUNTIF(Janvier[[#This Row],[1]:[31]],Paramétrage!G20)*Paramétrage!I20+COUNTIF(Janvier[[#This Row],[1]:[31]],Paramétrage!G21)*Paramétrage!I21+COUNTIF(Janvier[[#This Row],[1]:[31]],Paramétrage!G22)*Paramétrage!I22+COUNTIF(Janvier[[#This Row],[1]:[31]],Paramétrage!G23)*Paramétrage!I23+COUNTIF(Janvier[[#This Row],[1]:[31]],Paramétrage!G24)*Paramétrage!I24+COUNTIF(Janvier[[#This Row],[1]:[31]],Paramétrage!G25)*Paramétrage!I25+COUNTIF(Janvier[[#This Row],[1]:[31]],Paramétrage!G26)*Paramétrage!I26+COUNTIF(Janvier[[#This Row],[1]:[31]],Paramétrage!G27)*Paramétrage!I27+COUNTIF(Janvier[[#This Row],[1]:[31]],Paramétrage!G28)*Paramétrage!I28+COUNTIF(Janvier[[#This Row],[1]:[31]],Paramétrage!G29)*Paramétrage!I29+COUNTIF(Janvier[[#This Row],[1]:[31]],Paramétrage!G30*Paramétrage!I30+COUNTIF(Janvier[[#This Row],[1]:[31]],Paramétrage!G31)*Paramétrage!I31+COUNTIF(Janvier[[#This Row],[1]:[31]],Paramétrage!G32)*Paramétrage!I32)</f>
        <v>0</v>
      </c>
    </row>
    <row r="24" spans="1:33" ht="15" customHeight="1" x14ac:dyDescent="0.3">
      <c r="A24" s="36" t="s">
        <v>93</v>
      </c>
      <c r="B24" s="37"/>
      <c r="C24" s="37"/>
      <c r="D24" s="37"/>
      <c r="E24" s="37"/>
      <c r="F24" s="37"/>
      <c r="G24" s="37"/>
      <c r="H24" s="37"/>
      <c r="I24" s="37"/>
      <c r="J24" s="37"/>
      <c r="K24" s="37"/>
      <c r="L24" s="37"/>
      <c r="M24" s="37"/>
      <c r="N24" s="37"/>
      <c r="O24" s="37"/>
      <c r="P24" s="37"/>
      <c r="Q24" s="37"/>
      <c r="R24" s="37"/>
      <c r="S24" s="37"/>
      <c r="T24" s="37"/>
      <c r="U24" s="37"/>
      <c r="V24" s="37"/>
      <c r="W24" s="37"/>
      <c r="X24" s="37"/>
      <c r="Y24" s="37"/>
      <c r="Z24" s="37"/>
      <c r="AA24" s="37"/>
      <c r="AB24" s="37"/>
      <c r="AC24" s="37"/>
      <c r="AD24" s="37"/>
      <c r="AE24" s="37"/>
      <c r="AF24" s="37"/>
      <c r="AG24" s="18">
        <f>COUNTIF(Janvier[[#This Row],[1]:[31]],Paramétrage!G20)*Paramétrage!I20+COUNTIF(Janvier[[#This Row],[1]:[31]],Paramétrage!G21)*Paramétrage!I21+COUNTIF(Janvier[[#This Row],[1]:[31]],Paramétrage!G22)*Paramétrage!I22+COUNTIF(Janvier[[#This Row],[1]:[31]],Paramétrage!G23)*Paramétrage!I23+COUNTIF(Janvier[[#This Row],[1]:[31]],Paramétrage!G24)*Paramétrage!I24+COUNTIF(Janvier[[#This Row],[1]:[31]],Paramétrage!G25)*Paramétrage!I25+COUNTIF(Janvier[[#This Row],[1]:[31]],Paramétrage!G26)*Paramétrage!I26+COUNTIF(Janvier[[#This Row],[1]:[31]],Paramétrage!G27)*Paramétrage!I27+COUNTIF(Janvier[[#This Row],[1]:[31]],Paramétrage!G28)*Paramétrage!I28+COUNTIF(Janvier[[#This Row],[1]:[31]],Paramétrage!G29)*Paramétrage!I29+COUNTIF(Janvier[[#This Row],[1]:[31]],Paramétrage!G30)*Paramétrage!I30+COUNTIF(Janvier[[#This Row],[1]:[31]],Paramétrage!G31*Paramétrage!I31+COUNTIF(Janvier[[#This Row],[1]:[31]],Paramétrage!G32)*Paramétrage!I32+COUNTIF(Janvier[[#This Row],[1]:[31]],Paramétrage!G33)*Paramétrage!I33)</f>
        <v>0</v>
      </c>
    </row>
    <row r="25" spans="1:33" ht="15" customHeight="1" x14ac:dyDescent="0.3">
      <c r="A25" s="36" t="s">
        <v>94</v>
      </c>
      <c r="B25" s="37"/>
      <c r="C25" s="37"/>
      <c r="D25" s="37"/>
      <c r="E25" s="37"/>
      <c r="F25" s="37"/>
      <c r="G25" s="37"/>
      <c r="H25" s="37"/>
      <c r="I25" s="37"/>
      <c r="J25" s="37"/>
      <c r="K25" s="37"/>
      <c r="L25" s="37"/>
      <c r="M25" s="37"/>
      <c r="N25" s="37"/>
      <c r="O25" s="37"/>
      <c r="P25" s="37"/>
      <c r="Q25" s="37"/>
      <c r="R25" s="37"/>
      <c r="S25" s="37"/>
      <c r="T25" s="37"/>
      <c r="U25" s="37"/>
      <c r="V25" s="37"/>
      <c r="W25" s="37"/>
      <c r="X25" s="37"/>
      <c r="Y25" s="37"/>
      <c r="Z25" s="37"/>
      <c r="AA25" s="37"/>
      <c r="AB25" s="37"/>
      <c r="AC25" s="37"/>
      <c r="AD25" s="37"/>
      <c r="AE25" s="37"/>
      <c r="AF25" s="37"/>
      <c r="AG25" s="18">
        <f>COUNTIF(Janvier[[#This Row],[1]:[31]],Paramétrage!G21)*Paramétrage!I21+COUNTIF(Janvier[[#This Row],[1]:[31]],Paramétrage!G22)*Paramétrage!I22+COUNTIF(Janvier[[#This Row],[1]:[31]],Paramétrage!G23)*Paramétrage!I23+COUNTIF(Janvier[[#This Row],[1]:[31]],Paramétrage!G24)*Paramétrage!I24+COUNTIF(Janvier[[#This Row],[1]:[31]],Paramétrage!G25)*Paramétrage!I25+COUNTIF(Janvier[[#This Row],[1]:[31]],Paramétrage!G26)*Paramétrage!I26+COUNTIF(Janvier[[#This Row],[1]:[31]],Paramétrage!G27)*Paramétrage!I27+COUNTIF(Janvier[[#This Row],[1]:[31]],Paramétrage!G28)*Paramétrage!I28+COUNTIF(Janvier[[#This Row],[1]:[31]],Paramétrage!G29)*Paramétrage!I29+COUNTIF(Janvier[[#This Row],[1]:[31]],Paramétrage!G30)*Paramétrage!I30+COUNTIF(Janvier[[#This Row],[1]:[31]],Paramétrage!G31)*Paramétrage!I31+COUNTIF(Janvier[[#This Row],[1]:[31]],Paramétrage!G32*Paramétrage!I32+COUNTIF(Janvier[[#This Row],[1]:[31]],Paramétrage!G33)*Paramétrage!I33+COUNTIF(Janvier[[#This Row],[1]:[31]],Paramétrage!G34)*Paramétrage!I34)</f>
        <v>0</v>
      </c>
    </row>
    <row r="26" spans="1:33" ht="15" customHeight="1" x14ac:dyDescent="0.3">
      <c r="A26" s="36" t="s">
        <v>95</v>
      </c>
      <c r="B26" s="37"/>
      <c r="C26" s="37"/>
      <c r="D26" s="37"/>
      <c r="E26" s="37"/>
      <c r="F26" s="37"/>
      <c r="G26" s="37"/>
      <c r="H26" s="37"/>
      <c r="I26" s="37"/>
      <c r="J26" s="37"/>
      <c r="K26" s="37"/>
      <c r="L26" s="37"/>
      <c r="M26" s="37"/>
      <c r="N26" s="37"/>
      <c r="O26" s="37"/>
      <c r="P26" s="37"/>
      <c r="Q26" s="37"/>
      <c r="R26" s="37"/>
      <c r="S26" s="37"/>
      <c r="T26" s="37"/>
      <c r="U26" s="37"/>
      <c r="V26" s="37"/>
      <c r="W26" s="37"/>
      <c r="X26" s="37"/>
      <c r="Y26" s="37"/>
      <c r="Z26" s="37"/>
      <c r="AA26" s="37"/>
      <c r="AB26" s="37"/>
      <c r="AC26" s="37"/>
      <c r="AD26" s="37"/>
      <c r="AE26" s="37"/>
      <c r="AF26" s="37"/>
      <c r="AG26" s="18">
        <f>COUNTIF(Janvier[[#This Row],[1]:[31]],Paramétrage!G22)*Paramétrage!I22+COUNTIF(Janvier[[#This Row],[1]:[31]],Paramétrage!G23)*Paramétrage!I23+COUNTIF(Janvier[[#This Row],[1]:[31]],Paramétrage!G24)*Paramétrage!I24+COUNTIF(Janvier[[#This Row],[1]:[31]],Paramétrage!G25)*Paramétrage!I25+COUNTIF(Janvier[[#This Row],[1]:[31]],Paramétrage!G26)*Paramétrage!I26+COUNTIF(Janvier[[#This Row],[1]:[31]],Paramétrage!G27)*Paramétrage!I27+COUNTIF(Janvier[[#This Row],[1]:[31]],Paramétrage!G28)*Paramétrage!I28+COUNTIF(Janvier[[#This Row],[1]:[31]],Paramétrage!G29)*Paramétrage!I29+COUNTIF(Janvier[[#This Row],[1]:[31]],Paramétrage!G30)*Paramétrage!I30+COUNTIF(Janvier[[#This Row],[1]:[31]],Paramétrage!G31)*Paramétrage!I31+COUNTIF(Janvier[[#This Row],[1]:[31]],Paramétrage!G32)*Paramétrage!I32+COUNTIF(Janvier[[#This Row],[1]:[31]],Paramétrage!G33*Paramétrage!I33+COUNTIF(Janvier[[#This Row],[1]:[31]],Paramétrage!G34)*Paramétrage!I34+COUNTIF(Janvier[[#This Row],[1]:[31]],Paramétrage!G35)*Paramétrage!I35)</f>
        <v>0</v>
      </c>
    </row>
    <row r="27" spans="1:33" ht="24" x14ac:dyDescent="0.3">
      <c r="A27" s="38" t="s">
        <v>106</v>
      </c>
      <c r="B27" s="39">
        <f>COUNTA(Janvier[1])-COUNTIF(Janvier[1],CléReposhebdomadaire)-COUNTIF(Janvier[1],CléCongé)-COUNTIF(Janvier[1],CléMaladie)-COUNTIF(Janvier[1],CléFormation)-COUNTIF(Janvier[1],CléAbsencenonjustifiée)</f>
        <v>0</v>
      </c>
      <c r="C27" s="39">
        <f>COUNTA(Janvier[2])-COUNTIF(Janvier[2],CléReposhebdomadaire)-COUNTIF(Janvier[2],CléCongé)-COUNTIF(Janvier[2],CléMaladie)-COUNTIF(Janvier[2],CléFormation)-COUNTIF(Janvier[2],CléAbsencenonjustifiée)</f>
        <v>0</v>
      </c>
      <c r="D27" s="39">
        <f>COUNTA(Janvier[3])-COUNTIF(Janvier[3],CléReposhebdomadaire)-COUNTIF(Janvier[3],CléCongé)-COUNTIF(Janvier[3],CléMaladie)-COUNTIF(Janvier[3],CléFormation)-COUNTIF(Janvier[3],CléAbsencenonjustifiée)</f>
        <v>0</v>
      </c>
      <c r="E27" s="39">
        <f>COUNTA(Janvier[4])-COUNTIF(Janvier[4],CléReposhebdomadaire)-COUNTIF(Janvier[4],CléCongé)-COUNTIF(Janvier[4],CléMaladie)-COUNTIF(Janvier[4],CléFormation)-COUNTIF(Janvier[4],CléAbsencenonjustifiée)</f>
        <v>0</v>
      </c>
      <c r="F27" s="39">
        <f>COUNTA(Janvier[5])-COUNTIF(Janvier[5],CléReposhebdomadaire)-COUNTIF(Janvier[5],CléCongé)-COUNTIF(Janvier[5],CléMaladie)-COUNTIF(Janvier[5],CléFormation)-COUNTIF(Janvier[5],CléAbsencenonjustifiée)</f>
        <v>0</v>
      </c>
      <c r="G27" s="39">
        <f>COUNTA(Janvier[6])-COUNTIF(Janvier[6],CléReposhebdomadaire)-COUNTIF(Janvier[6],CléCongé)-COUNTIF(Janvier[6],CléMaladie)-COUNTIF(Janvier[6],CléFormation)-COUNTIF(Janvier[6],CléAbsencenonjustifiée)</f>
        <v>0</v>
      </c>
      <c r="H27" s="39">
        <f>COUNTA(Janvier[7])-COUNTIF(Janvier[7],CléReposhebdomadaire)-COUNTIF(Janvier[7],CléCongé)-COUNTIF(Janvier[7],CléMaladie)-COUNTIF(Janvier[7],CléFormation)-COUNTIF(Janvier[7],CléAbsencenonjustifiée)</f>
        <v>0</v>
      </c>
      <c r="I27" s="39">
        <f>COUNTA(Janvier[8])-COUNTIF(Janvier[8],CléReposhebdomadaire)-COUNTIF(Janvier[8],CléCongé)-COUNTIF(Janvier[8],CléMaladie)-COUNTIF(Janvier[8],CléFormation)-COUNTIF(Janvier[8],CléAbsencenonjustifiée)</f>
        <v>0</v>
      </c>
      <c r="J27" s="39">
        <f>COUNTA(Janvier[9])-COUNTIF(Janvier[9],CléReposhebdomadaire)-COUNTIF(Janvier[9],CléCongé)-COUNTIF(Janvier[9],CléMaladie)-COUNTIF(Janvier[9],CléFormation)-COUNTIF(Janvier[9],CléAbsencenonjustifiée)</f>
        <v>0</v>
      </c>
      <c r="K27" s="39">
        <f>COUNTA(Janvier[10])-COUNTIF(Janvier[10],CléReposhebdomadaire)-COUNTIF(Janvier[10],CléCongé)-COUNTIF(Janvier[10],CléMaladie)-COUNTIF(Janvier[10],CléFormation)-COUNTIF(Janvier[10],CléAbsencenonjustifiée)</f>
        <v>0</v>
      </c>
      <c r="L27" s="39">
        <f>COUNTA(Janvier[11])-COUNTIF(Janvier[11],CléReposhebdomadaire)-COUNTIF(Janvier[11],CléCongé)-COUNTIF(Janvier[11],CléMaladie)-COUNTIF(Janvier[11],CléFormation)-COUNTIF(Janvier[11],CléAbsencenonjustifiée)</f>
        <v>0</v>
      </c>
      <c r="M27" s="39">
        <f>COUNTA(Janvier[12])-COUNTIF(Janvier[12],CléReposhebdomadaire)-COUNTIF(Janvier[12],CléCongé)-COUNTIF(Janvier[12],CléMaladie)-COUNTIF(Janvier[12],CléFormation)-COUNTIF(Janvier[12],CléAbsencenonjustifiée)</f>
        <v>0</v>
      </c>
      <c r="N27" s="39">
        <f>COUNTA(Janvier[13])-COUNTIF(Janvier[13],CléReposhebdomadaire)-COUNTIF(Janvier[13],CléCongé)-COUNTIF(Janvier[13],CléMaladie)-COUNTIF(Janvier[13],CléFormation)-COUNTIF(Janvier[13],CléAbsencenonjustifiée)</f>
        <v>0</v>
      </c>
      <c r="O27" s="39">
        <f>COUNTA(Janvier[14])-COUNTIF(Janvier[14],CléReposhebdomadaire)-COUNTIF(Janvier[14],CléCongé)-COUNTIF(Janvier[14],CléMaladie)-COUNTIF(Janvier[14],CléFormation)-COUNTIF(Janvier[14],CléAbsencenonjustifiée)</f>
        <v>0</v>
      </c>
      <c r="P27" s="39">
        <f>COUNTA(Janvier[15])-COUNTIF(Janvier[15],CléReposhebdomadaire)-COUNTIF(Janvier[15],CléCongé)-COUNTIF(Janvier[15],CléMaladie)-COUNTIF(Janvier[15],CléFormation)-COUNTIF(Janvier[15],CléAbsencenonjustifiée)</f>
        <v>0</v>
      </c>
      <c r="Q27" s="39">
        <f>COUNTA(Janvier[16])-COUNTIF(Janvier[16],CléReposhebdomadaire)-COUNTIF(Janvier[16],CléCongé)-COUNTIF(Janvier[16],CléMaladie)-COUNTIF(Janvier[16],CléFormation)-COUNTIF(Janvier[16],CléAbsencenonjustifiée)</f>
        <v>0</v>
      </c>
      <c r="R27" s="39">
        <f>COUNTA(Janvier[17])-COUNTIF(Janvier[17],CléReposhebdomadaire)-COUNTIF(Janvier[17],CléCongé)-COUNTIF(Janvier[17],CléMaladie)-COUNTIF(Janvier[17],CléFormation)-COUNTIF(Janvier[17],CléAbsencenonjustifiée)</f>
        <v>0</v>
      </c>
      <c r="S27" s="39">
        <f>COUNTA(Janvier[18])-COUNTIF(Janvier[18],CléReposhebdomadaire)-COUNTIF(Janvier[18],CléCongé)-COUNTIF(Janvier[18],CléMaladie)-COUNTIF(Janvier[18],CléFormation)-COUNTIF(Janvier[18],CléAbsencenonjustifiée)</f>
        <v>0</v>
      </c>
      <c r="T27" s="39">
        <f>COUNTA(Janvier[19])-COUNTIF(Janvier[19],CléReposhebdomadaire)-COUNTIF(Janvier[19],CléCongé)-COUNTIF(Janvier[19],CléMaladie)-COUNTIF(Janvier[19],CléFormation)-COUNTIF(Janvier[19],CléAbsencenonjustifiée)</f>
        <v>0</v>
      </c>
      <c r="U27" s="39">
        <f>COUNTA(Janvier[20])-COUNTIF(Janvier[20],CléReposhebdomadaire)-COUNTIF(Janvier[20],CléCongé)-COUNTIF(Janvier[20],CléMaladie)-COUNTIF(Janvier[20],CléFormation)-COUNTIF(Janvier[20],CléAbsencenonjustifiée)</f>
        <v>0</v>
      </c>
      <c r="V27" s="39">
        <f>COUNTA(Janvier[21])-COUNTIF(Janvier[21],CléReposhebdomadaire)-COUNTIF(Janvier[21],CléCongé)-COUNTIF(Janvier[21],CléMaladie)-COUNTIF(Janvier[21],CléFormation)-COUNTIF(Janvier[21],CléAbsencenonjustifiée)</f>
        <v>0</v>
      </c>
      <c r="W27" s="39">
        <f>COUNTA(Janvier[22])-COUNTIF(Janvier[22],CléReposhebdomadaire)-COUNTIF(Janvier[22],CléCongé)-COUNTIF(Janvier[22],CléMaladie)-COUNTIF(Janvier[22],CléFormation)-COUNTIF(Janvier[22],CléAbsencenonjustifiée)</f>
        <v>0</v>
      </c>
      <c r="X27" s="39">
        <f>COUNTA(Janvier[23])-COUNTIF(Janvier[23],CléReposhebdomadaire)-COUNTIF(Janvier[23],CléCongé)-COUNTIF(Janvier[23],CléMaladie)-COUNTIF(Janvier[23],CléFormation)-COUNTIF(Janvier[23],CléAbsencenonjustifiée)</f>
        <v>0</v>
      </c>
      <c r="Y27" s="39">
        <f>COUNTA(Janvier[24])-COUNTIF(Janvier[24],CléReposhebdomadaire)-COUNTIF(Janvier[24],CléCongé)-COUNTIF(Janvier[24],CléMaladie)-COUNTIF(Janvier[24],CléFormation)-COUNTIF(Janvier[24],CléAbsencenonjustifiée)</f>
        <v>0</v>
      </c>
      <c r="Z27" s="39">
        <f>COUNTA(Janvier[25])-COUNTIF(Janvier[25],CléReposhebdomadaire)-COUNTIF(Janvier[25],CléCongé)-COUNTIF(Janvier[25],CléMaladie)-COUNTIF(Janvier[25],CléFormation)-COUNTIF(Janvier[25],CléAbsencenonjustifiée)</f>
        <v>0</v>
      </c>
      <c r="AA27" s="39">
        <f>COUNTA(Janvier[26])-COUNTIF(Janvier[26],CléReposhebdomadaire)-COUNTIF(Janvier[26],CléCongé)-COUNTIF(Janvier[26],CléMaladie)-COUNTIF(Janvier[26],CléFormation)-COUNTIF(Janvier[26],CléAbsencenonjustifiée)</f>
        <v>0</v>
      </c>
      <c r="AB27" s="39">
        <f>COUNTA(Janvier[27])-COUNTIF(Janvier[27],CléReposhebdomadaire)-COUNTIF(Janvier[27],CléCongé)-COUNTIF(Janvier[27],CléMaladie)-COUNTIF(Janvier[27],CléFormation)-COUNTIF(Janvier[27],CléAbsencenonjustifiée)</f>
        <v>0</v>
      </c>
      <c r="AC27" s="39">
        <f>COUNTA(Janvier[28])-COUNTIF(Janvier[28],CléReposhebdomadaire)-COUNTIF(Janvier[28],CléCongé)-COUNTIF(Janvier[28],CléMaladie)-COUNTIF(Janvier[28],CléFormation)-COUNTIF(Janvier[28],CléAbsencenonjustifiée)</f>
        <v>0</v>
      </c>
      <c r="AD27" s="39">
        <f>COUNTA(Janvier[29])-COUNTIF(Janvier[29],CléReposhebdomadaire)-COUNTIF(Janvier[29],CléCongé)-COUNTIF(Janvier[29],CléMaladie)-COUNTIF(Janvier[29],CléFormation)-COUNTIF(Janvier[29],CléAbsencenonjustifiée)</f>
        <v>0</v>
      </c>
      <c r="AE27" s="39">
        <f>COUNTA(Janvier[30])-COUNTIF(Janvier[30],CléReposhebdomadaire)-COUNTIF(Janvier[30],CléCongé)-COUNTIF(Janvier[30],CléMaladie)-COUNTIF(Janvier[30],CléFormation)-COUNTIF(Janvier[30],CléAbsencenonjustifiée)</f>
        <v>0</v>
      </c>
      <c r="AF27" s="39">
        <f>COUNTA(Janvier[31])-COUNTIF(Janvier[31],CléReposhebdomadaire)-COUNTIF(Janvier[31],CléCongé)-COUNTIF(Janvier[31],CléMaladie)-COUNTIF(Janvier[31],CléFormation)-COUNTIF(Janvier[31],CléAbsencenonjustifiée)</f>
        <v>0</v>
      </c>
      <c r="AG27" s="40">
        <f ca="1">SUBTOTAL(109,Mars[Total des Heures effectuées])</f>
        <v>0</v>
      </c>
    </row>
  </sheetData>
  <mergeCells count="9">
    <mergeCell ref="A1:AG1"/>
    <mergeCell ref="A4:A5"/>
    <mergeCell ref="AG4:AG5"/>
    <mergeCell ref="B4:AF4"/>
    <mergeCell ref="R2:U2"/>
    <mergeCell ref="C2:F2"/>
    <mergeCell ref="H2:I2"/>
    <mergeCell ref="K2:M2"/>
    <mergeCell ref="O2:P2"/>
  </mergeCells>
  <conditionalFormatting sqref="B27:AF27">
    <cfRule type="dataBar" priority="11">
      <dataBar>
        <cfvo type="num" val="0"/>
        <cfvo type="num" val="31"/>
        <color theme="2" tint="-0.249977111117893"/>
      </dataBar>
      <extLst>
        <ext xmlns:x14="http://schemas.microsoft.com/office/spreadsheetml/2009/9/main" uri="{B025F937-C7B1-47D3-B67F-A62EFF666E3E}">
          <x14:id>{31470A6C-DB64-4CC5-A28A-A77B79C6355A}</x14:id>
        </ext>
      </extLst>
    </cfRule>
  </conditionalFormatting>
  <conditionalFormatting sqref="B7:AF26">
    <cfRule type="cellIs" dxfId="541" priority="1" operator="equal">
      <formula>$Q$2</formula>
    </cfRule>
    <cfRule type="cellIs" dxfId="540" priority="2" operator="equal">
      <formula>$N$2</formula>
    </cfRule>
    <cfRule type="cellIs" dxfId="539" priority="3" operator="equal">
      <formula>$J$2</formula>
    </cfRule>
    <cfRule type="cellIs" dxfId="538" priority="4" operator="equal">
      <formula>$G$2</formula>
    </cfRule>
    <cfRule type="cellIs" dxfId="537" priority="5" operator="equal">
      <formula>$B$2</formula>
    </cfRule>
  </conditionalFormatting>
  <dataValidations count="12">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B5"/>
    <dataValidation allowBlank="1" showInputMessage="1" showErrorMessage="1" prompt="Année mise à jour automatiquement en fonction de l’année entrée dans la feuille de calcul Janvier" sqref="AG4"/>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A6"/>
    <dataValidation allowBlank="1" showInputMessage="1" showErrorMessage="1" prompt="Le titre mis à jour automatiquement figure dans cette cellule. Pour modifier le titre, mettez à jour la cellule B1 de la feuille de calcul Janvier" sqref="A1"/>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A4"/>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B6"/>
    <dataValidation allowBlank="1" showInputMessage="1" showErrorMessage="1" prompt="Cette ligne définit les clés utilisées dans le tableau : Repos hebdomadaire en C2, Congé en H2, Arrêt Maladie en K2, Formation en O2 et Absence non justifiée en R2_x000a_" sqref="A2"/>
    <dataValidation allowBlank="1" showInputMessage="1" showErrorMessage="1" prompt="« ABS» indique une absence pour cause d'Absence non justifiée" sqref="Q2"/>
    <dataValidation allowBlank="1" showInputMessage="1" showErrorMessage="1" prompt=" « AM » indique une absence pour cause d'Arrêt maladie" sqref="J2"/>
    <dataValidation allowBlank="1" showInputMessage="1" showErrorMessage="1" prompt=" « FO » indique une absence pour Formation" sqref="N2"/>
    <dataValidation allowBlank="1" showInputMessage="1" showErrorMessage="1" prompt="« CP» indique une absence pour cause de congé" sqref="G2"/>
    <dataValidation allowBlank="1" showInputMessage="1" showErrorMessage="1" prompt="Calcule automatiquement le nombre total des heures effectives d’un employé durant ce mois" sqref="AG6"/>
  </dataValidations>
  <pageMargins left="0.7" right="0.7" top="0.75" bottom="0.75" header="0.3" footer="0.3"/>
  <pageSetup paperSize="9" fitToHeight="0" orientation="portrait" verticalDpi="4294967293"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31470A6C-DB64-4CC5-A28A-A77B79C6355A}">
            <x14:dataBar minLength="0" maxLength="100">
              <x14:cfvo type="num">
                <xm:f>0</xm:f>
              </x14:cfvo>
              <x14:cfvo type="num">
                <xm:f>31</xm:f>
              </x14:cfvo>
              <x14:negativeFillColor rgb="FFFF0000"/>
              <x14:axisColor rgb="FF000000"/>
            </x14:dataBar>
          </x14:cfRule>
          <xm:sqref>B27:AF27</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14:formula1>
            <xm:f>Paramétrage!$B$3:$B$22</xm:f>
          </x14:formula1>
          <xm:sqref>A7:A26</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1"/>
  </sheetPr>
  <dimension ref="A1:AG27"/>
  <sheetViews>
    <sheetView showGridLines="0" zoomScaleNormal="100" workbookViewId="0">
      <selection sqref="A1:XFD6"/>
    </sheetView>
  </sheetViews>
  <sheetFormatPr baseColWidth="10" defaultColWidth="9.109375" defaultRowHeight="30" customHeight="1" x14ac:dyDescent="0.3"/>
  <cols>
    <col min="1" max="1" width="20.44140625" style="30" customWidth="1"/>
    <col min="2" max="32" width="5.5546875" style="30" customWidth="1"/>
    <col min="33" max="33" width="12.44140625" style="30" customWidth="1"/>
    <col min="34" max="34" width="2.6640625" style="29" customWidth="1"/>
    <col min="35" max="16384" width="9.109375" style="29"/>
  </cols>
  <sheetData>
    <row r="1" spans="1:33" ht="25.8" x14ac:dyDescent="0.3">
      <c r="A1" s="58" t="str">
        <f>Titre_Absence_Employé</f>
        <v>PLANNING MENSUEL</v>
      </c>
      <c r="B1" s="58"/>
      <c r="C1" s="58"/>
      <c r="D1" s="58"/>
      <c r="E1" s="58"/>
      <c r="F1" s="58"/>
      <c r="G1" s="58"/>
      <c r="H1" s="58"/>
      <c r="I1" s="58"/>
      <c r="J1" s="58"/>
      <c r="K1" s="58"/>
      <c r="L1" s="58"/>
      <c r="M1" s="58"/>
      <c r="N1" s="58"/>
      <c r="O1" s="58"/>
      <c r="P1" s="58"/>
      <c r="Q1" s="58"/>
      <c r="R1" s="58"/>
      <c r="S1" s="58"/>
      <c r="T1" s="58"/>
      <c r="U1" s="58"/>
      <c r="V1" s="58"/>
      <c r="W1" s="58"/>
      <c r="X1" s="58"/>
      <c r="Y1" s="58"/>
      <c r="Z1" s="58"/>
      <c r="AA1" s="58"/>
      <c r="AB1" s="58"/>
      <c r="AC1" s="58"/>
      <c r="AD1" s="58"/>
      <c r="AE1" s="58"/>
      <c r="AF1" s="58"/>
      <c r="AG1" s="58"/>
    </row>
    <row r="2" spans="1:33" ht="12" x14ac:dyDescent="0.3">
      <c r="A2" s="41" t="s">
        <v>0</v>
      </c>
      <c r="B2" s="42" t="s">
        <v>88</v>
      </c>
      <c r="C2" s="57" t="s">
        <v>89</v>
      </c>
      <c r="D2" s="57"/>
      <c r="E2" s="57"/>
      <c r="F2" s="57"/>
      <c r="G2" s="9" t="s">
        <v>82</v>
      </c>
      <c r="H2" s="57" t="s">
        <v>9</v>
      </c>
      <c r="I2" s="57"/>
      <c r="J2" s="43" t="s">
        <v>84</v>
      </c>
      <c r="K2" s="57" t="s">
        <v>85</v>
      </c>
      <c r="L2" s="57"/>
      <c r="M2" s="57"/>
      <c r="N2" s="11" t="s">
        <v>60</v>
      </c>
      <c r="O2" s="57" t="s">
        <v>83</v>
      </c>
      <c r="P2" s="57"/>
      <c r="Q2" s="44" t="s">
        <v>86</v>
      </c>
      <c r="R2" s="57" t="s">
        <v>87</v>
      </c>
      <c r="S2" s="57"/>
      <c r="T2" s="57"/>
      <c r="U2" s="57"/>
    </row>
    <row r="3" spans="1:33" ht="12" x14ac:dyDescent="0.3">
      <c r="AG3" s="31"/>
    </row>
    <row r="4" spans="1:33" ht="25.8" x14ac:dyDescent="0.3">
      <c r="A4" s="59" t="s">
        <v>48</v>
      </c>
      <c r="B4" s="59" t="s">
        <v>109</v>
      </c>
      <c r="C4" s="59"/>
      <c r="D4" s="59"/>
      <c r="E4" s="59"/>
      <c r="F4" s="59"/>
      <c r="G4" s="59"/>
      <c r="H4" s="59"/>
      <c r="I4" s="59"/>
      <c r="J4" s="59"/>
      <c r="K4" s="59"/>
      <c r="L4" s="59"/>
      <c r="M4" s="59"/>
      <c r="N4" s="59"/>
      <c r="O4" s="59"/>
      <c r="P4" s="59"/>
      <c r="Q4" s="59"/>
      <c r="R4" s="59"/>
      <c r="S4" s="59"/>
      <c r="T4" s="59"/>
      <c r="U4" s="59"/>
      <c r="V4" s="59"/>
      <c r="W4" s="59"/>
      <c r="X4" s="59"/>
      <c r="Y4" s="59"/>
      <c r="Z4" s="59"/>
      <c r="AA4" s="59"/>
      <c r="AB4" s="59"/>
      <c r="AC4" s="59"/>
      <c r="AD4" s="59"/>
      <c r="AE4" s="59"/>
      <c r="AF4" s="59"/>
      <c r="AG4" s="59">
        <f>AnnéeCalendrier</f>
        <v>2023</v>
      </c>
    </row>
    <row r="5" spans="1:33" ht="12" x14ac:dyDescent="0.3">
      <c r="A5" s="59"/>
      <c r="B5" s="47" t="str">
        <f>TEXT(WEEKDAY(DATE(AnnéeCalendrier,7,1),1),"jjj")</f>
        <v>sam</v>
      </c>
      <c r="C5" s="32" t="str">
        <f>TEXT(WEEKDAY(DATE(AnnéeCalendrier,7,2),1),"jjj")</f>
        <v>dim</v>
      </c>
      <c r="D5" s="32" t="str">
        <f>TEXT(WEEKDAY(DATE(AnnéeCalendrier,7,3),1),"jjj")</f>
        <v>lun</v>
      </c>
      <c r="E5" s="32" t="str">
        <f>TEXT(WEEKDAY(DATE(AnnéeCalendrier,7,4),1),"jjj")</f>
        <v>mar</v>
      </c>
      <c r="F5" s="32" t="str">
        <f>TEXT(WEEKDAY(DATE(AnnéeCalendrier,7,5),1),"jjj")</f>
        <v>mer</v>
      </c>
      <c r="G5" s="32" t="str">
        <f>TEXT(WEEKDAY(DATE(AnnéeCalendrier,7,6),1),"jjj")</f>
        <v>jeu</v>
      </c>
      <c r="H5" s="32" t="str">
        <f>TEXT(WEEKDAY(DATE(AnnéeCalendrier,7,7),1),"jjj")</f>
        <v>ven</v>
      </c>
      <c r="I5" s="32" t="str">
        <f>TEXT(WEEKDAY(DATE(AnnéeCalendrier,7,8),1),"jjj")</f>
        <v>sam</v>
      </c>
      <c r="J5" s="32" t="str">
        <f>TEXT(WEEKDAY(DATE(AnnéeCalendrier,7,9),1),"jjj")</f>
        <v>dim</v>
      </c>
      <c r="K5" s="32" t="str">
        <f>TEXT(WEEKDAY(DATE(AnnéeCalendrier,7,10),1),"jjj")</f>
        <v>lun</v>
      </c>
      <c r="L5" s="32" t="str">
        <f>TEXT(WEEKDAY(DATE(AnnéeCalendrier,7,11),1),"jjj")</f>
        <v>mar</v>
      </c>
      <c r="M5" s="32" t="str">
        <f>TEXT(WEEKDAY(DATE(AnnéeCalendrier,7,12),1),"jjj")</f>
        <v>mer</v>
      </c>
      <c r="N5" s="32" t="str">
        <f>TEXT(WEEKDAY(DATE(AnnéeCalendrier,7,13),1),"jjj")</f>
        <v>jeu</v>
      </c>
      <c r="O5" s="32" t="str">
        <f>TEXT(WEEKDAY(DATE(AnnéeCalendrier,7,14),1),"jjj")</f>
        <v>ven</v>
      </c>
      <c r="P5" s="32" t="str">
        <f>TEXT(WEEKDAY(DATE(AnnéeCalendrier,7,15),1),"jjj")</f>
        <v>sam</v>
      </c>
      <c r="Q5" s="32" t="str">
        <f>TEXT(WEEKDAY(DATE(AnnéeCalendrier,7,16),1),"jjj")</f>
        <v>dim</v>
      </c>
      <c r="R5" s="32" t="str">
        <f>TEXT(WEEKDAY(DATE(AnnéeCalendrier,7,17),1),"jjj")</f>
        <v>lun</v>
      </c>
      <c r="S5" s="32" t="str">
        <f>TEXT(WEEKDAY(DATE(AnnéeCalendrier,7,18),1),"jjj")</f>
        <v>mar</v>
      </c>
      <c r="T5" s="32" t="str">
        <f>TEXT(WEEKDAY(DATE(AnnéeCalendrier,7,19),1),"jjj")</f>
        <v>mer</v>
      </c>
      <c r="U5" s="32" t="str">
        <f>TEXT(WEEKDAY(DATE(AnnéeCalendrier,7,20),1),"jjj")</f>
        <v>jeu</v>
      </c>
      <c r="V5" s="32" t="str">
        <f>TEXT(WEEKDAY(DATE(AnnéeCalendrier,7,21),1),"jjj")</f>
        <v>ven</v>
      </c>
      <c r="W5" s="32" t="str">
        <f>TEXT(WEEKDAY(DATE(AnnéeCalendrier,7,22),1),"jjj")</f>
        <v>sam</v>
      </c>
      <c r="X5" s="32" t="str">
        <f>TEXT(WEEKDAY(DATE(AnnéeCalendrier,7,23),1),"jjj")</f>
        <v>dim</v>
      </c>
      <c r="Y5" s="32" t="str">
        <f>TEXT(WEEKDAY(DATE(AnnéeCalendrier,7,24),1),"jjj")</f>
        <v>lun</v>
      </c>
      <c r="Z5" s="32" t="str">
        <f>TEXT(WEEKDAY(DATE(AnnéeCalendrier,7,25),1),"jjj")</f>
        <v>mar</v>
      </c>
      <c r="AA5" s="32" t="str">
        <f>TEXT(WEEKDAY(DATE(AnnéeCalendrier,7,26),1),"jjj")</f>
        <v>mer</v>
      </c>
      <c r="AB5" s="32" t="str">
        <f>TEXT(WEEKDAY(DATE(AnnéeCalendrier,7,27),1),"jjj")</f>
        <v>jeu</v>
      </c>
      <c r="AC5" s="32" t="str">
        <f>TEXT(WEEKDAY(DATE(AnnéeCalendrier,7,28),1),"jjj")</f>
        <v>ven</v>
      </c>
      <c r="AD5" s="32" t="str">
        <f>TEXT(WEEKDAY(DATE(AnnéeCalendrier,7,29),1),"jjj")</f>
        <v>sam</v>
      </c>
      <c r="AE5" s="32" t="str">
        <f>TEXT(WEEKDAY(DATE(AnnéeCalendrier,7,30),1),"jjj")</f>
        <v>dim</v>
      </c>
      <c r="AF5" s="32" t="str">
        <f>TEXT(WEEKDAY(DATE(AnnéeCalendrier,7,31),1),"jjj")</f>
        <v>lun</v>
      </c>
      <c r="AG5" s="59"/>
    </row>
    <row r="6" spans="1:33" ht="24" x14ac:dyDescent="0.3">
      <c r="A6" s="45" t="s">
        <v>2</v>
      </c>
      <c r="B6" s="46" t="s">
        <v>8</v>
      </c>
      <c r="C6" s="46" t="s">
        <v>10</v>
      </c>
      <c r="D6" s="46" t="s">
        <v>11</v>
      </c>
      <c r="E6" s="46" t="s">
        <v>12</v>
      </c>
      <c r="F6" s="46" t="s">
        <v>13</v>
      </c>
      <c r="G6" s="46" t="s">
        <v>14</v>
      </c>
      <c r="H6" s="46" t="s">
        <v>15</v>
      </c>
      <c r="I6" s="46" t="s">
        <v>16</v>
      </c>
      <c r="J6" s="46" t="s">
        <v>17</v>
      </c>
      <c r="K6" s="46" t="s">
        <v>18</v>
      </c>
      <c r="L6" s="46" t="s">
        <v>19</v>
      </c>
      <c r="M6" s="46" t="s">
        <v>20</v>
      </c>
      <c r="N6" s="46" t="s">
        <v>21</v>
      </c>
      <c r="O6" s="46" t="s">
        <v>22</v>
      </c>
      <c r="P6" s="46" t="s">
        <v>23</v>
      </c>
      <c r="Q6" s="46" t="s">
        <v>24</v>
      </c>
      <c r="R6" s="46" t="s">
        <v>25</v>
      </c>
      <c r="S6" s="46" t="s">
        <v>26</v>
      </c>
      <c r="T6" s="46" t="s">
        <v>27</v>
      </c>
      <c r="U6" s="46" t="s">
        <v>28</v>
      </c>
      <c r="V6" s="46" t="s">
        <v>29</v>
      </c>
      <c r="W6" s="46" t="s">
        <v>30</v>
      </c>
      <c r="X6" s="46" t="s">
        <v>31</v>
      </c>
      <c r="Y6" s="46" t="s">
        <v>32</v>
      </c>
      <c r="Z6" s="46" t="s">
        <v>33</v>
      </c>
      <c r="AA6" s="46" t="s">
        <v>34</v>
      </c>
      <c r="AB6" s="46" t="s">
        <v>35</v>
      </c>
      <c r="AC6" s="46" t="s">
        <v>36</v>
      </c>
      <c r="AD6" s="46" t="s">
        <v>37</v>
      </c>
      <c r="AE6" s="46" t="s">
        <v>38</v>
      </c>
      <c r="AF6" s="46" t="s">
        <v>39</v>
      </c>
      <c r="AG6" s="35" t="s">
        <v>107</v>
      </c>
    </row>
    <row r="7" spans="1:33" ht="15" customHeight="1" x14ac:dyDescent="0.3">
      <c r="A7" s="36" t="s">
        <v>3</v>
      </c>
      <c r="B7" s="34"/>
      <c r="C7" s="34"/>
      <c r="D7" s="34"/>
      <c r="E7" s="34"/>
      <c r="F7" s="34"/>
      <c r="G7" s="34"/>
      <c r="H7" s="34"/>
      <c r="I7" s="34"/>
      <c r="J7" s="34"/>
      <c r="K7" s="34"/>
      <c r="L7" s="34"/>
      <c r="M7" s="34"/>
      <c r="N7" s="34"/>
      <c r="O7" s="34"/>
      <c r="P7" s="34"/>
      <c r="Q7" s="34"/>
      <c r="R7" s="34"/>
      <c r="S7" s="34"/>
      <c r="T7" s="34"/>
      <c r="U7" s="34"/>
      <c r="V7" s="34"/>
      <c r="W7" s="34"/>
      <c r="X7" s="34"/>
      <c r="Y7" s="34"/>
      <c r="Z7" s="34"/>
      <c r="AA7" s="34"/>
      <c r="AB7" s="34"/>
      <c r="AC7" s="34"/>
      <c r="AD7" s="34"/>
      <c r="AE7" s="34"/>
      <c r="AF7" s="34"/>
      <c r="AG7" s="18">
        <f>COUNTIF(Janvier[[#This Row],[1]:[31]],Paramétrage!G3)*Paramétrage!I3+COUNTIF(Janvier[[#This Row],[1]:[31]],Paramétrage!G4)*Paramétrage!I4+COUNTIF(Janvier[[#This Row],[1]:[31]],Paramétrage!G5)*Paramétrage!I5+COUNTIF(Janvier[[#This Row],[1]:[31]],Paramétrage!G6)*Paramétrage!I6+COUNTIF(Janvier[[#This Row],[1]:[31]],Paramétrage!G7)*Paramétrage!I7+COUNTIF(Janvier[[#This Row],[1]:[31]],Paramétrage!G8)*Paramétrage!I8+COUNTIF(Janvier[[#This Row],[1]:[31]],Paramétrage!G9)*Paramétrage!I9+COUNTIF(Janvier[[#This Row],[1]:[31]],Paramétrage!G10)*Paramétrage!I10+COUNTIF(Janvier[[#This Row],[1]:[31]],Paramétrage!G11)*Paramétrage!I11+COUNTIF(Janvier[[#This Row],[1]:[31]],Paramétrage!G12)*Paramétrage!I12+COUNTIF(Janvier[[#This Row],[1]:[31]],Paramétrage!G13)*Paramétrage!I13+COUNTIF(Janvier[[#This Row],[1]:[31]],Paramétrage!G14*Paramétrage!I14+COUNTIF(Janvier[[#This Row],[1]:[31]],Paramétrage!G15)*Paramétrage!I15+COUNTIF(Janvier[[#This Row],[1]:[31]],Paramétrage!G16)*Paramétrage!I16)</f>
        <v>0</v>
      </c>
    </row>
    <row r="8" spans="1:33" ht="15" customHeight="1" x14ac:dyDescent="0.3">
      <c r="A8" s="36" t="s">
        <v>4</v>
      </c>
      <c r="B8" s="34"/>
      <c r="C8" s="34"/>
      <c r="D8" s="34"/>
      <c r="E8" s="34"/>
      <c r="F8" s="34"/>
      <c r="G8" s="34"/>
      <c r="H8" s="34"/>
      <c r="I8" s="34"/>
      <c r="J8" s="34"/>
      <c r="K8" s="34"/>
      <c r="L8" s="34"/>
      <c r="M8" s="34"/>
      <c r="N8" s="34"/>
      <c r="O8" s="34"/>
      <c r="P8" s="34"/>
      <c r="Q8" s="34"/>
      <c r="R8" s="34"/>
      <c r="S8" s="34"/>
      <c r="T8" s="34"/>
      <c r="U8" s="34"/>
      <c r="V8" s="34"/>
      <c r="W8" s="34"/>
      <c r="X8" s="34"/>
      <c r="Y8" s="34"/>
      <c r="Z8" s="34"/>
      <c r="AA8" s="34"/>
      <c r="AB8" s="34"/>
      <c r="AC8" s="34"/>
      <c r="AD8" s="34"/>
      <c r="AE8" s="34"/>
      <c r="AF8" s="34"/>
      <c r="AG8" s="18">
        <f>COUNTIF(Janvier[[#This Row],[1]:[31]],Paramétrage!G4)*Paramétrage!I4+COUNTIF(Janvier[[#This Row],[1]:[31]],Paramétrage!G5)*Paramétrage!I5+COUNTIF(Janvier[[#This Row],[1]:[31]],Paramétrage!G6)*Paramétrage!I6+COUNTIF(Janvier[[#This Row],[1]:[31]],Paramétrage!G7)*Paramétrage!I7+COUNTIF(Janvier[[#This Row],[1]:[31]],Paramétrage!G8)*Paramétrage!I8+COUNTIF(Janvier[[#This Row],[1]:[31]],Paramétrage!G9)*Paramétrage!I9+COUNTIF(Janvier[[#This Row],[1]:[31]],Paramétrage!G10)*Paramétrage!I10+COUNTIF(Janvier[[#This Row],[1]:[31]],Paramétrage!G11)*Paramétrage!I11+COUNTIF(Janvier[[#This Row],[1]:[31]],Paramétrage!G12)*Paramétrage!I12+COUNTIF(Janvier[[#This Row],[1]:[31]],Paramétrage!G13)*Paramétrage!I13+COUNTIF(Janvier[[#This Row],[1]:[31]],Paramétrage!G14)*Paramétrage!I14+COUNTIF(Janvier[[#This Row],[1]:[31]],Paramétrage!G15*Paramétrage!I15+COUNTIF(Janvier[[#This Row],[1]:[31]],Paramétrage!G16)*Paramétrage!I16+COUNTIF(Janvier[[#This Row],[1]:[31]],Paramétrage!G17)*Paramétrage!I17)</f>
        <v>0</v>
      </c>
    </row>
    <row r="9" spans="1:33" ht="15" customHeight="1" x14ac:dyDescent="0.3">
      <c r="A9" s="36" t="s">
        <v>5</v>
      </c>
      <c r="B9" s="34"/>
      <c r="C9" s="34"/>
      <c r="D9" s="34"/>
      <c r="E9" s="34"/>
      <c r="F9" s="34"/>
      <c r="G9" s="34"/>
      <c r="H9" s="34"/>
      <c r="I9" s="34"/>
      <c r="J9" s="34"/>
      <c r="K9" s="34"/>
      <c r="L9" s="34"/>
      <c r="M9" s="34"/>
      <c r="N9" s="34"/>
      <c r="O9" s="34"/>
      <c r="P9" s="34"/>
      <c r="Q9" s="34"/>
      <c r="R9" s="34"/>
      <c r="S9" s="34"/>
      <c r="T9" s="34"/>
      <c r="U9" s="34"/>
      <c r="V9" s="34"/>
      <c r="W9" s="34"/>
      <c r="X9" s="34"/>
      <c r="Y9" s="34"/>
      <c r="Z9" s="34"/>
      <c r="AA9" s="34"/>
      <c r="AB9" s="34"/>
      <c r="AC9" s="34"/>
      <c r="AD9" s="34"/>
      <c r="AE9" s="34"/>
      <c r="AF9" s="34"/>
      <c r="AG9" s="18">
        <f>COUNTIF(Janvier[[#This Row],[1]:[31]],Paramétrage!G5)*Paramétrage!I5+COUNTIF(Janvier[[#This Row],[1]:[31]],Paramétrage!G6)*Paramétrage!I6+COUNTIF(Janvier[[#This Row],[1]:[31]],Paramétrage!G7)*Paramétrage!I7+COUNTIF(Janvier[[#This Row],[1]:[31]],Paramétrage!G8)*Paramétrage!I8+COUNTIF(Janvier[[#This Row],[1]:[31]],Paramétrage!G9)*Paramétrage!I9+COUNTIF(Janvier[[#This Row],[1]:[31]],Paramétrage!G10)*Paramétrage!I10+COUNTIF(Janvier[[#This Row],[1]:[31]],Paramétrage!G11)*Paramétrage!I11+COUNTIF(Janvier[[#This Row],[1]:[31]],Paramétrage!G12)*Paramétrage!I12+COUNTIF(Janvier[[#This Row],[1]:[31]],Paramétrage!G13)*Paramétrage!I13+COUNTIF(Janvier[[#This Row],[1]:[31]],Paramétrage!G14)*Paramétrage!I14+COUNTIF(Janvier[[#This Row],[1]:[31]],Paramétrage!G15)*Paramétrage!I15+COUNTIF(Janvier[[#This Row],[1]:[31]],Paramétrage!G16*Paramétrage!I16+COUNTIF(Janvier[[#This Row],[1]:[31]],Paramétrage!G17)*Paramétrage!I17+COUNTIF(Janvier[[#This Row],[1]:[31]],Paramétrage!G18)*Paramétrage!I18)</f>
        <v>0</v>
      </c>
    </row>
    <row r="10" spans="1:33" ht="15" customHeight="1" x14ac:dyDescent="0.3">
      <c r="A10" s="36" t="s">
        <v>6</v>
      </c>
      <c r="B10" s="34"/>
      <c r="C10" s="34"/>
      <c r="D10" s="34"/>
      <c r="E10" s="34"/>
      <c r="F10" s="34"/>
      <c r="G10" s="34"/>
      <c r="H10" s="34"/>
      <c r="I10" s="34"/>
      <c r="J10" s="34"/>
      <c r="K10" s="34"/>
      <c r="L10" s="34"/>
      <c r="M10" s="34"/>
      <c r="N10" s="34"/>
      <c r="O10" s="34"/>
      <c r="P10" s="34"/>
      <c r="Q10" s="34"/>
      <c r="R10" s="34"/>
      <c r="S10" s="34"/>
      <c r="T10" s="34"/>
      <c r="U10" s="34"/>
      <c r="V10" s="34"/>
      <c r="W10" s="34"/>
      <c r="X10" s="34"/>
      <c r="Y10" s="34"/>
      <c r="Z10" s="34"/>
      <c r="AA10" s="34"/>
      <c r="AB10" s="34"/>
      <c r="AC10" s="34"/>
      <c r="AD10" s="34"/>
      <c r="AE10" s="34"/>
      <c r="AF10" s="34"/>
      <c r="AG10" s="18">
        <f>COUNTIF(Janvier[[#This Row],[1]:[31]],Paramétrage!G6)*Paramétrage!I6+COUNTIF(Janvier[[#This Row],[1]:[31]],Paramétrage!G7)*Paramétrage!I7+COUNTIF(Janvier[[#This Row],[1]:[31]],Paramétrage!G8)*Paramétrage!I8+COUNTIF(Janvier[[#This Row],[1]:[31]],Paramétrage!G9)*Paramétrage!I9+COUNTIF(Janvier[[#This Row],[1]:[31]],Paramétrage!G10)*Paramétrage!I10+COUNTIF(Janvier[[#This Row],[1]:[31]],Paramétrage!G11)*Paramétrage!I11+COUNTIF(Janvier[[#This Row],[1]:[31]],Paramétrage!G12)*Paramétrage!I12+COUNTIF(Janvier[[#This Row],[1]:[31]],Paramétrage!G13)*Paramétrage!I13+COUNTIF(Janvier[[#This Row],[1]:[31]],Paramétrage!G14)*Paramétrage!I14+COUNTIF(Janvier[[#This Row],[1]:[31]],Paramétrage!G15)*Paramétrage!I15+COUNTIF(Janvier[[#This Row],[1]:[31]],Paramétrage!G16)*Paramétrage!I16+COUNTIF(Janvier[[#This Row],[1]:[31]],Paramétrage!G17*Paramétrage!I17+COUNTIF(Janvier[[#This Row],[1]:[31]],Paramétrage!G18)*Paramétrage!I18+COUNTIF(Janvier[[#This Row],[1]:[31]],Paramétrage!G19)*Paramétrage!I19)</f>
        <v>0</v>
      </c>
    </row>
    <row r="11" spans="1:33" ht="15" customHeight="1" x14ac:dyDescent="0.3">
      <c r="A11" s="36" t="s">
        <v>7</v>
      </c>
      <c r="B11" s="34"/>
      <c r="C11" s="34"/>
      <c r="D11" s="34"/>
      <c r="E11" s="34"/>
      <c r="F11" s="34"/>
      <c r="G11" s="34"/>
      <c r="H11" s="34"/>
      <c r="I11" s="34"/>
      <c r="J11" s="34"/>
      <c r="K11" s="34"/>
      <c r="L11" s="34"/>
      <c r="M11" s="34"/>
      <c r="N11" s="34"/>
      <c r="O11" s="34"/>
      <c r="P11" s="34"/>
      <c r="Q11" s="34"/>
      <c r="R11" s="34"/>
      <c r="S11" s="34"/>
      <c r="T11" s="34"/>
      <c r="U11" s="34"/>
      <c r="V11" s="34"/>
      <c r="W11" s="34"/>
      <c r="X11" s="34"/>
      <c r="Y11" s="34"/>
      <c r="Z11" s="34"/>
      <c r="AA11" s="34"/>
      <c r="AB11" s="34"/>
      <c r="AC11" s="34"/>
      <c r="AD11" s="34"/>
      <c r="AE11" s="34"/>
      <c r="AF11" s="34"/>
      <c r="AG11" s="18">
        <f>COUNTIF(Janvier[[#This Row],[1]:[31]],Paramétrage!G7)*Paramétrage!I7+COUNTIF(Janvier[[#This Row],[1]:[31]],Paramétrage!G8)*Paramétrage!I8+COUNTIF(Janvier[[#This Row],[1]:[31]],Paramétrage!G9)*Paramétrage!I9+COUNTIF(Janvier[[#This Row],[1]:[31]],Paramétrage!G10)*Paramétrage!I10+COUNTIF(Janvier[[#This Row],[1]:[31]],Paramétrage!G11)*Paramétrage!I11+COUNTIF(Janvier[[#This Row],[1]:[31]],Paramétrage!G12)*Paramétrage!I12+COUNTIF(Janvier[[#This Row],[1]:[31]],Paramétrage!G13)*Paramétrage!I13+COUNTIF(Janvier[[#This Row],[1]:[31]],Paramétrage!G14)*Paramétrage!I14+COUNTIF(Janvier[[#This Row],[1]:[31]],Paramétrage!G15)*Paramétrage!I15+COUNTIF(Janvier[[#This Row],[1]:[31]],Paramétrage!G16)*Paramétrage!I16+COUNTIF(Janvier[[#This Row],[1]:[31]],Paramétrage!G17)*Paramétrage!I17+COUNTIF(Janvier[[#This Row],[1]:[31]],Paramétrage!G18*Paramétrage!I18+COUNTIF(Janvier[[#This Row],[1]:[31]],Paramétrage!G19)*Paramétrage!I19+COUNTIF(Janvier[[#This Row],[1]:[31]],Paramétrage!G20)*Paramétrage!I20)</f>
        <v>0</v>
      </c>
    </row>
    <row r="12" spans="1:33" ht="15" customHeight="1" x14ac:dyDescent="0.3">
      <c r="A12" s="36" t="s">
        <v>55</v>
      </c>
      <c r="B12" s="34"/>
      <c r="C12" s="34"/>
      <c r="D12" s="34"/>
      <c r="E12" s="34"/>
      <c r="F12" s="34"/>
      <c r="G12" s="34"/>
      <c r="H12" s="34"/>
      <c r="I12" s="34"/>
      <c r="J12" s="34"/>
      <c r="K12" s="34"/>
      <c r="L12" s="34"/>
      <c r="M12" s="34"/>
      <c r="N12" s="34"/>
      <c r="O12" s="34"/>
      <c r="P12" s="34"/>
      <c r="Q12" s="34"/>
      <c r="R12" s="34"/>
      <c r="S12" s="34"/>
      <c r="T12" s="34"/>
      <c r="U12" s="34"/>
      <c r="V12" s="34"/>
      <c r="W12" s="34"/>
      <c r="X12" s="34"/>
      <c r="Y12" s="34"/>
      <c r="Z12" s="34"/>
      <c r="AA12" s="34"/>
      <c r="AB12" s="34"/>
      <c r="AC12" s="34"/>
      <c r="AD12" s="34"/>
      <c r="AE12" s="34"/>
      <c r="AF12" s="34"/>
      <c r="AG12" s="18">
        <f>COUNTIF(Janvier[[#This Row],[1]:[31]],Paramétrage!G8)*Paramétrage!I8+COUNTIF(Janvier[[#This Row],[1]:[31]],Paramétrage!G9)*Paramétrage!I9+COUNTIF(Janvier[[#This Row],[1]:[31]],Paramétrage!G10)*Paramétrage!I10+COUNTIF(Janvier[[#This Row],[1]:[31]],Paramétrage!G11)*Paramétrage!I11+COUNTIF(Janvier[[#This Row],[1]:[31]],Paramétrage!G12)*Paramétrage!I12+COUNTIF(Janvier[[#This Row],[1]:[31]],Paramétrage!G13)*Paramétrage!I13+COUNTIF(Janvier[[#This Row],[1]:[31]],Paramétrage!G14)*Paramétrage!I14+COUNTIF(Janvier[[#This Row],[1]:[31]],Paramétrage!G15)*Paramétrage!I15+COUNTIF(Janvier[[#This Row],[1]:[31]],Paramétrage!G16)*Paramétrage!I16+COUNTIF(Janvier[[#This Row],[1]:[31]],Paramétrage!G17)*Paramétrage!I17+COUNTIF(Janvier[[#This Row],[1]:[31]],Paramétrage!G18)*Paramétrage!I18+COUNTIF(Janvier[[#This Row],[1]:[31]],Paramétrage!G19*Paramétrage!I19+COUNTIF(Janvier[[#This Row],[1]:[31]],Paramétrage!G20)*Paramétrage!I20+COUNTIF(Janvier[[#This Row],[1]:[31]],Paramétrage!G21)*Paramétrage!I21)</f>
        <v>0</v>
      </c>
    </row>
    <row r="13" spans="1:33" ht="15" customHeight="1" x14ac:dyDescent="0.3">
      <c r="A13" s="36" t="s">
        <v>56</v>
      </c>
      <c r="B13" s="34"/>
      <c r="C13" s="34"/>
      <c r="D13" s="34"/>
      <c r="E13" s="34"/>
      <c r="F13" s="34"/>
      <c r="G13" s="34"/>
      <c r="H13" s="34"/>
      <c r="I13" s="34"/>
      <c r="J13" s="34"/>
      <c r="K13" s="34"/>
      <c r="L13" s="34"/>
      <c r="M13" s="34"/>
      <c r="N13" s="34"/>
      <c r="O13" s="34"/>
      <c r="P13" s="34"/>
      <c r="Q13" s="34"/>
      <c r="R13" s="34"/>
      <c r="S13" s="34"/>
      <c r="T13" s="34"/>
      <c r="U13" s="34"/>
      <c r="V13" s="34"/>
      <c r="W13" s="34"/>
      <c r="X13" s="34"/>
      <c r="Y13" s="34"/>
      <c r="Z13" s="34"/>
      <c r="AA13" s="34"/>
      <c r="AB13" s="34"/>
      <c r="AC13" s="34"/>
      <c r="AD13" s="34"/>
      <c r="AE13" s="34"/>
      <c r="AF13" s="34"/>
      <c r="AG13" s="18">
        <f>COUNTIF(Janvier[[#This Row],[1]:[31]],Paramétrage!G9)*Paramétrage!I9+COUNTIF(Janvier[[#This Row],[1]:[31]],Paramétrage!G10)*Paramétrage!I10+COUNTIF(Janvier[[#This Row],[1]:[31]],Paramétrage!G11)*Paramétrage!I11+COUNTIF(Janvier[[#This Row],[1]:[31]],Paramétrage!G12)*Paramétrage!I12+COUNTIF(Janvier[[#This Row],[1]:[31]],Paramétrage!G13)*Paramétrage!I13+COUNTIF(Janvier[[#This Row],[1]:[31]],Paramétrage!G14)*Paramétrage!I14+COUNTIF(Janvier[[#This Row],[1]:[31]],Paramétrage!G15)*Paramétrage!I15+COUNTIF(Janvier[[#This Row],[1]:[31]],Paramétrage!G16)*Paramétrage!I16+COUNTIF(Janvier[[#This Row],[1]:[31]],Paramétrage!G17)*Paramétrage!I17+COUNTIF(Janvier[[#This Row],[1]:[31]],Paramétrage!G18)*Paramétrage!I18+COUNTIF(Janvier[[#This Row],[1]:[31]],Paramétrage!G19)*Paramétrage!I19+COUNTIF(Janvier[[#This Row],[1]:[31]],Paramétrage!G20*Paramétrage!I20+COUNTIF(Janvier[[#This Row],[1]:[31]],Paramétrage!G21)*Paramétrage!I21+COUNTIF(Janvier[[#This Row],[1]:[31]],Paramétrage!G22)*Paramétrage!I22)</f>
        <v>0</v>
      </c>
    </row>
    <row r="14" spans="1:33" ht="15" customHeight="1" x14ac:dyDescent="0.3">
      <c r="A14" s="36" t="s">
        <v>57</v>
      </c>
      <c r="B14" s="34"/>
      <c r="C14" s="34"/>
      <c r="D14" s="34"/>
      <c r="E14" s="34"/>
      <c r="F14" s="34"/>
      <c r="G14" s="34"/>
      <c r="H14" s="34"/>
      <c r="I14" s="34"/>
      <c r="J14" s="34"/>
      <c r="K14" s="34"/>
      <c r="L14" s="34"/>
      <c r="M14" s="34"/>
      <c r="N14" s="34"/>
      <c r="O14" s="34"/>
      <c r="P14" s="34"/>
      <c r="Q14" s="34"/>
      <c r="R14" s="34"/>
      <c r="S14" s="34"/>
      <c r="T14" s="34"/>
      <c r="U14" s="34"/>
      <c r="V14" s="34"/>
      <c r="W14" s="34"/>
      <c r="X14" s="34"/>
      <c r="Y14" s="34"/>
      <c r="Z14" s="34"/>
      <c r="AA14" s="34"/>
      <c r="AB14" s="34"/>
      <c r="AC14" s="34"/>
      <c r="AD14" s="34"/>
      <c r="AE14" s="34"/>
      <c r="AF14" s="34"/>
      <c r="AG14" s="18">
        <f>COUNTIF(Janvier[[#This Row],[1]:[31]],Paramétrage!G10)*Paramétrage!I10+COUNTIF(Janvier[[#This Row],[1]:[31]],Paramétrage!G11)*Paramétrage!I11+COUNTIF(Janvier[[#This Row],[1]:[31]],Paramétrage!G12)*Paramétrage!I12+COUNTIF(Janvier[[#This Row],[1]:[31]],Paramétrage!G13)*Paramétrage!I13+COUNTIF(Janvier[[#This Row],[1]:[31]],Paramétrage!G14)*Paramétrage!I14+COUNTIF(Janvier[[#This Row],[1]:[31]],Paramétrage!G15)*Paramétrage!I15+COUNTIF(Janvier[[#This Row],[1]:[31]],Paramétrage!G16)*Paramétrage!I16+COUNTIF(Janvier[[#This Row],[1]:[31]],Paramétrage!G17)*Paramétrage!I17+COUNTIF(Janvier[[#This Row],[1]:[31]],Paramétrage!G18)*Paramétrage!I18+COUNTIF(Janvier[[#This Row],[1]:[31]],Paramétrage!G19)*Paramétrage!I19+COUNTIF(Janvier[[#This Row],[1]:[31]],Paramétrage!G20)*Paramétrage!I20+COUNTIF(Janvier[[#This Row],[1]:[31]],Paramétrage!G21*Paramétrage!I21+COUNTIF(Janvier[[#This Row],[1]:[31]],Paramétrage!G22)*Paramétrage!I22+COUNTIF(Janvier[[#This Row],[1]:[31]],Paramétrage!G23)*Paramétrage!I23)</f>
        <v>0</v>
      </c>
    </row>
    <row r="15" spans="1:33" ht="15" customHeight="1" x14ac:dyDescent="0.3">
      <c r="A15" s="36" t="s">
        <v>61</v>
      </c>
      <c r="B15" s="34"/>
      <c r="C15" s="34"/>
      <c r="D15" s="34"/>
      <c r="E15" s="34"/>
      <c r="F15" s="34"/>
      <c r="G15" s="34"/>
      <c r="H15" s="34"/>
      <c r="I15" s="34"/>
      <c r="J15" s="34"/>
      <c r="K15" s="34"/>
      <c r="L15" s="34"/>
      <c r="M15" s="34"/>
      <c r="N15" s="34"/>
      <c r="O15" s="34"/>
      <c r="P15" s="34"/>
      <c r="Q15" s="34"/>
      <c r="R15" s="34"/>
      <c r="S15" s="34"/>
      <c r="T15" s="34"/>
      <c r="U15" s="34"/>
      <c r="V15" s="34"/>
      <c r="W15" s="34"/>
      <c r="X15" s="34"/>
      <c r="Y15" s="34"/>
      <c r="Z15" s="34"/>
      <c r="AA15" s="34"/>
      <c r="AB15" s="34"/>
      <c r="AC15" s="34"/>
      <c r="AD15" s="34"/>
      <c r="AE15" s="34"/>
      <c r="AF15" s="34"/>
      <c r="AG15" s="18">
        <f>COUNTIF(Janvier[[#This Row],[1]:[31]],Paramétrage!G11)*Paramétrage!I11+COUNTIF(Janvier[[#This Row],[1]:[31]],Paramétrage!G12)*Paramétrage!I12+COUNTIF(Janvier[[#This Row],[1]:[31]],Paramétrage!G13)*Paramétrage!I13+COUNTIF(Janvier[[#This Row],[1]:[31]],Paramétrage!G14)*Paramétrage!I14+COUNTIF(Janvier[[#This Row],[1]:[31]],Paramétrage!G15)*Paramétrage!I15+COUNTIF(Janvier[[#This Row],[1]:[31]],Paramétrage!G16)*Paramétrage!I16+COUNTIF(Janvier[[#This Row],[1]:[31]],Paramétrage!G17)*Paramétrage!I17+COUNTIF(Janvier[[#This Row],[1]:[31]],Paramétrage!G18)*Paramétrage!I18+COUNTIF(Janvier[[#This Row],[1]:[31]],Paramétrage!G19)*Paramétrage!I19+COUNTIF(Janvier[[#This Row],[1]:[31]],Paramétrage!G20)*Paramétrage!I20+COUNTIF(Janvier[[#This Row],[1]:[31]],Paramétrage!G21)*Paramétrage!I21+COUNTIF(Janvier[[#This Row],[1]:[31]],Paramétrage!G22*Paramétrage!I22+COUNTIF(Janvier[[#This Row],[1]:[31]],Paramétrage!G23)*Paramétrage!I23+COUNTIF(Janvier[[#This Row],[1]:[31]],Paramétrage!G24)*Paramétrage!I24)</f>
        <v>0</v>
      </c>
    </row>
    <row r="16" spans="1:33" ht="15" customHeight="1" x14ac:dyDescent="0.3">
      <c r="A16" s="36" t="s">
        <v>62</v>
      </c>
      <c r="B16" s="34"/>
      <c r="C16" s="34"/>
      <c r="D16" s="34"/>
      <c r="E16" s="34"/>
      <c r="F16" s="34"/>
      <c r="G16" s="34"/>
      <c r="H16" s="34"/>
      <c r="I16" s="34"/>
      <c r="J16" s="34"/>
      <c r="K16" s="34"/>
      <c r="L16" s="34"/>
      <c r="M16" s="34"/>
      <c r="N16" s="34"/>
      <c r="O16" s="34"/>
      <c r="P16" s="34"/>
      <c r="Q16" s="34"/>
      <c r="R16" s="34"/>
      <c r="S16" s="34"/>
      <c r="T16" s="34"/>
      <c r="U16" s="34"/>
      <c r="V16" s="34"/>
      <c r="W16" s="34"/>
      <c r="X16" s="34"/>
      <c r="Y16" s="34"/>
      <c r="Z16" s="34"/>
      <c r="AA16" s="34"/>
      <c r="AB16" s="34"/>
      <c r="AC16" s="34"/>
      <c r="AD16" s="34"/>
      <c r="AE16" s="34"/>
      <c r="AF16" s="34"/>
      <c r="AG16" s="18">
        <f>COUNTIF(Janvier[[#This Row],[1]:[31]],Paramétrage!G12)*Paramétrage!I12+COUNTIF(Janvier[[#This Row],[1]:[31]],Paramétrage!G13)*Paramétrage!I13+COUNTIF(Janvier[[#This Row],[1]:[31]],Paramétrage!G14)*Paramétrage!I14+COUNTIF(Janvier[[#This Row],[1]:[31]],Paramétrage!G15)*Paramétrage!I15+COUNTIF(Janvier[[#This Row],[1]:[31]],Paramétrage!G16)*Paramétrage!I16+COUNTIF(Janvier[[#This Row],[1]:[31]],Paramétrage!G17)*Paramétrage!I17+COUNTIF(Janvier[[#This Row],[1]:[31]],Paramétrage!G18)*Paramétrage!I18+COUNTIF(Janvier[[#This Row],[1]:[31]],Paramétrage!G19)*Paramétrage!I19+COUNTIF(Janvier[[#This Row],[1]:[31]],Paramétrage!G20)*Paramétrage!I20+COUNTIF(Janvier[[#This Row],[1]:[31]],Paramétrage!G21)*Paramétrage!I21+COUNTIF(Janvier[[#This Row],[1]:[31]],Paramétrage!G22)*Paramétrage!I22+COUNTIF(Janvier[[#This Row],[1]:[31]],Paramétrage!G23*Paramétrage!I23+COUNTIF(Janvier[[#This Row],[1]:[31]],Paramétrage!G24)*Paramétrage!I24+COUNTIF(Janvier[[#This Row],[1]:[31]],Paramétrage!G25)*Paramétrage!I25)</f>
        <v>0</v>
      </c>
    </row>
    <row r="17" spans="1:33" ht="15" customHeight="1" x14ac:dyDescent="0.3">
      <c r="A17" s="36" t="s">
        <v>63</v>
      </c>
      <c r="B17" s="34"/>
      <c r="C17" s="34"/>
      <c r="D17" s="34"/>
      <c r="E17" s="34"/>
      <c r="F17" s="34"/>
      <c r="G17" s="34"/>
      <c r="H17" s="34"/>
      <c r="I17" s="34"/>
      <c r="J17" s="34"/>
      <c r="K17" s="34"/>
      <c r="L17" s="34"/>
      <c r="M17" s="34"/>
      <c r="N17" s="34"/>
      <c r="O17" s="34"/>
      <c r="P17" s="34"/>
      <c r="Q17" s="34"/>
      <c r="R17" s="34"/>
      <c r="S17" s="34"/>
      <c r="T17" s="34"/>
      <c r="U17" s="34"/>
      <c r="V17" s="34"/>
      <c r="W17" s="34"/>
      <c r="X17" s="34"/>
      <c r="Y17" s="34"/>
      <c r="Z17" s="34"/>
      <c r="AA17" s="34"/>
      <c r="AB17" s="34"/>
      <c r="AC17" s="34"/>
      <c r="AD17" s="34"/>
      <c r="AE17" s="34"/>
      <c r="AF17" s="34"/>
      <c r="AG17" s="18">
        <f>COUNTIF(Janvier[[#This Row],[1]:[31]],Paramétrage!G13)*Paramétrage!I13+COUNTIF(Janvier[[#This Row],[1]:[31]],Paramétrage!G14)*Paramétrage!I14+COUNTIF(Janvier[[#This Row],[1]:[31]],Paramétrage!G15)*Paramétrage!I15+COUNTIF(Janvier[[#This Row],[1]:[31]],Paramétrage!G16)*Paramétrage!I16+COUNTIF(Janvier[[#This Row],[1]:[31]],Paramétrage!G17)*Paramétrage!I17+COUNTIF(Janvier[[#This Row],[1]:[31]],Paramétrage!G18)*Paramétrage!I18+COUNTIF(Janvier[[#This Row],[1]:[31]],Paramétrage!G19)*Paramétrage!I19+COUNTIF(Janvier[[#This Row],[1]:[31]],Paramétrage!G20)*Paramétrage!I20+COUNTIF(Janvier[[#This Row],[1]:[31]],Paramétrage!G21)*Paramétrage!I21+COUNTIF(Janvier[[#This Row],[1]:[31]],Paramétrage!G22)*Paramétrage!I22+COUNTIF(Janvier[[#This Row],[1]:[31]],Paramétrage!G23)*Paramétrage!I23+COUNTIF(Janvier[[#This Row],[1]:[31]],Paramétrage!G24*Paramétrage!I24+COUNTIF(Janvier[[#This Row],[1]:[31]],Paramétrage!G25)*Paramétrage!I25+COUNTIF(Janvier[[#This Row],[1]:[31]],Paramétrage!G26)*Paramétrage!I26)</f>
        <v>0</v>
      </c>
    </row>
    <row r="18" spans="1:33" ht="15" customHeight="1" x14ac:dyDescent="0.3">
      <c r="A18" s="36" t="s">
        <v>65</v>
      </c>
      <c r="B18" s="34"/>
      <c r="C18" s="34"/>
      <c r="D18" s="34"/>
      <c r="E18" s="34"/>
      <c r="F18" s="34"/>
      <c r="G18" s="34"/>
      <c r="H18" s="34"/>
      <c r="I18" s="34"/>
      <c r="J18" s="34"/>
      <c r="K18" s="34"/>
      <c r="L18" s="34"/>
      <c r="M18" s="34"/>
      <c r="N18" s="34"/>
      <c r="O18" s="34"/>
      <c r="P18" s="34"/>
      <c r="Q18" s="34"/>
      <c r="R18" s="34"/>
      <c r="S18" s="34"/>
      <c r="T18" s="34"/>
      <c r="U18" s="34"/>
      <c r="V18" s="34"/>
      <c r="W18" s="34"/>
      <c r="X18" s="34"/>
      <c r="Y18" s="34"/>
      <c r="Z18" s="34"/>
      <c r="AA18" s="34"/>
      <c r="AB18" s="34"/>
      <c r="AC18" s="34"/>
      <c r="AD18" s="34"/>
      <c r="AE18" s="34"/>
      <c r="AF18" s="34"/>
      <c r="AG18" s="18">
        <f>COUNTIF(Janvier[[#This Row],[1]:[31]],Paramétrage!G14)*Paramétrage!I14+COUNTIF(Janvier[[#This Row],[1]:[31]],Paramétrage!G15)*Paramétrage!I15+COUNTIF(Janvier[[#This Row],[1]:[31]],Paramétrage!G16)*Paramétrage!I16+COUNTIF(Janvier[[#This Row],[1]:[31]],Paramétrage!G17)*Paramétrage!I17+COUNTIF(Janvier[[#This Row],[1]:[31]],Paramétrage!G18)*Paramétrage!I18+COUNTIF(Janvier[[#This Row],[1]:[31]],Paramétrage!G19)*Paramétrage!I19+COUNTIF(Janvier[[#This Row],[1]:[31]],Paramétrage!G20)*Paramétrage!I20+COUNTIF(Janvier[[#This Row],[1]:[31]],Paramétrage!G21)*Paramétrage!I21+COUNTIF(Janvier[[#This Row],[1]:[31]],Paramétrage!G22)*Paramétrage!I22+COUNTIF(Janvier[[#This Row],[1]:[31]],Paramétrage!G23)*Paramétrage!I23+COUNTIF(Janvier[[#This Row],[1]:[31]],Paramétrage!G24)*Paramétrage!I24+COUNTIF(Janvier[[#This Row],[1]:[31]],Paramétrage!G25*Paramétrage!I25+COUNTIF(Janvier[[#This Row],[1]:[31]],Paramétrage!G26)*Paramétrage!I26+COUNTIF(Janvier[[#This Row],[1]:[31]],Paramétrage!G27)*Paramétrage!I27)</f>
        <v>0</v>
      </c>
    </row>
    <row r="19" spans="1:33" ht="15" customHeight="1" x14ac:dyDescent="0.3">
      <c r="A19" s="36" t="s">
        <v>66</v>
      </c>
      <c r="B19" s="34"/>
      <c r="C19" s="34"/>
      <c r="D19" s="34"/>
      <c r="E19" s="34"/>
      <c r="F19" s="34"/>
      <c r="G19" s="34"/>
      <c r="H19" s="34"/>
      <c r="I19" s="34"/>
      <c r="J19" s="34"/>
      <c r="K19" s="34"/>
      <c r="L19" s="34"/>
      <c r="M19" s="34"/>
      <c r="N19" s="34"/>
      <c r="O19" s="34"/>
      <c r="P19" s="34"/>
      <c r="Q19" s="34"/>
      <c r="R19" s="34"/>
      <c r="S19" s="34"/>
      <c r="T19" s="34"/>
      <c r="U19" s="34"/>
      <c r="V19" s="34"/>
      <c r="W19" s="34"/>
      <c r="X19" s="34"/>
      <c r="Y19" s="34"/>
      <c r="Z19" s="34"/>
      <c r="AA19" s="34"/>
      <c r="AB19" s="34"/>
      <c r="AC19" s="34"/>
      <c r="AD19" s="34"/>
      <c r="AE19" s="34"/>
      <c r="AF19" s="34"/>
      <c r="AG19" s="18">
        <f>COUNTIF(Janvier[[#This Row],[1]:[31]],Paramétrage!G15)*Paramétrage!I15+COUNTIF(Janvier[[#This Row],[1]:[31]],Paramétrage!G16)*Paramétrage!I16+COUNTIF(Janvier[[#This Row],[1]:[31]],Paramétrage!G17)*Paramétrage!I17+COUNTIF(Janvier[[#This Row],[1]:[31]],Paramétrage!G18)*Paramétrage!I18+COUNTIF(Janvier[[#This Row],[1]:[31]],Paramétrage!G19)*Paramétrage!I19+COUNTIF(Janvier[[#This Row],[1]:[31]],Paramétrage!G20)*Paramétrage!I20+COUNTIF(Janvier[[#This Row],[1]:[31]],Paramétrage!G21)*Paramétrage!I21+COUNTIF(Janvier[[#This Row],[1]:[31]],Paramétrage!G22)*Paramétrage!I22+COUNTIF(Janvier[[#This Row],[1]:[31]],Paramétrage!G23)*Paramétrage!I23+COUNTIF(Janvier[[#This Row],[1]:[31]],Paramétrage!G24)*Paramétrage!I24+COUNTIF(Janvier[[#This Row],[1]:[31]],Paramétrage!G25)*Paramétrage!I25+COUNTIF(Janvier[[#This Row],[1]:[31]],Paramétrage!G26*Paramétrage!I26+COUNTIF(Janvier[[#This Row],[1]:[31]],Paramétrage!G27)*Paramétrage!I27+COUNTIF(Janvier[[#This Row],[1]:[31]],Paramétrage!G28)*Paramétrage!I28)</f>
        <v>0</v>
      </c>
    </row>
    <row r="20" spans="1:33" ht="15" customHeight="1" x14ac:dyDescent="0.3">
      <c r="A20" s="36" t="s">
        <v>67</v>
      </c>
      <c r="B20" s="34"/>
      <c r="C20" s="34"/>
      <c r="D20" s="34"/>
      <c r="E20" s="34"/>
      <c r="F20" s="34"/>
      <c r="G20" s="34"/>
      <c r="H20" s="34"/>
      <c r="I20" s="34"/>
      <c r="J20" s="34"/>
      <c r="K20" s="34"/>
      <c r="L20" s="34"/>
      <c r="M20" s="34"/>
      <c r="N20" s="34"/>
      <c r="O20" s="34"/>
      <c r="P20" s="34"/>
      <c r="Q20" s="34"/>
      <c r="R20" s="34"/>
      <c r="S20" s="34"/>
      <c r="T20" s="34"/>
      <c r="U20" s="34"/>
      <c r="V20" s="34"/>
      <c r="W20" s="34"/>
      <c r="X20" s="34"/>
      <c r="Y20" s="34"/>
      <c r="Z20" s="34"/>
      <c r="AA20" s="34"/>
      <c r="AB20" s="34"/>
      <c r="AC20" s="34"/>
      <c r="AD20" s="34"/>
      <c r="AE20" s="34"/>
      <c r="AF20" s="34"/>
      <c r="AG20" s="18">
        <f>COUNTIF(Janvier[[#This Row],[1]:[31]],Paramétrage!G16)*Paramétrage!I16+COUNTIF(Janvier[[#This Row],[1]:[31]],Paramétrage!G17)*Paramétrage!I17+COUNTIF(Janvier[[#This Row],[1]:[31]],Paramétrage!G18)*Paramétrage!I18+COUNTIF(Janvier[[#This Row],[1]:[31]],Paramétrage!G19)*Paramétrage!I19+COUNTIF(Janvier[[#This Row],[1]:[31]],Paramétrage!G20)*Paramétrage!I20+COUNTIF(Janvier[[#This Row],[1]:[31]],Paramétrage!G21)*Paramétrage!I21+COUNTIF(Janvier[[#This Row],[1]:[31]],Paramétrage!G22)*Paramétrage!I22+COUNTIF(Janvier[[#This Row],[1]:[31]],Paramétrage!G23)*Paramétrage!I23+COUNTIF(Janvier[[#This Row],[1]:[31]],Paramétrage!G24)*Paramétrage!I24+COUNTIF(Janvier[[#This Row],[1]:[31]],Paramétrage!G25)*Paramétrage!I25+COUNTIF(Janvier[[#This Row],[1]:[31]],Paramétrage!G26)*Paramétrage!I26+COUNTIF(Janvier[[#This Row],[1]:[31]],Paramétrage!G27*Paramétrage!I27+COUNTIF(Janvier[[#This Row],[1]:[31]],Paramétrage!G28)*Paramétrage!I28+COUNTIF(Janvier[[#This Row],[1]:[31]],Paramétrage!G29)*Paramétrage!I29)</f>
        <v>0</v>
      </c>
    </row>
    <row r="21" spans="1:33" ht="15" customHeight="1" x14ac:dyDescent="0.3">
      <c r="A21" s="36" t="s">
        <v>68</v>
      </c>
      <c r="B21" s="34"/>
      <c r="C21" s="34"/>
      <c r="D21" s="34"/>
      <c r="E21" s="34"/>
      <c r="F21" s="34"/>
      <c r="G21" s="34"/>
      <c r="H21" s="34"/>
      <c r="I21" s="34"/>
      <c r="J21" s="34"/>
      <c r="K21" s="34"/>
      <c r="L21" s="34"/>
      <c r="M21" s="34"/>
      <c r="N21" s="34"/>
      <c r="O21" s="34"/>
      <c r="P21" s="34"/>
      <c r="Q21" s="34"/>
      <c r="R21" s="34"/>
      <c r="S21" s="34"/>
      <c r="T21" s="34"/>
      <c r="U21" s="34"/>
      <c r="V21" s="34"/>
      <c r="W21" s="34"/>
      <c r="X21" s="34"/>
      <c r="Y21" s="34"/>
      <c r="Z21" s="34"/>
      <c r="AA21" s="34"/>
      <c r="AB21" s="34"/>
      <c r="AC21" s="34"/>
      <c r="AD21" s="34"/>
      <c r="AE21" s="34"/>
      <c r="AF21" s="34"/>
      <c r="AG21" s="18">
        <f>COUNTIF(Janvier[[#This Row],[1]:[31]],Paramétrage!G17)*Paramétrage!I17+COUNTIF(Janvier[[#This Row],[1]:[31]],Paramétrage!G18)*Paramétrage!I18+COUNTIF(Janvier[[#This Row],[1]:[31]],Paramétrage!G19)*Paramétrage!I19+COUNTIF(Janvier[[#This Row],[1]:[31]],Paramétrage!G20)*Paramétrage!I20+COUNTIF(Janvier[[#This Row],[1]:[31]],Paramétrage!G21)*Paramétrage!I21+COUNTIF(Janvier[[#This Row],[1]:[31]],Paramétrage!G22)*Paramétrage!I22+COUNTIF(Janvier[[#This Row],[1]:[31]],Paramétrage!G23)*Paramétrage!I23+COUNTIF(Janvier[[#This Row],[1]:[31]],Paramétrage!G24)*Paramétrage!I24+COUNTIF(Janvier[[#This Row],[1]:[31]],Paramétrage!G25)*Paramétrage!I25+COUNTIF(Janvier[[#This Row],[1]:[31]],Paramétrage!G26)*Paramétrage!I26+COUNTIF(Janvier[[#This Row],[1]:[31]],Paramétrage!G27)*Paramétrage!I27+COUNTIF(Janvier[[#This Row],[1]:[31]],Paramétrage!G28*Paramétrage!I28+COUNTIF(Janvier[[#This Row],[1]:[31]],Paramétrage!G29)*Paramétrage!I29+COUNTIF(Janvier[[#This Row],[1]:[31]],Paramétrage!G30)*Paramétrage!I30)</f>
        <v>0</v>
      </c>
    </row>
    <row r="22" spans="1:33" ht="15" customHeight="1" x14ac:dyDescent="0.3">
      <c r="A22" s="36" t="s">
        <v>91</v>
      </c>
      <c r="B22" s="37"/>
      <c r="C22" s="37"/>
      <c r="D22" s="37"/>
      <c r="E22" s="37"/>
      <c r="F22" s="37"/>
      <c r="G22" s="37"/>
      <c r="H22" s="37"/>
      <c r="I22" s="37"/>
      <c r="J22" s="37"/>
      <c r="K22" s="37"/>
      <c r="L22" s="37"/>
      <c r="M22" s="37"/>
      <c r="N22" s="37"/>
      <c r="O22" s="37"/>
      <c r="P22" s="37"/>
      <c r="Q22" s="37"/>
      <c r="R22" s="37"/>
      <c r="S22" s="37"/>
      <c r="T22" s="37"/>
      <c r="U22" s="37"/>
      <c r="V22" s="37"/>
      <c r="W22" s="37"/>
      <c r="X22" s="37"/>
      <c r="Y22" s="37"/>
      <c r="Z22" s="37"/>
      <c r="AA22" s="37"/>
      <c r="AB22" s="37"/>
      <c r="AC22" s="37"/>
      <c r="AD22" s="37"/>
      <c r="AE22" s="37"/>
      <c r="AF22" s="37"/>
      <c r="AG22" s="18">
        <f>COUNTIF(Janvier[[#This Row],[1]:[31]],Paramétrage!G18)*Paramétrage!I18+COUNTIF(Janvier[[#This Row],[1]:[31]],Paramétrage!G19)*Paramétrage!I19+COUNTIF(Janvier[[#This Row],[1]:[31]],Paramétrage!G20)*Paramétrage!I20+COUNTIF(Janvier[[#This Row],[1]:[31]],Paramétrage!G21)*Paramétrage!I21+COUNTIF(Janvier[[#This Row],[1]:[31]],Paramétrage!G22)*Paramétrage!I22+COUNTIF(Janvier[[#This Row],[1]:[31]],Paramétrage!G23)*Paramétrage!I23+COUNTIF(Janvier[[#This Row],[1]:[31]],Paramétrage!G24)*Paramétrage!I24+COUNTIF(Janvier[[#This Row],[1]:[31]],Paramétrage!G25)*Paramétrage!I25+COUNTIF(Janvier[[#This Row],[1]:[31]],Paramétrage!G26)*Paramétrage!I26+COUNTIF(Janvier[[#This Row],[1]:[31]],Paramétrage!G27)*Paramétrage!I27+COUNTIF(Janvier[[#This Row],[1]:[31]],Paramétrage!G28)*Paramétrage!I28+COUNTIF(Janvier[[#This Row],[1]:[31]],Paramétrage!G29*Paramétrage!I29+COUNTIF(Janvier[[#This Row],[1]:[31]],Paramétrage!G30)*Paramétrage!I30+COUNTIF(Janvier[[#This Row],[1]:[31]],Paramétrage!G31)*Paramétrage!I31)</f>
        <v>0</v>
      </c>
    </row>
    <row r="23" spans="1:33" ht="15" customHeight="1" x14ac:dyDescent="0.3">
      <c r="A23" s="36" t="s">
        <v>92</v>
      </c>
      <c r="B23" s="37"/>
      <c r="C23" s="37"/>
      <c r="D23" s="37"/>
      <c r="E23" s="37"/>
      <c r="F23" s="37"/>
      <c r="G23" s="37"/>
      <c r="H23" s="37"/>
      <c r="I23" s="37"/>
      <c r="J23" s="37"/>
      <c r="K23" s="37"/>
      <c r="L23" s="37"/>
      <c r="M23" s="37"/>
      <c r="N23" s="37"/>
      <c r="O23" s="37"/>
      <c r="P23" s="37"/>
      <c r="Q23" s="37"/>
      <c r="R23" s="37"/>
      <c r="S23" s="37"/>
      <c r="T23" s="37"/>
      <c r="U23" s="37"/>
      <c r="V23" s="37"/>
      <c r="W23" s="37"/>
      <c r="X23" s="37"/>
      <c r="Y23" s="37"/>
      <c r="Z23" s="37"/>
      <c r="AA23" s="37"/>
      <c r="AB23" s="37"/>
      <c r="AC23" s="37"/>
      <c r="AD23" s="37"/>
      <c r="AE23" s="37"/>
      <c r="AF23" s="37"/>
      <c r="AG23" s="18">
        <f>COUNTIF(Janvier[[#This Row],[1]:[31]],Paramétrage!G19)*Paramétrage!I19+COUNTIF(Janvier[[#This Row],[1]:[31]],Paramétrage!G20)*Paramétrage!I20+COUNTIF(Janvier[[#This Row],[1]:[31]],Paramétrage!G21)*Paramétrage!I21+COUNTIF(Janvier[[#This Row],[1]:[31]],Paramétrage!G22)*Paramétrage!I22+COUNTIF(Janvier[[#This Row],[1]:[31]],Paramétrage!G23)*Paramétrage!I23+COUNTIF(Janvier[[#This Row],[1]:[31]],Paramétrage!G24)*Paramétrage!I24+COUNTIF(Janvier[[#This Row],[1]:[31]],Paramétrage!G25)*Paramétrage!I25+COUNTIF(Janvier[[#This Row],[1]:[31]],Paramétrage!G26)*Paramétrage!I26+COUNTIF(Janvier[[#This Row],[1]:[31]],Paramétrage!G27)*Paramétrage!I27+COUNTIF(Janvier[[#This Row],[1]:[31]],Paramétrage!G28)*Paramétrage!I28+COUNTIF(Janvier[[#This Row],[1]:[31]],Paramétrage!G29)*Paramétrage!I29+COUNTIF(Janvier[[#This Row],[1]:[31]],Paramétrage!G30*Paramétrage!I30+COUNTIF(Janvier[[#This Row],[1]:[31]],Paramétrage!G31)*Paramétrage!I31+COUNTIF(Janvier[[#This Row],[1]:[31]],Paramétrage!G32)*Paramétrage!I32)</f>
        <v>0</v>
      </c>
    </row>
    <row r="24" spans="1:33" ht="15" customHeight="1" x14ac:dyDescent="0.3">
      <c r="A24" s="36" t="s">
        <v>93</v>
      </c>
      <c r="B24" s="37"/>
      <c r="C24" s="37"/>
      <c r="D24" s="37"/>
      <c r="E24" s="37"/>
      <c r="F24" s="37"/>
      <c r="G24" s="37"/>
      <c r="H24" s="37"/>
      <c r="I24" s="37"/>
      <c r="J24" s="37"/>
      <c r="K24" s="37"/>
      <c r="L24" s="37"/>
      <c r="M24" s="37"/>
      <c r="N24" s="37"/>
      <c r="O24" s="37"/>
      <c r="P24" s="37"/>
      <c r="Q24" s="37"/>
      <c r="R24" s="37"/>
      <c r="S24" s="37"/>
      <c r="T24" s="37"/>
      <c r="U24" s="37"/>
      <c r="V24" s="37"/>
      <c r="W24" s="37"/>
      <c r="X24" s="37"/>
      <c r="Y24" s="37"/>
      <c r="Z24" s="37"/>
      <c r="AA24" s="37"/>
      <c r="AB24" s="37"/>
      <c r="AC24" s="37"/>
      <c r="AD24" s="37"/>
      <c r="AE24" s="37"/>
      <c r="AF24" s="37"/>
      <c r="AG24" s="18">
        <f>COUNTIF(Janvier[[#This Row],[1]:[31]],Paramétrage!G20)*Paramétrage!I20+COUNTIF(Janvier[[#This Row],[1]:[31]],Paramétrage!G21)*Paramétrage!I21+COUNTIF(Janvier[[#This Row],[1]:[31]],Paramétrage!G22)*Paramétrage!I22+COUNTIF(Janvier[[#This Row],[1]:[31]],Paramétrage!G23)*Paramétrage!I23+COUNTIF(Janvier[[#This Row],[1]:[31]],Paramétrage!G24)*Paramétrage!I24+COUNTIF(Janvier[[#This Row],[1]:[31]],Paramétrage!G25)*Paramétrage!I25+COUNTIF(Janvier[[#This Row],[1]:[31]],Paramétrage!G26)*Paramétrage!I26+COUNTIF(Janvier[[#This Row],[1]:[31]],Paramétrage!G27)*Paramétrage!I27+COUNTIF(Janvier[[#This Row],[1]:[31]],Paramétrage!G28)*Paramétrage!I28+COUNTIF(Janvier[[#This Row],[1]:[31]],Paramétrage!G29)*Paramétrage!I29+COUNTIF(Janvier[[#This Row],[1]:[31]],Paramétrage!G30)*Paramétrage!I30+COUNTIF(Janvier[[#This Row],[1]:[31]],Paramétrage!G31*Paramétrage!I31+COUNTIF(Janvier[[#This Row],[1]:[31]],Paramétrage!G32)*Paramétrage!I32+COUNTIF(Janvier[[#This Row],[1]:[31]],Paramétrage!G33)*Paramétrage!I33)</f>
        <v>0</v>
      </c>
    </row>
    <row r="25" spans="1:33" ht="15" customHeight="1" x14ac:dyDescent="0.3">
      <c r="A25" s="36" t="s">
        <v>94</v>
      </c>
      <c r="B25" s="37"/>
      <c r="C25" s="37"/>
      <c r="D25" s="37"/>
      <c r="E25" s="37"/>
      <c r="F25" s="37"/>
      <c r="G25" s="37"/>
      <c r="H25" s="37"/>
      <c r="I25" s="37"/>
      <c r="J25" s="37"/>
      <c r="K25" s="37"/>
      <c r="L25" s="37"/>
      <c r="M25" s="37"/>
      <c r="N25" s="37"/>
      <c r="O25" s="37"/>
      <c r="P25" s="37"/>
      <c r="Q25" s="37"/>
      <c r="R25" s="37"/>
      <c r="S25" s="37"/>
      <c r="T25" s="37"/>
      <c r="U25" s="37"/>
      <c r="V25" s="37"/>
      <c r="W25" s="37"/>
      <c r="X25" s="37"/>
      <c r="Y25" s="37"/>
      <c r="Z25" s="37"/>
      <c r="AA25" s="37"/>
      <c r="AB25" s="37"/>
      <c r="AC25" s="37"/>
      <c r="AD25" s="37"/>
      <c r="AE25" s="37"/>
      <c r="AF25" s="37"/>
      <c r="AG25" s="18">
        <f>COUNTIF(Janvier[[#This Row],[1]:[31]],Paramétrage!G21)*Paramétrage!I21+COUNTIF(Janvier[[#This Row],[1]:[31]],Paramétrage!G22)*Paramétrage!I22+COUNTIF(Janvier[[#This Row],[1]:[31]],Paramétrage!G23)*Paramétrage!I23+COUNTIF(Janvier[[#This Row],[1]:[31]],Paramétrage!G24)*Paramétrage!I24+COUNTIF(Janvier[[#This Row],[1]:[31]],Paramétrage!G25)*Paramétrage!I25+COUNTIF(Janvier[[#This Row],[1]:[31]],Paramétrage!G26)*Paramétrage!I26+COUNTIF(Janvier[[#This Row],[1]:[31]],Paramétrage!G27)*Paramétrage!I27+COUNTIF(Janvier[[#This Row],[1]:[31]],Paramétrage!G28)*Paramétrage!I28+COUNTIF(Janvier[[#This Row],[1]:[31]],Paramétrage!G29)*Paramétrage!I29+COUNTIF(Janvier[[#This Row],[1]:[31]],Paramétrage!G30)*Paramétrage!I30+COUNTIF(Janvier[[#This Row],[1]:[31]],Paramétrage!G31)*Paramétrage!I31+COUNTIF(Janvier[[#This Row],[1]:[31]],Paramétrage!G32*Paramétrage!I32+COUNTIF(Janvier[[#This Row],[1]:[31]],Paramétrage!G33)*Paramétrage!I33+COUNTIF(Janvier[[#This Row],[1]:[31]],Paramétrage!G34)*Paramétrage!I34)</f>
        <v>0</v>
      </c>
    </row>
    <row r="26" spans="1:33" ht="15" customHeight="1" x14ac:dyDescent="0.3">
      <c r="A26" s="36" t="s">
        <v>95</v>
      </c>
      <c r="B26" s="37"/>
      <c r="C26" s="37"/>
      <c r="D26" s="37"/>
      <c r="E26" s="37"/>
      <c r="F26" s="37"/>
      <c r="G26" s="37"/>
      <c r="H26" s="37"/>
      <c r="I26" s="37"/>
      <c r="J26" s="37"/>
      <c r="K26" s="37"/>
      <c r="L26" s="37"/>
      <c r="M26" s="37"/>
      <c r="N26" s="37"/>
      <c r="O26" s="37"/>
      <c r="P26" s="37"/>
      <c r="Q26" s="37"/>
      <c r="R26" s="37"/>
      <c r="S26" s="37"/>
      <c r="T26" s="37"/>
      <c r="U26" s="37"/>
      <c r="V26" s="37"/>
      <c r="W26" s="37"/>
      <c r="X26" s="37"/>
      <c r="Y26" s="37"/>
      <c r="Z26" s="37"/>
      <c r="AA26" s="37"/>
      <c r="AB26" s="37"/>
      <c r="AC26" s="37"/>
      <c r="AD26" s="37"/>
      <c r="AE26" s="37"/>
      <c r="AF26" s="37"/>
      <c r="AG26" s="18">
        <f>COUNTIF(Janvier[[#This Row],[1]:[31]],Paramétrage!G22)*Paramétrage!I22+COUNTIF(Janvier[[#This Row],[1]:[31]],Paramétrage!G23)*Paramétrage!I23+COUNTIF(Janvier[[#This Row],[1]:[31]],Paramétrage!G24)*Paramétrage!I24+COUNTIF(Janvier[[#This Row],[1]:[31]],Paramétrage!G25)*Paramétrage!I25+COUNTIF(Janvier[[#This Row],[1]:[31]],Paramétrage!G26)*Paramétrage!I26+COUNTIF(Janvier[[#This Row],[1]:[31]],Paramétrage!G27)*Paramétrage!I27+COUNTIF(Janvier[[#This Row],[1]:[31]],Paramétrage!G28)*Paramétrage!I28+COUNTIF(Janvier[[#This Row],[1]:[31]],Paramétrage!G29)*Paramétrage!I29+COUNTIF(Janvier[[#This Row],[1]:[31]],Paramétrage!G30)*Paramétrage!I30+COUNTIF(Janvier[[#This Row],[1]:[31]],Paramétrage!G31)*Paramétrage!I31+COUNTIF(Janvier[[#This Row],[1]:[31]],Paramétrage!G32)*Paramétrage!I32+COUNTIF(Janvier[[#This Row],[1]:[31]],Paramétrage!G33*Paramétrage!I33+COUNTIF(Janvier[[#This Row],[1]:[31]],Paramétrage!G34)*Paramétrage!I34+COUNTIF(Janvier[[#This Row],[1]:[31]],Paramétrage!G35)*Paramétrage!I35)</f>
        <v>0</v>
      </c>
    </row>
    <row r="27" spans="1:33" ht="24" x14ac:dyDescent="0.3">
      <c r="A27" s="38" t="s">
        <v>106</v>
      </c>
      <c r="B27" s="39">
        <f>COUNTA(Janvier[1])-COUNTIF(Janvier[1],CléReposhebdomadaire)-COUNTIF(Janvier[1],CléCongé)-COUNTIF(Janvier[1],CléMaladie)-COUNTIF(Janvier[1],CléFormation)-COUNTIF(Janvier[1],CléAbsencenonjustifiée)</f>
        <v>0</v>
      </c>
      <c r="C27" s="39">
        <f>COUNTA(Janvier[2])-COUNTIF(Janvier[2],CléReposhebdomadaire)-COUNTIF(Janvier[2],CléCongé)-COUNTIF(Janvier[2],CléMaladie)-COUNTIF(Janvier[2],CléFormation)-COUNTIF(Janvier[2],CléAbsencenonjustifiée)</f>
        <v>0</v>
      </c>
      <c r="D27" s="39">
        <f>COUNTA(Janvier[3])-COUNTIF(Janvier[3],CléReposhebdomadaire)-COUNTIF(Janvier[3],CléCongé)-COUNTIF(Janvier[3],CléMaladie)-COUNTIF(Janvier[3],CléFormation)-COUNTIF(Janvier[3],CléAbsencenonjustifiée)</f>
        <v>0</v>
      </c>
      <c r="E27" s="39">
        <f>COUNTA(Janvier[4])-COUNTIF(Janvier[4],CléReposhebdomadaire)-COUNTIF(Janvier[4],CléCongé)-COUNTIF(Janvier[4],CléMaladie)-COUNTIF(Janvier[4],CléFormation)-COUNTIF(Janvier[4],CléAbsencenonjustifiée)</f>
        <v>0</v>
      </c>
      <c r="F27" s="39">
        <f>COUNTA(Janvier[5])-COUNTIF(Janvier[5],CléReposhebdomadaire)-COUNTIF(Janvier[5],CléCongé)-COUNTIF(Janvier[5],CléMaladie)-COUNTIF(Janvier[5],CléFormation)-COUNTIF(Janvier[5],CléAbsencenonjustifiée)</f>
        <v>0</v>
      </c>
      <c r="G27" s="39">
        <f>COUNTA(Janvier[6])-COUNTIF(Janvier[6],CléReposhebdomadaire)-COUNTIF(Janvier[6],CléCongé)-COUNTIF(Janvier[6],CléMaladie)-COUNTIF(Janvier[6],CléFormation)-COUNTIF(Janvier[6],CléAbsencenonjustifiée)</f>
        <v>0</v>
      </c>
      <c r="H27" s="39">
        <f>COUNTA(Janvier[7])-COUNTIF(Janvier[7],CléReposhebdomadaire)-COUNTIF(Janvier[7],CléCongé)-COUNTIF(Janvier[7],CléMaladie)-COUNTIF(Janvier[7],CléFormation)-COUNTIF(Janvier[7],CléAbsencenonjustifiée)</f>
        <v>0</v>
      </c>
      <c r="I27" s="39">
        <f>COUNTA(Janvier[8])-COUNTIF(Janvier[8],CléReposhebdomadaire)-COUNTIF(Janvier[8],CléCongé)-COUNTIF(Janvier[8],CléMaladie)-COUNTIF(Janvier[8],CléFormation)-COUNTIF(Janvier[8],CléAbsencenonjustifiée)</f>
        <v>0</v>
      </c>
      <c r="J27" s="39">
        <f>COUNTA(Janvier[9])-COUNTIF(Janvier[9],CléReposhebdomadaire)-COUNTIF(Janvier[9],CléCongé)-COUNTIF(Janvier[9],CléMaladie)-COUNTIF(Janvier[9],CléFormation)-COUNTIF(Janvier[9],CléAbsencenonjustifiée)</f>
        <v>0</v>
      </c>
      <c r="K27" s="39">
        <f>COUNTA(Janvier[10])-COUNTIF(Janvier[10],CléReposhebdomadaire)-COUNTIF(Janvier[10],CléCongé)-COUNTIF(Janvier[10],CléMaladie)-COUNTIF(Janvier[10],CléFormation)-COUNTIF(Janvier[10],CléAbsencenonjustifiée)</f>
        <v>0</v>
      </c>
      <c r="L27" s="39">
        <f>COUNTA(Janvier[11])-COUNTIF(Janvier[11],CléReposhebdomadaire)-COUNTIF(Janvier[11],CléCongé)-COUNTIF(Janvier[11],CléMaladie)-COUNTIF(Janvier[11],CléFormation)-COUNTIF(Janvier[11],CléAbsencenonjustifiée)</f>
        <v>0</v>
      </c>
      <c r="M27" s="39">
        <f>COUNTA(Janvier[12])-COUNTIF(Janvier[12],CléReposhebdomadaire)-COUNTIF(Janvier[12],CléCongé)-COUNTIF(Janvier[12],CléMaladie)-COUNTIF(Janvier[12],CléFormation)-COUNTIF(Janvier[12],CléAbsencenonjustifiée)</f>
        <v>0</v>
      </c>
      <c r="N27" s="39">
        <f>COUNTA(Janvier[13])-COUNTIF(Janvier[13],CléReposhebdomadaire)-COUNTIF(Janvier[13],CléCongé)-COUNTIF(Janvier[13],CléMaladie)-COUNTIF(Janvier[13],CléFormation)-COUNTIF(Janvier[13],CléAbsencenonjustifiée)</f>
        <v>0</v>
      </c>
      <c r="O27" s="39">
        <f>COUNTA(Janvier[14])-COUNTIF(Janvier[14],CléReposhebdomadaire)-COUNTIF(Janvier[14],CléCongé)-COUNTIF(Janvier[14],CléMaladie)-COUNTIF(Janvier[14],CléFormation)-COUNTIF(Janvier[14],CléAbsencenonjustifiée)</f>
        <v>0</v>
      </c>
      <c r="P27" s="39">
        <f>COUNTA(Janvier[15])-COUNTIF(Janvier[15],CléReposhebdomadaire)-COUNTIF(Janvier[15],CléCongé)-COUNTIF(Janvier[15],CléMaladie)-COUNTIF(Janvier[15],CléFormation)-COUNTIF(Janvier[15],CléAbsencenonjustifiée)</f>
        <v>0</v>
      </c>
      <c r="Q27" s="39">
        <f>COUNTA(Janvier[16])-COUNTIF(Janvier[16],CléReposhebdomadaire)-COUNTIF(Janvier[16],CléCongé)-COUNTIF(Janvier[16],CléMaladie)-COUNTIF(Janvier[16],CléFormation)-COUNTIF(Janvier[16],CléAbsencenonjustifiée)</f>
        <v>0</v>
      </c>
      <c r="R27" s="39">
        <f>COUNTA(Janvier[17])-COUNTIF(Janvier[17],CléReposhebdomadaire)-COUNTIF(Janvier[17],CléCongé)-COUNTIF(Janvier[17],CléMaladie)-COUNTIF(Janvier[17],CléFormation)-COUNTIF(Janvier[17],CléAbsencenonjustifiée)</f>
        <v>0</v>
      </c>
      <c r="S27" s="39">
        <f>COUNTA(Janvier[18])-COUNTIF(Janvier[18],CléReposhebdomadaire)-COUNTIF(Janvier[18],CléCongé)-COUNTIF(Janvier[18],CléMaladie)-COUNTIF(Janvier[18],CléFormation)-COUNTIF(Janvier[18],CléAbsencenonjustifiée)</f>
        <v>0</v>
      </c>
      <c r="T27" s="39">
        <f>COUNTA(Janvier[19])-COUNTIF(Janvier[19],CléReposhebdomadaire)-COUNTIF(Janvier[19],CléCongé)-COUNTIF(Janvier[19],CléMaladie)-COUNTIF(Janvier[19],CléFormation)-COUNTIF(Janvier[19],CléAbsencenonjustifiée)</f>
        <v>0</v>
      </c>
      <c r="U27" s="39">
        <f>COUNTA(Janvier[20])-COUNTIF(Janvier[20],CléReposhebdomadaire)-COUNTIF(Janvier[20],CléCongé)-COUNTIF(Janvier[20],CléMaladie)-COUNTIF(Janvier[20],CléFormation)-COUNTIF(Janvier[20],CléAbsencenonjustifiée)</f>
        <v>0</v>
      </c>
      <c r="V27" s="39">
        <f>COUNTA(Janvier[21])-COUNTIF(Janvier[21],CléReposhebdomadaire)-COUNTIF(Janvier[21],CléCongé)-COUNTIF(Janvier[21],CléMaladie)-COUNTIF(Janvier[21],CléFormation)-COUNTIF(Janvier[21],CléAbsencenonjustifiée)</f>
        <v>0</v>
      </c>
      <c r="W27" s="39">
        <f>COUNTA(Janvier[22])-COUNTIF(Janvier[22],CléReposhebdomadaire)-COUNTIF(Janvier[22],CléCongé)-COUNTIF(Janvier[22],CléMaladie)-COUNTIF(Janvier[22],CléFormation)-COUNTIF(Janvier[22],CléAbsencenonjustifiée)</f>
        <v>0</v>
      </c>
      <c r="X27" s="39">
        <f>COUNTA(Janvier[23])-COUNTIF(Janvier[23],CléReposhebdomadaire)-COUNTIF(Janvier[23],CléCongé)-COUNTIF(Janvier[23],CléMaladie)-COUNTIF(Janvier[23],CléFormation)-COUNTIF(Janvier[23],CléAbsencenonjustifiée)</f>
        <v>0</v>
      </c>
      <c r="Y27" s="39">
        <f>COUNTA(Janvier[24])-COUNTIF(Janvier[24],CléReposhebdomadaire)-COUNTIF(Janvier[24],CléCongé)-COUNTIF(Janvier[24],CléMaladie)-COUNTIF(Janvier[24],CléFormation)-COUNTIF(Janvier[24],CléAbsencenonjustifiée)</f>
        <v>0</v>
      </c>
      <c r="Z27" s="39">
        <f>COUNTA(Janvier[25])-COUNTIF(Janvier[25],CléReposhebdomadaire)-COUNTIF(Janvier[25],CléCongé)-COUNTIF(Janvier[25],CléMaladie)-COUNTIF(Janvier[25],CléFormation)-COUNTIF(Janvier[25],CléAbsencenonjustifiée)</f>
        <v>0</v>
      </c>
      <c r="AA27" s="39">
        <f>COUNTA(Janvier[26])-COUNTIF(Janvier[26],CléReposhebdomadaire)-COUNTIF(Janvier[26],CléCongé)-COUNTIF(Janvier[26],CléMaladie)-COUNTIF(Janvier[26],CléFormation)-COUNTIF(Janvier[26],CléAbsencenonjustifiée)</f>
        <v>0</v>
      </c>
      <c r="AB27" s="39">
        <f>COUNTA(Janvier[27])-COUNTIF(Janvier[27],CléReposhebdomadaire)-COUNTIF(Janvier[27],CléCongé)-COUNTIF(Janvier[27],CléMaladie)-COUNTIF(Janvier[27],CléFormation)-COUNTIF(Janvier[27],CléAbsencenonjustifiée)</f>
        <v>0</v>
      </c>
      <c r="AC27" s="39">
        <f>COUNTA(Janvier[28])-COUNTIF(Janvier[28],CléReposhebdomadaire)-COUNTIF(Janvier[28],CléCongé)-COUNTIF(Janvier[28],CléMaladie)-COUNTIF(Janvier[28],CléFormation)-COUNTIF(Janvier[28],CléAbsencenonjustifiée)</f>
        <v>0</v>
      </c>
      <c r="AD27" s="39">
        <f>COUNTA(Janvier[29])-COUNTIF(Janvier[29],CléReposhebdomadaire)-COUNTIF(Janvier[29],CléCongé)-COUNTIF(Janvier[29],CléMaladie)-COUNTIF(Janvier[29],CléFormation)-COUNTIF(Janvier[29],CléAbsencenonjustifiée)</f>
        <v>0</v>
      </c>
      <c r="AE27" s="39">
        <f>COUNTA(Janvier[30])-COUNTIF(Janvier[30],CléReposhebdomadaire)-COUNTIF(Janvier[30],CléCongé)-COUNTIF(Janvier[30],CléMaladie)-COUNTIF(Janvier[30],CléFormation)-COUNTIF(Janvier[30],CléAbsencenonjustifiée)</f>
        <v>0</v>
      </c>
      <c r="AF27" s="39">
        <f>COUNTA(Janvier[31])-COUNTIF(Janvier[31],CléReposhebdomadaire)-COUNTIF(Janvier[31],CléCongé)-COUNTIF(Janvier[31],CléMaladie)-COUNTIF(Janvier[31],CléFormation)-COUNTIF(Janvier[31],CléAbsencenonjustifiée)</f>
        <v>0</v>
      </c>
      <c r="AG27" s="40">
        <f ca="1">SUBTOTAL(109,Mars[Total des Heures effectuées])</f>
        <v>0</v>
      </c>
    </row>
  </sheetData>
  <mergeCells count="9">
    <mergeCell ref="A1:AG1"/>
    <mergeCell ref="A4:A5"/>
    <mergeCell ref="AG4:AG5"/>
    <mergeCell ref="B4:AF4"/>
    <mergeCell ref="R2:U2"/>
    <mergeCell ref="C2:F2"/>
    <mergeCell ref="H2:I2"/>
    <mergeCell ref="K2:M2"/>
    <mergeCell ref="O2:P2"/>
  </mergeCells>
  <conditionalFormatting sqref="B27:AF27">
    <cfRule type="dataBar" priority="11">
      <dataBar>
        <cfvo type="num" val="0"/>
        <cfvo type="num" val="31"/>
        <color theme="2" tint="-0.249977111117893"/>
      </dataBar>
      <extLst>
        <ext xmlns:x14="http://schemas.microsoft.com/office/spreadsheetml/2009/9/main" uri="{B025F937-C7B1-47D3-B67F-A62EFF666E3E}">
          <x14:id>{4718E620-F2E5-45C5-92C1-BC18F2736CBC}</x14:id>
        </ext>
      </extLst>
    </cfRule>
  </conditionalFormatting>
  <conditionalFormatting sqref="B7:AF26">
    <cfRule type="cellIs" dxfId="465" priority="1" operator="equal">
      <formula>$Q$2</formula>
    </cfRule>
    <cfRule type="cellIs" dxfId="464" priority="2" operator="equal">
      <formula>$N$2</formula>
    </cfRule>
    <cfRule type="cellIs" dxfId="463" priority="3" operator="equal">
      <formula>$J$2</formula>
    </cfRule>
    <cfRule type="cellIs" dxfId="462" priority="4" operator="equal">
      <formula>$G$2</formula>
    </cfRule>
    <cfRule type="cellIs" dxfId="461" priority="5" operator="equal">
      <formula>$B$2</formula>
    </cfRule>
  </conditionalFormatting>
  <dataValidations count="12">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B6"/>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A4"/>
    <dataValidation allowBlank="1" showInputMessage="1" showErrorMessage="1" prompt="Le titre mis à jour automatiquement figure dans cette cellule. Pour modifier le titre, mettez à jour la cellule B1 de la feuille de calcul Janvier" sqref="A1"/>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A6"/>
    <dataValidation allowBlank="1" showInputMessage="1" showErrorMessage="1" prompt="Année mise à jour automatiquement en fonction de l’année entrée dans la feuille de calcul Janvier" sqref="AG4"/>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B5"/>
    <dataValidation allowBlank="1" showInputMessage="1" showErrorMessage="1" prompt="Cette ligne définit les clés utilisées dans le tableau : Repos hebdomadaire en C2, Congé en H2, Arrêt Maladie en K2, Formation en O2 et Absence non justifiée en R2_x000a_" sqref="A2"/>
    <dataValidation allowBlank="1" showInputMessage="1" showErrorMessage="1" prompt="« ABS» indique une absence pour cause d'Absence non justifiée" sqref="Q2"/>
    <dataValidation allowBlank="1" showInputMessage="1" showErrorMessage="1" prompt=" « AM » indique une absence pour cause d'Arrêt maladie" sqref="J2"/>
    <dataValidation allowBlank="1" showInputMessage="1" showErrorMessage="1" prompt=" « FO » indique une absence pour Formation" sqref="N2"/>
    <dataValidation allowBlank="1" showInputMessage="1" showErrorMessage="1" prompt="« CP» indique une absence pour cause de congé" sqref="G2"/>
    <dataValidation allowBlank="1" showInputMessage="1" showErrorMessage="1" prompt="Calcule automatiquement le nombre total des heures effectives d’un employé durant ce mois" sqref="AG6"/>
  </dataValidations>
  <pageMargins left="0.7" right="0.7" top="0.75" bottom="0.75" header="0.3" footer="0.3"/>
  <pageSetup paperSize="9" fitToHeight="0" orientation="portrait" verticalDpi="4294967293"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4718E620-F2E5-45C5-92C1-BC18F2736CBC}">
            <x14:dataBar minLength="0" maxLength="100">
              <x14:cfvo type="num">
                <xm:f>0</xm:f>
              </x14:cfvo>
              <x14:cfvo type="num">
                <xm:f>31</xm:f>
              </x14:cfvo>
              <x14:negativeFillColor rgb="FFFF0000"/>
              <x14:axisColor rgb="FF000000"/>
            </x14:dataBar>
          </x14:cfRule>
          <xm:sqref>B27:AF27</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14:formula1>
            <xm:f>Paramétrage!$B$3:$B$22</xm:f>
          </x14:formula1>
          <xm:sqref>A7:A26</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0.749992370372631"/>
  </sheetPr>
  <dimension ref="A1:AG27"/>
  <sheetViews>
    <sheetView showGridLines="0" zoomScaleNormal="100" workbookViewId="0">
      <selection sqref="A1:XFD6"/>
    </sheetView>
  </sheetViews>
  <sheetFormatPr baseColWidth="10" defaultColWidth="9.109375" defaultRowHeight="30" customHeight="1" x14ac:dyDescent="0.3"/>
  <cols>
    <col min="1" max="1" width="20.44140625" style="30" customWidth="1"/>
    <col min="2" max="32" width="5.5546875" style="30" customWidth="1"/>
    <col min="33" max="33" width="12.44140625" style="30" customWidth="1"/>
    <col min="34" max="34" width="2.6640625" style="29" customWidth="1"/>
    <col min="35" max="16384" width="9.109375" style="29"/>
  </cols>
  <sheetData>
    <row r="1" spans="1:33" ht="25.8" x14ac:dyDescent="0.3">
      <c r="A1" s="58" t="str">
        <f>Titre_Absence_Employé</f>
        <v>PLANNING MENSUEL</v>
      </c>
      <c r="B1" s="58"/>
      <c r="C1" s="58"/>
      <c r="D1" s="58"/>
      <c r="E1" s="58"/>
      <c r="F1" s="58"/>
      <c r="G1" s="58"/>
      <c r="H1" s="58"/>
      <c r="I1" s="58"/>
      <c r="J1" s="58"/>
      <c r="K1" s="58"/>
      <c r="L1" s="58"/>
      <c r="M1" s="58"/>
      <c r="N1" s="58"/>
      <c r="O1" s="58"/>
      <c r="P1" s="58"/>
      <c r="Q1" s="58"/>
      <c r="R1" s="58"/>
      <c r="S1" s="58"/>
      <c r="T1" s="58"/>
      <c r="U1" s="58"/>
      <c r="V1" s="58"/>
      <c r="W1" s="58"/>
      <c r="X1" s="58"/>
      <c r="Y1" s="58"/>
      <c r="Z1" s="58"/>
      <c r="AA1" s="58"/>
      <c r="AB1" s="58"/>
      <c r="AC1" s="58"/>
      <c r="AD1" s="58"/>
      <c r="AE1" s="58"/>
      <c r="AF1" s="58"/>
      <c r="AG1" s="58"/>
    </row>
    <row r="2" spans="1:33" ht="12" x14ac:dyDescent="0.3">
      <c r="A2" s="41" t="s">
        <v>0</v>
      </c>
      <c r="B2" s="42" t="s">
        <v>88</v>
      </c>
      <c r="C2" s="57" t="s">
        <v>89</v>
      </c>
      <c r="D2" s="57"/>
      <c r="E2" s="57"/>
      <c r="F2" s="57"/>
      <c r="G2" s="9" t="s">
        <v>82</v>
      </c>
      <c r="H2" s="57" t="s">
        <v>9</v>
      </c>
      <c r="I2" s="57"/>
      <c r="J2" s="43" t="s">
        <v>84</v>
      </c>
      <c r="K2" s="57" t="s">
        <v>85</v>
      </c>
      <c r="L2" s="57"/>
      <c r="M2" s="57"/>
      <c r="N2" s="11" t="s">
        <v>60</v>
      </c>
      <c r="O2" s="57" t="s">
        <v>83</v>
      </c>
      <c r="P2" s="57"/>
      <c r="Q2" s="44" t="s">
        <v>86</v>
      </c>
      <c r="R2" s="57" t="s">
        <v>87</v>
      </c>
      <c r="S2" s="57"/>
      <c r="T2" s="57"/>
      <c r="U2" s="57"/>
    </row>
    <row r="3" spans="1:33" ht="12" x14ac:dyDescent="0.3">
      <c r="AG3" s="31"/>
    </row>
    <row r="4" spans="1:33" ht="25.8" x14ac:dyDescent="0.3">
      <c r="A4" s="59" t="s">
        <v>49</v>
      </c>
      <c r="B4" s="59" t="s">
        <v>109</v>
      </c>
      <c r="C4" s="59"/>
      <c r="D4" s="59"/>
      <c r="E4" s="59"/>
      <c r="F4" s="59"/>
      <c r="G4" s="59"/>
      <c r="H4" s="59"/>
      <c r="I4" s="59"/>
      <c r="J4" s="59"/>
      <c r="K4" s="59"/>
      <c r="L4" s="59"/>
      <c r="M4" s="59"/>
      <c r="N4" s="59"/>
      <c r="O4" s="59"/>
      <c r="P4" s="59"/>
      <c r="Q4" s="59"/>
      <c r="R4" s="59"/>
      <c r="S4" s="59"/>
      <c r="T4" s="59"/>
      <c r="U4" s="59"/>
      <c r="V4" s="59"/>
      <c r="W4" s="59"/>
      <c r="X4" s="59"/>
      <c r="Y4" s="59"/>
      <c r="Z4" s="59"/>
      <c r="AA4" s="59"/>
      <c r="AB4" s="59"/>
      <c r="AC4" s="59"/>
      <c r="AD4" s="59"/>
      <c r="AE4" s="59"/>
      <c r="AF4" s="59"/>
      <c r="AG4" s="59">
        <f>AnnéeCalendrier</f>
        <v>2023</v>
      </c>
    </row>
    <row r="5" spans="1:33" ht="12" x14ac:dyDescent="0.3">
      <c r="A5" s="59"/>
      <c r="B5" s="47" t="str">
        <f>TEXT(WEEKDAY(DATE(AnnéeCalendrier,8,1),1),"jjj")</f>
        <v>mar</v>
      </c>
      <c r="C5" s="32" t="str">
        <f>TEXT(WEEKDAY(DATE(AnnéeCalendrier,8,2),1),"jjj")</f>
        <v>mer</v>
      </c>
      <c r="D5" s="32" t="str">
        <f>TEXT(WEEKDAY(DATE(AnnéeCalendrier,8,3),1),"jjj")</f>
        <v>jeu</v>
      </c>
      <c r="E5" s="32" t="str">
        <f>TEXT(WEEKDAY(DATE(AnnéeCalendrier,8,4),1),"jjj")</f>
        <v>ven</v>
      </c>
      <c r="F5" s="32" t="str">
        <f>TEXT(WEEKDAY(DATE(AnnéeCalendrier,8,5),1),"jjj")</f>
        <v>sam</v>
      </c>
      <c r="G5" s="32" t="str">
        <f>TEXT(WEEKDAY(DATE(AnnéeCalendrier,8,6),1),"jjj")</f>
        <v>dim</v>
      </c>
      <c r="H5" s="32" t="str">
        <f>TEXT(WEEKDAY(DATE(AnnéeCalendrier,8,7),1),"jjj")</f>
        <v>lun</v>
      </c>
      <c r="I5" s="32" t="str">
        <f>TEXT(WEEKDAY(DATE(AnnéeCalendrier,8,8),1),"jjj")</f>
        <v>mar</v>
      </c>
      <c r="J5" s="32" t="str">
        <f>TEXT(WEEKDAY(DATE(AnnéeCalendrier,8,9),1),"jjj")</f>
        <v>mer</v>
      </c>
      <c r="K5" s="32" t="str">
        <f>TEXT(WEEKDAY(DATE(AnnéeCalendrier,8,10),1),"jjj")</f>
        <v>jeu</v>
      </c>
      <c r="L5" s="32" t="str">
        <f>TEXT(WEEKDAY(DATE(AnnéeCalendrier,8,11),1),"jjj")</f>
        <v>ven</v>
      </c>
      <c r="M5" s="32" t="str">
        <f>TEXT(WEEKDAY(DATE(AnnéeCalendrier,8,12),1),"jjj")</f>
        <v>sam</v>
      </c>
      <c r="N5" s="32" t="str">
        <f>TEXT(WEEKDAY(DATE(AnnéeCalendrier,8,13),1),"jjj")</f>
        <v>dim</v>
      </c>
      <c r="O5" s="32" t="str">
        <f>TEXT(WEEKDAY(DATE(AnnéeCalendrier,8,14),1),"jjj")</f>
        <v>lun</v>
      </c>
      <c r="P5" s="32" t="str">
        <f>TEXT(WEEKDAY(DATE(AnnéeCalendrier,8,15),1),"jjj")</f>
        <v>mar</v>
      </c>
      <c r="Q5" s="32" t="str">
        <f>TEXT(WEEKDAY(DATE(AnnéeCalendrier,8,16),1),"jjj")</f>
        <v>mer</v>
      </c>
      <c r="R5" s="32" t="str">
        <f>TEXT(WEEKDAY(DATE(AnnéeCalendrier,8,17),1),"jjj")</f>
        <v>jeu</v>
      </c>
      <c r="S5" s="32" t="str">
        <f>TEXT(WEEKDAY(DATE(AnnéeCalendrier,8,18),1),"jjj")</f>
        <v>ven</v>
      </c>
      <c r="T5" s="32" t="str">
        <f>TEXT(WEEKDAY(DATE(AnnéeCalendrier,8,19),1),"jjj")</f>
        <v>sam</v>
      </c>
      <c r="U5" s="32" t="str">
        <f>TEXT(WEEKDAY(DATE(AnnéeCalendrier,8,20),1),"jjj")</f>
        <v>dim</v>
      </c>
      <c r="V5" s="32" t="str">
        <f>TEXT(WEEKDAY(DATE(AnnéeCalendrier,8,21),1),"jjj")</f>
        <v>lun</v>
      </c>
      <c r="W5" s="32" t="str">
        <f>TEXT(WEEKDAY(DATE(AnnéeCalendrier,8,22),1),"jjj")</f>
        <v>mar</v>
      </c>
      <c r="X5" s="32" t="str">
        <f>TEXT(WEEKDAY(DATE(AnnéeCalendrier,8,23),1),"jjj")</f>
        <v>mer</v>
      </c>
      <c r="Y5" s="32" t="str">
        <f>TEXT(WEEKDAY(DATE(AnnéeCalendrier,8,24),1),"jjj")</f>
        <v>jeu</v>
      </c>
      <c r="Z5" s="32" t="str">
        <f>TEXT(WEEKDAY(DATE(AnnéeCalendrier,8,25),1),"jjj")</f>
        <v>ven</v>
      </c>
      <c r="AA5" s="32" t="str">
        <f>TEXT(WEEKDAY(DATE(AnnéeCalendrier,8,26),1),"jjj")</f>
        <v>sam</v>
      </c>
      <c r="AB5" s="32" t="str">
        <f>TEXT(WEEKDAY(DATE(AnnéeCalendrier,8,27),1),"jjj")</f>
        <v>dim</v>
      </c>
      <c r="AC5" s="32" t="str">
        <f>TEXT(WEEKDAY(DATE(AnnéeCalendrier,8,28),1),"jjj")</f>
        <v>lun</v>
      </c>
      <c r="AD5" s="32" t="str">
        <f>TEXT(WEEKDAY(DATE(AnnéeCalendrier,8,29),1),"jjj")</f>
        <v>mar</v>
      </c>
      <c r="AE5" s="32" t="str">
        <f>TEXT(WEEKDAY(DATE(AnnéeCalendrier,8,30),1),"jjj")</f>
        <v>mer</v>
      </c>
      <c r="AF5" s="32" t="str">
        <f>TEXT(WEEKDAY(DATE(AnnéeCalendrier,8,31),1),"jjj")</f>
        <v>jeu</v>
      </c>
      <c r="AG5" s="59"/>
    </row>
    <row r="6" spans="1:33" ht="24" x14ac:dyDescent="0.3">
      <c r="A6" s="45" t="s">
        <v>2</v>
      </c>
      <c r="B6" s="46" t="s">
        <v>8</v>
      </c>
      <c r="C6" s="46" t="s">
        <v>10</v>
      </c>
      <c r="D6" s="46" t="s">
        <v>11</v>
      </c>
      <c r="E6" s="46" t="s">
        <v>12</v>
      </c>
      <c r="F6" s="46" t="s">
        <v>13</v>
      </c>
      <c r="G6" s="46" t="s">
        <v>14</v>
      </c>
      <c r="H6" s="46" t="s">
        <v>15</v>
      </c>
      <c r="I6" s="46" t="s">
        <v>16</v>
      </c>
      <c r="J6" s="46" t="s">
        <v>17</v>
      </c>
      <c r="K6" s="46" t="s">
        <v>18</v>
      </c>
      <c r="L6" s="46" t="s">
        <v>19</v>
      </c>
      <c r="M6" s="46" t="s">
        <v>20</v>
      </c>
      <c r="N6" s="46" t="s">
        <v>21</v>
      </c>
      <c r="O6" s="46" t="s">
        <v>22</v>
      </c>
      <c r="P6" s="46" t="s">
        <v>23</v>
      </c>
      <c r="Q6" s="46" t="s">
        <v>24</v>
      </c>
      <c r="R6" s="46" t="s">
        <v>25</v>
      </c>
      <c r="S6" s="46" t="s">
        <v>26</v>
      </c>
      <c r="T6" s="46" t="s">
        <v>27</v>
      </c>
      <c r="U6" s="46" t="s">
        <v>28</v>
      </c>
      <c r="V6" s="46" t="s">
        <v>29</v>
      </c>
      <c r="W6" s="46" t="s">
        <v>30</v>
      </c>
      <c r="X6" s="46" t="s">
        <v>31</v>
      </c>
      <c r="Y6" s="46" t="s">
        <v>32</v>
      </c>
      <c r="Z6" s="46" t="s">
        <v>33</v>
      </c>
      <c r="AA6" s="46" t="s">
        <v>34</v>
      </c>
      <c r="AB6" s="46" t="s">
        <v>35</v>
      </c>
      <c r="AC6" s="46" t="s">
        <v>36</v>
      </c>
      <c r="AD6" s="46" t="s">
        <v>37</v>
      </c>
      <c r="AE6" s="46" t="s">
        <v>38</v>
      </c>
      <c r="AF6" s="46" t="s">
        <v>39</v>
      </c>
      <c r="AG6" s="35" t="s">
        <v>107</v>
      </c>
    </row>
    <row r="7" spans="1:33" ht="15" customHeight="1" x14ac:dyDescent="0.3">
      <c r="A7" s="36" t="s">
        <v>3</v>
      </c>
      <c r="B7" s="34"/>
      <c r="C7" s="34"/>
      <c r="D7" s="34"/>
      <c r="E7" s="34"/>
      <c r="F7" s="34"/>
      <c r="G7" s="34"/>
      <c r="H7" s="34"/>
      <c r="I7" s="34"/>
      <c r="J7" s="34"/>
      <c r="K7" s="34"/>
      <c r="L7" s="34"/>
      <c r="M7" s="34"/>
      <c r="N7" s="34"/>
      <c r="O7" s="34"/>
      <c r="P7" s="34"/>
      <c r="Q7" s="34"/>
      <c r="R7" s="34"/>
      <c r="S7" s="34"/>
      <c r="T7" s="34"/>
      <c r="U7" s="34"/>
      <c r="V7" s="34"/>
      <c r="W7" s="34"/>
      <c r="X7" s="34"/>
      <c r="Y7" s="34"/>
      <c r="Z7" s="34"/>
      <c r="AA7" s="34"/>
      <c r="AB7" s="34"/>
      <c r="AC7" s="34"/>
      <c r="AD7" s="34"/>
      <c r="AE7" s="34"/>
      <c r="AF7" s="34"/>
      <c r="AG7" s="18">
        <f>COUNTIF(Janvier[[#This Row],[1]:[31]],Paramétrage!G3)*Paramétrage!I3+COUNTIF(Janvier[[#This Row],[1]:[31]],Paramétrage!G4)*Paramétrage!I4+COUNTIF(Janvier[[#This Row],[1]:[31]],Paramétrage!G5)*Paramétrage!I5+COUNTIF(Janvier[[#This Row],[1]:[31]],Paramétrage!G6)*Paramétrage!I6+COUNTIF(Janvier[[#This Row],[1]:[31]],Paramétrage!G7)*Paramétrage!I7+COUNTIF(Janvier[[#This Row],[1]:[31]],Paramétrage!G8)*Paramétrage!I8+COUNTIF(Janvier[[#This Row],[1]:[31]],Paramétrage!G9)*Paramétrage!I9+COUNTIF(Janvier[[#This Row],[1]:[31]],Paramétrage!G10)*Paramétrage!I10+COUNTIF(Janvier[[#This Row],[1]:[31]],Paramétrage!G11)*Paramétrage!I11+COUNTIF(Janvier[[#This Row],[1]:[31]],Paramétrage!G12)*Paramétrage!I12+COUNTIF(Janvier[[#This Row],[1]:[31]],Paramétrage!G13)*Paramétrage!I13+COUNTIF(Janvier[[#This Row],[1]:[31]],Paramétrage!G14*Paramétrage!I14+COUNTIF(Janvier[[#This Row],[1]:[31]],Paramétrage!G15)*Paramétrage!I15+COUNTIF(Janvier[[#This Row],[1]:[31]],Paramétrage!G16)*Paramétrage!I16)</f>
        <v>0</v>
      </c>
    </row>
    <row r="8" spans="1:33" ht="15" customHeight="1" x14ac:dyDescent="0.3">
      <c r="A8" s="36" t="s">
        <v>4</v>
      </c>
      <c r="B8" s="34"/>
      <c r="C8" s="34"/>
      <c r="D8" s="34"/>
      <c r="E8" s="34"/>
      <c r="F8" s="34"/>
      <c r="G8" s="34"/>
      <c r="H8" s="34"/>
      <c r="I8" s="34"/>
      <c r="J8" s="34"/>
      <c r="K8" s="34"/>
      <c r="L8" s="34"/>
      <c r="M8" s="34"/>
      <c r="N8" s="34"/>
      <c r="O8" s="34"/>
      <c r="P8" s="34"/>
      <c r="Q8" s="34"/>
      <c r="R8" s="34"/>
      <c r="S8" s="34"/>
      <c r="T8" s="34"/>
      <c r="U8" s="34"/>
      <c r="V8" s="34"/>
      <c r="W8" s="34"/>
      <c r="X8" s="34"/>
      <c r="Y8" s="34"/>
      <c r="Z8" s="34"/>
      <c r="AA8" s="34"/>
      <c r="AB8" s="34"/>
      <c r="AC8" s="34"/>
      <c r="AD8" s="34"/>
      <c r="AE8" s="34"/>
      <c r="AF8" s="34"/>
      <c r="AG8" s="18">
        <f>COUNTIF(Janvier[[#This Row],[1]:[31]],Paramétrage!G4)*Paramétrage!I4+COUNTIF(Janvier[[#This Row],[1]:[31]],Paramétrage!G5)*Paramétrage!I5+COUNTIF(Janvier[[#This Row],[1]:[31]],Paramétrage!G6)*Paramétrage!I6+COUNTIF(Janvier[[#This Row],[1]:[31]],Paramétrage!G7)*Paramétrage!I7+COUNTIF(Janvier[[#This Row],[1]:[31]],Paramétrage!G8)*Paramétrage!I8+COUNTIF(Janvier[[#This Row],[1]:[31]],Paramétrage!G9)*Paramétrage!I9+COUNTIF(Janvier[[#This Row],[1]:[31]],Paramétrage!G10)*Paramétrage!I10+COUNTIF(Janvier[[#This Row],[1]:[31]],Paramétrage!G11)*Paramétrage!I11+COUNTIF(Janvier[[#This Row],[1]:[31]],Paramétrage!G12)*Paramétrage!I12+COUNTIF(Janvier[[#This Row],[1]:[31]],Paramétrage!G13)*Paramétrage!I13+COUNTIF(Janvier[[#This Row],[1]:[31]],Paramétrage!G14)*Paramétrage!I14+COUNTIF(Janvier[[#This Row],[1]:[31]],Paramétrage!G15*Paramétrage!I15+COUNTIF(Janvier[[#This Row],[1]:[31]],Paramétrage!G16)*Paramétrage!I16+COUNTIF(Janvier[[#This Row],[1]:[31]],Paramétrage!G17)*Paramétrage!I17)</f>
        <v>0</v>
      </c>
    </row>
    <row r="9" spans="1:33" ht="15" customHeight="1" x14ac:dyDescent="0.3">
      <c r="A9" s="36" t="s">
        <v>5</v>
      </c>
      <c r="B9" s="34"/>
      <c r="C9" s="34"/>
      <c r="D9" s="34"/>
      <c r="E9" s="34"/>
      <c r="F9" s="34"/>
      <c r="G9" s="34"/>
      <c r="H9" s="34"/>
      <c r="I9" s="34"/>
      <c r="J9" s="34"/>
      <c r="K9" s="34"/>
      <c r="L9" s="34"/>
      <c r="M9" s="34"/>
      <c r="N9" s="34"/>
      <c r="O9" s="34"/>
      <c r="P9" s="34"/>
      <c r="Q9" s="34"/>
      <c r="R9" s="34"/>
      <c r="S9" s="34"/>
      <c r="T9" s="34"/>
      <c r="U9" s="34"/>
      <c r="V9" s="34"/>
      <c r="W9" s="34"/>
      <c r="X9" s="34"/>
      <c r="Y9" s="34"/>
      <c r="Z9" s="34"/>
      <c r="AA9" s="34"/>
      <c r="AB9" s="34"/>
      <c r="AC9" s="34"/>
      <c r="AD9" s="34"/>
      <c r="AE9" s="34"/>
      <c r="AF9" s="34"/>
      <c r="AG9" s="18">
        <f>COUNTIF(Janvier[[#This Row],[1]:[31]],Paramétrage!G5)*Paramétrage!I5+COUNTIF(Janvier[[#This Row],[1]:[31]],Paramétrage!G6)*Paramétrage!I6+COUNTIF(Janvier[[#This Row],[1]:[31]],Paramétrage!G7)*Paramétrage!I7+COUNTIF(Janvier[[#This Row],[1]:[31]],Paramétrage!G8)*Paramétrage!I8+COUNTIF(Janvier[[#This Row],[1]:[31]],Paramétrage!G9)*Paramétrage!I9+COUNTIF(Janvier[[#This Row],[1]:[31]],Paramétrage!G10)*Paramétrage!I10+COUNTIF(Janvier[[#This Row],[1]:[31]],Paramétrage!G11)*Paramétrage!I11+COUNTIF(Janvier[[#This Row],[1]:[31]],Paramétrage!G12)*Paramétrage!I12+COUNTIF(Janvier[[#This Row],[1]:[31]],Paramétrage!G13)*Paramétrage!I13+COUNTIF(Janvier[[#This Row],[1]:[31]],Paramétrage!G14)*Paramétrage!I14+COUNTIF(Janvier[[#This Row],[1]:[31]],Paramétrage!G15)*Paramétrage!I15+COUNTIF(Janvier[[#This Row],[1]:[31]],Paramétrage!G16*Paramétrage!I16+COUNTIF(Janvier[[#This Row],[1]:[31]],Paramétrage!G17)*Paramétrage!I17+COUNTIF(Janvier[[#This Row],[1]:[31]],Paramétrage!G18)*Paramétrage!I18)</f>
        <v>0</v>
      </c>
    </row>
    <row r="10" spans="1:33" ht="15" customHeight="1" x14ac:dyDescent="0.3">
      <c r="A10" s="36" t="s">
        <v>6</v>
      </c>
      <c r="B10" s="34"/>
      <c r="C10" s="34"/>
      <c r="D10" s="34"/>
      <c r="E10" s="34"/>
      <c r="F10" s="34"/>
      <c r="G10" s="34"/>
      <c r="H10" s="34"/>
      <c r="I10" s="34"/>
      <c r="J10" s="34"/>
      <c r="K10" s="34"/>
      <c r="L10" s="34"/>
      <c r="M10" s="34"/>
      <c r="N10" s="34"/>
      <c r="O10" s="34"/>
      <c r="P10" s="34"/>
      <c r="Q10" s="34"/>
      <c r="R10" s="34"/>
      <c r="S10" s="34"/>
      <c r="T10" s="34"/>
      <c r="U10" s="34"/>
      <c r="V10" s="34"/>
      <c r="W10" s="34"/>
      <c r="X10" s="34"/>
      <c r="Y10" s="34"/>
      <c r="Z10" s="34"/>
      <c r="AA10" s="34"/>
      <c r="AB10" s="34"/>
      <c r="AC10" s="34"/>
      <c r="AD10" s="34"/>
      <c r="AE10" s="34"/>
      <c r="AF10" s="34"/>
      <c r="AG10" s="18">
        <f>COUNTIF(Janvier[[#This Row],[1]:[31]],Paramétrage!G6)*Paramétrage!I6+COUNTIF(Janvier[[#This Row],[1]:[31]],Paramétrage!G7)*Paramétrage!I7+COUNTIF(Janvier[[#This Row],[1]:[31]],Paramétrage!G8)*Paramétrage!I8+COUNTIF(Janvier[[#This Row],[1]:[31]],Paramétrage!G9)*Paramétrage!I9+COUNTIF(Janvier[[#This Row],[1]:[31]],Paramétrage!G10)*Paramétrage!I10+COUNTIF(Janvier[[#This Row],[1]:[31]],Paramétrage!G11)*Paramétrage!I11+COUNTIF(Janvier[[#This Row],[1]:[31]],Paramétrage!G12)*Paramétrage!I12+COUNTIF(Janvier[[#This Row],[1]:[31]],Paramétrage!G13)*Paramétrage!I13+COUNTIF(Janvier[[#This Row],[1]:[31]],Paramétrage!G14)*Paramétrage!I14+COUNTIF(Janvier[[#This Row],[1]:[31]],Paramétrage!G15)*Paramétrage!I15+COUNTIF(Janvier[[#This Row],[1]:[31]],Paramétrage!G16)*Paramétrage!I16+COUNTIF(Janvier[[#This Row],[1]:[31]],Paramétrage!G17*Paramétrage!I17+COUNTIF(Janvier[[#This Row],[1]:[31]],Paramétrage!G18)*Paramétrage!I18+COUNTIF(Janvier[[#This Row],[1]:[31]],Paramétrage!G19)*Paramétrage!I19)</f>
        <v>0</v>
      </c>
    </row>
    <row r="11" spans="1:33" ht="15" customHeight="1" x14ac:dyDescent="0.3">
      <c r="A11" s="36" t="s">
        <v>7</v>
      </c>
      <c r="B11" s="34"/>
      <c r="C11" s="34"/>
      <c r="D11" s="34"/>
      <c r="E11" s="34"/>
      <c r="F11" s="34"/>
      <c r="G11" s="34"/>
      <c r="H11" s="34"/>
      <c r="I11" s="34"/>
      <c r="J11" s="34"/>
      <c r="K11" s="34"/>
      <c r="L11" s="34"/>
      <c r="M11" s="34"/>
      <c r="N11" s="34"/>
      <c r="O11" s="34"/>
      <c r="P11" s="34"/>
      <c r="Q11" s="34"/>
      <c r="R11" s="34"/>
      <c r="S11" s="34"/>
      <c r="T11" s="34"/>
      <c r="U11" s="34"/>
      <c r="V11" s="34"/>
      <c r="W11" s="34"/>
      <c r="X11" s="34"/>
      <c r="Y11" s="34"/>
      <c r="Z11" s="34"/>
      <c r="AA11" s="34"/>
      <c r="AB11" s="34"/>
      <c r="AC11" s="34"/>
      <c r="AD11" s="34"/>
      <c r="AE11" s="34"/>
      <c r="AF11" s="34"/>
      <c r="AG11" s="18">
        <f>COUNTIF(Janvier[[#This Row],[1]:[31]],Paramétrage!G7)*Paramétrage!I7+COUNTIF(Janvier[[#This Row],[1]:[31]],Paramétrage!G8)*Paramétrage!I8+COUNTIF(Janvier[[#This Row],[1]:[31]],Paramétrage!G9)*Paramétrage!I9+COUNTIF(Janvier[[#This Row],[1]:[31]],Paramétrage!G10)*Paramétrage!I10+COUNTIF(Janvier[[#This Row],[1]:[31]],Paramétrage!G11)*Paramétrage!I11+COUNTIF(Janvier[[#This Row],[1]:[31]],Paramétrage!G12)*Paramétrage!I12+COUNTIF(Janvier[[#This Row],[1]:[31]],Paramétrage!G13)*Paramétrage!I13+COUNTIF(Janvier[[#This Row],[1]:[31]],Paramétrage!G14)*Paramétrage!I14+COUNTIF(Janvier[[#This Row],[1]:[31]],Paramétrage!G15)*Paramétrage!I15+COUNTIF(Janvier[[#This Row],[1]:[31]],Paramétrage!G16)*Paramétrage!I16+COUNTIF(Janvier[[#This Row],[1]:[31]],Paramétrage!G17)*Paramétrage!I17+COUNTIF(Janvier[[#This Row],[1]:[31]],Paramétrage!G18*Paramétrage!I18+COUNTIF(Janvier[[#This Row],[1]:[31]],Paramétrage!G19)*Paramétrage!I19+COUNTIF(Janvier[[#This Row],[1]:[31]],Paramétrage!G20)*Paramétrage!I20)</f>
        <v>0</v>
      </c>
    </row>
    <row r="12" spans="1:33" ht="15" customHeight="1" x14ac:dyDescent="0.3">
      <c r="A12" s="36" t="s">
        <v>55</v>
      </c>
      <c r="B12" s="34"/>
      <c r="C12" s="34"/>
      <c r="D12" s="34"/>
      <c r="E12" s="34"/>
      <c r="F12" s="34"/>
      <c r="G12" s="34"/>
      <c r="H12" s="34"/>
      <c r="I12" s="34"/>
      <c r="J12" s="34"/>
      <c r="K12" s="34"/>
      <c r="L12" s="34"/>
      <c r="M12" s="34"/>
      <c r="N12" s="34"/>
      <c r="O12" s="34"/>
      <c r="P12" s="34"/>
      <c r="Q12" s="34"/>
      <c r="R12" s="34"/>
      <c r="S12" s="34"/>
      <c r="T12" s="34"/>
      <c r="U12" s="34"/>
      <c r="V12" s="34"/>
      <c r="W12" s="34"/>
      <c r="X12" s="34"/>
      <c r="Y12" s="34"/>
      <c r="Z12" s="34"/>
      <c r="AA12" s="34"/>
      <c r="AB12" s="34"/>
      <c r="AC12" s="34"/>
      <c r="AD12" s="34"/>
      <c r="AE12" s="34"/>
      <c r="AF12" s="34"/>
      <c r="AG12" s="18">
        <f>COUNTIF(Janvier[[#This Row],[1]:[31]],Paramétrage!G8)*Paramétrage!I8+COUNTIF(Janvier[[#This Row],[1]:[31]],Paramétrage!G9)*Paramétrage!I9+COUNTIF(Janvier[[#This Row],[1]:[31]],Paramétrage!G10)*Paramétrage!I10+COUNTIF(Janvier[[#This Row],[1]:[31]],Paramétrage!G11)*Paramétrage!I11+COUNTIF(Janvier[[#This Row],[1]:[31]],Paramétrage!G12)*Paramétrage!I12+COUNTIF(Janvier[[#This Row],[1]:[31]],Paramétrage!G13)*Paramétrage!I13+COUNTIF(Janvier[[#This Row],[1]:[31]],Paramétrage!G14)*Paramétrage!I14+COUNTIF(Janvier[[#This Row],[1]:[31]],Paramétrage!G15)*Paramétrage!I15+COUNTIF(Janvier[[#This Row],[1]:[31]],Paramétrage!G16)*Paramétrage!I16+COUNTIF(Janvier[[#This Row],[1]:[31]],Paramétrage!G17)*Paramétrage!I17+COUNTIF(Janvier[[#This Row],[1]:[31]],Paramétrage!G18)*Paramétrage!I18+COUNTIF(Janvier[[#This Row],[1]:[31]],Paramétrage!G19*Paramétrage!I19+COUNTIF(Janvier[[#This Row],[1]:[31]],Paramétrage!G20)*Paramétrage!I20+COUNTIF(Janvier[[#This Row],[1]:[31]],Paramétrage!G21)*Paramétrage!I21)</f>
        <v>0</v>
      </c>
    </row>
    <row r="13" spans="1:33" ht="15" customHeight="1" x14ac:dyDescent="0.3">
      <c r="A13" s="36" t="s">
        <v>56</v>
      </c>
      <c r="B13" s="34"/>
      <c r="C13" s="34"/>
      <c r="D13" s="34"/>
      <c r="E13" s="34"/>
      <c r="F13" s="34"/>
      <c r="G13" s="34"/>
      <c r="H13" s="34"/>
      <c r="I13" s="34"/>
      <c r="J13" s="34"/>
      <c r="K13" s="34"/>
      <c r="L13" s="34"/>
      <c r="M13" s="34"/>
      <c r="N13" s="34"/>
      <c r="O13" s="34"/>
      <c r="P13" s="34"/>
      <c r="Q13" s="34"/>
      <c r="R13" s="34"/>
      <c r="S13" s="34"/>
      <c r="T13" s="34"/>
      <c r="U13" s="34"/>
      <c r="V13" s="34"/>
      <c r="W13" s="34"/>
      <c r="X13" s="34"/>
      <c r="Y13" s="34"/>
      <c r="Z13" s="34"/>
      <c r="AA13" s="34"/>
      <c r="AB13" s="34"/>
      <c r="AC13" s="34"/>
      <c r="AD13" s="34"/>
      <c r="AE13" s="34"/>
      <c r="AF13" s="34"/>
      <c r="AG13" s="18">
        <f>COUNTIF(Janvier[[#This Row],[1]:[31]],Paramétrage!G9)*Paramétrage!I9+COUNTIF(Janvier[[#This Row],[1]:[31]],Paramétrage!G10)*Paramétrage!I10+COUNTIF(Janvier[[#This Row],[1]:[31]],Paramétrage!G11)*Paramétrage!I11+COUNTIF(Janvier[[#This Row],[1]:[31]],Paramétrage!G12)*Paramétrage!I12+COUNTIF(Janvier[[#This Row],[1]:[31]],Paramétrage!G13)*Paramétrage!I13+COUNTIF(Janvier[[#This Row],[1]:[31]],Paramétrage!G14)*Paramétrage!I14+COUNTIF(Janvier[[#This Row],[1]:[31]],Paramétrage!G15)*Paramétrage!I15+COUNTIF(Janvier[[#This Row],[1]:[31]],Paramétrage!G16)*Paramétrage!I16+COUNTIF(Janvier[[#This Row],[1]:[31]],Paramétrage!G17)*Paramétrage!I17+COUNTIF(Janvier[[#This Row],[1]:[31]],Paramétrage!G18)*Paramétrage!I18+COUNTIF(Janvier[[#This Row],[1]:[31]],Paramétrage!G19)*Paramétrage!I19+COUNTIF(Janvier[[#This Row],[1]:[31]],Paramétrage!G20*Paramétrage!I20+COUNTIF(Janvier[[#This Row],[1]:[31]],Paramétrage!G21)*Paramétrage!I21+COUNTIF(Janvier[[#This Row],[1]:[31]],Paramétrage!G22)*Paramétrage!I22)</f>
        <v>0</v>
      </c>
    </row>
    <row r="14" spans="1:33" ht="15" customHeight="1" x14ac:dyDescent="0.3">
      <c r="A14" s="36" t="s">
        <v>57</v>
      </c>
      <c r="B14" s="34"/>
      <c r="C14" s="34"/>
      <c r="D14" s="34"/>
      <c r="E14" s="34"/>
      <c r="F14" s="34"/>
      <c r="G14" s="34"/>
      <c r="H14" s="34"/>
      <c r="I14" s="34"/>
      <c r="J14" s="34"/>
      <c r="K14" s="34"/>
      <c r="L14" s="34"/>
      <c r="M14" s="34"/>
      <c r="N14" s="34"/>
      <c r="O14" s="34"/>
      <c r="P14" s="34"/>
      <c r="Q14" s="34"/>
      <c r="R14" s="34"/>
      <c r="S14" s="34"/>
      <c r="T14" s="34"/>
      <c r="U14" s="34"/>
      <c r="V14" s="34"/>
      <c r="W14" s="34"/>
      <c r="X14" s="34"/>
      <c r="Y14" s="34"/>
      <c r="Z14" s="34"/>
      <c r="AA14" s="34"/>
      <c r="AB14" s="34"/>
      <c r="AC14" s="34"/>
      <c r="AD14" s="34"/>
      <c r="AE14" s="34"/>
      <c r="AF14" s="34"/>
      <c r="AG14" s="18">
        <f>COUNTIF(Janvier[[#This Row],[1]:[31]],Paramétrage!G10)*Paramétrage!I10+COUNTIF(Janvier[[#This Row],[1]:[31]],Paramétrage!G11)*Paramétrage!I11+COUNTIF(Janvier[[#This Row],[1]:[31]],Paramétrage!G12)*Paramétrage!I12+COUNTIF(Janvier[[#This Row],[1]:[31]],Paramétrage!G13)*Paramétrage!I13+COUNTIF(Janvier[[#This Row],[1]:[31]],Paramétrage!G14)*Paramétrage!I14+COUNTIF(Janvier[[#This Row],[1]:[31]],Paramétrage!G15)*Paramétrage!I15+COUNTIF(Janvier[[#This Row],[1]:[31]],Paramétrage!G16)*Paramétrage!I16+COUNTIF(Janvier[[#This Row],[1]:[31]],Paramétrage!G17)*Paramétrage!I17+COUNTIF(Janvier[[#This Row],[1]:[31]],Paramétrage!G18)*Paramétrage!I18+COUNTIF(Janvier[[#This Row],[1]:[31]],Paramétrage!G19)*Paramétrage!I19+COUNTIF(Janvier[[#This Row],[1]:[31]],Paramétrage!G20)*Paramétrage!I20+COUNTIF(Janvier[[#This Row],[1]:[31]],Paramétrage!G21*Paramétrage!I21+COUNTIF(Janvier[[#This Row],[1]:[31]],Paramétrage!G22)*Paramétrage!I22+COUNTIF(Janvier[[#This Row],[1]:[31]],Paramétrage!G23)*Paramétrage!I23)</f>
        <v>0</v>
      </c>
    </row>
    <row r="15" spans="1:33" ht="15" customHeight="1" x14ac:dyDescent="0.3">
      <c r="A15" s="36" t="s">
        <v>61</v>
      </c>
      <c r="B15" s="34"/>
      <c r="C15" s="34"/>
      <c r="D15" s="34"/>
      <c r="E15" s="34"/>
      <c r="F15" s="34"/>
      <c r="G15" s="34"/>
      <c r="H15" s="34"/>
      <c r="I15" s="34"/>
      <c r="J15" s="34"/>
      <c r="K15" s="34"/>
      <c r="L15" s="34"/>
      <c r="M15" s="34"/>
      <c r="N15" s="34"/>
      <c r="O15" s="34"/>
      <c r="P15" s="34"/>
      <c r="Q15" s="34"/>
      <c r="R15" s="34"/>
      <c r="S15" s="34"/>
      <c r="T15" s="34"/>
      <c r="U15" s="34"/>
      <c r="V15" s="34"/>
      <c r="W15" s="34"/>
      <c r="X15" s="34"/>
      <c r="Y15" s="34"/>
      <c r="Z15" s="34"/>
      <c r="AA15" s="34"/>
      <c r="AB15" s="34"/>
      <c r="AC15" s="34"/>
      <c r="AD15" s="34"/>
      <c r="AE15" s="34"/>
      <c r="AF15" s="34"/>
      <c r="AG15" s="18">
        <f>COUNTIF(Janvier[[#This Row],[1]:[31]],Paramétrage!G11)*Paramétrage!I11+COUNTIF(Janvier[[#This Row],[1]:[31]],Paramétrage!G12)*Paramétrage!I12+COUNTIF(Janvier[[#This Row],[1]:[31]],Paramétrage!G13)*Paramétrage!I13+COUNTIF(Janvier[[#This Row],[1]:[31]],Paramétrage!G14)*Paramétrage!I14+COUNTIF(Janvier[[#This Row],[1]:[31]],Paramétrage!G15)*Paramétrage!I15+COUNTIF(Janvier[[#This Row],[1]:[31]],Paramétrage!G16)*Paramétrage!I16+COUNTIF(Janvier[[#This Row],[1]:[31]],Paramétrage!G17)*Paramétrage!I17+COUNTIF(Janvier[[#This Row],[1]:[31]],Paramétrage!G18)*Paramétrage!I18+COUNTIF(Janvier[[#This Row],[1]:[31]],Paramétrage!G19)*Paramétrage!I19+COUNTIF(Janvier[[#This Row],[1]:[31]],Paramétrage!G20)*Paramétrage!I20+COUNTIF(Janvier[[#This Row],[1]:[31]],Paramétrage!G21)*Paramétrage!I21+COUNTIF(Janvier[[#This Row],[1]:[31]],Paramétrage!G22*Paramétrage!I22+COUNTIF(Janvier[[#This Row],[1]:[31]],Paramétrage!G23)*Paramétrage!I23+COUNTIF(Janvier[[#This Row],[1]:[31]],Paramétrage!G24)*Paramétrage!I24)</f>
        <v>0</v>
      </c>
    </row>
    <row r="16" spans="1:33" ht="15" customHeight="1" x14ac:dyDescent="0.3">
      <c r="A16" s="36" t="s">
        <v>62</v>
      </c>
      <c r="B16" s="34"/>
      <c r="C16" s="34"/>
      <c r="D16" s="34"/>
      <c r="E16" s="34"/>
      <c r="F16" s="34"/>
      <c r="G16" s="34"/>
      <c r="H16" s="34"/>
      <c r="I16" s="34"/>
      <c r="J16" s="34"/>
      <c r="K16" s="34"/>
      <c r="L16" s="34"/>
      <c r="M16" s="34"/>
      <c r="N16" s="34"/>
      <c r="O16" s="34"/>
      <c r="P16" s="34"/>
      <c r="Q16" s="34"/>
      <c r="R16" s="34"/>
      <c r="S16" s="34"/>
      <c r="T16" s="34"/>
      <c r="U16" s="34"/>
      <c r="V16" s="34"/>
      <c r="W16" s="34"/>
      <c r="X16" s="34"/>
      <c r="Y16" s="34"/>
      <c r="Z16" s="34"/>
      <c r="AA16" s="34"/>
      <c r="AB16" s="34"/>
      <c r="AC16" s="34"/>
      <c r="AD16" s="34"/>
      <c r="AE16" s="34"/>
      <c r="AF16" s="34"/>
      <c r="AG16" s="18">
        <f>COUNTIF(Janvier[[#This Row],[1]:[31]],Paramétrage!G12)*Paramétrage!I12+COUNTIF(Janvier[[#This Row],[1]:[31]],Paramétrage!G13)*Paramétrage!I13+COUNTIF(Janvier[[#This Row],[1]:[31]],Paramétrage!G14)*Paramétrage!I14+COUNTIF(Janvier[[#This Row],[1]:[31]],Paramétrage!G15)*Paramétrage!I15+COUNTIF(Janvier[[#This Row],[1]:[31]],Paramétrage!G16)*Paramétrage!I16+COUNTIF(Janvier[[#This Row],[1]:[31]],Paramétrage!G17)*Paramétrage!I17+COUNTIF(Janvier[[#This Row],[1]:[31]],Paramétrage!G18)*Paramétrage!I18+COUNTIF(Janvier[[#This Row],[1]:[31]],Paramétrage!G19)*Paramétrage!I19+COUNTIF(Janvier[[#This Row],[1]:[31]],Paramétrage!G20)*Paramétrage!I20+COUNTIF(Janvier[[#This Row],[1]:[31]],Paramétrage!G21)*Paramétrage!I21+COUNTIF(Janvier[[#This Row],[1]:[31]],Paramétrage!G22)*Paramétrage!I22+COUNTIF(Janvier[[#This Row],[1]:[31]],Paramétrage!G23*Paramétrage!I23+COUNTIF(Janvier[[#This Row],[1]:[31]],Paramétrage!G24)*Paramétrage!I24+COUNTIF(Janvier[[#This Row],[1]:[31]],Paramétrage!G25)*Paramétrage!I25)</f>
        <v>0</v>
      </c>
    </row>
    <row r="17" spans="1:33" ht="15" customHeight="1" x14ac:dyDescent="0.3">
      <c r="A17" s="36" t="s">
        <v>63</v>
      </c>
      <c r="B17" s="34"/>
      <c r="C17" s="34"/>
      <c r="D17" s="34"/>
      <c r="E17" s="34"/>
      <c r="F17" s="34"/>
      <c r="G17" s="34"/>
      <c r="H17" s="34"/>
      <c r="I17" s="34"/>
      <c r="J17" s="34"/>
      <c r="K17" s="34"/>
      <c r="L17" s="34"/>
      <c r="M17" s="34"/>
      <c r="N17" s="34"/>
      <c r="O17" s="34"/>
      <c r="P17" s="34"/>
      <c r="Q17" s="34"/>
      <c r="R17" s="34"/>
      <c r="S17" s="34"/>
      <c r="T17" s="34"/>
      <c r="U17" s="34"/>
      <c r="V17" s="34"/>
      <c r="W17" s="34"/>
      <c r="X17" s="34"/>
      <c r="Y17" s="34"/>
      <c r="Z17" s="34"/>
      <c r="AA17" s="34"/>
      <c r="AB17" s="34"/>
      <c r="AC17" s="34"/>
      <c r="AD17" s="34"/>
      <c r="AE17" s="34"/>
      <c r="AF17" s="34"/>
      <c r="AG17" s="18">
        <f>COUNTIF(Janvier[[#This Row],[1]:[31]],Paramétrage!G13)*Paramétrage!I13+COUNTIF(Janvier[[#This Row],[1]:[31]],Paramétrage!G14)*Paramétrage!I14+COUNTIF(Janvier[[#This Row],[1]:[31]],Paramétrage!G15)*Paramétrage!I15+COUNTIF(Janvier[[#This Row],[1]:[31]],Paramétrage!G16)*Paramétrage!I16+COUNTIF(Janvier[[#This Row],[1]:[31]],Paramétrage!G17)*Paramétrage!I17+COUNTIF(Janvier[[#This Row],[1]:[31]],Paramétrage!G18)*Paramétrage!I18+COUNTIF(Janvier[[#This Row],[1]:[31]],Paramétrage!G19)*Paramétrage!I19+COUNTIF(Janvier[[#This Row],[1]:[31]],Paramétrage!G20)*Paramétrage!I20+COUNTIF(Janvier[[#This Row],[1]:[31]],Paramétrage!G21)*Paramétrage!I21+COUNTIF(Janvier[[#This Row],[1]:[31]],Paramétrage!G22)*Paramétrage!I22+COUNTIF(Janvier[[#This Row],[1]:[31]],Paramétrage!G23)*Paramétrage!I23+COUNTIF(Janvier[[#This Row],[1]:[31]],Paramétrage!G24*Paramétrage!I24+COUNTIF(Janvier[[#This Row],[1]:[31]],Paramétrage!G25)*Paramétrage!I25+COUNTIF(Janvier[[#This Row],[1]:[31]],Paramétrage!G26)*Paramétrage!I26)</f>
        <v>0</v>
      </c>
    </row>
    <row r="18" spans="1:33" ht="15" customHeight="1" x14ac:dyDescent="0.3">
      <c r="A18" s="36" t="s">
        <v>65</v>
      </c>
      <c r="B18" s="34"/>
      <c r="C18" s="34"/>
      <c r="D18" s="34"/>
      <c r="E18" s="34"/>
      <c r="F18" s="34"/>
      <c r="G18" s="34"/>
      <c r="H18" s="34"/>
      <c r="I18" s="34"/>
      <c r="J18" s="34"/>
      <c r="K18" s="34"/>
      <c r="L18" s="34"/>
      <c r="M18" s="34"/>
      <c r="N18" s="34"/>
      <c r="O18" s="34"/>
      <c r="P18" s="34"/>
      <c r="Q18" s="34"/>
      <c r="R18" s="34"/>
      <c r="S18" s="34"/>
      <c r="T18" s="34"/>
      <c r="U18" s="34"/>
      <c r="V18" s="34"/>
      <c r="W18" s="34"/>
      <c r="X18" s="34"/>
      <c r="Y18" s="34"/>
      <c r="Z18" s="34"/>
      <c r="AA18" s="34"/>
      <c r="AB18" s="34"/>
      <c r="AC18" s="34"/>
      <c r="AD18" s="34"/>
      <c r="AE18" s="34"/>
      <c r="AF18" s="34"/>
      <c r="AG18" s="18">
        <f>COUNTIF(Janvier[[#This Row],[1]:[31]],Paramétrage!G14)*Paramétrage!I14+COUNTIF(Janvier[[#This Row],[1]:[31]],Paramétrage!G15)*Paramétrage!I15+COUNTIF(Janvier[[#This Row],[1]:[31]],Paramétrage!G16)*Paramétrage!I16+COUNTIF(Janvier[[#This Row],[1]:[31]],Paramétrage!G17)*Paramétrage!I17+COUNTIF(Janvier[[#This Row],[1]:[31]],Paramétrage!G18)*Paramétrage!I18+COUNTIF(Janvier[[#This Row],[1]:[31]],Paramétrage!G19)*Paramétrage!I19+COUNTIF(Janvier[[#This Row],[1]:[31]],Paramétrage!G20)*Paramétrage!I20+COUNTIF(Janvier[[#This Row],[1]:[31]],Paramétrage!G21)*Paramétrage!I21+COUNTIF(Janvier[[#This Row],[1]:[31]],Paramétrage!G22)*Paramétrage!I22+COUNTIF(Janvier[[#This Row],[1]:[31]],Paramétrage!G23)*Paramétrage!I23+COUNTIF(Janvier[[#This Row],[1]:[31]],Paramétrage!G24)*Paramétrage!I24+COUNTIF(Janvier[[#This Row],[1]:[31]],Paramétrage!G25*Paramétrage!I25+COUNTIF(Janvier[[#This Row],[1]:[31]],Paramétrage!G26)*Paramétrage!I26+COUNTIF(Janvier[[#This Row],[1]:[31]],Paramétrage!G27)*Paramétrage!I27)</f>
        <v>0</v>
      </c>
    </row>
    <row r="19" spans="1:33" ht="15" customHeight="1" x14ac:dyDescent="0.3">
      <c r="A19" s="36" t="s">
        <v>66</v>
      </c>
      <c r="B19" s="34"/>
      <c r="C19" s="34"/>
      <c r="D19" s="34"/>
      <c r="E19" s="34"/>
      <c r="F19" s="34"/>
      <c r="G19" s="34"/>
      <c r="H19" s="34"/>
      <c r="I19" s="34"/>
      <c r="J19" s="34"/>
      <c r="K19" s="34"/>
      <c r="L19" s="34"/>
      <c r="M19" s="34"/>
      <c r="N19" s="34"/>
      <c r="O19" s="34"/>
      <c r="P19" s="34"/>
      <c r="Q19" s="34"/>
      <c r="R19" s="34"/>
      <c r="S19" s="34"/>
      <c r="T19" s="34"/>
      <c r="U19" s="34"/>
      <c r="V19" s="34"/>
      <c r="W19" s="34"/>
      <c r="X19" s="34"/>
      <c r="Y19" s="34"/>
      <c r="Z19" s="34"/>
      <c r="AA19" s="34"/>
      <c r="AB19" s="34"/>
      <c r="AC19" s="34"/>
      <c r="AD19" s="34"/>
      <c r="AE19" s="34"/>
      <c r="AF19" s="34"/>
      <c r="AG19" s="18">
        <f>COUNTIF(Janvier[[#This Row],[1]:[31]],Paramétrage!G15)*Paramétrage!I15+COUNTIF(Janvier[[#This Row],[1]:[31]],Paramétrage!G16)*Paramétrage!I16+COUNTIF(Janvier[[#This Row],[1]:[31]],Paramétrage!G17)*Paramétrage!I17+COUNTIF(Janvier[[#This Row],[1]:[31]],Paramétrage!G18)*Paramétrage!I18+COUNTIF(Janvier[[#This Row],[1]:[31]],Paramétrage!G19)*Paramétrage!I19+COUNTIF(Janvier[[#This Row],[1]:[31]],Paramétrage!G20)*Paramétrage!I20+COUNTIF(Janvier[[#This Row],[1]:[31]],Paramétrage!G21)*Paramétrage!I21+COUNTIF(Janvier[[#This Row],[1]:[31]],Paramétrage!G22)*Paramétrage!I22+COUNTIF(Janvier[[#This Row],[1]:[31]],Paramétrage!G23)*Paramétrage!I23+COUNTIF(Janvier[[#This Row],[1]:[31]],Paramétrage!G24)*Paramétrage!I24+COUNTIF(Janvier[[#This Row],[1]:[31]],Paramétrage!G25)*Paramétrage!I25+COUNTIF(Janvier[[#This Row],[1]:[31]],Paramétrage!G26*Paramétrage!I26+COUNTIF(Janvier[[#This Row],[1]:[31]],Paramétrage!G27)*Paramétrage!I27+COUNTIF(Janvier[[#This Row],[1]:[31]],Paramétrage!G28)*Paramétrage!I28)</f>
        <v>0</v>
      </c>
    </row>
    <row r="20" spans="1:33" ht="15" customHeight="1" x14ac:dyDescent="0.3">
      <c r="A20" s="36" t="s">
        <v>67</v>
      </c>
      <c r="B20" s="34"/>
      <c r="C20" s="34"/>
      <c r="D20" s="34"/>
      <c r="E20" s="34"/>
      <c r="F20" s="34"/>
      <c r="G20" s="34"/>
      <c r="H20" s="34"/>
      <c r="I20" s="34"/>
      <c r="J20" s="34"/>
      <c r="K20" s="34"/>
      <c r="L20" s="34"/>
      <c r="M20" s="34"/>
      <c r="N20" s="34"/>
      <c r="O20" s="34"/>
      <c r="P20" s="34"/>
      <c r="Q20" s="34"/>
      <c r="R20" s="34"/>
      <c r="S20" s="34"/>
      <c r="T20" s="34"/>
      <c r="U20" s="34"/>
      <c r="V20" s="34"/>
      <c r="W20" s="34"/>
      <c r="X20" s="34"/>
      <c r="Y20" s="34"/>
      <c r="Z20" s="34"/>
      <c r="AA20" s="34"/>
      <c r="AB20" s="34"/>
      <c r="AC20" s="34"/>
      <c r="AD20" s="34"/>
      <c r="AE20" s="34"/>
      <c r="AF20" s="34"/>
      <c r="AG20" s="18">
        <f>COUNTIF(Janvier[[#This Row],[1]:[31]],Paramétrage!G16)*Paramétrage!I16+COUNTIF(Janvier[[#This Row],[1]:[31]],Paramétrage!G17)*Paramétrage!I17+COUNTIF(Janvier[[#This Row],[1]:[31]],Paramétrage!G18)*Paramétrage!I18+COUNTIF(Janvier[[#This Row],[1]:[31]],Paramétrage!G19)*Paramétrage!I19+COUNTIF(Janvier[[#This Row],[1]:[31]],Paramétrage!G20)*Paramétrage!I20+COUNTIF(Janvier[[#This Row],[1]:[31]],Paramétrage!G21)*Paramétrage!I21+COUNTIF(Janvier[[#This Row],[1]:[31]],Paramétrage!G22)*Paramétrage!I22+COUNTIF(Janvier[[#This Row],[1]:[31]],Paramétrage!G23)*Paramétrage!I23+COUNTIF(Janvier[[#This Row],[1]:[31]],Paramétrage!G24)*Paramétrage!I24+COUNTIF(Janvier[[#This Row],[1]:[31]],Paramétrage!G25)*Paramétrage!I25+COUNTIF(Janvier[[#This Row],[1]:[31]],Paramétrage!G26)*Paramétrage!I26+COUNTIF(Janvier[[#This Row],[1]:[31]],Paramétrage!G27*Paramétrage!I27+COUNTIF(Janvier[[#This Row],[1]:[31]],Paramétrage!G28)*Paramétrage!I28+COUNTIF(Janvier[[#This Row],[1]:[31]],Paramétrage!G29)*Paramétrage!I29)</f>
        <v>0</v>
      </c>
    </row>
    <row r="21" spans="1:33" ht="15" customHeight="1" x14ac:dyDescent="0.3">
      <c r="A21" s="36" t="s">
        <v>68</v>
      </c>
      <c r="B21" s="34"/>
      <c r="C21" s="34"/>
      <c r="D21" s="34"/>
      <c r="E21" s="34"/>
      <c r="F21" s="34"/>
      <c r="G21" s="34"/>
      <c r="H21" s="34"/>
      <c r="I21" s="34"/>
      <c r="J21" s="34"/>
      <c r="K21" s="34"/>
      <c r="L21" s="34"/>
      <c r="M21" s="34"/>
      <c r="N21" s="34"/>
      <c r="O21" s="34"/>
      <c r="P21" s="34"/>
      <c r="Q21" s="34"/>
      <c r="R21" s="34"/>
      <c r="S21" s="34"/>
      <c r="T21" s="34"/>
      <c r="U21" s="34"/>
      <c r="V21" s="34"/>
      <c r="W21" s="34"/>
      <c r="X21" s="34"/>
      <c r="Y21" s="34"/>
      <c r="Z21" s="34"/>
      <c r="AA21" s="34"/>
      <c r="AB21" s="34"/>
      <c r="AC21" s="34"/>
      <c r="AD21" s="34"/>
      <c r="AE21" s="34"/>
      <c r="AF21" s="34"/>
      <c r="AG21" s="18">
        <f>COUNTIF(Janvier[[#This Row],[1]:[31]],Paramétrage!G17)*Paramétrage!I17+COUNTIF(Janvier[[#This Row],[1]:[31]],Paramétrage!G18)*Paramétrage!I18+COUNTIF(Janvier[[#This Row],[1]:[31]],Paramétrage!G19)*Paramétrage!I19+COUNTIF(Janvier[[#This Row],[1]:[31]],Paramétrage!G20)*Paramétrage!I20+COUNTIF(Janvier[[#This Row],[1]:[31]],Paramétrage!G21)*Paramétrage!I21+COUNTIF(Janvier[[#This Row],[1]:[31]],Paramétrage!G22)*Paramétrage!I22+COUNTIF(Janvier[[#This Row],[1]:[31]],Paramétrage!G23)*Paramétrage!I23+COUNTIF(Janvier[[#This Row],[1]:[31]],Paramétrage!G24)*Paramétrage!I24+COUNTIF(Janvier[[#This Row],[1]:[31]],Paramétrage!G25)*Paramétrage!I25+COUNTIF(Janvier[[#This Row],[1]:[31]],Paramétrage!G26)*Paramétrage!I26+COUNTIF(Janvier[[#This Row],[1]:[31]],Paramétrage!G27)*Paramétrage!I27+COUNTIF(Janvier[[#This Row],[1]:[31]],Paramétrage!G28*Paramétrage!I28+COUNTIF(Janvier[[#This Row],[1]:[31]],Paramétrage!G29)*Paramétrage!I29+COUNTIF(Janvier[[#This Row],[1]:[31]],Paramétrage!G30)*Paramétrage!I30)</f>
        <v>0</v>
      </c>
    </row>
    <row r="22" spans="1:33" ht="15" customHeight="1" x14ac:dyDescent="0.3">
      <c r="A22" s="36" t="s">
        <v>91</v>
      </c>
      <c r="B22" s="37"/>
      <c r="C22" s="37"/>
      <c r="D22" s="37"/>
      <c r="E22" s="37"/>
      <c r="F22" s="37"/>
      <c r="G22" s="37"/>
      <c r="H22" s="37"/>
      <c r="I22" s="37"/>
      <c r="J22" s="37"/>
      <c r="K22" s="37"/>
      <c r="L22" s="37"/>
      <c r="M22" s="37"/>
      <c r="N22" s="37"/>
      <c r="O22" s="37"/>
      <c r="P22" s="37"/>
      <c r="Q22" s="37"/>
      <c r="R22" s="37"/>
      <c r="S22" s="37"/>
      <c r="T22" s="37"/>
      <c r="U22" s="37"/>
      <c r="V22" s="37"/>
      <c r="W22" s="37"/>
      <c r="X22" s="37"/>
      <c r="Y22" s="37"/>
      <c r="Z22" s="37"/>
      <c r="AA22" s="37"/>
      <c r="AB22" s="37"/>
      <c r="AC22" s="37"/>
      <c r="AD22" s="37"/>
      <c r="AE22" s="37"/>
      <c r="AF22" s="37"/>
      <c r="AG22" s="18">
        <f>COUNTIF(Janvier[[#This Row],[1]:[31]],Paramétrage!G18)*Paramétrage!I18+COUNTIF(Janvier[[#This Row],[1]:[31]],Paramétrage!G19)*Paramétrage!I19+COUNTIF(Janvier[[#This Row],[1]:[31]],Paramétrage!G20)*Paramétrage!I20+COUNTIF(Janvier[[#This Row],[1]:[31]],Paramétrage!G21)*Paramétrage!I21+COUNTIF(Janvier[[#This Row],[1]:[31]],Paramétrage!G22)*Paramétrage!I22+COUNTIF(Janvier[[#This Row],[1]:[31]],Paramétrage!G23)*Paramétrage!I23+COUNTIF(Janvier[[#This Row],[1]:[31]],Paramétrage!G24)*Paramétrage!I24+COUNTIF(Janvier[[#This Row],[1]:[31]],Paramétrage!G25)*Paramétrage!I25+COUNTIF(Janvier[[#This Row],[1]:[31]],Paramétrage!G26)*Paramétrage!I26+COUNTIF(Janvier[[#This Row],[1]:[31]],Paramétrage!G27)*Paramétrage!I27+COUNTIF(Janvier[[#This Row],[1]:[31]],Paramétrage!G28)*Paramétrage!I28+COUNTIF(Janvier[[#This Row],[1]:[31]],Paramétrage!G29*Paramétrage!I29+COUNTIF(Janvier[[#This Row],[1]:[31]],Paramétrage!G30)*Paramétrage!I30+COUNTIF(Janvier[[#This Row],[1]:[31]],Paramétrage!G31)*Paramétrage!I31)</f>
        <v>0</v>
      </c>
    </row>
    <row r="23" spans="1:33" ht="15" customHeight="1" x14ac:dyDescent="0.3">
      <c r="A23" s="36" t="s">
        <v>92</v>
      </c>
      <c r="B23" s="37"/>
      <c r="C23" s="37"/>
      <c r="D23" s="37"/>
      <c r="E23" s="37"/>
      <c r="F23" s="37"/>
      <c r="G23" s="37"/>
      <c r="H23" s="37"/>
      <c r="I23" s="37"/>
      <c r="J23" s="37"/>
      <c r="K23" s="37"/>
      <c r="L23" s="37"/>
      <c r="M23" s="37"/>
      <c r="N23" s="37"/>
      <c r="O23" s="37"/>
      <c r="P23" s="37"/>
      <c r="Q23" s="37"/>
      <c r="R23" s="37"/>
      <c r="S23" s="37"/>
      <c r="T23" s="37"/>
      <c r="U23" s="37"/>
      <c r="V23" s="37"/>
      <c r="W23" s="37"/>
      <c r="X23" s="37"/>
      <c r="Y23" s="37"/>
      <c r="Z23" s="37"/>
      <c r="AA23" s="37"/>
      <c r="AB23" s="37"/>
      <c r="AC23" s="37"/>
      <c r="AD23" s="37"/>
      <c r="AE23" s="37"/>
      <c r="AF23" s="37"/>
      <c r="AG23" s="18">
        <f>COUNTIF(Janvier[[#This Row],[1]:[31]],Paramétrage!G19)*Paramétrage!I19+COUNTIF(Janvier[[#This Row],[1]:[31]],Paramétrage!G20)*Paramétrage!I20+COUNTIF(Janvier[[#This Row],[1]:[31]],Paramétrage!G21)*Paramétrage!I21+COUNTIF(Janvier[[#This Row],[1]:[31]],Paramétrage!G22)*Paramétrage!I22+COUNTIF(Janvier[[#This Row],[1]:[31]],Paramétrage!G23)*Paramétrage!I23+COUNTIF(Janvier[[#This Row],[1]:[31]],Paramétrage!G24)*Paramétrage!I24+COUNTIF(Janvier[[#This Row],[1]:[31]],Paramétrage!G25)*Paramétrage!I25+COUNTIF(Janvier[[#This Row],[1]:[31]],Paramétrage!G26)*Paramétrage!I26+COUNTIF(Janvier[[#This Row],[1]:[31]],Paramétrage!G27)*Paramétrage!I27+COUNTIF(Janvier[[#This Row],[1]:[31]],Paramétrage!G28)*Paramétrage!I28+COUNTIF(Janvier[[#This Row],[1]:[31]],Paramétrage!G29)*Paramétrage!I29+COUNTIF(Janvier[[#This Row],[1]:[31]],Paramétrage!G30*Paramétrage!I30+COUNTIF(Janvier[[#This Row],[1]:[31]],Paramétrage!G31)*Paramétrage!I31+COUNTIF(Janvier[[#This Row],[1]:[31]],Paramétrage!G32)*Paramétrage!I32)</f>
        <v>0</v>
      </c>
    </row>
    <row r="24" spans="1:33" ht="15" customHeight="1" x14ac:dyDescent="0.3">
      <c r="A24" s="36" t="s">
        <v>93</v>
      </c>
      <c r="B24" s="37"/>
      <c r="C24" s="37"/>
      <c r="D24" s="37"/>
      <c r="E24" s="37"/>
      <c r="F24" s="37"/>
      <c r="G24" s="37"/>
      <c r="H24" s="37"/>
      <c r="I24" s="37"/>
      <c r="J24" s="37"/>
      <c r="K24" s="37"/>
      <c r="L24" s="37"/>
      <c r="M24" s="37"/>
      <c r="N24" s="37"/>
      <c r="O24" s="37"/>
      <c r="P24" s="37"/>
      <c r="Q24" s="37"/>
      <c r="R24" s="37"/>
      <c r="S24" s="37"/>
      <c r="T24" s="37"/>
      <c r="U24" s="37"/>
      <c r="V24" s="37"/>
      <c r="W24" s="37"/>
      <c r="X24" s="37"/>
      <c r="Y24" s="37"/>
      <c r="Z24" s="37"/>
      <c r="AA24" s="37"/>
      <c r="AB24" s="37"/>
      <c r="AC24" s="37"/>
      <c r="AD24" s="37"/>
      <c r="AE24" s="37"/>
      <c r="AF24" s="37"/>
      <c r="AG24" s="18">
        <f>COUNTIF(Janvier[[#This Row],[1]:[31]],Paramétrage!G20)*Paramétrage!I20+COUNTIF(Janvier[[#This Row],[1]:[31]],Paramétrage!G21)*Paramétrage!I21+COUNTIF(Janvier[[#This Row],[1]:[31]],Paramétrage!G22)*Paramétrage!I22+COUNTIF(Janvier[[#This Row],[1]:[31]],Paramétrage!G23)*Paramétrage!I23+COUNTIF(Janvier[[#This Row],[1]:[31]],Paramétrage!G24)*Paramétrage!I24+COUNTIF(Janvier[[#This Row],[1]:[31]],Paramétrage!G25)*Paramétrage!I25+COUNTIF(Janvier[[#This Row],[1]:[31]],Paramétrage!G26)*Paramétrage!I26+COUNTIF(Janvier[[#This Row],[1]:[31]],Paramétrage!G27)*Paramétrage!I27+COUNTIF(Janvier[[#This Row],[1]:[31]],Paramétrage!G28)*Paramétrage!I28+COUNTIF(Janvier[[#This Row],[1]:[31]],Paramétrage!G29)*Paramétrage!I29+COUNTIF(Janvier[[#This Row],[1]:[31]],Paramétrage!G30)*Paramétrage!I30+COUNTIF(Janvier[[#This Row],[1]:[31]],Paramétrage!G31*Paramétrage!I31+COUNTIF(Janvier[[#This Row],[1]:[31]],Paramétrage!G32)*Paramétrage!I32+COUNTIF(Janvier[[#This Row],[1]:[31]],Paramétrage!G33)*Paramétrage!I33)</f>
        <v>0</v>
      </c>
    </row>
    <row r="25" spans="1:33" ht="15" customHeight="1" x14ac:dyDescent="0.3">
      <c r="A25" s="36" t="s">
        <v>94</v>
      </c>
      <c r="B25" s="37"/>
      <c r="C25" s="37"/>
      <c r="D25" s="37"/>
      <c r="E25" s="37"/>
      <c r="F25" s="37"/>
      <c r="G25" s="37"/>
      <c r="H25" s="37"/>
      <c r="I25" s="37"/>
      <c r="J25" s="37"/>
      <c r="K25" s="37"/>
      <c r="L25" s="37"/>
      <c r="M25" s="37"/>
      <c r="N25" s="37"/>
      <c r="O25" s="37"/>
      <c r="P25" s="37"/>
      <c r="Q25" s="37"/>
      <c r="R25" s="37"/>
      <c r="S25" s="37"/>
      <c r="T25" s="37"/>
      <c r="U25" s="37"/>
      <c r="V25" s="37"/>
      <c r="W25" s="37"/>
      <c r="X25" s="37"/>
      <c r="Y25" s="37"/>
      <c r="Z25" s="37"/>
      <c r="AA25" s="37"/>
      <c r="AB25" s="37"/>
      <c r="AC25" s="37"/>
      <c r="AD25" s="37"/>
      <c r="AE25" s="37"/>
      <c r="AF25" s="37"/>
      <c r="AG25" s="18">
        <f>COUNTIF(Janvier[[#This Row],[1]:[31]],Paramétrage!G21)*Paramétrage!I21+COUNTIF(Janvier[[#This Row],[1]:[31]],Paramétrage!G22)*Paramétrage!I22+COUNTIF(Janvier[[#This Row],[1]:[31]],Paramétrage!G23)*Paramétrage!I23+COUNTIF(Janvier[[#This Row],[1]:[31]],Paramétrage!G24)*Paramétrage!I24+COUNTIF(Janvier[[#This Row],[1]:[31]],Paramétrage!G25)*Paramétrage!I25+COUNTIF(Janvier[[#This Row],[1]:[31]],Paramétrage!G26)*Paramétrage!I26+COUNTIF(Janvier[[#This Row],[1]:[31]],Paramétrage!G27)*Paramétrage!I27+COUNTIF(Janvier[[#This Row],[1]:[31]],Paramétrage!G28)*Paramétrage!I28+COUNTIF(Janvier[[#This Row],[1]:[31]],Paramétrage!G29)*Paramétrage!I29+COUNTIF(Janvier[[#This Row],[1]:[31]],Paramétrage!G30)*Paramétrage!I30+COUNTIF(Janvier[[#This Row],[1]:[31]],Paramétrage!G31)*Paramétrage!I31+COUNTIF(Janvier[[#This Row],[1]:[31]],Paramétrage!G32*Paramétrage!I32+COUNTIF(Janvier[[#This Row],[1]:[31]],Paramétrage!G33)*Paramétrage!I33+COUNTIF(Janvier[[#This Row],[1]:[31]],Paramétrage!G34)*Paramétrage!I34)</f>
        <v>0</v>
      </c>
    </row>
    <row r="26" spans="1:33" ht="15" customHeight="1" x14ac:dyDescent="0.3">
      <c r="A26" s="36" t="s">
        <v>95</v>
      </c>
      <c r="B26" s="37"/>
      <c r="C26" s="37"/>
      <c r="D26" s="37"/>
      <c r="E26" s="37"/>
      <c r="F26" s="37"/>
      <c r="G26" s="37"/>
      <c r="H26" s="37"/>
      <c r="I26" s="37"/>
      <c r="J26" s="37"/>
      <c r="K26" s="37"/>
      <c r="L26" s="37"/>
      <c r="M26" s="37"/>
      <c r="N26" s="37"/>
      <c r="O26" s="37"/>
      <c r="P26" s="37"/>
      <c r="Q26" s="37"/>
      <c r="R26" s="37"/>
      <c r="S26" s="37"/>
      <c r="T26" s="37"/>
      <c r="U26" s="37"/>
      <c r="V26" s="37"/>
      <c r="W26" s="37"/>
      <c r="X26" s="37"/>
      <c r="Y26" s="37"/>
      <c r="Z26" s="37"/>
      <c r="AA26" s="37"/>
      <c r="AB26" s="37"/>
      <c r="AC26" s="37"/>
      <c r="AD26" s="37"/>
      <c r="AE26" s="37"/>
      <c r="AF26" s="37"/>
      <c r="AG26" s="18">
        <f>COUNTIF(Janvier[[#This Row],[1]:[31]],Paramétrage!G22)*Paramétrage!I22+COUNTIF(Janvier[[#This Row],[1]:[31]],Paramétrage!G23)*Paramétrage!I23+COUNTIF(Janvier[[#This Row],[1]:[31]],Paramétrage!G24)*Paramétrage!I24+COUNTIF(Janvier[[#This Row],[1]:[31]],Paramétrage!G25)*Paramétrage!I25+COUNTIF(Janvier[[#This Row],[1]:[31]],Paramétrage!G26)*Paramétrage!I26+COUNTIF(Janvier[[#This Row],[1]:[31]],Paramétrage!G27)*Paramétrage!I27+COUNTIF(Janvier[[#This Row],[1]:[31]],Paramétrage!G28)*Paramétrage!I28+COUNTIF(Janvier[[#This Row],[1]:[31]],Paramétrage!G29)*Paramétrage!I29+COUNTIF(Janvier[[#This Row],[1]:[31]],Paramétrage!G30)*Paramétrage!I30+COUNTIF(Janvier[[#This Row],[1]:[31]],Paramétrage!G31)*Paramétrage!I31+COUNTIF(Janvier[[#This Row],[1]:[31]],Paramétrage!G32)*Paramétrage!I32+COUNTIF(Janvier[[#This Row],[1]:[31]],Paramétrage!G33*Paramétrage!I33+COUNTIF(Janvier[[#This Row],[1]:[31]],Paramétrage!G34)*Paramétrage!I34+COUNTIF(Janvier[[#This Row],[1]:[31]],Paramétrage!G35)*Paramétrage!I35)</f>
        <v>0</v>
      </c>
    </row>
    <row r="27" spans="1:33" ht="24" x14ac:dyDescent="0.3">
      <c r="A27" s="38" t="s">
        <v>106</v>
      </c>
      <c r="B27" s="39">
        <f>COUNTA(Janvier[1])-COUNTIF(Janvier[1],CléReposhebdomadaire)-COUNTIF(Janvier[1],CléCongé)-COUNTIF(Janvier[1],CléMaladie)-COUNTIF(Janvier[1],CléFormation)-COUNTIF(Janvier[1],CléAbsencenonjustifiée)</f>
        <v>0</v>
      </c>
      <c r="C27" s="39">
        <f>COUNTA(Janvier[2])-COUNTIF(Janvier[2],CléReposhebdomadaire)-COUNTIF(Janvier[2],CléCongé)-COUNTIF(Janvier[2],CléMaladie)-COUNTIF(Janvier[2],CléFormation)-COUNTIF(Janvier[2],CléAbsencenonjustifiée)</f>
        <v>0</v>
      </c>
      <c r="D27" s="39">
        <f>COUNTA(Janvier[3])-COUNTIF(Janvier[3],CléReposhebdomadaire)-COUNTIF(Janvier[3],CléCongé)-COUNTIF(Janvier[3],CléMaladie)-COUNTIF(Janvier[3],CléFormation)-COUNTIF(Janvier[3],CléAbsencenonjustifiée)</f>
        <v>0</v>
      </c>
      <c r="E27" s="39">
        <f>COUNTA(Janvier[4])-COUNTIF(Janvier[4],CléReposhebdomadaire)-COUNTIF(Janvier[4],CléCongé)-COUNTIF(Janvier[4],CléMaladie)-COUNTIF(Janvier[4],CléFormation)-COUNTIF(Janvier[4],CléAbsencenonjustifiée)</f>
        <v>0</v>
      </c>
      <c r="F27" s="39">
        <f>COUNTA(Janvier[5])-COUNTIF(Janvier[5],CléReposhebdomadaire)-COUNTIF(Janvier[5],CléCongé)-COUNTIF(Janvier[5],CléMaladie)-COUNTIF(Janvier[5],CléFormation)-COUNTIF(Janvier[5],CléAbsencenonjustifiée)</f>
        <v>0</v>
      </c>
      <c r="G27" s="39">
        <f>COUNTA(Janvier[6])-COUNTIF(Janvier[6],CléReposhebdomadaire)-COUNTIF(Janvier[6],CléCongé)-COUNTIF(Janvier[6],CléMaladie)-COUNTIF(Janvier[6],CléFormation)-COUNTIF(Janvier[6],CléAbsencenonjustifiée)</f>
        <v>0</v>
      </c>
      <c r="H27" s="39">
        <f>COUNTA(Janvier[7])-COUNTIF(Janvier[7],CléReposhebdomadaire)-COUNTIF(Janvier[7],CléCongé)-COUNTIF(Janvier[7],CléMaladie)-COUNTIF(Janvier[7],CléFormation)-COUNTIF(Janvier[7],CléAbsencenonjustifiée)</f>
        <v>0</v>
      </c>
      <c r="I27" s="39">
        <f>COUNTA(Janvier[8])-COUNTIF(Janvier[8],CléReposhebdomadaire)-COUNTIF(Janvier[8],CléCongé)-COUNTIF(Janvier[8],CléMaladie)-COUNTIF(Janvier[8],CléFormation)-COUNTIF(Janvier[8],CléAbsencenonjustifiée)</f>
        <v>0</v>
      </c>
      <c r="J27" s="39">
        <f>COUNTA(Janvier[9])-COUNTIF(Janvier[9],CléReposhebdomadaire)-COUNTIF(Janvier[9],CléCongé)-COUNTIF(Janvier[9],CléMaladie)-COUNTIF(Janvier[9],CléFormation)-COUNTIF(Janvier[9],CléAbsencenonjustifiée)</f>
        <v>0</v>
      </c>
      <c r="K27" s="39">
        <f>COUNTA(Janvier[10])-COUNTIF(Janvier[10],CléReposhebdomadaire)-COUNTIF(Janvier[10],CléCongé)-COUNTIF(Janvier[10],CléMaladie)-COUNTIF(Janvier[10],CléFormation)-COUNTIF(Janvier[10],CléAbsencenonjustifiée)</f>
        <v>0</v>
      </c>
      <c r="L27" s="39">
        <f>COUNTA(Janvier[11])-COUNTIF(Janvier[11],CléReposhebdomadaire)-COUNTIF(Janvier[11],CléCongé)-COUNTIF(Janvier[11],CléMaladie)-COUNTIF(Janvier[11],CléFormation)-COUNTIF(Janvier[11],CléAbsencenonjustifiée)</f>
        <v>0</v>
      </c>
      <c r="M27" s="39">
        <f>COUNTA(Janvier[12])-COUNTIF(Janvier[12],CléReposhebdomadaire)-COUNTIF(Janvier[12],CléCongé)-COUNTIF(Janvier[12],CléMaladie)-COUNTIF(Janvier[12],CléFormation)-COUNTIF(Janvier[12],CléAbsencenonjustifiée)</f>
        <v>0</v>
      </c>
      <c r="N27" s="39">
        <f>COUNTA(Janvier[13])-COUNTIF(Janvier[13],CléReposhebdomadaire)-COUNTIF(Janvier[13],CléCongé)-COUNTIF(Janvier[13],CléMaladie)-COUNTIF(Janvier[13],CléFormation)-COUNTIF(Janvier[13],CléAbsencenonjustifiée)</f>
        <v>0</v>
      </c>
      <c r="O27" s="39">
        <f>COUNTA(Janvier[14])-COUNTIF(Janvier[14],CléReposhebdomadaire)-COUNTIF(Janvier[14],CléCongé)-COUNTIF(Janvier[14],CléMaladie)-COUNTIF(Janvier[14],CléFormation)-COUNTIF(Janvier[14],CléAbsencenonjustifiée)</f>
        <v>0</v>
      </c>
      <c r="P27" s="39">
        <f>COUNTA(Janvier[15])-COUNTIF(Janvier[15],CléReposhebdomadaire)-COUNTIF(Janvier[15],CléCongé)-COUNTIF(Janvier[15],CléMaladie)-COUNTIF(Janvier[15],CléFormation)-COUNTIF(Janvier[15],CléAbsencenonjustifiée)</f>
        <v>0</v>
      </c>
      <c r="Q27" s="39">
        <f>COUNTA(Janvier[16])-COUNTIF(Janvier[16],CléReposhebdomadaire)-COUNTIF(Janvier[16],CléCongé)-COUNTIF(Janvier[16],CléMaladie)-COUNTIF(Janvier[16],CléFormation)-COUNTIF(Janvier[16],CléAbsencenonjustifiée)</f>
        <v>0</v>
      </c>
      <c r="R27" s="39">
        <f>COUNTA(Janvier[17])-COUNTIF(Janvier[17],CléReposhebdomadaire)-COUNTIF(Janvier[17],CléCongé)-COUNTIF(Janvier[17],CléMaladie)-COUNTIF(Janvier[17],CléFormation)-COUNTIF(Janvier[17],CléAbsencenonjustifiée)</f>
        <v>0</v>
      </c>
      <c r="S27" s="39">
        <f>COUNTA(Janvier[18])-COUNTIF(Janvier[18],CléReposhebdomadaire)-COUNTIF(Janvier[18],CléCongé)-COUNTIF(Janvier[18],CléMaladie)-COUNTIF(Janvier[18],CléFormation)-COUNTIF(Janvier[18],CléAbsencenonjustifiée)</f>
        <v>0</v>
      </c>
      <c r="T27" s="39">
        <f>COUNTA(Janvier[19])-COUNTIF(Janvier[19],CléReposhebdomadaire)-COUNTIF(Janvier[19],CléCongé)-COUNTIF(Janvier[19],CléMaladie)-COUNTIF(Janvier[19],CléFormation)-COUNTIF(Janvier[19],CléAbsencenonjustifiée)</f>
        <v>0</v>
      </c>
      <c r="U27" s="39">
        <f>COUNTA(Janvier[20])-COUNTIF(Janvier[20],CléReposhebdomadaire)-COUNTIF(Janvier[20],CléCongé)-COUNTIF(Janvier[20],CléMaladie)-COUNTIF(Janvier[20],CléFormation)-COUNTIF(Janvier[20],CléAbsencenonjustifiée)</f>
        <v>0</v>
      </c>
      <c r="V27" s="39">
        <f>COUNTA(Janvier[21])-COUNTIF(Janvier[21],CléReposhebdomadaire)-COUNTIF(Janvier[21],CléCongé)-COUNTIF(Janvier[21],CléMaladie)-COUNTIF(Janvier[21],CléFormation)-COUNTIF(Janvier[21],CléAbsencenonjustifiée)</f>
        <v>0</v>
      </c>
      <c r="W27" s="39">
        <f>COUNTA(Janvier[22])-COUNTIF(Janvier[22],CléReposhebdomadaire)-COUNTIF(Janvier[22],CléCongé)-COUNTIF(Janvier[22],CléMaladie)-COUNTIF(Janvier[22],CléFormation)-COUNTIF(Janvier[22],CléAbsencenonjustifiée)</f>
        <v>0</v>
      </c>
      <c r="X27" s="39">
        <f>COUNTA(Janvier[23])-COUNTIF(Janvier[23],CléReposhebdomadaire)-COUNTIF(Janvier[23],CléCongé)-COUNTIF(Janvier[23],CléMaladie)-COUNTIF(Janvier[23],CléFormation)-COUNTIF(Janvier[23],CléAbsencenonjustifiée)</f>
        <v>0</v>
      </c>
      <c r="Y27" s="39">
        <f>COUNTA(Janvier[24])-COUNTIF(Janvier[24],CléReposhebdomadaire)-COUNTIF(Janvier[24],CléCongé)-COUNTIF(Janvier[24],CléMaladie)-COUNTIF(Janvier[24],CléFormation)-COUNTIF(Janvier[24],CléAbsencenonjustifiée)</f>
        <v>0</v>
      </c>
      <c r="Z27" s="39">
        <f>COUNTA(Janvier[25])-COUNTIF(Janvier[25],CléReposhebdomadaire)-COUNTIF(Janvier[25],CléCongé)-COUNTIF(Janvier[25],CléMaladie)-COUNTIF(Janvier[25],CléFormation)-COUNTIF(Janvier[25],CléAbsencenonjustifiée)</f>
        <v>0</v>
      </c>
      <c r="AA27" s="39">
        <f>COUNTA(Janvier[26])-COUNTIF(Janvier[26],CléReposhebdomadaire)-COUNTIF(Janvier[26],CléCongé)-COUNTIF(Janvier[26],CléMaladie)-COUNTIF(Janvier[26],CléFormation)-COUNTIF(Janvier[26],CléAbsencenonjustifiée)</f>
        <v>0</v>
      </c>
      <c r="AB27" s="39">
        <f>COUNTA(Janvier[27])-COUNTIF(Janvier[27],CléReposhebdomadaire)-COUNTIF(Janvier[27],CléCongé)-COUNTIF(Janvier[27],CléMaladie)-COUNTIF(Janvier[27],CléFormation)-COUNTIF(Janvier[27],CléAbsencenonjustifiée)</f>
        <v>0</v>
      </c>
      <c r="AC27" s="39">
        <f>COUNTA(Janvier[28])-COUNTIF(Janvier[28],CléReposhebdomadaire)-COUNTIF(Janvier[28],CléCongé)-COUNTIF(Janvier[28],CléMaladie)-COUNTIF(Janvier[28],CléFormation)-COUNTIF(Janvier[28],CléAbsencenonjustifiée)</f>
        <v>0</v>
      </c>
      <c r="AD27" s="39">
        <f>COUNTA(Janvier[29])-COUNTIF(Janvier[29],CléReposhebdomadaire)-COUNTIF(Janvier[29],CléCongé)-COUNTIF(Janvier[29],CléMaladie)-COUNTIF(Janvier[29],CléFormation)-COUNTIF(Janvier[29],CléAbsencenonjustifiée)</f>
        <v>0</v>
      </c>
      <c r="AE27" s="39">
        <f>COUNTA(Janvier[30])-COUNTIF(Janvier[30],CléReposhebdomadaire)-COUNTIF(Janvier[30],CléCongé)-COUNTIF(Janvier[30],CléMaladie)-COUNTIF(Janvier[30],CléFormation)-COUNTIF(Janvier[30],CléAbsencenonjustifiée)</f>
        <v>0</v>
      </c>
      <c r="AF27" s="39">
        <f>COUNTA(Janvier[31])-COUNTIF(Janvier[31],CléReposhebdomadaire)-COUNTIF(Janvier[31],CléCongé)-COUNTIF(Janvier[31],CléMaladie)-COUNTIF(Janvier[31],CléFormation)-COUNTIF(Janvier[31],CléAbsencenonjustifiée)</f>
        <v>0</v>
      </c>
      <c r="AG27" s="40">
        <f ca="1">SUBTOTAL(109,Mars[Total des Heures effectuées])</f>
        <v>0</v>
      </c>
    </row>
  </sheetData>
  <mergeCells count="9">
    <mergeCell ref="A1:AG1"/>
    <mergeCell ref="A4:A5"/>
    <mergeCell ref="AG4:AG5"/>
    <mergeCell ref="B4:AF4"/>
    <mergeCell ref="R2:U2"/>
    <mergeCell ref="C2:F2"/>
    <mergeCell ref="H2:I2"/>
    <mergeCell ref="K2:M2"/>
    <mergeCell ref="O2:P2"/>
  </mergeCells>
  <conditionalFormatting sqref="B27:AF27">
    <cfRule type="dataBar" priority="11">
      <dataBar>
        <cfvo type="num" val="0"/>
        <cfvo type="num" val="31"/>
        <color theme="2" tint="-0.249977111117893"/>
      </dataBar>
      <extLst>
        <ext xmlns:x14="http://schemas.microsoft.com/office/spreadsheetml/2009/9/main" uri="{B025F937-C7B1-47D3-B67F-A62EFF666E3E}">
          <x14:id>{E0D1E1CF-7B60-455C-AABA-E46DD32E9B3A}</x14:id>
        </ext>
      </extLst>
    </cfRule>
  </conditionalFormatting>
  <conditionalFormatting sqref="B7:AF26">
    <cfRule type="cellIs" dxfId="389" priority="1" operator="equal">
      <formula>$Q$2</formula>
    </cfRule>
    <cfRule type="cellIs" dxfId="388" priority="2" operator="equal">
      <formula>$N$2</formula>
    </cfRule>
    <cfRule type="cellIs" dxfId="387" priority="3" operator="equal">
      <formula>$J$2</formula>
    </cfRule>
    <cfRule type="cellIs" dxfId="386" priority="4" operator="equal">
      <formula>$G$2</formula>
    </cfRule>
    <cfRule type="cellIs" dxfId="385" priority="5" operator="equal">
      <formula>$B$2</formula>
    </cfRule>
  </conditionalFormatting>
  <dataValidations count="12">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B5"/>
    <dataValidation allowBlank="1" showInputMessage="1" showErrorMessage="1" prompt="Année mise à jour automatiquement en fonction de l’année entrée dans la feuille de calcul Janvier" sqref="AG4"/>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A6"/>
    <dataValidation allowBlank="1" showInputMessage="1" showErrorMessage="1" prompt="Le titre mis à jour automatiquement figure dans cette cellule. Pour modifier le titre, mettez à jour la cellule B1 de la feuille de calcul Janvier" sqref="A1"/>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A4"/>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B6"/>
    <dataValidation allowBlank="1" showInputMessage="1" showErrorMessage="1" prompt="Cette ligne définit les clés utilisées dans le tableau : Repos hebdomadaire en C2, Congé en H2, Arrêt Maladie en K2, Formation en O2 et Absence non justifiée en R2_x000a_" sqref="A2"/>
    <dataValidation allowBlank="1" showInputMessage="1" showErrorMessage="1" prompt="« ABS» indique une absence pour cause d'Absence non justifiée" sqref="Q2"/>
    <dataValidation allowBlank="1" showInputMessage="1" showErrorMessage="1" prompt=" « AM » indique une absence pour cause d'Arrêt maladie" sqref="J2"/>
    <dataValidation allowBlank="1" showInputMessage="1" showErrorMessage="1" prompt=" « FO » indique une absence pour Formation" sqref="N2"/>
    <dataValidation allowBlank="1" showInputMessage="1" showErrorMessage="1" prompt="« CP» indique une absence pour cause de congé" sqref="G2"/>
    <dataValidation allowBlank="1" showInputMessage="1" showErrorMessage="1" prompt="Calcule automatiquement le nombre total des heures effectives d’un employé durant ce mois" sqref="AG6"/>
  </dataValidations>
  <pageMargins left="0.7" right="0.7" top="0.75" bottom="0.75" header="0.3" footer="0.3"/>
  <pageSetup paperSize="9" fitToHeight="0" orientation="portrait" verticalDpi="4294967293"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E0D1E1CF-7B60-455C-AABA-E46DD32E9B3A}">
            <x14:dataBar minLength="0" maxLength="100">
              <x14:cfvo type="num">
                <xm:f>0</xm:f>
              </x14:cfvo>
              <x14:cfvo type="num">
                <xm:f>31</xm:f>
              </x14:cfvo>
              <x14:negativeFillColor rgb="FFFF0000"/>
              <x14:axisColor rgb="FF000000"/>
            </x14:dataBar>
          </x14:cfRule>
          <xm:sqref>B27:AF27</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14:formula1>
            <xm:f>Paramétrage!$B$3:$B$22</xm:f>
          </x14:formula1>
          <xm:sqref>A7:A26</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0.499984740745262"/>
  </sheetPr>
  <dimension ref="A1:AG27"/>
  <sheetViews>
    <sheetView showGridLines="0" zoomScaleNormal="100" workbookViewId="0">
      <selection sqref="A1:XFD6"/>
    </sheetView>
  </sheetViews>
  <sheetFormatPr baseColWidth="10" defaultColWidth="9.109375" defaultRowHeight="30" customHeight="1" x14ac:dyDescent="0.3"/>
  <cols>
    <col min="1" max="1" width="20.44140625" style="30" customWidth="1"/>
    <col min="2" max="32" width="5.5546875" style="30" customWidth="1"/>
    <col min="33" max="33" width="12.44140625" style="30" customWidth="1"/>
    <col min="34" max="34" width="2.6640625" style="29" customWidth="1"/>
    <col min="35" max="16384" width="9.109375" style="29"/>
  </cols>
  <sheetData>
    <row r="1" spans="1:33" ht="25.8" x14ac:dyDescent="0.3">
      <c r="A1" s="58" t="str">
        <f>Titre_Absence_Employé</f>
        <v>PLANNING MENSUEL</v>
      </c>
      <c r="B1" s="58"/>
      <c r="C1" s="58"/>
      <c r="D1" s="58"/>
      <c r="E1" s="58"/>
      <c r="F1" s="58"/>
      <c r="G1" s="58"/>
      <c r="H1" s="58"/>
      <c r="I1" s="58"/>
      <c r="J1" s="58"/>
      <c r="K1" s="58"/>
      <c r="L1" s="58"/>
      <c r="M1" s="58"/>
      <c r="N1" s="58"/>
      <c r="O1" s="58"/>
      <c r="P1" s="58"/>
      <c r="Q1" s="58"/>
      <c r="R1" s="58"/>
      <c r="S1" s="58"/>
      <c r="T1" s="58"/>
      <c r="U1" s="58"/>
      <c r="V1" s="58"/>
      <c r="W1" s="58"/>
      <c r="X1" s="58"/>
      <c r="Y1" s="58"/>
      <c r="Z1" s="58"/>
      <c r="AA1" s="58"/>
      <c r="AB1" s="58"/>
      <c r="AC1" s="58"/>
      <c r="AD1" s="58"/>
      <c r="AE1" s="58"/>
      <c r="AF1" s="58"/>
      <c r="AG1" s="58"/>
    </row>
    <row r="2" spans="1:33" ht="12" x14ac:dyDescent="0.3">
      <c r="A2" s="41" t="s">
        <v>0</v>
      </c>
      <c r="B2" s="42" t="s">
        <v>88</v>
      </c>
      <c r="C2" s="57" t="s">
        <v>89</v>
      </c>
      <c r="D2" s="57"/>
      <c r="E2" s="57"/>
      <c r="F2" s="57"/>
      <c r="G2" s="9" t="s">
        <v>82</v>
      </c>
      <c r="H2" s="57" t="s">
        <v>9</v>
      </c>
      <c r="I2" s="57"/>
      <c r="J2" s="43" t="s">
        <v>84</v>
      </c>
      <c r="K2" s="57" t="s">
        <v>85</v>
      </c>
      <c r="L2" s="57"/>
      <c r="M2" s="57"/>
      <c r="N2" s="11" t="s">
        <v>60</v>
      </c>
      <c r="O2" s="57" t="s">
        <v>83</v>
      </c>
      <c r="P2" s="57"/>
      <c r="Q2" s="44" t="s">
        <v>86</v>
      </c>
      <c r="R2" s="57" t="s">
        <v>87</v>
      </c>
      <c r="S2" s="57"/>
      <c r="T2" s="57"/>
      <c r="U2" s="57"/>
    </row>
    <row r="3" spans="1:33" ht="12" x14ac:dyDescent="0.3">
      <c r="AG3" s="31"/>
    </row>
    <row r="4" spans="1:33" ht="25.8" x14ac:dyDescent="0.3">
      <c r="A4" s="59" t="s">
        <v>50</v>
      </c>
      <c r="B4" s="59" t="s">
        <v>109</v>
      </c>
      <c r="C4" s="59"/>
      <c r="D4" s="59"/>
      <c r="E4" s="59"/>
      <c r="F4" s="59"/>
      <c r="G4" s="59"/>
      <c r="H4" s="59"/>
      <c r="I4" s="59"/>
      <c r="J4" s="59"/>
      <c r="K4" s="59"/>
      <c r="L4" s="59"/>
      <c r="M4" s="59"/>
      <c r="N4" s="59"/>
      <c r="O4" s="59"/>
      <c r="P4" s="59"/>
      <c r="Q4" s="59"/>
      <c r="R4" s="59"/>
      <c r="S4" s="59"/>
      <c r="T4" s="59"/>
      <c r="U4" s="59"/>
      <c r="V4" s="59"/>
      <c r="W4" s="59"/>
      <c r="X4" s="59"/>
      <c r="Y4" s="59"/>
      <c r="Z4" s="59"/>
      <c r="AA4" s="59"/>
      <c r="AB4" s="59"/>
      <c r="AC4" s="59"/>
      <c r="AD4" s="59"/>
      <c r="AE4" s="59"/>
      <c r="AF4" s="59"/>
      <c r="AG4" s="59">
        <f>AnnéeCalendrier</f>
        <v>2023</v>
      </c>
    </row>
    <row r="5" spans="1:33" ht="12" x14ac:dyDescent="0.3">
      <c r="A5" s="59"/>
      <c r="B5" s="47" t="str">
        <f>TEXT(WEEKDAY(DATE(AnnéeCalendrier,9,1),1),"jjj")</f>
        <v>ven</v>
      </c>
      <c r="C5" s="32" t="str">
        <f>TEXT(WEEKDAY(DATE(AnnéeCalendrier,9,2),1),"jjj")</f>
        <v>sam</v>
      </c>
      <c r="D5" s="32" t="str">
        <f>TEXT(WEEKDAY(DATE(AnnéeCalendrier,9,3),1),"jjj")</f>
        <v>dim</v>
      </c>
      <c r="E5" s="32" t="str">
        <f>TEXT(WEEKDAY(DATE(AnnéeCalendrier,9,4),1),"jjj")</f>
        <v>lun</v>
      </c>
      <c r="F5" s="32" t="str">
        <f>TEXT(WEEKDAY(DATE(AnnéeCalendrier,9,5),1),"jjj")</f>
        <v>mar</v>
      </c>
      <c r="G5" s="32" t="str">
        <f>TEXT(WEEKDAY(DATE(AnnéeCalendrier,9,6),1),"jjj")</f>
        <v>mer</v>
      </c>
      <c r="H5" s="32" t="str">
        <f>TEXT(WEEKDAY(DATE(AnnéeCalendrier,9,7),1),"jjj")</f>
        <v>jeu</v>
      </c>
      <c r="I5" s="32" t="str">
        <f>TEXT(WEEKDAY(DATE(AnnéeCalendrier,9,8),1),"jjj")</f>
        <v>ven</v>
      </c>
      <c r="J5" s="32" t="str">
        <f>TEXT(WEEKDAY(DATE(AnnéeCalendrier,9,9),1),"jjj")</f>
        <v>sam</v>
      </c>
      <c r="K5" s="32" t="str">
        <f>TEXT(WEEKDAY(DATE(AnnéeCalendrier,9,10),1),"jjj")</f>
        <v>dim</v>
      </c>
      <c r="L5" s="32" t="str">
        <f>TEXT(WEEKDAY(DATE(AnnéeCalendrier,9,11),1),"jjj")</f>
        <v>lun</v>
      </c>
      <c r="M5" s="32" t="str">
        <f>TEXT(WEEKDAY(DATE(AnnéeCalendrier,9,12),1),"jjj")</f>
        <v>mar</v>
      </c>
      <c r="N5" s="32" t="str">
        <f>TEXT(WEEKDAY(DATE(AnnéeCalendrier,9,13),1),"jjj")</f>
        <v>mer</v>
      </c>
      <c r="O5" s="32" t="str">
        <f>TEXT(WEEKDAY(DATE(AnnéeCalendrier,9,14),1),"jjj")</f>
        <v>jeu</v>
      </c>
      <c r="P5" s="32" t="str">
        <f>TEXT(WEEKDAY(DATE(AnnéeCalendrier,9,15),1),"jjj")</f>
        <v>ven</v>
      </c>
      <c r="Q5" s="32" t="str">
        <f>TEXT(WEEKDAY(DATE(AnnéeCalendrier,9,16),1),"jjj")</f>
        <v>sam</v>
      </c>
      <c r="R5" s="32" t="str">
        <f>TEXT(WEEKDAY(DATE(AnnéeCalendrier,9,17),1),"jjj")</f>
        <v>dim</v>
      </c>
      <c r="S5" s="32" t="str">
        <f>TEXT(WEEKDAY(DATE(AnnéeCalendrier,9,18),1),"jjj")</f>
        <v>lun</v>
      </c>
      <c r="T5" s="32" t="str">
        <f>TEXT(WEEKDAY(DATE(AnnéeCalendrier,9,19),1),"jjj")</f>
        <v>mar</v>
      </c>
      <c r="U5" s="32" t="str">
        <f>TEXT(WEEKDAY(DATE(AnnéeCalendrier,9,20),1),"jjj")</f>
        <v>mer</v>
      </c>
      <c r="V5" s="32" t="str">
        <f>TEXT(WEEKDAY(DATE(AnnéeCalendrier,9,21),1),"jjj")</f>
        <v>jeu</v>
      </c>
      <c r="W5" s="32" t="str">
        <f>TEXT(WEEKDAY(DATE(AnnéeCalendrier,9,22),1),"jjj")</f>
        <v>ven</v>
      </c>
      <c r="X5" s="32" t="str">
        <f>TEXT(WEEKDAY(DATE(AnnéeCalendrier,9,23),1),"jjj")</f>
        <v>sam</v>
      </c>
      <c r="Y5" s="32" t="str">
        <f>TEXT(WEEKDAY(DATE(AnnéeCalendrier,9,24),1),"jjj")</f>
        <v>dim</v>
      </c>
      <c r="Z5" s="32" t="str">
        <f>TEXT(WEEKDAY(DATE(AnnéeCalendrier,9,25),1),"jjj")</f>
        <v>lun</v>
      </c>
      <c r="AA5" s="32" t="str">
        <f>TEXT(WEEKDAY(DATE(AnnéeCalendrier,9,26),1),"jjj")</f>
        <v>mar</v>
      </c>
      <c r="AB5" s="32" t="str">
        <f>TEXT(WEEKDAY(DATE(AnnéeCalendrier,9,27),1),"jjj")</f>
        <v>mer</v>
      </c>
      <c r="AC5" s="32" t="str">
        <f>TEXT(WEEKDAY(DATE(AnnéeCalendrier,9,28),1),"jjj")</f>
        <v>jeu</v>
      </c>
      <c r="AD5" s="32" t="str">
        <f>TEXT(WEEKDAY(DATE(AnnéeCalendrier,9,29),1),"jjj")</f>
        <v>ven</v>
      </c>
      <c r="AE5" s="32" t="str">
        <f>TEXT(WEEKDAY(DATE(AnnéeCalendrier,9,30),1),"jjj")</f>
        <v>sam</v>
      </c>
      <c r="AF5" s="32"/>
      <c r="AG5" s="59"/>
    </row>
    <row r="6" spans="1:33" ht="24" x14ac:dyDescent="0.3">
      <c r="A6" s="45" t="s">
        <v>2</v>
      </c>
      <c r="B6" s="46" t="s">
        <v>8</v>
      </c>
      <c r="C6" s="46" t="s">
        <v>10</v>
      </c>
      <c r="D6" s="46" t="s">
        <v>11</v>
      </c>
      <c r="E6" s="46" t="s">
        <v>12</v>
      </c>
      <c r="F6" s="46" t="s">
        <v>13</v>
      </c>
      <c r="G6" s="46" t="s">
        <v>14</v>
      </c>
      <c r="H6" s="46" t="s">
        <v>15</v>
      </c>
      <c r="I6" s="46" t="s">
        <v>16</v>
      </c>
      <c r="J6" s="46" t="s">
        <v>17</v>
      </c>
      <c r="K6" s="46" t="s">
        <v>18</v>
      </c>
      <c r="L6" s="46" t="s">
        <v>19</v>
      </c>
      <c r="M6" s="46" t="s">
        <v>20</v>
      </c>
      <c r="N6" s="46" t="s">
        <v>21</v>
      </c>
      <c r="O6" s="46" t="s">
        <v>22</v>
      </c>
      <c r="P6" s="46" t="s">
        <v>23</v>
      </c>
      <c r="Q6" s="46" t="s">
        <v>24</v>
      </c>
      <c r="R6" s="46" t="s">
        <v>25</v>
      </c>
      <c r="S6" s="46" t="s">
        <v>26</v>
      </c>
      <c r="T6" s="46" t="s">
        <v>27</v>
      </c>
      <c r="U6" s="46" t="s">
        <v>28</v>
      </c>
      <c r="V6" s="46" t="s">
        <v>29</v>
      </c>
      <c r="W6" s="46" t="s">
        <v>30</v>
      </c>
      <c r="X6" s="46" t="s">
        <v>31</v>
      </c>
      <c r="Y6" s="46" t="s">
        <v>32</v>
      </c>
      <c r="Z6" s="46" t="s">
        <v>33</v>
      </c>
      <c r="AA6" s="46" t="s">
        <v>34</v>
      </c>
      <c r="AB6" s="46" t="s">
        <v>35</v>
      </c>
      <c r="AC6" s="46" t="s">
        <v>36</v>
      </c>
      <c r="AD6" s="46" t="s">
        <v>37</v>
      </c>
      <c r="AE6" s="46" t="s">
        <v>38</v>
      </c>
      <c r="AF6" s="46" t="s">
        <v>42</v>
      </c>
      <c r="AG6" s="35" t="s">
        <v>107</v>
      </c>
    </row>
    <row r="7" spans="1:33" ht="15" customHeight="1" x14ac:dyDescent="0.3">
      <c r="A7" s="36" t="s">
        <v>3</v>
      </c>
      <c r="B7" s="34"/>
      <c r="C7" s="34"/>
      <c r="D7" s="34"/>
      <c r="E7" s="34"/>
      <c r="F7" s="34"/>
      <c r="G7" s="34"/>
      <c r="H7" s="34"/>
      <c r="I7" s="34"/>
      <c r="J7" s="34"/>
      <c r="K7" s="34"/>
      <c r="L7" s="34"/>
      <c r="M7" s="34"/>
      <c r="N7" s="34"/>
      <c r="O7" s="34"/>
      <c r="P7" s="34"/>
      <c r="Q7" s="34"/>
      <c r="R7" s="34"/>
      <c r="S7" s="34"/>
      <c r="T7" s="34"/>
      <c r="U7" s="34"/>
      <c r="V7" s="34"/>
      <c r="W7" s="34"/>
      <c r="X7" s="34"/>
      <c r="Y7" s="34"/>
      <c r="Z7" s="34"/>
      <c r="AA7" s="34"/>
      <c r="AB7" s="34"/>
      <c r="AC7" s="34"/>
      <c r="AD7" s="34"/>
      <c r="AE7" s="34"/>
      <c r="AF7" s="34"/>
      <c r="AG7" s="18">
        <f>COUNTIF(Janvier[[#This Row],[1]:[31]],Paramétrage!G3)*Paramétrage!I3+COUNTIF(Janvier[[#This Row],[1]:[31]],Paramétrage!G4)*Paramétrage!I4+COUNTIF(Janvier[[#This Row],[1]:[31]],Paramétrage!G5)*Paramétrage!I5+COUNTIF(Janvier[[#This Row],[1]:[31]],Paramétrage!G6)*Paramétrage!I6+COUNTIF(Janvier[[#This Row],[1]:[31]],Paramétrage!G7)*Paramétrage!I7+COUNTIF(Janvier[[#This Row],[1]:[31]],Paramétrage!G8)*Paramétrage!I8+COUNTIF(Janvier[[#This Row],[1]:[31]],Paramétrage!G9)*Paramétrage!I9+COUNTIF(Janvier[[#This Row],[1]:[31]],Paramétrage!G10)*Paramétrage!I10+COUNTIF(Janvier[[#This Row],[1]:[31]],Paramétrage!G11)*Paramétrage!I11+COUNTIF(Janvier[[#This Row],[1]:[31]],Paramétrage!G12)*Paramétrage!I12+COUNTIF(Janvier[[#This Row],[1]:[31]],Paramétrage!G13)*Paramétrage!I13+COUNTIF(Janvier[[#This Row],[1]:[31]],Paramétrage!G14*Paramétrage!I14+COUNTIF(Janvier[[#This Row],[1]:[31]],Paramétrage!G15)*Paramétrage!I15+COUNTIF(Janvier[[#This Row],[1]:[31]],Paramétrage!G16)*Paramétrage!I16)</f>
        <v>0</v>
      </c>
    </row>
    <row r="8" spans="1:33" ht="15" customHeight="1" x14ac:dyDescent="0.3">
      <c r="A8" s="36" t="s">
        <v>4</v>
      </c>
      <c r="B8" s="34"/>
      <c r="C8" s="34"/>
      <c r="D8" s="34"/>
      <c r="E8" s="34"/>
      <c r="F8" s="34"/>
      <c r="G8" s="34"/>
      <c r="H8" s="34"/>
      <c r="I8" s="34"/>
      <c r="J8" s="34"/>
      <c r="K8" s="34"/>
      <c r="L8" s="34"/>
      <c r="M8" s="34"/>
      <c r="N8" s="34"/>
      <c r="O8" s="34"/>
      <c r="P8" s="34"/>
      <c r="Q8" s="34"/>
      <c r="R8" s="34"/>
      <c r="S8" s="34"/>
      <c r="T8" s="34"/>
      <c r="U8" s="34"/>
      <c r="V8" s="34"/>
      <c r="W8" s="34"/>
      <c r="X8" s="34"/>
      <c r="Y8" s="34"/>
      <c r="Z8" s="34"/>
      <c r="AA8" s="34"/>
      <c r="AB8" s="34"/>
      <c r="AC8" s="34"/>
      <c r="AD8" s="34"/>
      <c r="AE8" s="34"/>
      <c r="AF8" s="34"/>
      <c r="AG8" s="18">
        <f>COUNTIF(Janvier[[#This Row],[1]:[31]],Paramétrage!G4)*Paramétrage!I4+COUNTIF(Janvier[[#This Row],[1]:[31]],Paramétrage!G5)*Paramétrage!I5+COUNTIF(Janvier[[#This Row],[1]:[31]],Paramétrage!G6)*Paramétrage!I6+COUNTIF(Janvier[[#This Row],[1]:[31]],Paramétrage!G7)*Paramétrage!I7+COUNTIF(Janvier[[#This Row],[1]:[31]],Paramétrage!G8)*Paramétrage!I8+COUNTIF(Janvier[[#This Row],[1]:[31]],Paramétrage!G9)*Paramétrage!I9+COUNTIF(Janvier[[#This Row],[1]:[31]],Paramétrage!G10)*Paramétrage!I10+COUNTIF(Janvier[[#This Row],[1]:[31]],Paramétrage!G11)*Paramétrage!I11+COUNTIF(Janvier[[#This Row],[1]:[31]],Paramétrage!G12)*Paramétrage!I12+COUNTIF(Janvier[[#This Row],[1]:[31]],Paramétrage!G13)*Paramétrage!I13+COUNTIF(Janvier[[#This Row],[1]:[31]],Paramétrage!G14)*Paramétrage!I14+COUNTIF(Janvier[[#This Row],[1]:[31]],Paramétrage!G15*Paramétrage!I15+COUNTIF(Janvier[[#This Row],[1]:[31]],Paramétrage!G16)*Paramétrage!I16+COUNTIF(Janvier[[#This Row],[1]:[31]],Paramétrage!G17)*Paramétrage!I17)</f>
        <v>0</v>
      </c>
    </row>
    <row r="9" spans="1:33" ht="15" customHeight="1" x14ac:dyDescent="0.3">
      <c r="A9" s="36" t="s">
        <v>5</v>
      </c>
      <c r="B9" s="34"/>
      <c r="C9" s="34"/>
      <c r="D9" s="34"/>
      <c r="E9" s="34"/>
      <c r="F9" s="34"/>
      <c r="G9" s="34"/>
      <c r="H9" s="34"/>
      <c r="I9" s="34"/>
      <c r="J9" s="34"/>
      <c r="K9" s="34"/>
      <c r="L9" s="34"/>
      <c r="M9" s="34"/>
      <c r="N9" s="34"/>
      <c r="O9" s="34"/>
      <c r="P9" s="34"/>
      <c r="Q9" s="34"/>
      <c r="R9" s="34"/>
      <c r="S9" s="34"/>
      <c r="T9" s="34"/>
      <c r="U9" s="34"/>
      <c r="V9" s="34"/>
      <c r="W9" s="34"/>
      <c r="X9" s="34"/>
      <c r="Y9" s="34"/>
      <c r="Z9" s="34"/>
      <c r="AA9" s="34"/>
      <c r="AB9" s="34"/>
      <c r="AC9" s="34"/>
      <c r="AD9" s="34"/>
      <c r="AE9" s="34"/>
      <c r="AF9" s="34"/>
      <c r="AG9" s="18">
        <f>COUNTIF(Janvier[[#This Row],[1]:[31]],Paramétrage!G5)*Paramétrage!I5+COUNTIF(Janvier[[#This Row],[1]:[31]],Paramétrage!G6)*Paramétrage!I6+COUNTIF(Janvier[[#This Row],[1]:[31]],Paramétrage!G7)*Paramétrage!I7+COUNTIF(Janvier[[#This Row],[1]:[31]],Paramétrage!G8)*Paramétrage!I8+COUNTIF(Janvier[[#This Row],[1]:[31]],Paramétrage!G9)*Paramétrage!I9+COUNTIF(Janvier[[#This Row],[1]:[31]],Paramétrage!G10)*Paramétrage!I10+COUNTIF(Janvier[[#This Row],[1]:[31]],Paramétrage!G11)*Paramétrage!I11+COUNTIF(Janvier[[#This Row],[1]:[31]],Paramétrage!G12)*Paramétrage!I12+COUNTIF(Janvier[[#This Row],[1]:[31]],Paramétrage!G13)*Paramétrage!I13+COUNTIF(Janvier[[#This Row],[1]:[31]],Paramétrage!G14)*Paramétrage!I14+COUNTIF(Janvier[[#This Row],[1]:[31]],Paramétrage!G15)*Paramétrage!I15+COUNTIF(Janvier[[#This Row],[1]:[31]],Paramétrage!G16*Paramétrage!I16+COUNTIF(Janvier[[#This Row],[1]:[31]],Paramétrage!G17)*Paramétrage!I17+COUNTIF(Janvier[[#This Row],[1]:[31]],Paramétrage!G18)*Paramétrage!I18)</f>
        <v>0</v>
      </c>
    </row>
    <row r="10" spans="1:33" ht="15" customHeight="1" x14ac:dyDescent="0.3">
      <c r="A10" s="36" t="s">
        <v>6</v>
      </c>
      <c r="B10" s="34"/>
      <c r="C10" s="34"/>
      <c r="D10" s="34"/>
      <c r="E10" s="34"/>
      <c r="F10" s="34"/>
      <c r="G10" s="34"/>
      <c r="H10" s="34"/>
      <c r="I10" s="34"/>
      <c r="J10" s="34"/>
      <c r="K10" s="34"/>
      <c r="L10" s="34"/>
      <c r="M10" s="34"/>
      <c r="N10" s="34"/>
      <c r="O10" s="34"/>
      <c r="P10" s="34"/>
      <c r="Q10" s="34"/>
      <c r="R10" s="34"/>
      <c r="S10" s="34"/>
      <c r="T10" s="34"/>
      <c r="U10" s="34"/>
      <c r="V10" s="34"/>
      <c r="W10" s="34"/>
      <c r="X10" s="34"/>
      <c r="Y10" s="34"/>
      <c r="Z10" s="34"/>
      <c r="AA10" s="34"/>
      <c r="AB10" s="34"/>
      <c r="AC10" s="34"/>
      <c r="AD10" s="34"/>
      <c r="AE10" s="34"/>
      <c r="AF10" s="34"/>
      <c r="AG10" s="18">
        <f>COUNTIF(Janvier[[#This Row],[1]:[31]],Paramétrage!G6)*Paramétrage!I6+COUNTIF(Janvier[[#This Row],[1]:[31]],Paramétrage!G7)*Paramétrage!I7+COUNTIF(Janvier[[#This Row],[1]:[31]],Paramétrage!G8)*Paramétrage!I8+COUNTIF(Janvier[[#This Row],[1]:[31]],Paramétrage!G9)*Paramétrage!I9+COUNTIF(Janvier[[#This Row],[1]:[31]],Paramétrage!G10)*Paramétrage!I10+COUNTIF(Janvier[[#This Row],[1]:[31]],Paramétrage!G11)*Paramétrage!I11+COUNTIF(Janvier[[#This Row],[1]:[31]],Paramétrage!G12)*Paramétrage!I12+COUNTIF(Janvier[[#This Row],[1]:[31]],Paramétrage!G13)*Paramétrage!I13+COUNTIF(Janvier[[#This Row],[1]:[31]],Paramétrage!G14)*Paramétrage!I14+COUNTIF(Janvier[[#This Row],[1]:[31]],Paramétrage!G15)*Paramétrage!I15+COUNTIF(Janvier[[#This Row],[1]:[31]],Paramétrage!G16)*Paramétrage!I16+COUNTIF(Janvier[[#This Row],[1]:[31]],Paramétrage!G17*Paramétrage!I17+COUNTIF(Janvier[[#This Row],[1]:[31]],Paramétrage!G18)*Paramétrage!I18+COUNTIF(Janvier[[#This Row],[1]:[31]],Paramétrage!G19)*Paramétrage!I19)</f>
        <v>0</v>
      </c>
    </row>
    <row r="11" spans="1:33" ht="15" customHeight="1" x14ac:dyDescent="0.3">
      <c r="A11" s="36" t="s">
        <v>7</v>
      </c>
      <c r="B11" s="34"/>
      <c r="C11" s="34"/>
      <c r="D11" s="34"/>
      <c r="E11" s="34"/>
      <c r="F11" s="34"/>
      <c r="G11" s="34"/>
      <c r="H11" s="34"/>
      <c r="I11" s="34"/>
      <c r="J11" s="34"/>
      <c r="K11" s="34"/>
      <c r="L11" s="34"/>
      <c r="M11" s="34"/>
      <c r="N11" s="34"/>
      <c r="O11" s="34"/>
      <c r="P11" s="34"/>
      <c r="Q11" s="34"/>
      <c r="R11" s="34"/>
      <c r="S11" s="34"/>
      <c r="T11" s="34"/>
      <c r="U11" s="34"/>
      <c r="V11" s="34"/>
      <c r="W11" s="34"/>
      <c r="X11" s="34"/>
      <c r="Y11" s="34"/>
      <c r="Z11" s="34"/>
      <c r="AA11" s="34"/>
      <c r="AB11" s="34"/>
      <c r="AC11" s="34"/>
      <c r="AD11" s="34"/>
      <c r="AE11" s="34"/>
      <c r="AF11" s="34"/>
      <c r="AG11" s="18">
        <f>COUNTIF(Janvier[[#This Row],[1]:[31]],Paramétrage!G7)*Paramétrage!I7+COUNTIF(Janvier[[#This Row],[1]:[31]],Paramétrage!G8)*Paramétrage!I8+COUNTIF(Janvier[[#This Row],[1]:[31]],Paramétrage!G9)*Paramétrage!I9+COUNTIF(Janvier[[#This Row],[1]:[31]],Paramétrage!G10)*Paramétrage!I10+COUNTIF(Janvier[[#This Row],[1]:[31]],Paramétrage!G11)*Paramétrage!I11+COUNTIF(Janvier[[#This Row],[1]:[31]],Paramétrage!G12)*Paramétrage!I12+COUNTIF(Janvier[[#This Row],[1]:[31]],Paramétrage!G13)*Paramétrage!I13+COUNTIF(Janvier[[#This Row],[1]:[31]],Paramétrage!G14)*Paramétrage!I14+COUNTIF(Janvier[[#This Row],[1]:[31]],Paramétrage!G15)*Paramétrage!I15+COUNTIF(Janvier[[#This Row],[1]:[31]],Paramétrage!G16)*Paramétrage!I16+COUNTIF(Janvier[[#This Row],[1]:[31]],Paramétrage!G17)*Paramétrage!I17+COUNTIF(Janvier[[#This Row],[1]:[31]],Paramétrage!G18*Paramétrage!I18+COUNTIF(Janvier[[#This Row],[1]:[31]],Paramétrage!G19)*Paramétrage!I19+COUNTIF(Janvier[[#This Row],[1]:[31]],Paramétrage!G20)*Paramétrage!I20)</f>
        <v>0</v>
      </c>
    </row>
    <row r="12" spans="1:33" ht="15" customHeight="1" x14ac:dyDescent="0.3">
      <c r="A12" s="36" t="s">
        <v>55</v>
      </c>
      <c r="B12" s="34"/>
      <c r="C12" s="34"/>
      <c r="D12" s="34"/>
      <c r="E12" s="34"/>
      <c r="F12" s="34"/>
      <c r="G12" s="34"/>
      <c r="H12" s="34"/>
      <c r="I12" s="34"/>
      <c r="J12" s="34"/>
      <c r="K12" s="34"/>
      <c r="L12" s="34"/>
      <c r="M12" s="34"/>
      <c r="N12" s="34"/>
      <c r="O12" s="34"/>
      <c r="P12" s="34"/>
      <c r="Q12" s="34"/>
      <c r="R12" s="34"/>
      <c r="S12" s="34"/>
      <c r="T12" s="34"/>
      <c r="U12" s="34"/>
      <c r="V12" s="34"/>
      <c r="W12" s="34"/>
      <c r="X12" s="34"/>
      <c r="Y12" s="34"/>
      <c r="Z12" s="34"/>
      <c r="AA12" s="34"/>
      <c r="AB12" s="34"/>
      <c r="AC12" s="34"/>
      <c r="AD12" s="34"/>
      <c r="AE12" s="34"/>
      <c r="AF12" s="34"/>
      <c r="AG12" s="18">
        <f>COUNTIF(Janvier[[#This Row],[1]:[31]],Paramétrage!G8)*Paramétrage!I8+COUNTIF(Janvier[[#This Row],[1]:[31]],Paramétrage!G9)*Paramétrage!I9+COUNTIF(Janvier[[#This Row],[1]:[31]],Paramétrage!G10)*Paramétrage!I10+COUNTIF(Janvier[[#This Row],[1]:[31]],Paramétrage!G11)*Paramétrage!I11+COUNTIF(Janvier[[#This Row],[1]:[31]],Paramétrage!G12)*Paramétrage!I12+COUNTIF(Janvier[[#This Row],[1]:[31]],Paramétrage!G13)*Paramétrage!I13+COUNTIF(Janvier[[#This Row],[1]:[31]],Paramétrage!G14)*Paramétrage!I14+COUNTIF(Janvier[[#This Row],[1]:[31]],Paramétrage!G15)*Paramétrage!I15+COUNTIF(Janvier[[#This Row],[1]:[31]],Paramétrage!G16)*Paramétrage!I16+COUNTIF(Janvier[[#This Row],[1]:[31]],Paramétrage!G17)*Paramétrage!I17+COUNTIF(Janvier[[#This Row],[1]:[31]],Paramétrage!G18)*Paramétrage!I18+COUNTIF(Janvier[[#This Row],[1]:[31]],Paramétrage!G19*Paramétrage!I19+COUNTIF(Janvier[[#This Row],[1]:[31]],Paramétrage!G20)*Paramétrage!I20+COUNTIF(Janvier[[#This Row],[1]:[31]],Paramétrage!G21)*Paramétrage!I21)</f>
        <v>0</v>
      </c>
    </row>
    <row r="13" spans="1:33" ht="15" customHeight="1" x14ac:dyDescent="0.3">
      <c r="A13" s="36" t="s">
        <v>56</v>
      </c>
      <c r="B13" s="34"/>
      <c r="C13" s="34"/>
      <c r="D13" s="34"/>
      <c r="E13" s="34"/>
      <c r="F13" s="34"/>
      <c r="G13" s="34"/>
      <c r="H13" s="34"/>
      <c r="I13" s="34"/>
      <c r="J13" s="34"/>
      <c r="K13" s="34"/>
      <c r="L13" s="34"/>
      <c r="M13" s="34"/>
      <c r="N13" s="34"/>
      <c r="O13" s="34"/>
      <c r="P13" s="34"/>
      <c r="Q13" s="34"/>
      <c r="R13" s="34"/>
      <c r="S13" s="34"/>
      <c r="T13" s="34"/>
      <c r="U13" s="34"/>
      <c r="V13" s="34"/>
      <c r="W13" s="34"/>
      <c r="X13" s="34"/>
      <c r="Y13" s="34"/>
      <c r="Z13" s="34"/>
      <c r="AA13" s="34"/>
      <c r="AB13" s="34"/>
      <c r="AC13" s="34"/>
      <c r="AD13" s="34"/>
      <c r="AE13" s="34"/>
      <c r="AF13" s="34"/>
      <c r="AG13" s="18">
        <f>COUNTIF(Janvier[[#This Row],[1]:[31]],Paramétrage!G9)*Paramétrage!I9+COUNTIF(Janvier[[#This Row],[1]:[31]],Paramétrage!G10)*Paramétrage!I10+COUNTIF(Janvier[[#This Row],[1]:[31]],Paramétrage!G11)*Paramétrage!I11+COUNTIF(Janvier[[#This Row],[1]:[31]],Paramétrage!G12)*Paramétrage!I12+COUNTIF(Janvier[[#This Row],[1]:[31]],Paramétrage!G13)*Paramétrage!I13+COUNTIF(Janvier[[#This Row],[1]:[31]],Paramétrage!G14)*Paramétrage!I14+COUNTIF(Janvier[[#This Row],[1]:[31]],Paramétrage!G15)*Paramétrage!I15+COUNTIF(Janvier[[#This Row],[1]:[31]],Paramétrage!G16)*Paramétrage!I16+COUNTIF(Janvier[[#This Row],[1]:[31]],Paramétrage!G17)*Paramétrage!I17+COUNTIF(Janvier[[#This Row],[1]:[31]],Paramétrage!G18)*Paramétrage!I18+COUNTIF(Janvier[[#This Row],[1]:[31]],Paramétrage!G19)*Paramétrage!I19+COUNTIF(Janvier[[#This Row],[1]:[31]],Paramétrage!G20*Paramétrage!I20+COUNTIF(Janvier[[#This Row],[1]:[31]],Paramétrage!G21)*Paramétrage!I21+COUNTIF(Janvier[[#This Row],[1]:[31]],Paramétrage!G22)*Paramétrage!I22)</f>
        <v>0</v>
      </c>
    </row>
    <row r="14" spans="1:33" ht="15" customHeight="1" x14ac:dyDescent="0.3">
      <c r="A14" s="36" t="s">
        <v>57</v>
      </c>
      <c r="B14" s="34"/>
      <c r="C14" s="34"/>
      <c r="D14" s="34"/>
      <c r="E14" s="34"/>
      <c r="F14" s="34"/>
      <c r="G14" s="34"/>
      <c r="H14" s="34"/>
      <c r="I14" s="34"/>
      <c r="J14" s="34"/>
      <c r="K14" s="34"/>
      <c r="L14" s="34"/>
      <c r="M14" s="34"/>
      <c r="N14" s="34"/>
      <c r="O14" s="34"/>
      <c r="P14" s="34"/>
      <c r="Q14" s="34"/>
      <c r="R14" s="34"/>
      <c r="S14" s="34"/>
      <c r="T14" s="34"/>
      <c r="U14" s="34"/>
      <c r="V14" s="34"/>
      <c r="W14" s="34"/>
      <c r="X14" s="34"/>
      <c r="Y14" s="34"/>
      <c r="Z14" s="34"/>
      <c r="AA14" s="34"/>
      <c r="AB14" s="34"/>
      <c r="AC14" s="34"/>
      <c r="AD14" s="34"/>
      <c r="AE14" s="34"/>
      <c r="AF14" s="34"/>
      <c r="AG14" s="18">
        <f>COUNTIF(Janvier[[#This Row],[1]:[31]],Paramétrage!G10)*Paramétrage!I10+COUNTIF(Janvier[[#This Row],[1]:[31]],Paramétrage!G11)*Paramétrage!I11+COUNTIF(Janvier[[#This Row],[1]:[31]],Paramétrage!G12)*Paramétrage!I12+COUNTIF(Janvier[[#This Row],[1]:[31]],Paramétrage!G13)*Paramétrage!I13+COUNTIF(Janvier[[#This Row],[1]:[31]],Paramétrage!G14)*Paramétrage!I14+COUNTIF(Janvier[[#This Row],[1]:[31]],Paramétrage!G15)*Paramétrage!I15+COUNTIF(Janvier[[#This Row],[1]:[31]],Paramétrage!G16)*Paramétrage!I16+COUNTIF(Janvier[[#This Row],[1]:[31]],Paramétrage!G17)*Paramétrage!I17+COUNTIF(Janvier[[#This Row],[1]:[31]],Paramétrage!G18)*Paramétrage!I18+COUNTIF(Janvier[[#This Row],[1]:[31]],Paramétrage!G19)*Paramétrage!I19+COUNTIF(Janvier[[#This Row],[1]:[31]],Paramétrage!G20)*Paramétrage!I20+COUNTIF(Janvier[[#This Row],[1]:[31]],Paramétrage!G21*Paramétrage!I21+COUNTIF(Janvier[[#This Row],[1]:[31]],Paramétrage!G22)*Paramétrage!I22+COUNTIF(Janvier[[#This Row],[1]:[31]],Paramétrage!G23)*Paramétrage!I23)</f>
        <v>0</v>
      </c>
    </row>
    <row r="15" spans="1:33" ht="15" customHeight="1" x14ac:dyDescent="0.3">
      <c r="A15" s="36" t="s">
        <v>61</v>
      </c>
      <c r="B15" s="34"/>
      <c r="C15" s="34"/>
      <c r="D15" s="34"/>
      <c r="E15" s="34"/>
      <c r="F15" s="34"/>
      <c r="G15" s="34"/>
      <c r="H15" s="34"/>
      <c r="I15" s="34"/>
      <c r="J15" s="34"/>
      <c r="K15" s="34"/>
      <c r="L15" s="34"/>
      <c r="M15" s="34"/>
      <c r="N15" s="34"/>
      <c r="O15" s="34"/>
      <c r="P15" s="34"/>
      <c r="Q15" s="34"/>
      <c r="R15" s="34"/>
      <c r="S15" s="34"/>
      <c r="T15" s="34"/>
      <c r="U15" s="34"/>
      <c r="V15" s="34"/>
      <c r="W15" s="34"/>
      <c r="X15" s="34"/>
      <c r="Y15" s="34"/>
      <c r="Z15" s="34"/>
      <c r="AA15" s="34"/>
      <c r="AB15" s="34"/>
      <c r="AC15" s="34"/>
      <c r="AD15" s="34"/>
      <c r="AE15" s="34"/>
      <c r="AF15" s="34"/>
      <c r="AG15" s="18">
        <f>COUNTIF(Janvier[[#This Row],[1]:[31]],Paramétrage!G11)*Paramétrage!I11+COUNTIF(Janvier[[#This Row],[1]:[31]],Paramétrage!G12)*Paramétrage!I12+COUNTIF(Janvier[[#This Row],[1]:[31]],Paramétrage!G13)*Paramétrage!I13+COUNTIF(Janvier[[#This Row],[1]:[31]],Paramétrage!G14)*Paramétrage!I14+COUNTIF(Janvier[[#This Row],[1]:[31]],Paramétrage!G15)*Paramétrage!I15+COUNTIF(Janvier[[#This Row],[1]:[31]],Paramétrage!G16)*Paramétrage!I16+COUNTIF(Janvier[[#This Row],[1]:[31]],Paramétrage!G17)*Paramétrage!I17+COUNTIF(Janvier[[#This Row],[1]:[31]],Paramétrage!G18)*Paramétrage!I18+COUNTIF(Janvier[[#This Row],[1]:[31]],Paramétrage!G19)*Paramétrage!I19+COUNTIF(Janvier[[#This Row],[1]:[31]],Paramétrage!G20)*Paramétrage!I20+COUNTIF(Janvier[[#This Row],[1]:[31]],Paramétrage!G21)*Paramétrage!I21+COUNTIF(Janvier[[#This Row],[1]:[31]],Paramétrage!G22*Paramétrage!I22+COUNTIF(Janvier[[#This Row],[1]:[31]],Paramétrage!G23)*Paramétrage!I23+COUNTIF(Janvier[[#This Row],[1]:[31]],Paramétrage!G24)*Paramétrage!I24)</f>
        <v>0</v>
      </c>
    </row>
    <row r="16" spans="1:33" ht="15" customHeight="1" x14ac:dyDescent="0.3">
      <c r="A16" s="36" t="s">
        <v>62</v>
      </c>
      <c r="B16" s="34"/>
      <c r="C16" s="34"/>
      <c r="D16" s="34"/>
      <c r="E16" s="34"/>
      <c r="F16" s="34"/>
      <c r="G16" s="34"/>
      <c r="H16" s="34"/>
      <c r="I16" s="34"/>
      <c r="J16" s="34"/>
      <c r="K16" s="34"/>
      <c r="L16" s="34"/>
      <c r="M16" s="34"/>
      <c r="N16" s="34"/>
      <c r="O16" s="34"/>
      <c r="P16" s="34"/>
      <c r="Q16" s="34"/>
      <c r="R16" s="34"/>
      <c r="S16" s="34"/>
      <c r="T16" s="34"/>
      <c r="U16" s="34"/>
      <c r="V16" s="34"/>
      <c r="W16" s="34"/>
      <c r="X16" s="34"/>
      <c r="Y16" s="34"/>
      <c r="Z16" s="34"/>
      <c r="AA16" s="34"/>
      <c r="AB16" s="34"/>
      <c r="AC16" s="34"/>
      <c r="AD16" s="34"/>
      <c r="AE16" s="34"/>
      <c r="AF16" s="34"/>
      <c r="AG16" s="18">
        <f>COUNTIF(Janvier[[#This Row],[1]:[31]],Paramétrage!G12)*Paramétrage!I12+COUNTIF(Janvier[[#This Row],[1]:[31]],Paramétrage!G13)*Paramétrage!I13+COUNTIF(Janvier[[#This Row],[1]:[31]],Paramétrage!G14)*Paramétrage!I14+COUNTIF(Janvier[[#This Row],[1]:[31]],Paramétrage!G15)*Paramétrage!I15+COUNTIF(Janvier[[#This Row],[1]:[31]],Paramétrage!G16)*Paramétrage!I16+COUNTIF(Janvier[[#This Row],[1]:[31]],Paramétrage!G17)*Paramétrage!I17+COUNTIF(Janvier[[#This Row],[1]:[31]],Paramétrage!G18)*Paramétrage!I18+COUNTIF(Janvier[[#This Row],[1]:[31]],Paramétrage!G19)*Paramétrage!I19+COUNTIF(Janvier[[#This Row],[1]:[31]],Paramétrage!G20)*Paramétrage!I20+COUNTIF(Janvier[[#This Row],[1]:[31]],Paramétrage!G21)*Paramétrage!I21+COUNTIF(Janvier[[#This Row],[1]:[31]],Paramétrage!G22)*Paramétrage!I22+COUNTIF(Janvier[[#This Row],[1]:[31]],Paramétrage!G23*Paramétrage!I23+COUNTIF(Janvier[[#This Row],[1]:[31]],Paramétrage!G24)*Paramétrage!I24+COUNTIF(Janvier[[#This Row],[1]:[31]],Paramétrage!G25)*Paramétrage!I25)</f>
        <v>0</v>
      </c>
    </row>
    <row r="17" spans="1:33" ht="15" customHeight="1" x14ac:dyDescent="0.3">
      <c r="A17" s="36" t="s">
        <v>63</v>
      </c>
      <c r="B17" s="34"/>
      <c r="C17" s="34"/>
      <c r="D17" s="34"/>
      <c r="E17" s="34"/>
      <c r="F17" s="34"/>
      <c r="G17" s="34"/>
      <c r="H17" s="34"/>
      <c r="I17" s="34"/>
      <c r="J17" s="34"/>
      <c r="K17" s="34"/>
      <c r="L17" s="34"/>
      <c r="M17" s="34"/>
      <c r="N17" s="34"/>
      <c r="O17" s="34"/>
      <c r="P17" s="34"/>
      <c r="Q17" s="34"/>
      <c r="R17" s="34"/>
      <c r="S17" s="34"/>
      <c r="T17" s="34"/>
      <c r="U17" s="34"/>
      <c r="V17" s="34"/>
      <c r="W17" s="34"/>
      <c r="X17" s="34"/>
      <c r="Y17" s="34"/>
      <c r="Z17" s="34"/>
      <c r="AA17" s="34"/>
      <c r="AB17" s="34"/>
      <c r="AC17" s="34"/>
      <c r="AD17" s="34"/>
      <c r="AE17" s="34"/>
      <c r="AF17" s="34"/>
      <c r="AG17" s="18">
        <f>COUNTIF(Janvier[[#This Row],[1]:[31]],Paramétrage!G13)*Paramétrage!I13+COUNTIF(Janvier[[#This Row],[1]:[31]],Paramétrage!G14)*Paramétrage!I14+COUNTIF(Janvier[[#This Row],[1]:[31]],Paramétrage!G15)*Paramétrage!I15+COUNTIF(Janvier[[#This Row],[1]:[31]],Paramétrage!G16)*Paramétrage!I16+COUNTIF(Janvier[[#This Row],[1]:[31]],Paramétrage!G17)*Paramétrage!I17+COUNTIF(Janvier[[#This Row],[1]:[31]],Paramétrage!G18)*Paramétrage!I18+COUNTIF(Janvier[[#This Row],[1]:[31]],Paramétrage!G19)*Paramétrage!I19+COUNTIF(Janvier[[#This Row],[1]:[31]],Paramétrage!G20)*Paramétrage!I20+COUNTIF(Janvier[[#This Row],[1]:[31]],Paramétrage!G21)*Paramétrage!I21+COUNTIF(Janvier[[#This Row],[1]:[31]],Paramétrage!G22)*Paramétrage!I22+COUNTIF(Janvier[[#This Row],[1]:[31]],Paramétrage!G23)*Paramétrage!I23+COUNTIF(Janvier[[#This Row],[1]:[31]],Paramétrage!G24*Paramétrage!I24+COUNTIF(Janvier[[#This Row],[1]:[31]],Paramétrage!G25)*Paramétrage!I25+COUNTIF(Janvier[[#This Row],[1]:[31]],Paramétrage!G26)*Paramétrage!I26)</f>
        <v>0</v>
      </c>
    </row>
    <row r="18" spans="1:33" ht="15" customHeight="1" x14ac:dyDescent="0.3">
      <c r="A18" s="36" t="s">
        <v>65</v>
      </c>
      <c r="B18" s="34"/>
      <c r="C18" s="34"/>
      <c r="D18" s="34"/>
      <c r="E18" s="34"/>
      <c r="F18" s="34"/>
      <c r="G18" s="34"/>
      <c r="H18" s="34"/>
      <c r="I18" s="34"/>
      <c r="J18" s="34"/>
      <c r="K18" s="34"/>
      <c r="L18" s="34"/>
      <c r="M18" s="34"/>
      <c r="N18" s="34"/>
      <c r="O18" s="34"/>
      <c r="P18" s="34"/>
      <c r="Q18" s="34"/>
      <c r="R18" s="34"/>
      <c r="S18" s="34"/>
      <c r="T18" s="34"/>
      <c r="U18" s="34"/>
      <c r="V18" s="34"/>
      <c r="W18" s="34"/>
      <c r="X18" s="34"/>
      <c r="Y18" s="34"/>
      <c r="Z18" s="34"/>
      <c r="AA18" s="34"/>
      <c r="AB18" s="34"/>
      <c r="AC18" s="34"/>
      <c r="AD18" s="34"/>
      <c r="AE18" s="34"/>
      <c r="AF18" s="34"/>
      <c r="AG18" s="18">
        <f>COUNTIF(Janvier[[#This Row],[1]:[31]],Paramétrage!G14)*Paramétrage!I14+COUNTIF(Janvier[[#This Row],[1]:[31]],Paramétrage!G15)*Paramétrage!I15+COUNTIF(Janvier[[#This Row],[1]:[31]],Paramétrage!G16)*Paramétrage!I16+COUNTIF(Janvier[[#This Row],[1]:[31]],Paramétrage!G17)*Paramétrage!I17+COUNTIF(Janvier[[#This Row],[1]:[31]],Paramétrage!G18)*Paramétrage!I18+COUNTIF(Janvier[[#This Row],[1]:[31]],Paramétrage!G19)*Paramétrage!I19+COUNTIF(Janvier[[#This Row],[1]:[31]],Paramétrage!G20)*Paramétrage!I20+COUNTIF(Janvier[[#This Row],[1]:[31]],Paramétrage!G21)*Paramétrage!I21+COUNTIF(Janvier[[#This Row],[1]:[31]],Paramétrage!G22)*Paramétrage!I22+COUNTIF(Janvier[[#This Row],[1]:[31]],Paramétrage!G23)*Paramétrage!I23+COUNTIF(Janvier[[#This Row],[1]:[31]],Paramétrage!G24)*Paramétrage!I24+COUNTIF(Janvier[[#This Row],[1]:[31]],Paramétrage!G25*Paramétrage!I25+COUNTIF(Janvier[[#This Row],[1]:[31]],Paramétrage!G26)*Paramétrage!I26+COUNTIF(Janvier[[#This Row],[1]:[31]],Paramétrage!G27)*Paramétrage!I27)</f>
        <v>0</v>
      </c>
    </row>
    <row r="19" spans="1:33" ht="15" customHeight="1" x14ac:dyDescent="0.3">
      <c r="A19" s="36" t="s">
        <v>66</v>
      </c>
      <c r="B19" s="34"/>
      <c r="C19" s="34"/>
      <c r="D19" s="34"/>
      <c r="E19" s="34"/>
      <c r="F19" s="34"/>
      <c r="G19" s="34"/>
      <c r="H19" s="34"/>
      <c r="I19" s="34"/>
      <c r="J19" s="34"/>
      <c r="K19" s="34"/>
      <c r="L19" s="34"/>
      <c r="M19" s="34"/>
      <c r="N19" s="34"/>
      <c r="O19" s="34"/>
      <c r="P19" s="34"/>
      <c r="Q19" s="34"/>
      <c r="R19" s="34"/>
      <c r="S19" s="34"/>
      <c r="T19" s="34"/>
      <c r="U19" s="34"/>
      <c r="V19" s="34"/>
      <c r="W19" s="34"/>
      <c r="X19" s="34"/>
      <c r="Y19" s="34"/>
      <c r="Z19" s="34"/>
      <c r="AA19" s="34"/>
      <c r="AB19" s="34"/>
      <c r="AC19" s="34"/>
      <c r="AD19" s="34"/>
      <c r="AE19" s="34"/>
      <c r="AF19" s="34"/>
      <c r="AG19" s="18">
        <f>COUNTIF(Janvier[[#This Row],[1]:[31]],Paramétrage!G15)*Paramétrage!I15+COUNTIF(Janvier[[#This Row],[1]:[31]],Paramétrage!G16)*Paramétrage!I16+COUNTIF(Janvier[[#This Row],[1]:[31]],Paramétrage!G17)*Paramétrage!I17+COUNTIF(Janvier[[#This Row],[1]:[31]],Paramétrage!G18)*Paramétrage!I18+COUNTIF(Janvier[[#This Row],[1]:[31]],Paramétrage!G19)*Paramétrage!I19+COUNTIF(Janvier[[#This Row],[1]:[31]],Paramétrage!G20)*Paramétrage!I20+COUNTIF(Janvier[[#This Row],[1]:[31]],Paramétrage!G21)*Paramétrage!I21+COUNTIF(Janvier[[#This Row],[1]:[31]],Paramétrage!G22)*Paramétrage!I22+COUNTIF(Janvier[[#This Row],[1]:[31]],Paramétrage!G23)*Paramétrage!I23+COUNTIF(Janvier[[#This Row],[1]:[31]],Paramétrage!G24)*Paramétrage!I24+COUNTIF(Janvier[[#This Row],[1]:[31]],Paramétrage!G25)*Paramétrage!I25+COUNTIF(Janvier[[#This Row],[1]:[31]],Paramétrage!G26*Paramétrage!I26+COUNTIF(Janvier[[#This Row],[1]:[31]],Paramétrage!G27)*Paramétrage!I27+COUNTIF(Janvier[[#This Row],[1]:[31]],Paramétrage!G28)*Paramétrage!I28)</f>
        <v>0</v>
      </c>
    </row>
    <row r="20" spans="1:33" ht="15" customHeight="1" x14ac:dyDescent="0.3">
      <c r="A20" s="36" t="s">
        <v>67</v>
      </c>
      <c r="B20" s="34"/>
      <c r="C20" s="34"/>
      <c r="D20" s="34"/>
      <c r="E20" s="34"/>
      <c r="F20" s="34"/>
      <c r="G20" s="34"/>
      <c r="H20" s="34"/>
      <c r="I20" s="34"/>
      <c r="J20" s="34"/>
      <c r="K20" s="34"/>
      <c r="L20" s="34"/>
      <c r="M20" s="34"/>
      <c r="N20" s="34"/>
      <c r="O20" s="34"/>
      <c r="P20" s="34"/>
      <c r="Q20" s="34"/>
      <c r="R20" s="34"/>
      <c r="S20" s="34"/>
      <c r="T20" s="34"/>
      <c r="U20" s="34"/>
      <c r="V20" s="34"/>
      <c r="W20" s="34"/>
      <c r="X20" s="34"/>
      <c r="Y20" s="34"/>
      <c r="Z20" s="34"/>
      <c r="AA20" s="34"/>
      <c r="AB20" s="34"/>
      <c r="AC20" s="34"/>
      <c r="AD20" s="34"/>
      <c r="AE20" s="34"/>
      <c r="AF20" s="34"/>
      <c r="AG20" s="18">
        <f>COUNTIF(Janvier[[#This Row],[1]:[31]],Paramétrage!G16)*Paramétrage!I16+COUNTIF(Janvier[[#This Row],[1]:[31]],Paramétrage!G17)*Paramétrage!I17+COUNTIF(Janvier[[#This Row],[1]:[31]],Paramétrage!G18)*Paramétrage!I18+COUNTIF(Janvier[[#This Row],[1]:[31]],Paramétrage!G19)*Paramétrage!I19+COUNTIF(Janvier[[#This Row],[1]:[31]],Paramétrage!G20)*Paramétrage!I20+COUNTIF(Janvier[[#This Row],[1]:[31]],Paramétrage!G21)*Paramétrage!I21+COUNTIF(Janvier[[#This Row],[1]:[31]],Paramétrage!G22)*Paramétrage!I22+COUNTIF(Janvier[[#This Row],[1]:[31]],Paramétrage!G23)*Paramétrage!I23+COUNTIF(Janvier[[#This Row],[1]:[31]],Paramétrage!G24)*Paramétrage!I24+COUNTIF(Janvier[[#This Row],[1]:[31]],Paramétrage!G25)*Paramétrage!I25+COUNTIF(Janvier[[#This Row],[1]:[31]],Paramétrage!G26)*Paramétrage!I26+COUNTIF(Janvier[[#This Row],[1]:[31]],Paramétrage!G27*Paramétrage!I27+COUNTIF(Janvier[[#This Row],[1]:[31]],Paramétrage!G28)*Paramétrage!I28+COUNTIF(Janvier[[#This Row],[1]:[31]],Paramétrage!G29)*Paramétrage!I29)</f>
        <v>0</v>
      </c>
    </row>
    <row r="21" spans="1:33" ht="15" customHeight="1" x14ac:dyDescent="0.3">
      <c r="A21" s="36" t="s">
        <v>68</v>
      </c>
      <c r="B21" s="34"/>
      <c r="C21" s="34"/>
      <c r="D21" s="34"/>
      <c r="E21" s="34"/>
      <c r="F21" s="34"/>
      <c r="G21" s="34"/>
      <c r="H21" s="34"/>
      <c r="I21" s="34"/>
      <c r="J21" s="34"/>
      <c r="K21" s="34"/>
      <c r="L21" s="34"/>
      <c r="M21" s="34"/>
      <c r="N21" s="34"/>
      <c r="O21" s="34"/>
      <c r="P21" s="34"/>
      <c r="Q21" s="34"/>
      <c r="R21" s="34"/>
      <c r="S21" s="34"/>
      <c r="T21" s="34"/>
      <c r="U21" s="34"/>
      <c r="V21" s="34"/>
      <c r="W21" s="34"/>
      <c r="X21" s="34"/>
      <c r="Y21" s="34"/>
      <c r="Z21" s="34"/>
      <c r="AA21" s="34"/>
      <c r="AB21" s="34"/>
      <c r="AC21" s="34"/>
      <c r="AD21" s="34"/>
      <c r="AE21" s="34"/>
      <c r="AF21" s="34"/>
      <c r="AG21" s="18">
        <f>COUNTIF(Janvier[[#This Row],[1]:[31]],Paramétrage!G17)*Paramétrage!I17+COUNTIF(Janvier[[#This Row],[1]:[31]],Paramétrage!G18)*Paramétrage!I18+COUNTIF(Janvier[[#This Row],[1]:[31]],Paramétrage!G19)*Paramétrage!I19+COUNTIF(Janvier[[#This Row],[1]:[31]],Paramétrage!G20)*Paramétrage!I20+COUNTIF(Janvier[[#This Row],[1]:[31]],Paramétrage!G21)*Paramétrage!I21+COUNTIF(Janvier[[#This Row],[1]:[31]],Paramétrage!G22)*Paramétrage!I22+COUNTIF(Janvier[[#This Row],[1]:[31]],Paramétrage!G23)*Paramétrage!I23+COUNTIF(Janvier[[#This Row],[1]:[31]],Paramétrage!G24)*Paramétrage!I24+COUNTIF(Janvier[[#This Row],[1]:[31]],Paramétrage!G25)*Paramétrage!I25+COUNTIF(Janvier[[#This Row],[1]:[31]],Paramétrage!G26)*Paramétrage!I26+COUNTIF(Janvier[[#This Row],[1]:[31]],Paramétrage!G27)*Paramétrage!I27+COUNTIF(Janvier[[#This Row],[1]:[31]],Paramétrage!G28*Paramétrage!I28+COUNTIF(Janvier[[#This Row],[1]:[31]],Paramétrage!G29)*Paramétrage!I29+COUNTIF(Janvier[[#This Row],[1]:[31]],Paramétrage!G30)*Paramétrage!I30)</f>
        <v>0</v>
      </c>
    </row>
    <row r="22" spans="1:33" ht="15" customHeight="1" x14ac:dyDescent="0.3">
      <c r="A22" s="36" t="s">
        <v>91</v>
      </c>
      <c r="B22" s="37"/>
      <c r="C22" s="37"/>
      <c r="D22" s="37"/>
      <c r="E22" s="37"/>
      <c r="F22" s="37"/>
      <c r="G22" s="37"/>
      <c r="H22" s="37"/>
      <c r="I22" s="37"/>
      <c r="J22" s="37"/>
      <c r="K22" s="37"/>
      <c r="L22" s="37"/>
      <c r="M22" s="37"/>
      <c r="N22" s="37"/>
      <c r="O22" s="37"/>
      <c r="P22" s="37"/>
      <c r="Q22" s="37"/>
      <c r="R22" s="37"/>
      <c r="S22" s="37"/>
      <c r="T22" s="37"/>
      <c r="U22" s="37"/>
      <c r="V22" s="37"/>
      <c r="W22" s="37"/>
      <c r="X22" s="37"/>
      <c r="Y22" s="37"/>
      <c r="Z22" s="37"/>
      <c r="AA22" s="37"/>
      <c r="AB22" s="37"/>
      <c r="AC22" s="37"/>
      <c r="AD22" s="37"/>
      <c r="AE22" s="37"/>
      <c r="AF22" s="37"/>
      <c r="AG22" s="18">
        <f>COUNTIF(Janvier[[#This Row],[1]:[31]],Paramétrage!G18)*Paramétrage!I18+COUNTIF(Janvier[[#This Row],[1]:[31]],Paramétrage!G19)*Paramétrage!I19+COUNTIF(Janvier[[#This Row],[1]:[31]],Paramétrage!G20)*Paramétrage!I20+COUNTIF(Janvier[[#This Row],[1]:[31]],Paramétrage!G21)*Paramétrage!I21+COUNTIF(Janvier[[#This Row],[1]:[31]],Paramétrage!G22)*Paramétrage!I22+COUNTIF(Janvier[[#This Row],[1]:[31]],Paramétrage!G23)*Paramétrage!I23+COUNTIF(Janvier[[#This Row],[1]:[31]],Paramétrage!G24)*Paramétrage!I24+COUNTIF(Janvier[[#This Row],[1]:[31]],Paramétrage!G25)*Paramétrage!I25+COUNTIF(Janvier[[#This Row],[1]:[31]],Paramétrage!G26)*Paramétrage!I26+COUNTIF(Janvier[[#This Row],[1]:[31]],Paramétrage!G27)*Paramétrage!I27+COUNTIF(Janvier[[#This Row],[1]:[31]],Paramétrage!G28)*Paramétrage!I28+COUNTIF(Janvier[[#This Row],[1]:[31]],Paramétrage!G29*Paramétrage!I29+COUNTIF(Janvier[[#This Row],[1]:[31]],Paramétrage!G30)*Paramétrage!I30+COUNTIF(Janvier[[#This Row],[1]:[31]],Paramétrage!G31)*Paramétrage!I31)</f>
        <v>0</v>
      </c>
    </row>
    <row r="23" spans="1:33" ht="15" customHeight="1" x14ac:dyDescent="0.3">
      <c r="A23" s="36" t="s">
        <v>92</v>
      </c>
      <c r="B23" s="37"/>
      <c r="C23" s="37"/>
      <c r="D23" s="37"/>
      <c r="E23" s="37"/>
      <c r="F23" s="37"/>
      <c r="G23" s="37"/>
      <c r="H23" s="37"/>
      <c r="I23" s="37"/>
      <c r="J23" s="37"/>
      <c r="K23" s="37"/>
      <c r="L23" s="37"/>
      <c r="M23" s="37"/>
      <c r="N23" s="37"/>
      <c r="O23" s="37"/>
      <c r="P23" s="37"/>
      <c r="Q23" s="37"/>
      <c r="R23" s="37"/>
      <c r="S23" s="37"/>
      <c r="T23" s="37"/>
      <c r="U23" s="37"/>
      <c r="V23" s="37"/>
      <c r="W23" s="37"/>
      <c r="X23" s="37"/>
      <c r="Y23" s="37"/>
      <c r="Z23" s="37"/>
      <c r="AA23" s="37"/>
      <c r="AB23" s="37"/>
      <c r="AC23" s="37"/>
      <c r="AD23" s="37"/>
      <c r="AE23" s="37"/>
      <c r="AF23" s="37"/>
      <c r="AG23" s="18">
        <f>COUNTIF(Janvier[[#This Row],[1]:[31]],Paramétrage!G19)*Paramétrage!I19+COUNTIF(Janvier[[#This Row],[1]:[31]],Paramétrage!G20)*Paramétrage!I20+COUNTIF(Janvier[[#This Row],[1]:[31]],Paramétrage!G21)*Paramétrage!I21+COUNTIF(Janvier[[#This Row],[1]:[31]],Paramétrage!G22)*Paramétrage!I22+COUNTIF(Janvier[[#This Row],[1]:[31]],Paramétrage!G23)*Paramétrage!I23+COUNTIF(Janvier[[#This Row],[1]:[31]],Paramétrage!G24)*Paramétrage!I24+COUNTIF(Janvier[[#This Row],[1]:[31]],Paramétrage!G25)*Paramétrage!I25+COUNTIF(Janvier[[#This Row],[1]:[31]],Paramétrage!G26)*Paramétrage!I26+COUNTIF(Janvier[[#This Row],[1]:[31]],Paramétrage!G27)*Paramétrage!I27+COUNTIF(Janvier[[#This Row],[1]:[31]],Paramétrage!G28)*Paramétrage!I28+COUNTIF(Janvier[[#This Row],[1]:[31]],Paramétrage!G29)*Paramétrage!I29+COUNTIF(Janvier[[#This Row],[1]:[31]],Paramétrage!G30*Paramétrage!I30+COUNTIF(Janvier[[#This Row],[1]:[31]],Paramétrage!G31)*Paramétrage!I31+COUNTIF(Janvier[[#This Row],[1]:[31]],Paramétrage!G32)*Paramétrage!I32)</f>
        <v>0</v>
      </c>
    </row>
    <row r="24" spans="1:33" ht="15" customHeight="1" x14ac:dyDescent="0.3">
      <c r="A24" s="36" t="s">
        <v>93</v>
      </c>
      <c r="B24" s="37"/>
      <c r="C24" s="37"/>
      <c r="D24" s="37"/>
      <c r="E24" s="37"/>
      <c r="F24" s="37"/>
      <c r="G24" s="37"/>
      <c r="H24" s="37"/>
      <c r="I24" s="37"/>
      <c r="J24" s="37"/>
      <c r="K24" s="37"/>
      <c r="L24" s="37"/>
      <c r="M24" s="37"/>
      <c r="N24" s="37"/>
      <c r="O24" s="37"/>
      <c r="P24" s="37"/>
      <c r="Q24" s="37"/>
      <c r="R24" s="37"/>
      <c r="S24" s="37"/>
      <c r="T24" s="37"/>
      <c r="U24" s="37"/>
      <c r="V24" s="37"/>
      <c r="W24" s="37"/>
      <c r="X24" s="37"/>
      <c r="Y24" s="37"/>
      <c r="Z24" s="37"/>
      <c r="AA24" s="37"/>
      <c r="AB24" s="37"/>
      <c r="AC24" s="37"/>
      <c r="AD24" s="37"/>
      <c r="AE24" s="37"/>
      <c r="AF24" s="37"/>
      <c r="AG24" s="18">
        <f>COUNTIF(Janvier[[#This Row],[1]:[31]],Paramétrage!G20)*Paramétrage!I20+COUNTIF(Janvier[[#This Row],[1]:[31]],Paramétrage!G21)*Paramétrage!I21+COUNTIF(Janvier[[#This Row],[1]:[31]],Paramétrage!G22)*Paramétrage!I22+COUNTIF(Janvier[[#This Row],[1]:[31]],Paramétrage!G23)*Paramétrage!I23+COUNTIF(Janvier[[#This Row],[1]:[31]],Paramétrage!G24)*Paramétrage!I24+COUNTIF(Janvier[[#This Row],[1]:[31]],Paramétrage!G25)*Paramétrage!I25+COUNTIF(Janvier[[#This Row],[1]:[31]],Paramétrage!G26)*Paramétrage!I26+COUNTIF(Janvier[[#This Row],[1]:[31]],Paramétrage!G27)*Paramétrage!I27+COUNTIF(Janvier[[#This Row],[1]:[31]],Paramétrage!G28)*Paramétrage!I28+COUNTIF(Janvier[[#This Row],[1]:[31]],Paramétrage!G29)*Paramétrage!I29+COUNTIF(Janvier[[#This Row],[1]:[31]],Paramétrage!G30)*Paramétrage!I30+COUNTIF(Janvier[[#This Row],[1]:[31]],Paramétrage!G31*Paramétrage!I31+COUNTIF(Janvier[[#This Row],[1]:[31]],Paramétrage!G32)*Paramétrage!I32+COUNTIF(Janvier[[#This Row],[1]:[31]],Paramétrage!G33)*Paramétrage!I33)</f>
        <v>0</v>
      </c>
    </row>
    <row r="25" spans="1:33" ht="15" customHeight="1" x14ac:dyDescent="0.3">
      <c r="A25" s="36" t="s">
        <v>94</v>
      </c>
      <c r="B25" s="37"/>
      <c r="C25" s="37"/>
      <c r="D25" s="37"/>
      <c r="E25" s="37"/>
      <c r="F25" s="37"/>
      <c r="G25" s="37"/>
      <c r="H25" s="37"/>
      <c r="I25" s="37"/>
      <c r="J25" s="37"/>
      <c r="K25" s="37"/>
      <c r="L25" s="37"/>
      <c r="M25" s="37"/>
      <c r="N25" s="37"/>
      <c r="O25" s="37"/>
      <c r="P25" s="37"/>
      <c r="Q25" s="37"/>
      <c r="R25" s="37"/>
      <c r="S25" s="37"/>
      <c r="T25" s="37"/>
      <c r="U25" s="37"/>
      <c r="V25" s="37"/>
      <c r="W25" s="37"/>
      <c r="X25" s="37"/>
      <c r="Y25" s="37"/>
      <c r="Z25" s="37"/>
      <c r="AA25" s="37"/>
      <c r="AB25" s="37"/>
      <c r="AC25" s="37"/>
      <c r="AD25" s="37"/>
      <c r="AE25" s="37"/>
      <c r="AF25" s="37"/>
      <c r="AG25" s="18">
        <f>COUNTIF(Janvier[[#This Row],[1]:[31]],Paramétrage!G21)*Paramétrage!I21+COUNTIF(Janvier[[#This Row],[1]:[31]],Paramétrage!G22)*Paramétrage!I22+COUNTIF(Janvier[[#This Row],[1]:[31]],Paramétrage!G23)*Paramétrage!I23+COUNTIF(Janvier[[#This Row],[1]:[31]],Paramétrage!G24)*Paramétrage!I24+COUNTIF(Janvier[[#This Row],[1]:[31]],Paramétrage!G25)*Paramétrage!I25+COUNTIF(Janvier[[#This Row],[1]:[31]],Paramétrage!G26)*Paramétrage!I26+COUNTIF(Janvier[[#This Row],[1]:[31]],Paramétrage!G27)*Paramétrage!I27+COUNTIF(Janvier[[#This Row],[1]:[31]],Paramétrage!G28)*Paramétrage!I28+COUNTIF(Janvier[[#This Row],[1]:[31]],Paramétrage!G29)*Paramétrage!I29+COUNTIF(Janvier[[#This Row],[1]:[31]],Paramétrage!G30)*Paramétrage!I30+COUNTIF(Janvier[[#This Row],[1]:[31]],Paramétrage!G31)*Paramétrage!I31+COUNTIF(Janvier[[#This Row],[1]:[31]],Paramétrage!G32*Paramétrage!I32+COUNTIF(Janvier[[#This Row],[1]:[31]],Paramétrage!G33)*Paramétrage!I33+COUNTIF(Janvier[[#This Row],[1]:[31]],Paramétrage!G34)*Paramétrage!I34)</f>
        <v>0</v>
      </c>
    </row>
    <row r="26" spans="1:33" ht="15" customHeight="1" x14ac:dyDescent="0.3">
      <c r="A26" s="36" t="s">
        <v>95</v>
      </c>
      <c r="B26" s="37"/>
      <c r="C26" s="37"/>
      <c r="D26" s="37"/>
      <c r="E26" s="37"/>
      <c r="F26" s="37"/>
      <c r="G26" s="37"/>
      <c r="H26" s="37"/>
      <c r="I26" s="37"/>
      <c r="J26" s="37"/>
      <c r="K26" s="37"/>
      <c r="L26" s="37"/>
      <c r="M26" s="37"/>
      <c r="N26" s="37"/>
      <c r="O26" s="37"/>
      <c r="P26" s="37"/>
      <c r="Q26" s="37"/>
      <c r="R26" s="37"/>
      <c r="S26" s="37"/>
      <c r="T26" s="37"/>
      <c r="U26" s="37"/>
      <c r="V26" s="37"/>
      <c r="W26" s="37"/>
      <c r="X26" s="37"/>
      <c r="Y26" s="37"/>
      <c r="Z26" s="37"/>
      <c r="AA26" s="37"/>
      <c r="AB26" s="37"/>
      <c r="AC26" s="37"/>
      <c r="AD26" s="37"/>
      <c r="AE26" s="37"/>
      <c r="AF26" s="37"/>
      <c r="AG26" s="18">
        <f>COUNTIF(Janvier[[#This Row],[1]:[31]],Paramétrage!G22)*Paramétrage!I22+COUNTIF(Janvier[[#This Row],[1]:[31]],Paramétrage!G23)*Paramétrage!I23+COUNTIF(Janvier[[#This Row],[1]:[31]],Paramétrage!G24)*Paramétrage!I24+COUNTIF(Janvier[[#This Row],[1]:[31]],Paramétrage!G25)*Paramétrage!I25+COUNTIF(Janvier[[#This Row],[1]:[31]],Paramétrage!G26)*Paramétrage!I26+COUNTIF(Janvier[[#This Row],[1]:[31]],Paramétrage!G27)*Paramétrage!I27+COUNTIF(Janvier[[#This Row],[1]:[31]],Paramétrage!G28)*Paramétrage!I28+COUNTIF(Janvier[[#This Row],[1]:[31]],Paramétrage!G29)*Paramétrage!I29+COUNTIF(Janvier[[#This Row],[1]:[31]],Paramétrage!G30)*Paramétrage!I30+COUNTIF(Janvier[[#This Row],[1]:[31]],Paramétrage!G31)*Paramétrage!I31+COUNTIF(Janvier[[#This Row],[1]:[31]],Paramétrage!G32)*Paramétrage!I32+COUNTIF(Janvier[[#This Row],[1]:[31]],Paramétrage!G33*Paramétrage!I33+COUNTIF(Janvier[[#This Row],[1]:[31]],Paramétrage!G34)*Paramétrage!I34+COUNTIF(Janvier[[#This Row],[1]:[31]],Paramétrage!G35)*Paramétrage!I35)</f>
        <v>0</v>
      </c>
    </row>
    <row r="27" spans="1:33" ht="24" x14ac:dyDescent="0.3">
      <c r="A27" s="38" t="s">
        <v>106</v>
      </c>
      <c r="B27" s="39">
        <f>COUNTA(Janvier[1])-COUNTIF(Janvier[1],CléReposhebdomadaire)-COUNTIF(Janvier[1],CléCongé)-COUNTIF(Janvier[1],CléMaladie)-COUNTIF(Janvier[1],CléFormation)-COUNTIF(Janvier[1],CléAbsencenonjustifiée)</f>
        <v>0</v>
      </c>
      <c r="C27" s="39">
        <f>COUNTA(Janvier[2])-COUNTIF(Janvier[2],CléReposhebdomadaire)-COUNTIF(Janvier[2],CléCongé)-COUNTIF(Janvier[2],CléMaladie)-COUNTIF(Janvier[2],CléFormation)-COUNTIF(Janvier[2],CléAbsencenonjustifiée)</f>
        <v>0</v>
      </c>
      <c r="D27" s="39">
        <f>COUNTA(Janvier[3])-COUNTIF(Janvier[3],CléReposhebdomadaire)-COUNTIF(Janvier[3],CléCongé)-COUNTIF(Janvier[3],CléMaladie)-COUNTIF(Janvier[3],CléFormation)-COUNTIF(Janvier[3],CléAbsencenonjustifiée)</f>
        <v>0</v>
      </c>
      <c r="E27" s="39">
        <f>COUNTA(Janvier[4])-COUNTIF(Janvier[4],CléReposhebdomadaire)-COUNTIF(Janvier[4],CléCongé)-COUNTIF(Janvier[4],CléMaladie)-COUNTIF(Janvier[4],CléFormation)-COUNTIF(Janvier[4],CléAbsencenonjustifiée)</f>
        <v>0</v>
      </c>
      <c r="F27" s="39">
        <f>COUNTA(Janvier[5])-COUNTIF(Janvier[5],CléReposhebdomadaire)-COUNTIF(Janvier[5],CléCongé)-COUNTIF(Janvier[5],CléMaladie)-COUNTIF(Janvier[5],CléFormation)-COUNTIF(Janvier[5],CléAbsencenonjustifiée)</f>
        <v>0</v>
      </c>
      <c r="G27" s="39">
        <f>COUNTA(Janvier[6])-COUNTIF(Janvier[6],CléReposhebdomadaire)-COUNTIF(Janvier[6],CléCongé)-COUNTIF(Janvier[6],CléMaladie)-COUNTIF(Janvier[6],CléFormation)-COUNTIF(Janvier[6],CléAbsencenonjustifiée)</f>
        <v>0</v>
      </c>
      <c r="H27" s="39">
        <f>COUNTA(Janvier[7])-COUNTIF(Janvier[7],CléReposhebdomadaire)-COUNTIF(Janvier[7],CléCongé)-COUNTIF(Janvier[7],CléMaladie)-COUNTIF(Janvier[7],CléFormation)-COUNTIF(Janvier[7],CléAbsencenonjustifiée)</f>
        <v>0</v>
      </c>
      <c r="I27" s="39">
        <f>COUNTA(Janvier[8])-COUNTIF(Janvier[8],CléReposhebdomadaire)-COUNTIF(Janvier[8],CléCongé)-COUNTIF(Janvier[8],CléMaladie)-COUNTIF(Janvier[8],CléFormation)-COUNTIF(Janvier[8],CléAbsencenonjustifiée)</f>
        <v>0</v>
      </c>
      <c r="J27" s="39">
        <f>COUNTA(Janvier[9])-COUNTIF(Janvier[9],CléReposhebdomadaire)-COUNTIF(Janvier[9],CléCongé)-COUNTIF(Janvier[9],CléMaladie)-COUNTIF(Janvier[9],CléFormation)-COUNTIF(Janvier[9],CléAbsencenonjustifiée)</f>
        <v>0</v>
      </c>
      <c r="K27" s="39">
        <f>COUNTA(Janvier[10])-COUNTIF(Janvier[10],CléReposhebdomadaire)-COUNTIF(Janvier[10],CléCongé)-COUNTIF(Janvier[10],CléMaladie)-COUNTIF(Janvier[10],CléFormation)-COUNTIF(Janvier[10],CléAbsencenonjustifiée)</f>
        <v>0</v>
      </c>
      <c r="L27" s="39">
        <f>COUNTA(Janvier[11])-COUNTIF(Janvier[11],CléReposhebdomadaire)-COUNTIF(Janvier[11],CléCongé)-COUNTIF(Janvier[11],CléMaladie)-COUNTIF(Janvier[11],CléFormation)-COUNTIF(Janvier[11],CléAbsencenonjustifiée)</f>
        <v>0</v>
      </c>
      <c r="M27" s="39">
        <f>COUNTA(Janvier[12])-COUNTIF(Janvier[12],CléReposhebdomadaire)-COUNTIF(Janvier[12],CléCongé)-COUNTIF(Janvier[12],CléMaladie)-COUNTIF(Janvier[12],CléFormation)-COUNTIF(Janvier[12],CléAbsencenonjustifiée)</f>
        <v>0</v>
      </c>
      <c r="N27" s="39">
        <f>COUNTA(Janvier[13])-COUNTIF(Janvier[13],CléReposhebdomadaire)-COUNTIF(Janvier[13],CléCongé)-COUNTIF(Janvier[13],CléMaladie)-COUNTIF(Janvier[13],CléFormation)-COUNTIF(Janvier[13],CléAbsencenonjustifiée)</f>
        <v>0</v>
      </c>
      <c r="O27" s="39">
        <f>COUNTA(Janvier[14])-COUNTIF(Janvier[14],CléReposhebdomadaire)-COUNTIF(Janvier[14],CléCongé)-COUNTIF(Janvier[14],CléMaladie)-COUNTIF(Janvier[14],CléFormation)-COUNTIF(Janvier[14],CléAbsencenonjustifiée)</f>
        <v>0</v>
      </c>
      <c r="P27" s="39">
        <f>COUNTA(Janvier[15])-COUNTIF(Janvier[15],CléReposhebdomadaire)-COUNTIF(Janvier[15],CléCongé)-COUNTIF(Janvier[15],CléMaladie)-COUNTIF(Janvier[15],CléFormation)-COUNTIF(Janvier[15],CléAbsencenonjustifiée)</f>
        <v>0</v>
      </c>
      <c r="Q27" s="39">
        <f>COUNTA(Janvier[16])-COUNTIF(Janvier[16],CléReposhebdomadaire)-COUNTIF(Janvier[16],CléCongé)-COUNTIF(Janvier[16],CléMaladie)-COUNTIF(Janvier[16],CléFormation)-COUNTIF(Janvier[16],CléAbsencenonjustifiée)</f>
        <v>0</v>
      </c>
      <c r="R27" s="39">
        <f>COUNTA(Janvier[17])-COUNTIF(Janvier[17],CléReposhebdomadaire)-COUNTIF(Janvier[17],CléCongé)-COUNTIF(Janvier[17],CléMaladie)-COUNTIF(Janvier[17],CléFormation)-COUNTIF(Janvier[17],CléAbsencenonjustifiée)</f>
        <v>0</v>
      </c>
      <c r="S27" s="39">
        <f>COUNTA(Janvier[18])-COUNTIF(Janvier[18],CléReposhebdomadaire)-COUNTIF(Janvier[18],CléCongé)-COUNTIF(Janvier[18],CléMaladie)-COUNTIF(Janvier[18],CléFormation)-COUNTIF(Janvier[18],CléAbsencenonjustifiée)</f>
        <v>0</v>
      </c>
      <c r="T27" s="39">
        <f>COUNTA(Janvier[19])-COUNTIF(Janvier[19],CléReposhebdomadaire)-COUNTIF(Janvier[19],CléCongé)-COUNTIF(Janvier[19],CléMaladie)-COUNTIF(Janvier[19],CléFormation)-COUNTIF(Janvier[19],CléAbsencenonjustifiée)</f>
        <v>0</v>
      </c>
      <c r="U27" s="39">
        <f>COUNTA(Janvier[20])-COUNTIF(Janvier[20],CléReposhebdomadaire)-COUNTIF(Janvier[20],CléCongé)-COUNTIF(Janvier[20],CléMaladie)-COUNTIF(Janvier[20],CléFormation)-COUNTIF(Janvier[20],CléAbsencenonjustifiée)</f>
        <v>0</v>
      </c>
      <c r="V27" s="39">
        <f>COUNTA(Janvier[21])-COUNTIF(Janvier[21],CléReposhebdomadaire)-COUNTIF(Janvier[21],CléCongé)-COUNTIF(Janvier[21],CléMaladie)-COUNTIF(Janvier[21],CléFormation)-COUNTIF(Janvier[21],CléAbsencenonjustifiée)</f>
        <v>0</v>
      </c>
      <c r="W27" s="39">
        <f>COUNTA(Janvier[22])-COUNTIF(Janvier[22],CléReposhebdomadaire)-COUNTIF(Janvier[22],CléCongé)-COUNTIF(Janvier[22],CléMaladie)-COUNTIF(Janvier[22],CléFormation)-COUNTIF(Janvier[22],CléAbsencenonjustifiée)</f>
        <v>0</v>
      </c>
      <c r="X27" s="39">
        <f>COUNTA(Janvier[23])-COUNTIF(Janvier[23],CléReposhebdomadaire)-COUNTIF(Janvier[23],CléCongé)-COUNTIF(Janvier[23],CléMaladie)-COUNTIF(Janvier[23],CléFormation)-COUNTIF(Janvier[23],CléAbsencenonjustifiée)</f>
        <v>0</v>
      </c>
      <c r="Y27" s="39">
        <f>COUNTA(Janvier[24])-COUNTIF(Janvier[24],CléReposhebdomadaire)-COUNTIF(Janvier[24],CléCongé)-COUNTIF(Janvier[24],CléMaladie)-COUNTIF(Janvier[24],CléFormation)-COUNTIF(Janvier[24],CléAbsencenonjustifiée)</f>
        <v>0</v>
      </c>
      <c r="Z27" s="39">
        <f>COUNTA(Janvier[25])-COUNTIF(Janvier[25],CléReposhebdomadaire)-COUNTIF(Janvier[25],CléCongé)-COUNTIF(Janvier[25],CléMaladie)-COUNTIF(Janvier[25],CléFormation)-COUNTIF(Janvier[25],CléAbsencenonjustifiée)</f>
        <v>0</v>
      </c>
      <c r="AA27" s="39">
        <f>COUNTA(Janvier[26])-COUNTIF(Janvier[26],CléReposhebdomadaire)-COUNTIF(Janvier[26],CléCongé)-COUNTIF(Janvier[26],CléMaladie)-COUNTIF(Janvier[26],CléFormation)-COUNTIF(Janvier[26],CléAbsencenonjustifiée)</f>
        <v>0</v>
      </c>
      <c r="AB27" s="39">
        <f>COUNTA(Janvier[27])-COUNTIF(Janvier[27],CléReposhebdomadaire)-COUNTIF(Janvier[27],CléCongé)-COUNTIF(Janvier[27],CléMaladie)-COUNTIF(Janvier[27],CléFormation)-COUNTIF(Janvier[27],CléAbsencenonjustifiée)</f>
        <v>0</v>
      </c>
      <c r="AC27" s="39">
        <f>COUNTA(Janvier[28])-COUNTIF(Janvier[28],CléReposhebdomadaire)-COUNTIF(Janvier[28],CléCongé)-COUNTIF(Janvier[28],CléMaladie)-COUNTIF(Janvier[28],CléFormation)-COUNTIF(Janvier[28],CléAbsencenonjustifiée)</f>
        <v>0</v>
      </c>
      <c r="AD27" s="39">
        <f>COUNTA(Janvier[29])-COUNTIF(Janvier[29],CléReposhebdomadaire)-COUNTIF(Janvier[29],CléCongé)-COUNTIF(Janvier[29],CléMaladie)-COUNTIF(Janvier[29],CléFormation)-COUNTIF(Janvier[29],CléAbsencenonjustifiée)</f>
        <v>0</v>
      </c>
      <c r="AE27" s="39">
        <f>COUNTA(Janvier[30])-COUNTIF(Janvier[30],CléReposhebdomadaire)-COUNTIF(Janvier[30],CléCongé)-COUNTIF(Janvier[30],CléMaladie)-COUNTIF(Janvier[30],CléFormation)-COUNTIF(Janvier[30],CléAbsencenonjustifiée)</f>
        <v>0</v>
      </c>
      <c r="AF27" s="39">
        <f>COUNTA(Janvier[31])-COUNTIF(Janvier[31],CléReposhebdomadaire)-COUNTIF(Janvier[31],CléCongé)-COUNTIF(Janvier[31],CléMaladie)-COUNTIF(Janvier[31],CléFormation)-COUNTIF(Janvier[31],CléAbsencenonjustifiée)</f>
        <v>0</v>
      </c>
      <c r="AG27" s="40">
        <f ca="1">SUBTOTAL(109,Mars[Total des Heures effectuées])</f>
        <v>0</v>
      </c>
    </row>
  </sheetData>
  <mergeCells count="9">
    <mergeCell ref="A1:AG1"/>
    <mergeCell ref="A4:A5"/>
    <mergeCell ref="AG4:AG5"/>
    <mergeCell ref="B4:AF4"/>
    <mergeCell ref="R2:U2"/>
    <mergeCell ref="C2:F2"/>
    <mergeCell ref="H2:I2"/>
    <mergeCell ref="K2:M2"/>
    <mergeCell ref="O2:P2"/>
  </mergeCells>
  <conditionalFormatting sqref="B27:AF27">
    <cfRule type="dataBar" priority="11">
      <dataBar>
        <cfvo type="num" val="0"/>
        <cfvo type="num" val="31"/>
        <color theme="2" tint="-0.249977111117893"/>
      </dataBar>
      <extLst>
        <ext xmlns:x14="http://schemas.microsoft.com/office/spreadsheetml/2009/9/main" uri="{B025F937-C7B1-47D3-B67F-A62EFF666E3E}">
          <x14:id>{8682C3BE-DB03-4F07-8737-FC64902898BA}</x14:id>
        </ext>
      </extLst>
    </cfRule>
  </conditionalFormatting>
  <conditionalFormatting sqref="B7:AF26">
    <cfRule type="cellIs" dxfId="313" priority="1" operator="equal">
      <formula>$Q$2</formula>
    </cfRule>
    <cfRule type="cellIs" dxfId="312" priority="2" operator="equal">
      <formula>$N$2</formula>
    </cfRule>
    <cfRule type="cellIs" dxfId="311" priority="3" operator="equal">
      <formula>$J$2</formula>
    </cfRule>
    <cfRule type="cellIs" dxfId="310" priority="4" operator="equal">
      <formula>$G$2</formula>
    </cfRule>
    <cfRule type="cellIs" dxfId="309" priority="5" operator="equal">
      <formula>$B$2</formula>
    </cfRule>
  </conditionalFormatting>
  <dataValidations count="12">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B6"/>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A4"/>
    <dataValidation allowBlank="1" showInputMessage="1" showErrorMessage="1" prompt="Le titre mis à jour automatiquement figure dans cette cellule. Pour modifier le titre, mettez à jour la cellule B1 de la feuille de calcul Janvier" sqref="A1"/>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A6"/>
    <dataValidation allowBlank="1" showInputMessage="1" showErrorMessage="1" prompt="Année mise à jour automatiquement en fonction de l’année entrée dans la feuille de calcul Janvier" sqref="AG4"/>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B5"/>
    <dataValidation allowBlank="1" showInputMessage="1" showErrorMessage="1" prompt="Cette ligne définit les clés utilisées dans le tableau : Repos hebdomadaire en C2, Congé en H2, Arrêt Maladie en K2, Formation en O2 et Absence non justifiée en R2_x000a_" sqref="A2"/>
    <dataValidation allowBlank="1" showInputMessage="1" showErrorMessage="1" prompt="« ABS» indique une absence pour cause d'Absence non justifiée" sqref="Q2"/>
    <dataValidation allowBlank="1" showInputMessage="1" showErrorMessage="1" prompt=" « AM » indique une absence pour cause d'Arrêt maladie" sqref="J2"/>
    <dataValidation allowBlank="1" showInputMessage="1" showErrorMessage="1" prompt=" « FO » indique une absence pour Formation" sqref="N2"/>
    <dataValidation allowBlank="1" showInputMessage="1" showErrorMessage="1" prompt="« CP» indique une absence pour cause de congé" sqref="G2"/>
    <dataValidation allowBlank="1" showInputMessage="1" showErrorMessage="1" prompt="Calcule automatiquement le nombre total des heures effectives d’un employé durant ce mois" sqref="AG6"/>
  </dataValidations>
  <pageMargins left="0.7" right="0.7" top="0.75" bottom="0.75" header="0.3" footer="0.3"/>
  <pageSetup paperSize="9" fitToHeight="0" orientation="portrait" verticalDpi="4294967293"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8682C3BE-DB03-4F07-8737-FC64902898BA}">
            <x14:dataBar minLength="0" maxLength="100">
              <x14:cfvo type="num">
                <xm:f>0</xm:f>
              </x14:cfvo>
              <x14:cfvo type="num">
                <xm:f>31</xm:f>
              </x14:cfvo>
              <x14:negativeFillColor rgb="FFFF0000"/>
              <x14:axisColor rgb="FF000000"/>
            </x14:dataBar>
          </x14:cfRule>
          <xm:sqref>B27:AF27</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14:formula1>
            <xm:f>Paramétrage!$B$3:$B$22</xm:f>
          </x14:formula1>
          <xm:sqref>A7:A26</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0.249977111117893"/>
  </sheetPr>
  <dimension ref="A1:AG27"/>
  <sheetViews>
    <sheetView showGridLines="0" zoomScaleNormal="100" workbookViewId="0">
      <selection sqref="A1:XFD6"/>
    </sheetView>
  </sheetViews>
  <sheetFormatPr baseColWidth="10" defaultColWidth="9.109375" defaultRowHeight="30" customHeight="1" x14ac:dyDescent="0.3"/>
  <cols>
    <col min="1" max="1" width="20.44140625" style="30" customWidth="1"/>
    <col min="2" max="32" width="5.5546875" style="30" customWidth="1"/>
    <col min="33" max="33" width="12.44140625" style="30" customWidth="1"/>
    <col min="34" max="34" width="2.6640625" style="29" customWidth="1"/>
    <col min="35" max="16384" width="9.109375" style="29"/>
  </cols>
  <sheetData>
    <row r="1" spans="1:33" ht="25.8" x14ac:dyDescent="0.3">
      <c r="A1" s="58" t="str">
        <f>Titre_Absence_Employé</f>
        <v>PLANNING MENSUEL</v>
      </c>
      <c r="B1" s="58"/>
      <c r="C1" s="58"/>
      <c r="D1" s="58"/>
      <c r="E1" s="58"/>
      <c r="F1" s="58"/>
      <c r="G1" s="58"/>
      <c r="H1" s="58"/>
      <c r="I1" s="58"/>
      <c r="J1" s="58"/>
      <c r="K1" s="58"/>
      <c r="L1" s="58"/>
      <c r="M1" s="58"/>
      <c r="N1" s="58"/>
      <c r="O1" s="58"/>
      <c r="P1" s="58"/>
      <c r="Q1" s="58"/>
      <c r="R1" s="58"/>
      <c r="S1" s="58"/>
      <c r="T1" s="58"/>
      <c r="U1" s="58"/>
      <c r="V1" s="58"/>
      <c r="W1" s="58"/>
      <c r="X1" s="58"/>
      <c r="Y1" s="58"/>
      <c r="Z1" s="58"/>
      <c r="AA1" s="58"/>
      <c r="AB1" s="58"/>
      <c r="AC1" s="58"/>
      <c r="AD1" s="58"/>
      <c r="AE1" s="58"/>
      <c r="AF1" s="58"/>
      <c r="AG1" s="58"/>
    </row>
    <row r="2" spans="1:33" ht="12" x14ac:dyDescent="0.3">
      <c r="A2" s="41" t="s">
        <v>0</v>
      </c>
      <c r="B2" s="42" t="s">
        <v>88</v>
      </c>
      <c r="C2" s="57" t="s">
        <v>89</v>
      </c>
      <c r="D2" s="57"/>
      <c r="E2" s="57"/>
      <c r="F2" s="57"/>
      <c r="G2" s="9" t="s">
        <v>82</v>
      </c>
      <c r="H2" s="57" t="s">
        <v>9</v>
      </c>
      <c r="I2" s="57"/>
      <c r="J2" s="43" t="s">
        <v>84</v>
      </c>
      <c r="K2" s="57" t="s">
        <v>85</v>
      </c>
      <c r="L2" s="57"/>
      <c r="M2" s="57"/>
      <c r="N2" s="11" t="s">
        <v>60</v>
      </c>
      <c r="O2" s="57" t="s">
        <v>83</v>
      </c>
      <c r="P2" s="57"/>
      <c r="Q2" s="44" t="s">
        <v>86</v>
      </c>
      <c r="R2" s="57" t="s">
        <v>87</v>
      </c>
      <c r="S2" s="57"/>
      <c r="T2" s="57"/>
      <c r="U2" s="57"/>
    </row>
    <row r="3" spans="1:33" ht="12" x14ac:dyDescent="0.3">
      <c r="AG3" s="31"/>
    </row>
    <row r="4" spans="1:33" ht="25.8" x14ac:dyDescent="0.3">
      <c r="A4" s="59" t="s">
        <v>51</v>
      </c>
      <c r="B4" s="59" t="s">
        <v>109</v>
      </c>
      <c r="C4" s="59"/>
      <c r="D4" s="59"/>
      <c r="E4" s="59"/>
      <c r="F4" s="59"/>
      <c r="G4" s="59"/>
      <c r="H4" s="59"/>
      <c r="I4" s="59"/>
      <c r="J4" s="59"/>
      <c r="K4" s="59"/>
      <c r="L4" s="59"/>
      <c r="M4" s="59"/>
      <c r="N4" s="59"/>
      <c r="O4" s="59"/>
      <c r="P4" s="59"/>
      <c r="Q4" s="59"/>
      <c r="R4" s="59"/>
      <c r="S4" s="59"/>
      <c r="T4" s="59"/>
      <c r="U4" s="59"/>
      <c r="V4" s="59"/>
      <c r="W4" s="59"/>
      <c r="X4" s="59"/>
      <c r="Y4" s="59"/>
      <c r="Z4" s="59"/>
      <c r="AA4" s="59"/>
      <c r="AB4" s="59"/>
      <c r="AC4" s="59"/>
      <c r="AD4" s="59"/>
      <c r="AE4" s="59"/>
      <c r="AF4" s="59"/>
      <c r="AG4" s="59">
        <f>AnnéeCalendrier</f>
        <v>2023</v>
      </c>
    </row>
    <row r="5" spans="1:33" ht="12" x14ac:dyDescent="0.3">
      <c r="A5" s="59"/>
      <c r="B5" s="47" t="str">
        <f>TEXT(WEEKDAY(DATE(AnnéeCalendrier,10,1),1),"jjj")</f>
        <v>dim</v>
      </c>
      <c r="C5" s="32" t="str">
        <f>TEXT(WEEKDAY(DATE(AnnéeCalendrier,10,2),1),"jjj")</f>
        <v>lun</v>
      </c>
      <c r="D5" s="32" t="str">
        <f>TEXT(WEEKDAY(DATE(AnnéeCalendrier,10,3),1),"jjj")</f>
        <v>mar</v>
      </c>
      <c r="E5" s="32" t="str">
        <f>TEXT(WEEKDAY(DATE(AnnéeCalendrier,10,4),1),"jjj")</f>
        <v>mer</v>
      </c>
      <c r="F5" s="32" t="str">
        <f>TEXT(WEEKDAY(DATE(AnnéeCalendrier,10,5),1),"jjj")</f>
        <v>jeu</v>
      </c>
      <c r="G5" s="32" t="str">
        <f>TEXT(WEEKDAY(DATE(AnnéeCalendrier,10,6),1),"jjj")</f>
        <v>ven</v>
      </c>
      <c r="H5" s="32" t="str">
        <f>TEXT(WEEKDAY(DATE(AnnéeCalendrier,10,7),1),"jjj")</f>
        <v>sam</v>
      </c>
      <c r="I5" s="32" t="str">
        <f>TEXT(WEEKDAY(DATE(AnnéeCalendrier,10,8),1),"jjj")</f>
        <v>dim</v>
      </c>
      <c r="J5" s="32" t="str">
        <f>TEXT(WEEKDAY(DATE(AnnéeCalendrier,10,9),1),"jjj")</f>
        <v>lun</v>
      </c>
      <c r="K5" s="32" t="str">
        <f>TEXT(WEEKDAY(DATE(AnnéeCalendrier,10,10),1),"jjj")</f>
        <v>mar</v>
      </c>
      <c r="L5" s="32" t="str">
        <f>TEXT(WEEKDAY(DATE(AnnéeCalendrier,10,11),1),"jjj")</f>
        <v>mer</v>
      </c>
      <c r="M5" s="32" t="str">
        <f>TEXT(WEEKDAY(DATE(AnnéeCalendrier,10,12),1),"jjj")</f>
        <v>jeu</v>
      </c>
      <c r="N5" s="32" t="str">
        <f>TEXT(WEEKDAY(DATE(AnnéeCalendrier,10,13),1),"jjj")</f>
        <v>ven</v>
      </c>
      <c r="O5" s="32" t="str">
        <f>TEXT(WEEKDAY(DATE(AnnéeCalendrier,10,14),1),"jjj")</f>
        <v>sam</v>
      </c>
      <c r="P5" s="32" t="str">
        <f>TEXT(WEEKDAY(DATE(AnnéeCalendrier,10,15),1),"jjj")</f>
        <v>dim</v>
      </c>
      <c r="Q5" s="32" t="str">
        <f>TEXT(WEEKDAY(DATE(AnnéeCalendrier,10,16),1),"jjj")</f>
        <v>lun</v>
      </c>
      <c r="R5" s="32" t="str">
        <f>TEXT(WEEKDAY(DATE(AnnéeCalendrier,10,17),1),"jjj")</f>
        <v>mar</v>
      </c>
      <c r="S5" s="32" t="str">
        <f>TEXT(WEEKDAY(DATE(AnnéeCalendrier,10,18),1),"jjj")</f>
        <v>mer</v>
      </c>
      <c r="T5" s="32" t="str">
        <f>TEXT(WEEKDAY(DATE(AnnéeCalendrier,10,19),1),"jjj")</f>
        <v>jeu</v>
      </c>
      <c r="U5" s="32" t="str">
        <f>TEXT(WEEKDAY(DATE(AnnéeCalendrier,10,20),1),"jjj")</f>
        <v>ven</v>
      </c>
      <c r="V5" s="32" t="str">
        <f>TEXT(WEEKDAY(DATE(AnnéeCalendrier,10,21),1),"jjj")</f>
        <v>sam</v>
      </c>
      <c r="W5" s="32" t="str">
        <f>TEXT(WEEKDAY(DATE(AnnéeCalendrier,10,22),1),"jjj")</f>
        <v>dim</v>
      </c>
      <c r="X5" s="32" t="str">
        <f>TEXT(WEEKDAY(DATE(AnnéeCalendrier,10,23),1),"jjj")</f>
        <v>lun</v>
      </c>
      <c r="Y5" s="32" t="str">
        <f>TEXT(WEEKDAY(DATE(AnnéeCalendrier,10,24),1),"jjj")</f>
        <v>mar</v>
      </c>
      <c r="Z5" s="32" t="str">
        <f>TEXT(WEEKDAY(DATE(AnnéeCalendrier,10,25),1),"jjj")</f>
        <v>mer</v>
      </c>
      <c r="AA5" s="32" t="str">
        <f>TEXT(WEEKDAY(DATE(AnnéeCalendrier,10,26),1),"jjj")</f>
        <v>jeu</v>
      </c>
      <c r="AB5" s="32" t="str">
        <f>TEXT(WEEKDAY(DATE(AnnéeCalendrier,10,27),1),"jjj")</f>
        <v>ven</v>
      </c>
      <c r="AC5" s="32" t="str">
        <f>TEXT(WEEKDAY(DATE(AnnéeCalendrier,10,28),1),"jjj")</f>
        <v>sam</v>
      </c>
      <c r="AD5" s="32" t="str">
        <f>TEXT(WEEKDAY(DATE(AnnéeCalendrier,10,29),1),"jjj")</f>
        <v>dim</v>
      </c>
      <c r="AE5" s="32" t="str">
        <f>TEXT(WEEKDAY(DATE(AnnéeCalendrier,10,30),1),"jjj")</f>
        <v>lun</v>
      </c>
      <c r="AF5" s="32" t="str">
        <f>TEXT(WEEKDAY(DATE(AnnéeCalendrier,10,31),1),"jjj")</f>
        <v>mar</v>
      </c>
      <c r="AG5" s="59"/>
    </row>
    <row r="6" spans="1:33" ht="24" x14ac:dyDescent="0.3">
      <c r="A6" s="45" t="s">
        <v>2</v>
      </c>
      <c r="B6" s="46" t="s">
        <v>8</v>
      </c>
      <c r="C6" s="46" t="s">
        <v>10</v>
      </c>
      <c r="D6" s="46" t="s">
        <v>11</v>
      </c>
      <c r="E6" s="46" t="s">
        <v>12</v>
      </c>
      <c r="F6" s="46" t="s">
        <v>13</v>
      </c>
      <c r="G6" s="46" t="s">
        <v>14</v>
      </c>
      <c r="H6" s="46" t="s">
        <v>15</v>
      </c>
      <c r="I6" s="46" t="s">
        <v>16</v>
      </c>
      <c r="J6" s="46" t="s">
        <v>17</v>
      </c>
      <c r="K6" s="46" t="s">
        <v>18</v>
      </c>
      <c r="L6" s="46" t="s">
        <v>19</v>
      </c>
      <c r="M6" s="46" t="s">
        <v>20</v>
      </c>
      <c r="N6" s="46" t="s">
        <v>21</v>
      </c>
      <c r="O6" s="46" t="s">
        <v>22</v>
      </c>
      <c r="P6" s="46" t="s">
        <v>23</v>
      </c>
      <c r="Q6" s="46" t="s">
        <v>24</v>
      </c>
      <c r="R6" s="46" t="s">
        <v>25</v>
      </c>
      <c r="S6" s="46" t="s">
        <v>26</v>
      </c>
      <c r="T6" s="46" t="s">
        <v>27</v>
      </c>
      <c r="U6" s="46" t="s">
        <v>28</v>
      </c>
      <c r="V6" s="46" t="s">
        <v>29</v>
      </c>
      <c r="W6" s="46" t="s">
        <v>30</v>
      </c>
      <c r="X6" s="46" t="s">
        <v>31</v>
      </c>
      <c r="Y6" s="46" t="s">
        <v>32</v>
      </c>
      <c r="Z6" s="46" t="s">
        <v>33</v>
      </c>
      <c r="AA6" s="46" t="s">
        <v>34</v>
      </c>
      <c r="AB6" s="46" t="s">
        <v>35</v>
      </c>
      <c r="AC6" s="46" t="s">
        <v>36</v>
      </c>
      <c r="AD6" s="46" t="s">
        <v>37</v>
      </c>
      <c r="AE6" s="46" t="s">
        <v>38</v>
      </c>
      <c r="AF6" s="46" t="s">
        <v>39</v>
      </c>
      <c r="AG6" s="35" t="s">
        <v>107</v>
      </c>
    </row>
    <row r="7" spans="1:33" ht="15" customHeight="1" x14ac:dyDescent="0.3">
      <c r="A7" s="36" t="s">
        <v>3</v>
      </c>
      <c r="B7" s="34"/>
      <c r="C7" s="34"/>
      <c r="D7" s="34"/>
      <c r="E7" s="34"/>
      <c r="F7" s="34"/>
      <c r="G7" s="34"/>
      <c r="H7" s="34"/>
      <c r="I7" s="34"/>
      <c r="J7" s="34"/>
      <c r="K7" s="34"/>
      <c r="L7" s="34"/>
      <c r="M7" s="34"/>
      <c r="N7" s="34"/>
      <c r="O7" s="34"/>
      <c r="P7" s="34"/>
      <c r="Q7" s="34"/>
      <c r="R7" s="34"/>
      <c r="S7" s="34"/>
      <c r="T7" s="34"/>
      <c r="U7" s="34"/>
      <c r="V7" s="34"/>
      <c r="W7" s="34"/>
      <c r="X7" s="34"/>
      <c r="Y7" s="34"/>
      <c r="Z7" s="34"/>
      <c r="AA7" s="34"/>
      <c r="AB7" s="34"/>
      <c r="AC7" s="34"/>
      <c r="AD7" s="34"/>
      <c r="AE7" s="34"/>
      <c r="AF7" s="34"/>
      <c r="AG7" s="18">
        <f>COUNTIF(Janvier[[#This Row],[1]:[31]],Paramétrage!G3)*Paramétrage!I3+COUNTIF(Janvier[[#This Row],[1]:[31]],Paramétrage!G4)*Paramétrage!I4+COUNTIF(Janvier[[#This Row],[1]:[31]],Paramétrage!G5)*Paramétrage!I5+COUNTIF(Janvier[[#This Row],[1]:[31]],Paramétrage!G6)*Paramétrage!I6+COUNTIF(Janvier[[#This Row],[1]:[31]],Paramétrage!G7)*Paramétrage!I7+COUNTIF(Janvier[[#This Row],[1]:[31]],Paramétrage!G8)*Paramétrage!I8+COUNTIF(Janvier[[#This Row],[1]:[31]],Paramétrage!G9)*Paramétrage!I9+COUNTIF(Janvier[[#This Row],[1]:[31]],Paramétrage!G10)*Paramétrage!I10+COUNTIF(Janvier[[#This Row],[1]:[31]],Paramétrage!G11)*Paramétrage!I11+COUNTIF(Janvier[[#This Row],[1]:[31]],Paramétrage!G12)*Paramétrage!I12+COUNTIF(Janvier[[#This Row],[1]:[31]],Paramétrage!G13)*Paramétrage!I13+COUNTIF(Janvier[[#This Row],[1]:[31]],Paramétrage!G14*Paramétrage!I14+COUNTIF(Janvier[[#This Row],[1]:[31]],Paramétrage!G15)*Paramétrage!I15+COUNTIF(Janvier[[#This Row],[1]:[31]],Paramétrage!G16)*Paramétrage!I16)</f>
        <v>0</v>
      </c>
    </row>
    <row r="8" spans="1:33" ht="15" customHeight="1" x14ac:dyDescent="0.3">
      <c r="A8" s="36" t="s">
        <v>4</v>
      </c>
      <c r="B8" s="34"/>
      <c r="C8" s="34"/>
      <c r="D8" s="34"/>
      <c r="E8" s="34"/>
      <c r="F8" s="34"/>
      <c r="G8" s="34"/>
      <c r="H8" s="34"/>
      <c r="I8" s="34"/>
      <c r="J8" s="34"/>
      <c r="K8" s="34"/>
      <c r="L8" s="34"/>
      <c r="M8" s="34"/>
      <c r="N8" s="34"/>
      <c r="O8" s="34"/>
      <c r="P8" s="34"/>
      <c r="Q8" s="34"/>
      <c r="R8" s="34"/>
      <c r="S8" s="34"/>
      <c r="T8" s="34"/>
      <c r="U8" s="34"/>
      <c r="V8" s="34"/>
      <c r="W8" s="34"/>
      <c r="X8" s="34"/>
      <c r="Y8" s="34"/>
      <c r="Z8" s="34"/>
      <c r="AA8" s="34"/>
      <c r="AB8" s="34"/>
      <c r="AC8" s="34"/>
      <c r="AD8" s="34"/>
      <c r="AE8" s="34"/>
      <c r="AF8" s="34"/>
      <c r="AG8" s="18">
        <f>COUNTIF(Janvier[[#This Row],[1]:[31]],Paramétrage!G4)*Paramétrage!I4+COUNTIF(Janvier[[#This Row],[1]:[31]],Paramétrage!G5)*Paramétrage!I5+COUNTIF(Janvier[[#This Row],[1]:[31]],Paramétrage!G6)*Paramétrage!I6+COUNTIF(Janvier[[#This Row],[1]:[31]],Paramétrage!G7)*Paramétrage!I7+COUNTIF(Janvier[[#This Row],[1]:[31]],Paramétrage!G8)*Paramétrage!I8+COUNTIF(Janvier[[#This Row],[1]:[31]],Paramétrage!G9)*Paramétrage!I9+COUNTIF(Janvier[[#This Row],[1]:[31]],Paramétrage!G10)*Paramétrage!I10+COUNTIF(Janvier[[#This Row],[1]:[31]],Paramétrage!G11)*Paramétrage!I11+COUNTIF(Janvier[[#This Row],[1]:[31]],Paramétrage!G12)*Paramétrage!I12+COUNTIF(Janvier[[#This Row],[1]:[31]],Paramétrage!G13)*Paramétrage!I13+COUNTIF(Janvier[[#This Row],[1]:[31]],Paramétrage!G14)*Paramétrage!I14+COUNTIF(Janvier[[#This Row],[1]:[31]],Paramétrage!G15*Paramétrage!I15+COUNTIF(Janvier[[#This Row],[1]:[31]],Paramétrage!G16)*Paramétrage!I16+COUNTIF(Janvier[[#This Row],[1]:[31]],Paramétrage!G17)*Paramétrage!I17)</f>
        <v>0</v>
      </c>
    </row>
    <row r="9" spans="1:33" ht="15" customHeight="1" x14ac:dyDescent="0.3">
      <c r="A9" s="36" t="s">
        <v>5</v>
      </c>
      <c r="B9" s="34"/>
      <c r="C9" s="34"/>
      <c r="D9" s="34"/>
      <c r="E9" s="34"/>
      <c r="F9" s="34"/>
      <c r="G9" s="34"/>
      <c r="H9" s="34"/>
      <c r="I9" s="34"/>
      <c r="J9" s="34"/>
      <c r="K9" s="34"/>
      <c r="L9" s="34"/>
      <c r="M9" s="34"/>
      <c r="N9" s="34"/>
      <c r="O9" s="34"/>
      <c r="P9" s="34"/>
      <c r="Q9" s="34"/>
      <c r="R9" s="34"/>
      <c r="S9" s="34"/>
      <c r="T9" s="34"/>
      <c r="U9" s="34"/>
      <c r="V9" s="34"/>
      <c r="W9" s="34"/>
      <c r="X9" s="34"/>
      <c r="Y9" s="34"/>
      <c r="Z9" s="34"/>
      <c r="AA9" s="34"/>
      <c r="AB9" s="34"/>
      <c r="AC9" s="34"/>
      <c r="AD9" s="34"/>
      <c r="AE9" s="34"/>
      <c r="AF9" s="34"/>
      <c r="AG9" s="18">
        <f>COUNTIF(Janvier[[#This Row],[1]:[31]],Paramétrage!G5)*Paramétrage!I5+COUNTIF(Janvier[[#This Row],[1]:[31]],Paramétrage!G6)*Paramétrage!I6+COUNTIF(Janvier[[#This Row],[1]:[31]],Paramétrage!G7)*Paramétrage!I7+COUNTIF(Janvier[[#This Row],[1]:[31]],Paramétrage!G8)*Paramétrage!I8+COUNTIF(Janvier[[#This Row],[1]:[31]],Paramétrage!G9)*Paramétrage!I9+COUNTIF(Janvier[[#This Row],[1]:[31]],Paramétrage!G10)*Paramétrage!I10+COUNTIF(Janvier[[#This Row],[1]:[31]],Paramétrage!G11)*Paramétrage!I11+COUNTIF(Janvier[[#This Row],[1]:[31]],Paramétrage!G12)*Paramétrage!I12+COUNTIF(Janvier[[#This Row],[1]:[31]],Paramétrage!G13)*Paramétrage!I13+COUNTIF(Janvier[[#This Row],[1]:[31]],Paramétrage!G14)*Paramétrage!I14+COUNTIF(Janvier[[#This Row],[1]:[31]],Paramétrage!G15)*Paramétrage!I15+COUNTIF(Janvier[[#This Row],[1]:[31]],Paramétrage!G16*Paramétrage!I16+COUNTIF(Janvier[[#This Row],[1]:[31]],Paramétrage!G17)*Paramétrage!I17+COUNTIF(Janvier[[#This Row],[1]:[31]],Paramétrage!G18)*Paramétrage!I18)</f>
        <v>0</v>
      </c>
    </row>
    <row r="10" spans="1:33" ht="15" customHeight="1" x14ac:dyDescent="0.3">
      <c r="A10" s="36" t="s">
        <v>6</v>
      </c>
      <c r="B10" s="34"/>
      <c r="C10" s="34"/>
      <c r="D10" s="34"/>
      <c r="E10" s="34"/>
      <c r="F10" s="34"/>
      <c r="G10" s="34"/>
      <c r="H10" s="34"/>
      <c r="I10" s="34"/>
      <c r="J10" s="34"/>
      <c r="K10" s="34"/>
      <c r="L10" s="34"/>
      <c r="M10" s="34"/>
      <c r="N10" s="34"/>
      <c r="O10" s="34"/>
      <c r="P10" s="34"/>
      <c r="Q10" s="34"/>
      <c r="R10" s="34"/>
      <c r="S10" s="34"/>
      <c r="T10" s="34"/>
      <c r="U10" s="34"/>
      <c r="V10" s="34"/>
      <c r="W10" s="34"/>
      <c r="X10" s="34"/>
      <c r="Y10" s="34"/>
      <c r="Z10" s="34"/>
      <c r="AA10" s="34"/>
      <c r="AB10" s="34"/>
      <c r="AC10" s="34"/>
      <c r="AD10" s="34"/>
      <c r="AE10" s="34"/>
      <c r="AF10" s="34"/>
      <c r="AG10" s="18">
        <f>COUNTIF(Janvier[[#This Row],[1]:[31]],Paramétrage!G6)*Paramétrage!I6+COUNTIF(Janvier[[#This Row],[1]:[31]],Paramétrage!G7)*Paramétrage!I7+COUNTIF(Janvier[[#This Row],[1]:[31]],Paramétrage!G8)*Paramétrage!I8+COUNTIF(Janvier[[#This Row],[1]:[31]],Paramétrage!G9)*Paramétrage!I9+COUNTIF(Janvier[[#This Row],[1]:[31]],Paramétrage!G10)*Paramétrage!I10+COUNTIF(Janvier[[#This Row],[1]:[31]],Paramétrage!G11)*Paramétrage!I11+COUNTIF(Janvier[[#This Row],[1]:[31]],Paramétrage!G12)*Paramétrage!I12+COUNTIF(Janvier[[#This Row],[1]:[31]],Paramétrage!G13)*Paramétrage!I13+COUNTIF(Janvier[[#This Row],[1]:[31]],Paramétrage!G14)*Paramétrage!I14+COUNTIF(Janvier[[#This Row],[1]:[31]],Paramétrage!G15)*Paramétrage!I15+COUNTIF(Janvier[[#This Row],[1]:[31]],Paramétrage!G16)*Paramétrage!I16+COUNTIF(Janvier[[#This Row],[1]:[31]],Paramétrage!G17*Paramétrage!I17+COUNTIF(Janvier[[#This Row],[1]:[31]],Paramétrage!G18)*Paramétrage!I18+COUNTIF(Janvier[[#This Row],[1]:[31]],Paramétrage!G19)*Paramétrage!I19)</f>
        <v>0</v>
      </c>
    </row>
    <row r="11" spans="1:33" ht="15" customHeight="1" x14ac:dyDescent="0.3">
      <c r="A11" s="36" t="s">
        <v>7</v>
      </c>
      <c r="B11" s="34"/>
      <c r="C11" s="34"/>
      <c r="D11" s="34"/>
      <c r="E11" s="34"/>
      <c r="F11" s="34"/>
      <c r="G11" s="34"/>
      <c r="H11" s="34"/>
      <c r="I11" s="34"/>
      <c r="J11" s="34"/>
      <c r="K11" s="34"/>
      <c r="L11" s="34"/>
      <c r="M11" s="34"/>
      <c r="N11" s="34"/>
      <c r="O11" s="34"/>
      <c r="P11" s="34"/>
      <c r="Q11" s="34"/>
      <c r="R11" s="34"/>
      <c r="S11" s="34"/>
      <c r="T11" s="34"/>
      <c r="U11" s="34"/>
      <c r="V11" s="34"/>
      <c r="W11" s="34"/>
      <c r="X11" s="34"/>
      <c r="Y11" s="34"/>
      <c r="Z11" s="34"/>
      <c r="AA11" s="34"/>
      <c r="AB11" s="34"/>
      <c r="AC11" s="34"/>
      <c r="AD11" s="34"/>
      <c r="AE11" s="34"/>
      <c r="AF11" s="34"/>
      <c r="AG11" s="18">
        <f>COUNTIF(Janvier[[#This Row],[1]:[31]],Paramétrage!G7)*Paramétrage!I7+COUNTIF(Janvier[[#This Row],[1]:[31]],Paramétrage!G8)*Paramétrage!I8+COUNTIF(Janvier[[#This Row],[1]:[31]],Paramétrage!G9)*Paramétrage!I9+COUNTIF(Janvier[[#This Row],[1]:[31]],Paramétrage!G10)*Paramétrage!I10+COUNTIF(Janvier[[#This Row],[1]:[31]],Paramétrage!G11)*Paramétrage!I11+COUNTIF(Janvier[[#This Row],[1]:[31]],Paramétrage!G12)*Paramétrage!I12+COUNTIF(Janvier[[#This Row],[1]:[31]],Paramétrage!G13)*Paramétrage!I13+COUNTIF(Janvier[[#This Row],[1]:[31]],Paramétrage!G14)*Paramétrage!I14+COUNTIF(Janvier[[#This Row],[1]:[31]],Paramétrage!G15)*Paramétrage!I15+COUNTIF(Janvier[[#This Row],[1]:[31]],Paramétrage!G16)*Paramétrage!I16+COUNTIF(Janvier[[#This Row],[1]:[31]],Paramétrage!G17)*Paramétrage!I17+COUNTIF(Janvier[[#This Row],[1]:[31]],Paramétrage!G18*Paramétrage!I18+COUNTIF(Janvier[[#This Row],[1]:[31]],Paramétrage!G19)*Paramétrage!I19+COUNTIF(Janvier[[#This Row],[1]:[31]],Paramétrage!G20)*Paramétrage!I20)</f>
        <v>0</v>
      </c>
    </row>
    <row r="12" spans="1:33" ht="15" customHeight="1" x14ac:dyDescent="0.3">
      <c r="A12" s="36" t="s">
        <v>55</v>
      </c>
      <c r="B12" s="34"/>
      <c r="C12" s="34"/>
      <c r="D12" s="34"/>
      <c r="E12" s="34"/>
      <c r="F12" s="34"/>
      <c r="G12" s="34"/>
      <c r="H12" s="34"/>
      <c r="I12" s="34"/>
      <c r="J12" s="34"/>
      <c r="K12" s="34"/>
      <c r="L12" s="34"/>
      <c r="M12" s="34"/>
      <c r="N12" s="34"/>
      <c r="O12" s="34"/>
      <c r="P12" s="34"/>
      <c r="Q12" s="34"/>
      <c r="R12" s="34"/>
      <c r="S12" s="34"/>
      <c r="T12" s="34"/>
      <c r="U12" s="34"/>
      <c r="V12" s="34"/>
      <c r="W12" s="34"/>
      <c r="X12" s="34"/>
      <c r="Y12" s="34"/>
      <c r="Z12" s="34"/>
      <c r="AA12" s="34"/>
      <c r="AB12" s="34"/>
      <c r="AC12" s="34"/>
      <c r="AD12" s="34"/>
      <c r="AE12" s="34"/>
      <c r="AF12" s="34"/>
      <c r="AG12" s="18">
        <f>COUNTIF(Janvier[[#This Row],[1]:[31]],Paramétrage!G8)*Paramétrage!I8+COUNTIF(Janvier[[#This Row],[1]:[31]],Paramétrage!G9)*Paramétrage!I9+COUNTIF(Janvier[[#This Row],[1]:[31]],Paramétrage!G10)*Paramétrage!I10+COUNTIF(Janvier[[#This Row],[1]:[31]],Paramétrage!G11)*Paramétrage!I11+COUNTIF(Janvier[[#This Row],[1]:[31]],Paramétrage!G12)*Paramétrage!I12+COUNTIF(Janvier[[#This Row],[1]:[31]],Paramétrage!G13)*Paramétrage!I13+COUNTIF(Janvier[[#This Row],[1]:[31]],Paramétrage!G14)*Paramétrage!I14+COUNTIF(Janvier[[#This Row],[1]:[31]],Paramétrage!G15)*Paramétrage!I15+COUNTIF(Janvier[[#This Row],[1]:[31]],Paramétrage!G16)*Paramétrage!I16+COUNTIF(Janvier[[#This Row],[1]:[31]],Paramétrage!G17)*Paramétrage!I17+COUNTIF(Janvier[[#This Row],[1]:[31]],Paramétrage!G18)*Paramétrage!I18+COUNTIF(Janvier[[#This Row],[1]:[31]],Paramétrage!G19*Paramétrage!I19+COUNTIF(Janvier[[#This Row],[1]:[31]],Paramétrage!G20)*Paramétrage!I20+COUNTIF(Janvier[[#This Row],[1]:[31]],Paramétrage!G21)*Paramétrage!I21)</f>
        <v>0</v>
      </c>
    </row>
    <row r="13" spans="1:33" ht="15" customHeight="1" x14ac:dyDescent="0.3">
      <c r="A13" s="36" t="s">
        <v>56</v>
      </c>
      <c r="B13" s="34"/>
      <c r="C13" s="34"/>
      <c r="D13" s="34"/>
      <c r="E13" s="34"/>
      <c r="F13" s="34"/>
      <c r="G13" s="34"/>
      <c r="H13" s="34"/>
      <c r="I13" s="34"/>
      <c r="J13" s="34"/>
      <c r="K13" s="34"/>
      <c r="L13" s="34"/>
      <c r="M13" s="34"/>
      <c r="N13" s="34"/>
      <c r="O13" s="34"/>
      <c r="P13" s="34"/>
      <c r="Q13" s="34"/>
      <c r="R13" s="34"/>
      <c r="S13" s="34"/>
      <c r="T13" s="34"/>
      <c r="U13" s="34"/>
      <c r="V13" s="34"/>
      <c r="W13" s="34"/>
      <c r="X13" s="34"/>
      <c r="Y13" s="34"/>
      <c r="Z13" s="34"/>
      <c r="AA13" s="34"/>
      <c r="AB13" s="34"/>
      <c r="AC13" s="34"/>
      <c r="AD13" s="34"/>
      <c r="AE13" s="34"/>
      <c r="AF13" s="34"/>
      <c r="AG13" s="18">
        <f>COUNTIF(Janvier[[#This Row],[1]:[31]],Paramétrage!G9)*Paramétrage!I9+COUNTIF(Janvier[[#This Row],[1]:[31]],Paramétrage!G10)*Paramétrage!I10+COUNTIF(Janvier[[#This Row],[1]:[31]],Paramétrage!G11)*Paramétrage!I11+COUNTIF(Janvier[[#This Row],[1]:[31]],Paramétrage!G12)*Paramétrage!I12+COUNTIF(Janvier[[#This Row],[1]:[31]],Paramétrage!G13)*Paramétrage!I13+COUNTIF(Janvier[[#This Row],[1]:[31]],Paramétrage!G14)*Paramétrage!I14+COUNTIF(Janvier[[#This Row],[1]:[31]],Paramétrage!G15)*Paramétrage!I15+COUNTIF(Janvier[[#This Row],[1]:[31]],Paramétrage!G16)*Paramétrage!I16+COUNTIF(Janvier[[#This Row],[1]:[31]],Paramétrage!G17)*Paramétrage!I17+COUNTIF(Janvier[[#This Row],[1]:[31]],Paramétrage!G18)*Paramétrage!I18+COUNTIF(Janvier[[#This Row],[1]:[31]],Paramétrage!G19)*Paramétrage!I19+COUNTIF(Janvier[[#This Row],[1]:[31]],Paramétrage!G20*Paramétrage!I20+COUNTIF(Janvier[[#This Row],[1]:[31]],Paramétrage!G21)*Paramétrage!I21+COUNTIF(Janvier[[#This Row],[1]:[31]],Paramétrage!G22)*Paramétrage!I22)</f>
        <v>0</v>
      </c>
    </row>
    <row r="14" spans="1:33" ht="15" customHeight="1" x14ac:dyDescent="0.3">
      <c r="A14" s="36" t="s">
        <v>57</v>
      </c>
      <c r="B14" s="34"/>
      <c r="C14" s="34"/>
      <c r="D14" s="34"/>
      <c r="E14" s="34"/>
      <c r="F14" s="34"/>
      <c r="G14" s="34"/>
      <c r="H14" s="34"/>
      <c r="I14" s="34"/>
      <c r="J14" s="34"/>
      <c r="K14" s="34"/>
      <c r="L14" s="34"/>
      <c r="M14" s="34"/>
      <c r="N14" s="34"/>
      <c r="O14" s="34"/>
      <c r="P14" s="34"/>
      <c r="Q14" s="34"/>
      <c r="R14" s="34"/>
      <c r="S14" s="34"/>
      <c r="T14" s="34"/>
      <c r="U14" s="34"/>
      <c r="V14" s="34"/>
      <c r="W14" s="34"/>
      <c r="X14" s="34"/>
      <c r="Y14" s="34"/>
      <c r="Z14" s="34"/>
      <c r="AA14" s="34"/>
      <c r="AB14" s="34"/>
      <c r="AC14" s="34"/>
      <c r="AD14" s="34"/>
      <c r="AE14" s="34"/>
      <c r="AF14" s="34"/>
      <c r="AG14" s="18">
        <f>COUNTIF(Janvier[[#This Row],[1]:[31]],Paramétrage!G10)*Paramétrage!I10+COUNTIF(Janvier[[#This Row],[1]:[31]],Paramétrage!G11)*Paramétrage!I11+COUNTIF(Janvier[[#This Row],[1]:[31]],Paramétrage!G12)*Paramétrage!I12+COUNTIF(Janvier[[#This Row],[1]:[31]],Paramétrage!G13)*Paramétrage!I13+COUNTIF(Janvier[[#This Row],[1]:[31]],Paramétrage!G14)*Paramétrage!I14+COUNTIF(Janvier[[#This Row],[1]:[31]],Paramétrage!G15)*Paramétrage!I15+COUNTIF(Janvier[[#This Row],[1]:[31]],Paramétrage!G16)*Paramétrage!I16+COUNTIF(Janvier[[#This Row],[1]:[31]],Paramétrage!G17)*Paramétrage!I17+COUNTIF(Janvier[[#This Row],[1]:[31]],Paramétrage!G18)*Paramétrage!I18+COUNTIF(Janvier[[#This Row],[1]:[31]],Paramétrage!G19)*Paramétrage!I19+COUNTIF(Janvier[[#This Row],[1]:[31]],Paramétrage!G20)*Paramétrage!I20+COUNTIF(Janvier[[#This Row],[1]:[31]],Paramétrage!G21*Paramétrage!I21+COUNTIF(Janvier[[#This Row],[1]:[31]],Paramétrage!G22)*Paramétrage!I22+COUNTIF(Janvier[[#This Row],[1]:[31]],Paramétrage!G23)*Paramétrage!I23)</f>
        <v>0</v>
      </c>
    </row>
    <row r="15" spans="1:33" ht="15" customHeight="1" x14ac:dyDescent="0.3">
      <c r="A15" s="36" t="s">
        <v>61</v>
      </c>
      <c r="B15" s="34"/>
      <c r="C15" s="34"/>
      <c r="D15" s="34"/>
      <c r="E15" s="34"/>
      <c r="F15" s="34"/>
      <c r="G15" s="34"/>
      <c r="H15" s="34"/>
      <c r="I15" s="34"/>
      <c r="J15" s="34"/>
      <c r="K15" s="34"/>
      <c r="L15" s="34"/>
      <c r="M15" s="34"/>
      <c r="N15" s="34"/>
      <c r="O15" s="34"/>
      <c r="P15" s="34"/>
      <c r="Q15" s="34"/>
      <c r="R15" s="34"/>
      <c r="S15" s="34"/>
      <c r="T15" s="34"/>
      <c r="U15" s="34"/>
      <c r="V15" s="34"/>
      <c r="W15" s="34"/>
      <c r="X15" s="34"/>
      <c r="Y15" s="34"/>
      <c r="Z15" s="34"/>
      <c r="AA15" s="34"/>
      <c r="AB15" s="34"/>
      <c r="AC15" s="34"/>
      <c r="AD15" s="34"/>
      <c r="AE15" s="34"/>
      <c r="AF15" s="34"/>
      <c r="AG15" s="18">
        <f>COUNTIF(Janvier[[#This Row],[1]:[31]],Paramétrage!G11)*Paramétrage!I11+COUNTIF(Janvier[[#This Row],[1]:[31]],Paramétrage!G12)*Paramétrage!I12+COUNTIF(Janvier[[#This Row],[1]:[31]],Paramétrage!G13)*Paramétrage!I13+COUNTIF(Janvier[[#This Row],[1]:[31]],Paramétrage!G14)*Paramétrage!I14+COUNTIF(Janvier[[#This Row],[1]:[31]],Paramétrage!G15)*Paramétrage!I15+COUNTIF(Janvier[[#This Row],[1]:[31]],Paramétrage!G16)*Paramétrage!I16+COUNTIF(Janvier[[#This Row],[1]:[31]],Paramétrage!G17)*Paramétrage!I17+COUNTIF(Janvier[[#This Row],[1]:[31]],Paramétrage!G18)*Paramétrage!I18+COUNTIF(Janvier[[#This Row],[1]:[31]],Paramétrage!G19)*Paramétrage!I19+COUNTIF(Janvier[[#This Row],[1]:[31]],Paramétrage!G20)*Paramétrage!I20+COUNTIF(Janvier[[#This Row],[1]:[31]],Paramétrage!G21)*Paramétrage!I21+COUNTIF(Janvier[[#This Row],[1]:[31]],Paramétrage!G22*Paramétrage!I22+COUNTIF(Janvier[[#This Row],[1]:[31]],Paramétrage!G23)*Paramétrage!I23+COUNTIF(Janvier[[#This Row],[1]:[31]],Paramétrage!G24)*Paramétrage!I24)</f>
        <v>0</v>
      </c>
    </row>
    <row r="16" spans="1:33" ht="15" customHeight="1" x14ac:dyDescent="0.3">
      <c r="A16" s="36" t="s">
        <v>62</v>
      </c>
      <c r="B16" s="34"/>
      <c r="C16" s="34"/>
      <c r="D16" s="34"/>
      <c r="E16" s="34"/>
      <c r="F16" s="34"/>
      <c r="G16" s="34"/>
      <c r="H16" s="34"/>
      <c r="I16" s="34"/>
      <c r="J16" s="34"/>
      <c r="K16" s="34"/>
      <c r="L16" s="34"/>
      <c r="M16" s="34"/>
      <c r="N16" s="34"/>
      <c r="O16" s="34"/>
      <c r="P16" s="34"/>
      <c r="Q16" s="34"/>
      <c r="R16" s="34"/>
      <c r="S16" s="34"/>
      <c r="T16" s="34"/>
      <c r="U16" s="34"/>
      <c r="V16" s="34"/>
      <c r="W16" s="34"/>
      <c r="X16" s="34"/>
      <c r="Y16" s="34"/>
      <c r="Z16" s="34"/>
      <c r="AA16" s="34"/>
      <c r="AB16" s="34"/>
      <c r="AC16" s="34"/>
      <c r="AD16" s="34"/>
      <c r="AE16" s="34"/>
      <c r="AF16" s="34"/>
      <c r="AG16" s="18">
        <f>COUNTIF(Janvier[[#This Row],[1]:[31]],Paramétrage!G12)*Paramétrage!I12+COUNTIF(Janvier[[#This Row],[1]:[31]],Paramétrage!G13)*Paramétrage!I13+COUNTIF(Janvier[[#This Row],[1]:[31]],Paramétrage!G14)*Paramétrage!I14+COUNTIF(Janvier[[#This Row],[1]:[31]],Paramétrage!G15)*Paramétrage!I15+COUNTIF(Janvier[[#This Row],[1]:[31]],Paramétrage!G16)*Paramétrage!I16+COUNTIF(Janvier[[#This Row],[1]:[31]],Paramétrage!G17)*Paramétrage!I17+COUNTIF(Janvier[[#This Row],[1]:[31]],Paramétrage!G18)*Paramétrage!I18+COUNTIF(Janvier[[#This Row],[1]:[31]],Paramétrage!G19)*Paramétrage!I19+COUNTIF(Janvier[[#This Row],[1]:[31]],Paramétrage!G20)*Paramétrage!I20+COUNTIF(Janvier[[#This Row],[1]:[31]],Paramétrage!G21)*Paramétrage!I21+COUNTIF(Janvier[[#This Row],[1]:[31]],Paramétrage!G22)*Paramétrage!I22+COUNTIF(Janvier[[#This Row],[1]:[31]],Paramétrage!G23*Paramétrage!I23+COUNTIF(Janvier[[#This Row],[1]:[31]],Paramétrage!G24)*Paramétrage!I24+COUNTIF(Janvier[[#This Row],[1]:[31]],Paramétrage!G25)*Paramétrage!I25)</f>
        <v>0</v>
      </c>
    </row>
    <row r="17" spans="1:33" ht="15" customHeight="1" x14ac:dyDescent="0.3">
      <c r="A17" s="36" t="s">
        <v>63</v>
      </c>
      <c r="B17" s="34"/>
      <c r="C17" s="34"/>
      <c r="D17" s="34"/>
      <c r="E17" s="34"/>
      <c r="F17" s="34"/>
      <c r="G17" s="34"/>
      <c r="H17" s="34"/>
      <c r="I17" s="34"/>
      <c r="J17" s="34"/>
      <c r="K17" s="34"/>
      <c r="L17" s="34"/>
      <c r="M17" s="34"/>
      <c r="N17" s="34"/>
      <c r="O17" s="34"/>
      <c r="P17" s="34"/>
      <c r="Q17" s="34"/>
      <c r="R17" s="34"/>
      <c r="S17" s="34"/>
      <c r="T17" s="34"/>
      <c r="U17" s="34"/>
      <c r="V17" s="34"/>
      <c r="W17" s="34"/>
      <c r="X17" s="34"/>
      <c r="Y17" s="34"/>
      <c r="Z17" s="34"/>
      <c r="AA17" s="34"/>
      <c r="AB17" s="34"/>
      <c r="AC17" s="34"/>
      <c r="AD17" s="34"/>
      <c r="AE17" s="34"/>
      <c r="AF17" s="34"/>
      <c r="AG17" s="18">
        <f>COUNTIF(Janvier[[#This Row],[1]:[31]],Paramétrage!G13)*Paramétrage!I13+COUNTIF(Janvier[[#This Row],[1]:[31]],Paramétrage!G14)*Paramétrage!I14+COUNTIF(Janvier[[#This Row],[1]:[31]],Paramétrage!G15)*Paramétrage!I15+COUNTIF(Janvier[[#This Row],[1]:[31]],Paramétrage!G16)*Paramétrage!I16+COUNTIF(Janvier[[#This Row],[1]:[31]],Paramétrage!G17)*Paramétrage!I17+COUNTIF(Janvier[[#This Row],[1]:[31]],Paramétrage!G18)*Paramétrage!I18+COUNTIF(Janvier[[#This Row],[1]:[31]],Paramétrage!G19)*Paramétrage!I19+COUNTIF(Janvier[[#This Row],[1]:[31]],Paramétrage!G20)*Paramétrage!I20+COUNTIF(Janvier[[#This Row],[1]:[31]],Paramétrage!G21)*Paramétrage!I21+COUNTIF(Janvier[[#This Row],[1]:[31]],Paramétrage!G22)*Paramétrage!I22+COUNTIF(Janvier[[#This Row],[1]:[31]],Paramétrage!G23)*Paramétrage!I23+COUNTIF(Janvier[[#This Row],[1]:[31]],Paramétrage!G24*Paramétrage!I24+COUNTIF(Janvier[[#This Row],[1]:[31]],Paramétrage!G25)*Paramétrage!I25+COUNTIF(Janvier[[#This Row],[1]:[31]],Paramétrage!G26)*Paramétrage!I26)</f>
        <v>0</v>
      </c>
    </row>
    <row r="18" spans="1:33" ht="15" customHeight="1" x14ac:dyDescent="0.3">
      <c r="A18" s="36" t="s">
        <v>65</v>
      </c>
      <c r="B18" s="34"/>
      <c r="C18" s="34"/>
      <c r="D18" s="34"/>
      <c r="E18" s="34"/>
      <c r="F18" s="34"/>
      <c r="G18" s="34"/>
      <c r="H18" s="34"/>
      <c r="I18" s="34"/>
      <c r="J18" s="34"/>
      <c r="K18" s="34"/>
      <c r="L18" s="34"/>
      <c r="M18" s="34"/>
      <c r="N18" s="34"/>
      <c r="O18" s="34"/>
      <c r="P18" s="34"/>
      <c r="Q18" s="34"/>
      <c r="R18" s="34"/>
      <c r="S18" s="34"/>
      <c r="T18" s="34"/>
      <c r="U18" s="34"/>
      <c r="V18" s="34"/>
      <c r="W18" s="34"/>
      <c r="X18" s="34"/>
      <c r="Y18" s="34"/>
      <c r="Z18" s="34"/>
      <c r="AA18" s="34"/>
      <c r="AB18" s="34"/>
      <c r="AC18" s="34"/>
      <c r="AD18" s="34"/>
      <c r="AE18" s="34"/>
      <c r="AF18" s="34"/>
      <c r="AG18" s="18">
        <f>COUNTIF(Janvier[[#This Row],[1]:[31]],Paramétrage!G14)*Paramétrage!I14+COUNTIF(Janvier[[#This Row],[1]:[31]],Paramétrage!G15)*Paramétrage!I15+COUNTIF(Janvier[[#This Row],[1]:[31]],Paramétrage!G16)*Paramétrage!I16+COUNTIF(Janvier[[#This Row],[1]:[31]],Paramétrage!G17)*Paramétrage!I17+COUNTIF(Janvier[[#This Row],[1]:[31]],Paramétrage!G18)*Paramétrage!I18+COUNTIF(Janvier[[#This Row],[1]:[31]],Paramétrage!G19)*Paramétrage!I19+COUNTIF(Janvier[[#This Row],[1]:[31]],Paramétrage!G20)*Paramétrage!I20+COUNTIF(Janvier[[#This Row],[1]:[31]],Paramétrage!G21)*Paramétrage!I21+COUNTIF(Janvier[[#This Row],[1]:[31]],Paramétrage!G22)*Paramétrage!I22+COUNTIF(Janvier[[#This Row],[1]:[31]],Paramétrage!G23)*Paramétrage!I23+COUNTIF(Janvier[[#This Row],[1]:[31]],Paramétrage!G24)*Paramétrage!I24+COUNTIF(Janvier[[#This Row],[1]:[31]],Paramétrage!G25*Paramétrage!I25+COUNTIF(Janvier[[#This Row],[1]:[31]],Paramétrage!G26)*Paramétrage!I26+COUNTIF(Janvier[[#This Row],[1]:[31]],Paramétrage!G27)*Paramétrage!I27)</f>
        <v>0</v>
      </c>
    </row>
    <row r="19" spans="1:33" ht="15" customHeight="1" x14ac:dyDescent="0.3">
      <c r="A19" s="36" t="s">
        <v>66</v>
      </c>
      <c r="B19" s="34"/>
      <c r="C19" s="34"/>
      <c r="D19" s="34"/>
      <c r="E19" s="34"/>
      <c r="F19" s="34"/>
      <c r="G19" s="34"/>
      <c r="H19" s="34"/>
      <c r="I19" s="34"/>
      <c r="J19" s="34"/>
      <c r="K19" s="34"/>
      <c r="L19" s="34"/>
      <c r="M19" s="34"/>
      <c r="N19" s="34"/>
      <c r="O19" s="34"/>
      <c r="P19" s="34"/>
      <c r="Q19" s="34"/>
      <c r="R19" s="34"/>
      <c r="S19" s="34"/>
      <c r="T19" s="34"/>
      <c r="U19" s="34"/>
      <c r="V19" s="34"/>
      <c r="W19" s="34"/>
      <c r="X19" s="34"/>
      <c r="Y19" s="34"/>
      <c r="Z19" s="34"/>
      <c r="AA19" s="34"/>
      <c r="AB19" s="34"/>
      <c r="AC19" s="34"/>
      <c r="AD19" s="34"/>
      <c r="AE19" s="34"/>
      <c r="AF19" s="34"/>
      <c r="AG19" s="18">
        <f>COUNTIF(Janvier[[#This Row],[1]:[31]],Paramétrage!G15)*Paramétrage!I15+COUNTIF(Janvier[[#This Row],[1]:[31]],Paramétrage!G16)*Paramétrage!I16+COUNTIF(Janvier[[#This Row],[1]:[31]],Paramétrage!G17)*Paramétrage!I17+COUNTIF(Janvier[[#This Row],[1]:[31]],Paramétrage!G18)*Paramétrage!I18+COUNTIF(Janvier[[#This Row],[1]:[31]],Paramétrage!G19)*Paramétrage!I19+COUNTIF(Janvier[[#This Row],[1]:[31]],Paramétrage!G20)*Paramétrage!I20+COUNTIF(Janvier[[#This Row],[1]:[31]],Paramétrage!G21)*Paramétrage!I21+COUNTIF(Janvier[[#This Row],[1]:[31]],Paramétrage!G22)*Paramétrage!I22+COUNTIF(Janvier[[#This Row],[1]:[31]],Paramétrage!G23)*Paramétrage!I23+COUNTIF(Janvier[[#This Row],[1]:[31]],Paramétrage!G24)*Paramétrage!I24+COUNTIF(Janvier[[#This Row],[1]:[31]],Paramétrage!G25)*Paramétrage!I25+COUNTIF(Janvier[[#This Row],[1]:[31]],Paramétrage!G26*Paramétrage!I26+COUNTIF(Janvier[[#This Row],[1]:[31]],Paramétrage!G27)*Paramétrage!I27+COUNTIF(Janvier[[#This Row],[1]:[31]],Paramétrage!G28)*Paramétrage!I28)</f>
        <v>0</v>
      </c>
    </row>
    <row r="20" spans="1:33" ht="15" customHeight="1" x14ac:dyDescent="0.3">
      <c r="A20" s="36" t="s">
        <v>67</v>
      </c>
      <c r="B20" s="34"/>
      <c r="C20" s="34"/>
      <c r="D20" s="34"/>
      <c r="E20" s="34"/>
      <c r="F20" s="34"/>
      <c r="G20" s="34"/>
      <c r="H20" s="34"/>
      <c r="I20" s="34"/>
      <c r="J20" s="34"/>
      <c r="K20" s="34"/>
      <c r="L20" s="34"/>
      <c r="M20" s="34"/>
      <c r="N20" s="34"/>
      <c r="O20" s="34"/>
      <c r="P20" s="34"/>
      <c r="Q20" s="34"/>
      <c r="R20" s="34"/>
      <c r="S20" s="34"/>
      <c r="T20" s="34"/>
      <c r="U20" s="34"/>
      <c r="V20" s="34"/>
      <c r="W20" s="34"/>
      <c r="X20" s="34"/>
      <c r="Y20" s="34"/>
      <c r="Z20" s="34"/>
      <c r="AA20" s="34"/>
      <c r="AB20" s="34"/>
      <c r="AC20" s="34"/>
      <c r="AD20" s="34"/>
      <c r="AE20" s="34"/>
      <c r="AF20" s="34"/>
      <c r="AG20" s="18">
        <f>COUNTIF(Janvier[[#This Row],[1]:[31]],Paramétrage!G16)*Paramétrage!I16+COUNTIF(Janvier[[#This Row],[1]:[31]],Paramétrage!G17)*Paramétrage!I17+COUNTIF(Janvier[[#This Row],[1]:[31]],Paramétrage!G18)*Paramétrage!I18+COUNTIF(Janvier[[#This Row],[1]:[31]],Paramétrage!G19)*Paramétrage!I19+COUNTIF(Janvier[[#This Row],[1]:[31]],Paramétrage!G20)*Paramétrage!I20+COUNTIF(Janvier[[#This Row],[1]:[31]],Paramétrage!G21)*Paramétrage!I21+COUNTIF(Janvier[[#This Row],[1]:[31]],Paramétrage!G22)*Paramétrage!I22+COUNTIF(Janvier[[#This Row],[1]:[31]],Paramétrage!G23)*Paramétrage!I23+COUNTIF(Janvier[[#This Row],[1]:[31]],Paramétrage!G24)*Paramétrage!I24+COUNTIF(Janvier[[#This Row],[1]:[31]],Paramétrage!G25)*Paramétrage!I25+COUNTIF(Janvier[[#This Row],[1]:[31]],Paramétrage!G26)*Paramétrage!I26+COUNTIF(Janvier[[#This Row],[1]:[31]],Paramétrage!G27*Paramétrage!I27+COUNTIF(Janvier[[#This Row],[1]:[31]],Paramétrage!G28)*Paramétrage!I28+COUNTIF(Janvier[[#This Row],[1]:[31]],Paramétrage!G29)*Paramétrage!I29)</f>
        <v>0</v>
      </c>
    </row>
    <row r="21" spans="1:33" ht="15" customHeight="1" x14ac:dyDescent="0.3">
      <c r="A21" s="36" t="s">
        <v>68</v>
      </c>
      <c r="B21" s="34"/>
      <c r="C21" s="34"/>
      <c r="D21" s="34"/>
      <c r="E21" s="34"/>
      <c r="F21" s="34"/>
      <c r="G21" s="34"/>
      <c r="H21" s="34"/>
      <c r="I21" s="34"/>
      <c r="J21" s="34"/>
      <c r="K21" s="34"/>
      <c r="L21" s="34"/>
      <c r="M21" s="34"/>
      <c r="N21" s="34"/>
      <c r="O21" s="34"/>
      <c r="P21" s="34"/>
      <c r="Q21" s="34"/>
      <c r="R21" s="34"/>
      <c r="S21" s="34"/>
      <c r="T21" s="34"/>
      <c r="U21" s="34"/>
      <c r="V21" s="34"/>
      <c r="W21" s="34"/>
      <c r="X21" s="34"/>
      <c r="Y21" s="34"/>
      <c r="Z21" s="34"/>
      <c r="AA21" s="34"/>
      <c r="AB21" s="34"/>
      <c r="AC21" s="34"/>
      <c r="AD21" s="34"/>
      <c r="AE21" s="34"/>
      <c r="AF21" s="34"/>
      <c r="AG21" s="18">
        <f>COUNTIF(Janvier[[#This Row],[1]:[31]],Paramétrage!G17)*Paramétrage!I17+COUNTIF(Janvier[[#This Row],[1]:[31]],Paramétrage!G18)*Paramétrage!I18+COUNTIF(Janvier[[#This Row],[1]:[31]],Paramétrage!G19)*Paramétrage!I19+COUNTIF(Janvier[[#This Row],[1]:[31]],Paramétrage!G20)*Paramétrage!I20+COUNTIF(Janvier[[#This Row],[1]:[31]],Paramétrage!G21)*Paramétrage!I21+COUNTIF(Janvier[[#This Row],[1]:[31]],Paramétrage!G22)*Paramétrage!I22+COUNTIF(Janvier[[#This Row],[1]:[31]],Paramétrage!G23)*Paramétrage!I23+COUNTIF(Janvier[[#This Row],[1]:[31]],Paramétrage!G24)*Paramétrage!I24+COUNTIF(Janvier[[#This Row],[1]:[31]],Paramétrage!G25)*Paramétrage!I25+COUNTIF(Janvier[[#This Row],[1]:[31]],Paramétrage!G26)*Paramétrage!I26+COUNTIF(Janvier[[#This Row],[1]:[31]],Paramétrage!G27)*Paramétrage!I27+COUNTIF(Janvier[[#This Row],[1]:[31]],Paramétrage!G28*Paramétrage!I28+COUNTIF(Janvier[[#This Row],[1]:[31]],Paramétrage!G29)*Paramétrage!I29+COUNTIF(Janvier[[#This Row],[1]:[31]],Paramétrage!G30)*Paramétrage!I30)</f>
        <v>0</v>
      </c>
    </row>
    <row r="22" spans="1:33" ht="15" customHeight="1" x14ac:dyDescent="0.3">
      <c r="A22" s="36" t="s">
        <v>91</v>
      </c>
      <c r="B22" s="37"/>
      <c r="C22" s="37"/>
      <c r="D22" s="37"/>
      <c r="E22" s="37"/>
      <c r="F22" s="37"/>
      <c r="G22" s="37"/>
      <c r="H22" s="37"/>
      <c r="I22" s="37"/>
      <c r="J22" s="37"/>
      <c r="K22" s="37"/>
      <c r="L22" s="37"/>
      <c r="M22" s="37"/>
      <c r="N22" s="37"/>
      <c r="O22" s="37"/>
      <c r="P22" s="37"/>
      <c r="Q22" s="37"/>
      <c r="R22" s="37"/>
      <c r="S22" s="37"/>
      <c r="T22" s="37"/>
      <c r="U22" s="37"/>
      <c r="V22" s="37"/>
      <c r="W22" s="37"/>
      <c r="X22" s="37"/>
      <c r="Y22" s="37"/>
      <c r="Z22" s="37"/>
      <c r="AA22" s="37"/>
      <c r="AB22" s="37"/>
      <c r="AC22" s="37"/>
      <c r="AD22" s="37"/>
      <c r="AE22" s="37"/>
      <c r="AF22" s="37"/>
      <c r="AG22" s="18">
        <f>COUNTIF(Janvier[[#This Row],[1]:[31]],Paramétrage!G18)*Paramétrage!I18+COUNTIF(Janvier[[#This Row],[1]:[31]],Paramétrage!G19)*Paramétrage!I19+COUNTIF(Janvier[[#This Row],[1]:[31]],Paramétrage!G20)*Paramétrage!I20+COUNTIF(Janvier[[#This Row],[1]:[31]],Paramétrage!G21)*Paramétrage!I21+COUNTIF(Janvier[[#This Row],[1]:[31]],Paramétrage!G22)*Paramétrage!I22+COUNTIF(Janvier[[#This Row],[1]:[31]],Paramétrage!G23)*Paramétrage!I23+COUNTIF(Janvier[[#This Row],[1]:[31]],Paramétrage!G24)*Paramétrage!I24+COUNTIF(Janvier[[#This Row],[1]:[31]],Paramétrage!G25)*Paramétrage!I25+COUNTIF(Janvier[[#This Row],[1]:[31]],Paramétrage!G26)*Paramétrage!I26+COUNTIF(Janvier[[#This Row],[1]:[31]],Paramétrage!G27)*Paramétrage!I27+COUNTIF(Janvier[[#This Row],[1]:[31]],Paramétrage!G28)*Paramétrage!I28+COUNTIF(Janvier[[#This Row],[1]:[31]],Paramétrage!G29*Paramétrage!I29+COUNTIF(Janvier[[#This Row],[1]:[31]],Paramétrage!G30)*Paramétrage!I30+COUNTIF(Janvier[[#This Row],[1]:[31]],Paramétrage!G31)*Paramétrage!I31)</f>
        <v>0</v>
      </c>
    </row>
    <row r="23" spans="1:33" ht="15" customHeight="1" x14ac:dyDescent="0.3">
      <c r="A23" s="36" t="s">
        <v>92</v>
      </c>
      <c r="B23" s="37"/>
      <c r="C23" s="37"/>
      <c r="D23" s="37"/>
      <c r="E23" s="37"/>
      <c r="F23" s="37"/>
      <c r="G23" s="37"/>
      <c r="H23" s="37"/>
      <c r="I23" s="37"/>
      <c r="J23" s="37"/>
      <c r="K23" s="37"/>
      <c r="L23" s="37"/>
      <c r="M23" s="37"/>
      <c r="N23" s="37"/>
      <c r="O23" s="37"/>
      <c r="P23" s="37"/>
      <c r="Q23" s="37"/>
      <c r="R23" s="37"/>
      <c r="S23" s="37"/>
      <c r="T23" s="37"/>
      <c r="U23" s="37"/>
      <c r="V23" s="37"/>
      <c r="W23" s="37"/>
      <c r="X23" s="37"/>
      <c r="Y23" s="37"/>
      <c r="Z23" s="37"/>
      <c r="AA23" s="37"/>
      <c r="AB23" s="37"/>
      <c r="AC23" s="37"/>
      <c r="AD23" s="37"/>
      <c r="AE23" s="37"/>
      <c r="AF23" s="37"/>
      <c r="AG23" s="18">
        <f>COUNTIF(Janvier[[#This Row],[1]:[31]],Paramétrage!G19)*Paramétrage!I19+COUNTIF(Janvier[[#This Row],[1]:[31]],Paramétrage!G20)*Paramétrage!I20+COUNTIF(Janvier[[#This Row],[1]:[31]],Paramétrage!G21)*Paramétrage!I21+COUNTIF(Janvier[[#This Row],[1]:[31]],Paramétrage!G22)*Paramétrage!I22+COUNTIF(Janvier[[#This Row],[1]:[31]],Paramétrage!G23)*Paramétrage!I23+COUNTIF(Janvier[[#This Row],[1]:[31]],Paramétrage!G24)*Paramétrage!I24+COUNTIF(Janvier[[#This Row],[1]:[31]],Paramétrage!G25)*Paramétrage!I25+COUNTIF(Janvier[[#This Row],[1]:[31]],Paramétrage!G26)*Paramétrage!I26+COUNTIF(Janvier[[#This Row],[1]:[31]],Paramétrage!G27)*Paramétrage!I27+COUNTIF(Janvier[[#This Row],[1]:[31]],Paramétrage!G28)*Paramétrage!I28+COUNTIF(Janvier[[#This Row],[1]:[31]],Paramétrage!G29)*Paramétrage!I29+COUNTIF(Janvier[[#This Row],[1]:[31]],Paramétrage!G30*Paramétrage!I30+COUNTIF(Janvier[[#This Row],[1]:[31]],Paramétrage!G31)*Paramétrage!I31+COUNTIF(Janvier[[#This Row],[1]:[31]],Paramétrage!G32)*Paramétrage!I32)</f>
        <v>0</v>
      </c>
    </row>
    <row r="24" spans="1:33" ht="15" customHeight="1" x14ac:dyDescent="0.3">
      <c r="A24" s="36" t="s">
        <v>93</v>
      </c>
      <c r="B24" s="37"/>
      <c r="C24" s="37"/>
      <c r="D24" s="37"/>
      <c r="E24" s="37"/>
      <c r="F24" s="37"/>
      <c r="G24" s="37"/>
      <c r="H24" s="37"/>
      <c r="I24" s="37"/>
      <c r="J24" s="37"/>
      <c r="K24" s="37"/>
      <c r="L24" s="37"/>
      <c r="M24" s="37"/>
      <c r="N24" s="37"/>
      <c r="O24" s="37"/>
      <c r="P24" s="37"/>
      <c r="Q24" s="37"/>
      <c r="R24" s="37"/>
      <c r="S24" s="37"/>
      <c r="T24" s="37"/>
      <c r="U24" s="37"/>
      <c r="V24" s="37"/>
      <c r="W24" s="37"/>
      <c r="X24" s="37"/>
      <c r="Y24" s="37"/>
      <c r="Z24" s="37"/>
      <c r="AA24" s="37"/>
      <c r="AB24" s="37"/>
      <c r="AC24" s="37"/>
      <c r="AD24" s="37"/>
      <c r="AE24" s="37"/>
      <c r="AF24" s="37"/>
      <c r="AG24" s="18">
        <f>COUNTIF(Janvier[[#This Row],[1]:[31]],Paramétrage!G20)*Paramétrage!I20+COUNTIF(Janvier[[#This Row],[1]:[31]],Paramétrage!G21)*Paramétrage!I21+COUNTIF(Janvier[[#This Row],[1]:[31]],Paramétrage!G22)*Paramétrage!I22+COUNTIF(Janvier[[#This Row],[1]:[31]],Paramétrage!G23)*Paramétrage!I23+COUNTIF(Janvier[[#This Row],[1]:[31]],Paramétrage!G24)*Paramétrage!I24+COUNTIF(Janvier[[#This Row],[1]:[31]],Paramétrage!G25)*Paramétrage!I25+COUNTIF(Janvier[[#This Row],[1]:[31]],Paramétrage!G26)*Paramétrage!I26+COUNTIF(Janvier[[#This Row],[1]:[31]],Paramétrage!G27)*Paramétrage!I27+COUNTIF(Janvier[[#This Row],[1]:[31]],Paramétrage!G28)*Paramétrage!I28+COUNTIF(Janvier[[#This Row],[1]:[31]],Paramétrage!G29)*Paramétrage!I29+COUNTIF(Janvier[[#This Row],[1]:[31]],Paramétrage!G30)*Paramétrage!I30+COUNTIF(Janvier[[#This Row],[1]:[31]],Paramétrage!G31*Paramétrage!I31+COUNTIF(Janvier[[#This Row],[1]:[31]],Paramétrage!G32)*Paramétrage!I32+COUNTIF(Janvier[[#This Row],[1]:[31]],Paramétrage!G33)*Paramétrage!I33)</f>
        <v>0</v>
      </c>
    </row>
    <row r="25" spans="1:33" ht="15" customHeight="1" x14ac:dyDescent="0.3">
      <c r="A25" s="36" t="s">
        <v>94</v>
      </c>
      <c r="B25" s="37"/>
      <c r="C25" s="37"/>
      <c r="D25" s="37"/>
      <c r="E25" s="37"/>
      <c r="F25" s="37"/>
      <c r="G25" s="37"/>
      <c r="H25" s="37"/>
      <c r="I25" s="37"/>
      <c r="J25" s="37"/>
      <c r="K25" s="37"/>
      <c r="L25" s="37"/>
      <c r="M25" s="37"/>
      <c r="N25" s="37"/>
      <c r="O25" s="37"/>
      <c r="P25" s="37"/>
      <c r="Q25" s="37"/>
      <c r="R25" s="37"/>
      <c r="S25" s="37"/>
      <c r="T25" s="37"/>
      <c r="U25" s="37"/>
      <c r="V25" s="37"/>
      <c r="W25" s="37"/>
      <c r="X25" s="37"/>
      <c r="Y25" s="37"/>
      <c r="Z25" s="37"/>
      <c r="AA25" s="37"/>
      <c r="AB25" s="37"/>
      <c r="AC25" s="37"/>
      <c r="AD25" s="37"/>
      <c r="AE25" s="37"/>
      <c r="AF25" s="37"/>
      <c r="AG25" s="18">
        <f>COUNTIF(Janvier[[#This Row],[1]:[31]],Paramétrage!G21)*Paramétrage!I21+COUNTIF(Janvier[[#This Row],[1]:[31]],Paramétrage!G22)*Paramétrage!I22+COUNTIF(Janvier[[#This Row],[1]:[31]],Paramétrage!G23)*Paramétrage!I23+COUNTIF(Janvier[[#This Row],[1]:[31]],Paramétrage!G24)*Paramétrage!I24+COUNTIF(Janvier[[#This Row],[1]:[31]],Paramétrage!G25)*Paramétrage!I25+COUNTIF(Janvier[[#This Row],[1]:[31]],Paramétrage!G26)*Paramétrage!I26+COUNTIF(Janvier[[#This Row],[1]:[31]],Paramétrage!G27)*Paramétrage!I27+COUNTIF(Janvier[[#This Row],[1]:[31]],Paramétrage!G28)*Paramétrage!I28+COUNTIF(Janvier[[#This Row],[1]:[31]],Paramétrage!G29)*Paramétrage!I29+COUNTIF(Janvier[[#This Row],[1]:[31]],Paramétrage!G30)*Paramétrage!I30+COUNTIF(Janvier[[#This Row],[1]:[31]],Paramétrage!G31)*Paramétrage!I31+COUNTIF(Janvier[[#This Row],[1]:[31]],Paramétrage!G32*Paramétrage!I32+COUNTIF(Janvier[[#This Row],[1]:[31]],Paramétrage!G33)*Paramétrage!I33+COUNTIF(Janvier[[#This Row],[1]:[31]],Paramétrage!G34)*Paramétrage!I34)</f>
        <v>0</v>
      </c>
    </row>
    <row r="26" spans="1:33" ht="15" customHeight="1" x14ac:dyDescent="0.3">
      <c r="A26" s="36" t="s">
        <v>95</v>
      </c>
      <c r="B26" s="37"/>
      <c r="C26" s="37"/>
      <c r="D26" s="37"/>
      <c r="E26" s="37"/>
      <c r="F26" s="37"/>
      <c r="G26" s="37"/>
      <c r="H26" s="37"/>
      <c r="I26" s="37"/>
      <c r="J26" s="37"/>
      <c r="K26" s="37"/>
      <c r="L26" s="37"/>
      <c r="M26" s="37"/>
      <c r="N26" s="37"/>
      <c r="O26" s="37"/>
      <c r="P26" s="37"/>
      <c r="Q26" s="37"/>
      <c r="R26" s="37"/>
      <c r="S26" s="37"/>
      <c r="T26" s="37"/>
      <c r="U26" s="37"/>
      <c r="V26" s="37"/>
      <c r="W26" s="37"/>
      <c r="X26" s="37"/>
      <c r="Y26" s="37"/>
      <c r="Z26" s="37"/>
      <c r="AA26" s="37"/>
      <c r="AB26" s="37"/>
      <c r="AC26" s="37"/>
      <c r="AD26" s="37"/>
      <c r="AE26" s="37"/>
      <c r="AF26" s="37"/>
      <c r="AG26" s="18">
        <f>COUNTIF(Janvier[[#This Row],[1]:[31]],Paramétrage!G22)*Paramétrage!I22+COUNTIF(Janvier[[#This Row],[1]:[31]],Paramétrage!G23)*Paramétrage!I23+COUNTIF(Janvier[[#This Row],[1]:[31]],Paramétrage!G24)*Paramétrage!I24+COUNTIF(Janvier[[#This Row],[1]:[31]],Paramétrage!G25)*Paramétrage!I25+COUNTIF(Janvier[[#This Row],[1]:[31]],Paramétrage!G26)*Paramétrage!I26+COUNTIF(Janvier[[#This Row],[1]:[31]],Paramétrage!G27)*Paramétrage!I27+COUNTIF(Janvier[[#This Row],[1]:[31]],Paramétrage!G28)*Paramétrage!I28+COUNTIF(Janvier[[#This Row],[1]:[31]],Paramétrage!G29)*Paramétrage!I29+COUNTIF(Janvier[[#This Row],[1]:[31]],Paramétrage!G30)*Paramétrage!I30+COUNTIF(Janvier[[#This Row],[1]:[31]],Paramétrage!G31)*Paramétrage!I31+COUNTIF(Janvier[[#This Row],[1]:[31]],Paramétrage!G32)*Paramétrage!I32+COUNTIF(Janvier[[#This Row],[1]:[31]],Paramétrage!G33*Paramétrage!I33+COUNTIF(Janvier[[#This Row],[1]:[31]],Paramétrage!G34)*Paramétrage!I34+COUNTIF(Janvier[[#This Row],[1]:[31]],Paramétrage!G35)*Paramétrage!I35)</f>
        <v>0</v>
      </c>
    </row>
    <row r="27" spans="1:33" ht="24" x14ac:dyDescent="0.3">
      <c r="A27" s="38" t="s">
        <v>106</v>
      </c>
      <c r="B27" s="39">
        <f>COUNTA(Janvier[1])-COUNTIF(Janvier[1],CléReposhebdomadaire)-COUNTIF(Janvier[1],CléCongé)-COUNTIF(Janvier[1],CléMaladie)-COUNTIF(Janvier[1],CléFormation)-COUNTIF(Janvier[1],CléAbsencenonjustifiée)</f>
        <v>0</v>
      </c>
      <c r="C27" s="39">
        <f>COUNTA(Janvier[2])-COUNTIF(Janvier[2],CléReposhebdomadaire)-COUNTIF(Janvier[2],CléCongé)-COUNTIF(Janvier[2],CléMaladie)-COUNTIF(Janvier[2],CléFormation)-COUNTIF(Janvier[2],CléAbsencenonjustifiée)</f>
        <v>0</v>
      </c>
      <c r="D27" s="39">
        <f>COUNTA(Janvier[3])-COUNTIF(Janvier[3],CléReposhebdomadaire)-COUNTIF(Janvier[3],CléCongé)-COUNTIF(Janvier[3],CléMaladie)-COUNTIF(Janvier[3],CléFormation)-COUNTIF(Janvier[3],CléAbsencenonjustifiée)</f>
        <v>0</v>
      </c>
      <c r="E27" s="39">
        <f>COUNTA(Janvier[4])-COUNTIF(Janvier[4],CléReposhebdomadaire)-COUNTIF(Janvier[4],CléCongé)-COUNTIF(Janvier[4],CléMaladie)-COUNTIF(Janvier[4],CléFormation)-COUNTIF(Janvier[4],CléAbsencenonjustifiée)</f>
        <v>0</v>
      </c>
      <c r="F27" s="39">
        <f>COUNTA(Janvier[5])-COUNTIF(Janvier[5],CléReposhebdomadaire)-COUNTIF(Janvier[5],CléCongé)-COUNTIF(Janvier[5],CléMaladie)-COUNTIF(Janvier[5],CléFormation)-COUNTIF(Janvier[5],CléAbsencenonjustifiée)</f>
        <v>0</v>
      </c>
      <c r="G27" s="39">
        <f>COUNTA(Janvier[6])-COUNTIF(Janvier[6],CléReposhebdomadaire)-COUNTIF(Janvier[6],CléCongé)-COUNTIF(Janvier[6],CléMaladie)-COUNTIF(Janvier[6],CléFormation)-COUNTIF(Janvier[6],CléAbsencenonjustifiée)</f>
        <v>0</v>
      </c>
      <c r="H27" s="39">
        <f>COUNTA(Janvier[7])-COUNTIF(Janvier[7],CléReposhebdomadaire)-COUNTIF(Janvier[7],CléCongé)-COUNTIF(Janvier[7],CléMaladie)-COUNTIF(Janvier[7],CléFormation)-COUNTIF(Janvier[7],CléAbsencenonjustifiée)</f>
        <v>0</v>
      </c>
      <c r="I27" s="39">
        <f>COUNTA(Janvier[8])-COUNTIF(Janvier[8],CléReposhebdomadaire)-COUNTIF(Janvier[8],CléCongé)-COUNTIF(Janvier[8],CléMaladie)-COUNTIF(Janvier[8],CléFormation)-COUNTIF(Janvier[8],CléAbsencenonjustifiée)</f>
        <v>0</v>
      </c>
      <c r="J27" s="39">
        <f>COUNTA(Janvier[9])-COUNTIF(Janvier[9],CléReposhebdomadaire)-COUNTIF(Janvier[9],CléCongé)-COUNTIF(Janvier[9],CléMaladie)-COUNTIF(Janvier[9],CléFormation)-COUNTIF(Janvier[9],CléAbsencenonjustifiée)</f>
        <v>0</v>
      </c>
      <c r="K27" s="39">
        <f>COUNTA(Janvier[10])-COUNTIF(Janvier[10],CléReposhebdomadaire)-COUNTIF(Janvier[10],CléCongé)-COUNTIF(Janvier[10],CléMaladie)-COUNTIF(Janvier[10],CléFormation)-COUNTIF(Janvier[10],CléAbsencenonjustifiée)</f>
        <v>0</v>
      </c>
      <c r="L27" s="39">
        <f>COUNTA(Janvier[11])-COUNTIF(Janvier[11],CléReposhebdomadaire)-COUNTIF(Janvier[11],CléCongé)-COUNTIF(Janvier[11],CléMaladie)-COUNTIF(Janvier[11],CléFormation)-COUNTIF(Janvier[11],CléAbsencenonjustifiée)</f>
        <v>0</v>
      </c>
      <c r="M27" s="39">
        <f>COUNTA(Janvier[12])-COUNTIF(Janvier[12],CléReposhebdomadaire)-COUNTIF(Janvier[12],CléCongé)-COUNTIF(Janvier[12],CléMaladie)-COUNTIF(Janvier[12],CléFormation)-COUNTIF(Janvier[12],CléAbsencenonjustifiée)</f>
        <v>0</v>
      </c>
      <c r="N27" s="39">
        <f>COUNTA(Janvier[13])-COUNTIF(Janvier[13],CléReposhebdomadaire)-COUNTIF(Janvier[13],CléCongé)-COUNTIF(Janvier[13],CléMaladie)-COUNTIF(Janvier[13],CléFormation)-COUNTIF(Janvier[13],CléAbsencenonjustifiée)</f>
        <v>0</v>
      </c>
      <c r="O27" s="39">
        <f>COUNTA(Janvier[14])-COUNTIF(Janvier[14],CléReposhebdomadaire)-COUNTIF(Janvier[14],CléCongé)-COUNTIF(Janvier[14],CléMaladie)-COUNTIF(Janvier[14],CléFormation)-COUNTIF(Janvier[14],CléAbsencenonjustifiée)</f>
        <v>0</v>
      </c>
      <c r="P27" s="39">
        <f>COUNTA(Janvier[15])-COUNTIF(Janvier[15],CléReposhebdomadaire)-COUNTIF(Janvier[15],CléCongé)-COUNTIF(Janvier[15],CléMaladie)-COUNTIF(Janvier[15],CléFormation)-COUNTIF(Janvier[15],CléAbsencenonjustifiée)</f>
        <v>0</v>
      </c>
      <c r="Q27" s="39">
        <f>COUNTA(Janvier[16])-COUNTIF(Janvier[16],CléReposhebdomadaire)-COUNTIF(Janvier[16],CléCongé)-COUNTIF(Janvier[16],CléMaladie)-COUNTIF(Janvier[16],CléFormation)-COUNTIF(Janvier[16],CléAbsencenonjustifiée)</f>
        <v>0</v>
      </c>
      <c r="R27" s="39">
        <f>COUNTA(Janvier[17])-COUNTIF(Janvier[17],CléReposhebdomadaire)-COUNTIF(Janvier[17],CléCongé)-COUNTIF(Janvier[17],CléMaladie)-COUNTIF(Janvier[17],CléFormation)-COUNTIF(Janvier[17],CléAbsencenonjustifiée)</f>
        <v>0</v>
      </c>
      <c r="S27" s="39">
        <f>COUNTA(Janvier[18])-COUNTIF(Janvier[18],CléReposhebdomadaire)-COUNTIF(Janvier[18],CléCongé)-COUNTIF(Janvier[18],CléMaladie)-COUNTIF(Janvier[18],CléFormation)-COUNTIF(Janvier[18],CléAbsencenonjustifiée)</f>
        <v>0</v>
      </c>
      <c r="T27" s="39">
        <f>COUNTA(Janvier[19])-COUNTIF(Janvier[19],CléReposhebdomadaire)-COUNTIF(Janvier[19],CléCongé)-COUNTIF(Janvier[19],CléMaladie)-COUNTIF(Janvier[19],CléFormation)-COUNTIF(Janvier[19],CléAbsencenonjustifiée)</f>
        <v>0</v>
      </c>
      <c r="U27" s="39">
        <f>COUNTA(Janvier[20])-COUNTIF(Janvier[20],CléReposhebdomadaire)-COUNTIF(Janvier[20],CléCongé)-COUNTIF(Janvier[20],CléMaladie)-COUNTIF(Janvier[20],CléFormation)-COUNTIF(Janvier[20],CléAbsencenonjustifiée)</f>
        <v>0</v>
      </c>
      <c r="V27" s="39">
        <f>COUNTA(Janvier[21])-COUNTIF(Janvier[21],CléReposhebdomadaire)-COUNTIF(Janvier[21],CléCongé)-COUNTIF(Janvier[21],CléMaladie)-COUNTIF(Janvier[21],CléFormation)-COUNTIF(Janvier[21],CléAbsencenonjustifiée)</f>
        <v>0</v>
      </c>
      <c r="W27" s="39">
        <f>COUNTA(Janvier[22])-COUNTIF(Janvier[22],CléReposhebdomadaire)-COUNTIF(Janvier[22],CléCongé)-COUNTIF(Janvier[22],CléMaladie)-COUNTIF(Janvier[22],CléFormation)-COUNTIF(Janvier[22],CléAbsencenonjustifiée)</f>
        <v>0</v>
      </c>
      <c r="X27" s="39">
        <f>COUNTA(Janvier[23])-COUNTIF(Janvier[23],CléReposhebdomadaire)-COUNTIF(Janvier[23],CléCongé)-COUNTIF(Janvier[23],CléMaladie)-COUNTIF(Janvier[23],CléFormation)-COUNTIF(Janvier[23],CléAbsencenonjustifiée)</f>
        <v>0</v>
      </c>
      <c r="Y27" s="39">
        <f>COUNTA(Janvier[24])-COUNTIF(Janvier[24],CléReposhebdomadaire)-COUNTIF(Janvier[24],CléCongé)-COUNTIF(Janvier[24],CléMaladie)-COUNTIF(Janvier[24],CléFormation)-COUNTIF(Janvier[24],CléAbsencenonjustifiée)</f>
        <v>0</v>
      </c>
      <c r="Z27" s="39">
        <f>COUNTA(Janvier[25])-COUNTIF(Janvier[25],CléReposhebdomadaire)-COUNTIF(Janvier[25],CléCongé)-COUNTIF(Janvier[25],CléMaladie)-COUNTIF(Janvier[25],CléFormation)-COUNTIF(Janvier[25],CléAbsencenonjustifiée)</f>
        <v>0</v>
      </c>
      <c r="AA27" s="39">
        <f>COUNTA(Janvier[26])-COUNTIF(Janvier[26],CléReposhebdomadaire)-COUNTIF(Janvier[26],CléCongé)-COUNTIF(Janvier[26],CléMaladie)-COUNTIF(Janvier[26],CléFormation)-COUNTIF(Janvier[26],CléAbsencenonjustifiée)</f>
        <v>0</v>
      </c>
      <c r="AB27" s="39">
        <f>COUNTA(Janvier[27])-COUNTIF(Janvier[27],CléReposhebdomadaire)-COUNTIF(Janvier[27],CléCongé)-COUNTIF(Janvier[27],CléMaladie)-COUNTIF(Janvier[27],CléFormation)-COUNTIF(Janvier[27],CléAbsencenonjustifiée)</f>
        <v>0</v>
      </c>
      <c r="AC27" s="39">
        <f>COUNTA(Janvier[28])-COUNTIF(Janvier[28],CléReposhebdomadaire)-COUNTIF(Janvier[28],CléCongé)-COUNTIF(Janvier[28],CléMaladie)-COUNTIF(Janvier[28],CléFormation)-COUNTIF(Janvier[28],CléAbsencenonjustifiée)</f>
        <v>0</v>
      </c>
      <c r="AD27" s="39">
        <f>COUNTA(Janvier[29])-COUNTIF(Janvier[29],CléReposhebdomadaire)-COUNTIF(Janvier[29],CléCongé)-COUNTIF(Janvier[29],CléMaladie)-COUNTIF(Janvier[29],CléFormation)-COUNTIF(Janvier[29],CléAbsencenonjustifiée)</f>
        <v>0</v>
      </c>
      <c r="AE27" s="39">
        <f>COUNTA(Janvier[30])-COUNTIF(Janvier[30],CléReposhebdomadaire)-COUNTIF(Janvier[30],CléCongé)-COUNTIF(Janvier[30],CléMaladie)-COUNTIF(Janvier[30],CléFormation)-COUNTIF(Janvier[30],CléAbsencenonjustifiée)</f>
        <v>0</v>
      </c>
      <c r="AF27" s="39">
        <f>COUNTA(Janvier[31])-COUNTIF(Janvier[31],CléReposhebdomadaire)-COUNTIF(Janvier[31],CléCongé)-COUNTIF(Janvier[31],CléMaladie)-COUNTIF(Janvier[31],CléFormation)-COUNTIF(Janvier[31],CléAbsencenonjustifiée)</f>
        <v>0</v>
      </c>
      <c r="AG27" s="40">
        <f ca="1">SUBTOTAL(109,Mars[Total des Heures effectuées])</f>
        <v>0</v>
      </c>
    </row>
  </sheetData>
  <mergeCells count="9">
    <mergeCell ref="A1:AG1"/>
    <mergeCell ref="A4:A5"/>
    <mergeCell ref="AG4:AG5"/>
    <mergeCell ref="B4:AF4"/>
    <mergeCell ref="R2:U2"/>
    <mergeCell ref="C2:F2"/>
    <mergeCell ref="H2:I2"/>
    <mergeCell ref="K2:M2"/>
    <mergeCell ref="O2:P2"/>
  </mergeCells>
  <conditionalFormatting sqref="B27:AF27">
    <cfRule type="dataBar" priority="11">
      <dataBar>
        <cfvo type="num" val="0"/>
        <cfvo type="num" val="31"/>
        <color theme="2" tint="-0.249977111117893"/>
      </dataBar>
      <extLst>
        <ext xmlns:x14="http://schemas.microsoft.com/office/spreadsheetml/2009/9/main" uri="{B025F937-C7B1-47D3-B67F-A62EFF666E3E}">
          <x14:id>{3449F861-12AC-407C-9636-3D85948E0D4F}</x14:id>
        </ext>
      </extLst>
    </cfRule>
  </conditionalFormatting>
  <conditionalFormatting sqref="B7:AF26">
    <cfRule type="cellIs" dxfId="237" priority="1" operator="equal">
      <formula>$Q$2</formula>
    </cfRule>
    <cfRule type="cellIs" dxfId="236" priority="2" operator="equal">
      <formula>$N$2</formula>
    </cfRule>
    <cfRule type="cellIs" dxfId="235" priority="3" operator="equal">
      <formula>$J$2</formula>
    </cfRule>
    <cfRule type="cellIs" dxfId="234" priority="4" operator="equal">
      <formula>$G$2</formula>
    </cfRule>
    <cfRule type="cellIs" dxfId="233" priority="5" operator="equal">
      <formula>$B$2</formula>
    </cfRule>
  </conditionalFormatting>
  <dataValidations count="12">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B5"/>
    <dataValidation allowBlank="1" showInputMessage="1" showErrorMessage="1" prompt="Année mise à jour automatiquement en fonction de l’année entrée dans la feuille de calcul Janvier" sqref="AG4"/>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A6"/>
    <dataValidation allowBlank="1" showInputMessage="1" showErrorMessage="1" prompt="Le titre mis à jour automatiquement figure dans cette cellule. Pour modifier le titre, mettez à jour la cellule B1 de la feuille de calcul Janvier" sqref="A1"/>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A4"/>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B6"/>
    <dataValidation allowBlank="1" showInputMessage="1" showErrorMessage="1" prompt="Cette ligne définit les clés utilisées dans le tableau : Repos hebdomadaire en C2, Congé en H2, Arrêt Maladie en K2, Formation en O2 et Absence non justifiée en R2_x000a_" sqref="A2"/>
    <dataValidation allowBlank="1" showInputMessage="1" showErrorMessage="1" prompt="« ABS» indique une absence pour cause d'Absence non justifiée" sqref="Q2"/>
    <dataValidation allowBlank="1" showInputMessage="1" showErrorMessage="1" prompt=" « AM » indique une absence pour cause d'Arrêt maladie" sqref="J2"/>
    <dataValidation allowBlank="1" showInputMessage="1" showErrorMessage="1" prompt=" « FO » indique une absence pour Formation" sqref="N2"/>
    <dataValidation allowBlank="1" showInputMessage="1" showErrorMessage="1" prompt="« CP» indique une absence pour cause de congé" sqref="G2"/>
    <dataValidation allowBlank="1" showInputMessage="1" showErrorMessage="1" prompt="Calcule automatiquement le nombre total des heures effectives d’un employé durant ce mois" sqref="AG6"/>
  </dataValidations>
  <pageMargins left="0.7" right="0.7" top="0.75" bottom="0.75" header="0.3" footer="0.3"/>
  <pageSetup paperSize="9" fitToHeight="0" orientation="portrait" verticalDpi="4294967293"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3449F861-12AC-407C-9636-3D85948E0D4F}">
            <x14:dataBar minLength="0" maxLength="100">
              <x14:cfvo type="num">
                <xm:f>0</xm:f>
              </x14:cfvo>
              <x14:cfvo type="num">
                <xm:f>31</xm:f>
              </x14:cfvo>
              <x14:negativeFillColor rgb="FFFF0000"/>
              <x14:axisColor rgb="FF000000"/>
            </x14:dataBar>
          </x14:cfRule>
          <xm:sqref>B27:AF27</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14:formula1>
            <xm:f>Paramétrage!$B$3:$B$22</xm:f>
          </x14:formula1>
          <xm:sqref>A7:A26</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0.249977111117893"/>
  </sheetPr>
  <dimension ref="A1:AG27"/>
  <sheetViews>
    <sheetView showGridLines="0" zoomScaleNormal="100" workbookViewId="0">
      <selection sqref="A1:XFD6"/>
    </sheetView>
  </sheetViews>
  <sheetFormatPr baseColWidth="10" defaultColWidth="9.109375" defaultRowHeight="30" customHeight="1" x14ac:dyDescent="0.3"/>
  <cols>
    <col min="1" max="1" width="20.44140625" style="30" customWidth="1"/>
    <col min="2" max="32" width="5.5546875" style="30" customWidth="1"/>
    <col min="33" max="33" width="12.44140625" style="30" customWidth="1"/>
    <col min="34" max="34" width="2.6640625" style="29" customWidth="1"/>
    <col min="35" max="16384" width="9.109375" style="29"/>
  </cols>
  <sheetData>
    <row r="1" spans="1:33" ht="25.8" x14ac:dyDescent="0.3">
      <c r="A1" s="58" t="str">
        <f>Titre_Absence_Employé</f>
        <v>PLANNING MENSUEL</v>
      </c>
      <c r="B1" s="58"/>
      <c r="C1" s="58"/>
      <c r="D1" s="58"/>
      <c r="E1" s="58"/>
      <c r="F1" s="58"/>
      <c r="G1" s="58"/>
      <c r="H1" s="58"/>
      <c r="I1" s="58"/>
      <c r="J1" s="58"/>
      <c r="K1" s="58"/>
      <c r="L1" s="58"/>
      <c r="M1" s="58"/>
      <c r="N1" s="58"/>
      <c r="O1" s="58"/>
      <c r="P1" s="58"/>
      <c r="Q1" s="58"/>
      <c r="R1" s="58"/>
      <c r="S1" s="58"/>
      <c r="T1" s="58"/>
      <c r="U1" s="58"/>
      <c r="V1" s="58"/>
      <c r="W1" s="58"/>
      <c r="X1" s="58"/>
      <c r="Y1" s="58"/>
      <c r="Z1" s="58"/>
      <c r="AA1" s="58"/>
      <c r="AB1" s="58"/>
      <c r="AC1" s="58"/>
      <c r="AD1" s="58"/>
      <c r="AE1" s="58"/>
      <c r="AF1" s="58"/>
      <c r="AG1" s="58"/>
    </row>
    <row r="2" spans="1:33" ht="12" x14ac:dyDescent="0.3">
      <c r="A2" s="41" t="s">
        <v>0</v>
      </c>
      <c r="B2" s="42" t="s">
        <v>88</v>
      </c>
      <c r="C2" s="57" t="s">
        <v>89</v>
      </c>
      <c r="D2" s="57"/>
      <c r="E2" s="57"/>
      <c r="F2" s="57"/>
      <c r="G2" s="9" t="s">
        <v>82</v>
      </c>
      <c r="H2" s="57" t="s">
        <v>9</v>
      </c>
      <c r="I2" s="57"/>
      <c r="J2" s="43" t="s">
        <v>84</v>
      </c>
      <c r="K2" s="57" t="s">
        <v>85</v>
      </c>
      <c r="L2" s="57"/>
      <c r="M2" s="57"/>
      <c r="N2" s="11" t="s">
        <v>60</v>
      </c>
      <c r="O2" s="57" t="s">
        <v>83</v>
      </c>
      <c r="P2" s="57"/>
      <c r="Q2" s="44" t="s">
        <v>86</v>
      </c>
      <c r="R2" s="57" t="s">
        <v>87</v>
      </c>
      <c r="S2" s="57"/>
      <c r="T2" s="57"/>
      <c r="U2" s="57"/>
    </row>
    <row r="3" spans="1:33" ht="12" x14ac:dyDescent="0.3">
      <c r="AG3" s="31"/>
    </row>
    <row r="4" spans="1:33" ht="25.8" x14ac:dyDescent="0.3">
      <c r="A4" s="59" t="s">
        <v>52</v>
      </c>
      <c r="B4" s="59" t="s">
        <v>109</v>
      </c>
      <c r="C4" s="59"/>
      <c r="D4" s="59"/>
      <c r="E4" s="59"/>
      <c r="F4" s="59"/>
      <c r="G4" s="59"/>
      <c r="H4" s="59"/>
      <c r="I4" s="59"/>
      <c r="J4" s="59"/>
      <c r="K4" s="59"/>
      <c r="L4" s="59"/>
      <c r="M4" s="59"/>
      <c r="N4" s="59"/>
      <c r="O4" s="59"/>
      <c r="P4" s="59"/>
      <c r="Q4" s="59"/>
      <c r="R4" s="59"/>
      <c r="S4" s="59"/>
      <c r="T4" s="59"/>
      <c r="U4" s="59"/>
      <c r="V4" s="59"/>
      <c r="W4" s="59"/>
      <c r="X4" s="59"/>
      <c r="Y4" s="59"/>
      <c r="Z4" s="59"/>
      <c r="AA4" s="59"/>
      <c r="AB4" s="59"/>
      <c r="AC4" s="59"/>
      <c r="AD4" s="59"/>
      <c r="AE4" s="59"/>
      <c r="AF4" s="59"/>
      <c r="AG4" s="59">
        <f>AnnéeCalendrier</f>
        <v>2023</v>
      </c>
    </row>
    <row r="5" spans="1:33" ht="12" x14ac:dyDescent="0.3">
      <c r="A5" s="59"/>
      <c r="B5" s="47" t="str">
        <f>TEXT(WEEKDAY(DATE(AnnéeCalendrier,11,1),1),"jjj")</f>
        <v>mer</v>
      </c>
      <c r="C5" s="32" t="str">
        <f>TEXT(WEEKDAY(DATE(AnnéeCalendrier,11,2),1),"jjj")</f>
        <v>jeu</v>
      </c>
      <c r="D5" s="32" t="str">
        <f>TEXT(WEEKDAY(DATE(AnnéeCalendrier,11,3),1),"jjj")</f>
        <v>ven</v>
      </c>
      <c r="E5" s="32" t="str">
        <f>TEXT(WEEKDAY(DATE(AnnéeCalendrier,11,4),1),"jjj")</f>
        <v>sam</v>
      </c>
      <c r="F5" s="32" t="str">
        <f>TEXT(WEEKDAY(DATE(AnnéeCalendrier,11,5),1),"jjj")</f>
        <v>dim</v>
      </c>
      <c r="G5" s="32" t="str">
        <f>TEXT(WEEKDAY(DATE(AnnéeCalendrier,11,6),1),"jjj")</f>
        <v>lun</v>
      </c>
      <c r="H5" s="32" t="str">
        <f>TEXT(WEEKDAY(DATE(AnnéeCalendrier,11,7),1),"jjj")</f>
        <v>mar</v>
      </c>
      <c r="I5" s="32" t="str">
        <f>TEXT(WEEKDAY(DATE(AnnéeCalendrier,11,8),1),"jjj")</f>
        <v>mer</v>
      </c>
      <c r="J5" s="32" t="str">
        <f>TEXT(WEEKDAY(DATE(AnnéeCalendrier,11,9),1),"jjj")</f>
        <v>jeu</v>
      </c>
      <c r="K5" s="32" t="str">
        <f>TEXT(WEEKDAY(DATE(AnnéeCalendrier,11,10),1),"jjj")</f>
        <v>ven</v>
      </c>
      <c r="L5" s="32" t="str">
        <f>TEXT(WEEKDAY(DATE(AnnéeCalendrier,11,11),1),"jjj")</f>
        <v>sam</v>
      </c>
      <c r="M5" s="32" t="str">
        <f>TEXT(WEEKDAY(DATE(AnnéeCalendrier,11,12),1),"jjj")</f>
        <v>dim</v>
      </c>
      <c r="N5" s="32" t="str">
        <f>TEXT(WEEKDAY(DATE(AnnéeCalendrier,11,13),1),"jjj")</f>
        <v>lun</v>
      </c>
      <c r="O5" s="32" t="str">
        <f>TEXT(WEEKDAY(DATE(AnnéeCalendrier,11,14),1),"jjj")</f>
        <v>mar</v>
      </c>
      <c r="P5" s="32" t="str">
        <f>TEXT(WEEKDAY(DATE(AnnéeCalendrier,11,15),1),"jjj")</f>
        <v>mer</v>
      </c>
      <c r="Q5" s="32" t="str">
        <f>TEXT(WEEKDAY(DATE(AnnéeCalendrier,11,16),1),"jjj")</f>
        <v>jeu</v>
      </c>
      <c r="R5" s="32" t="str">
        <f>TEXT(WEEKDAY(DATE(AnnéeCalendrier,11,17),1),"jjj")</f>
        <v>ven</v>
      </c>
      <c r="S5" s="32" t="str">
        <f>TEXT(WEEKDAY(DATE(AnnéeCalendrier,11,18),1),"jjj")</f>
        <v>sam</v>
      </c>
      <c r="T5" s="32" t="str">
        <f>TEXT(WEEKDAY(DATE(AnnéeCalendrier,11,19),1),"jjj")</f>
        <v>dim</v>
      </c>
      <c r="U5" s="32" t="str">
        <f>TEXT(WEEKDAY(DATE(AnnéeCalendrier,11,20),1),"jjj")</f>
        <v>lun</v>
      </c>
      <c r="V5" s="32" t="str">
        <f>TEXT(WEEKDAY(DATE(AnnéeCalendrier,11,21),1),"jjj")</f>
        <v>mar</v>
      </c>
      <c r="W5" s="32" t="str">
        <f>TEXT(WEEKDAY(DATE(AnnéeCalendrier,11,22),1),"jjj")</f>
        <v>mer</v>
      </c>
      <c r="X5" s="32" t="str">
        <f>TEXT(WEEKDAY(DATE(AnnéeCalendrier,11,23),1),"jjj")</f>
        <v>jeu</v>
      </c>
      <c r="Y5" s="32" t="str">
        <f>TEXT(WEEKDAY(DATE(AnnéeCalendrier,11,24),1),"jjj")</f>
        <v>ven</v>
      </c>
      <c r="Z5" s="32" t="str">
        <f>TEXT(WEEKDAY(DATE(AnnéeCalendrier,11,25),1),"jjj")</f>
        <v>sam</v>
      </c>
      <c r="AA5" s="32" t="str">
        <f>TEXT(WEEKDAY(DATE(AnnéeCalendrier,11,26),1),"jjj")</f>
        <v>dim</v>
      </c>
      <c r="AB5" s="32" t="str">
        <f>TEXT(WEEKDAY(DATE(AnnéeCalendrier,11,27),1),"jjj")</f>
        <v>lun</v>
      </c>
      <c r="AC5" s="32" t="str">
        <f>TEXT(WEEKDAY(DATE(AnnéeCalendrier,11,28),1),"jjj")</f>
        <v>mar</v>
      </c>
      <c r="AD5" s="32" t="str">
        <f>TEXT(WEEKDAY(DATE(AnnéeCalendrier,11,29),1),"jjj")</f>
        <v>mer</v>
      </c>
      <c r="AE5" s="32" t="str">
        <f>TEXT(WEEKDAY(DATE(AnnéeCalendrier,11,30),1),"jjj")</f>
        <v>jeu</v>
      </c>
      <c r="AF5" s="32"/>
      <c r="AG5" s="59"/>
    </row>
    <row r="6" spans="1:33" ht="24" x14ac:dyDescent="0.3">
      <c r="A6" s="45" t="s">
        <v>2</v>
      </c>
      <c r="B6" s="46" t="s">
        <v>8</v>
      </c>
      <c r="C6" s="46" t="s">
        <v>10</v>
      </c>
      <c r="D6" s="46" t="s">
        <v>11</v>
      </c>
      <c r="E6" s="46" t="s">
        <v>12</v>
      </c>
      <c r="F6" s="46" t="s">
        <v>13</v>
      </c>
      <c r="G6" s="46" t="s">
        <v>14</v>
      </c>
      <c r="H6" s="46" t="s">
        <v>15</v>
      </c>
      <c r="I6" s="46" t="s">
        <v>16</v>
      </c>
      <c r="J6" s="46" t="s">
        <v>17</v>
      </c>
      <c r="K6" s="46" t="s">
        <v>18</v>
      </c>
      <c r="L6" s="46" t="s">
        <v>19</v>
      </c>
      <c r="M6" s="46" t="s">
        <v>20</v>
      </c>
      <c r="N6" s="46" t="s">
        <v>21</v>
      </c>
      <c r="O6" s="46" t="s">
        <v>22</v>
      </c>
      <c r="P6" s="46" t="s">
        <v>23</v>
      </c>
      <c r="Q6" s="46" t="s">
        <v>24</v>
      </c>
      <c r="R6" s="46" t="s">
        <v>25</v>
      </c>
      <c r="S6" s="46" t="s">
        <v>26</v>
      </c>
      <c r="T6" s="46" t="s">
        <v>27</v>
      </c>
      <c r="U6" s="46" t="s">
        <v>28</v>
      </c>
      <c r="V6" s="46" t="s">
        <v>29</v>
      </c>
      <c r="W6" s="46" t="s">
        <v>30</v>
      </c>
      <c r="X6" s="46" t="s">
        <v>31</v>
      </c>
      <c r="Y6" s="46" t="s">
        <v>32</v>
      </c>
      <c r="Z6" s="46" t="s">
        <v>33</v>
      </c>
      <c r="AA6" s="46" t="s">
        <v>34</v>
      </c>
      <c r="AB6" s="46" t="s">
        <v>35</v>
      </c>
      <c r="AC6" s="46" t="s">
        <v>36</v>
      </c>
      <c r="AD6" s="46" t="s">
        <v>37</v>
      </c>
      <c r="AE6" s="46" t="s">
        <v>38</v>
      </c>
      <c r="AF6" s="46" t="s">
        <v>42</v>
      </c>
      <c r="AG6" s="35" t="s">
        <v>107</v>
      </c>
    </row>
    <row r="7" spans="1:33" ht="15" customHeight="1" x14ac:dyDescent="0.3">
      <c r="A7" s="36" t="s">
        <v>3</v>
      </c>
      <c r="B7" s="34"/>
      <c r="C7" s="34"/>
      <c r="D7" s="34"/>
      <c r="E7" s="34"/>
      <c r="F7" s="34"/>
      <c r="G7" s="34"/>
      <c r="H7" s="34"/>
      <c r="I7" s="34"/>
      <c r="J7" s="34"/>
      <c r="K7" s="34"/>
      <c r="L7" s="34"/>
      <c r="M7" s="34"/>
      <c r="N7" s="34"/>
      <c r="O7" s="34"/>
      <c r="P7" s="34"/>
      <c r="Q7" s="34"/>
      <c r="R7" s="34"/>
      <c r="S7" s="34"/>
      <c r="T7" s="34"/>
      <c r="U7" s="34"/>
      <c r="V7" s="34"/>
      <c r="W7" s="34"/>
      <c r="X7" s="34"/>
      <c r="Y7" s="34"/>
      <c r="Z7" s="34"/>
      <c r="AA7" s="34"/>
      <c r="AB7" s="34"/>
      <c r="AC7" s="34"/>
      <c r="AD7" s="34"/>
      <c r="AE7" s="34"/>
      <c r="AF7" s="34"/>
      <c r="AG7" s="18">
        <f>COUNTIF(Janvier[[#This Row],[1]:[31]],Paramétrage!G3)*Paramétrage!I3+COUNTIF(Janvier[[#This Row],[1]:[31]],Paramétrage!G4)*Paramétrage!I4+COUNTIF(Janvier[[#This Row],[1]:[31]],Paramétrage!G5)*Paramétrage!I5+COUNTIF(Janvier[[#This Row],[1]:[31]],Paramétrage!G6)*Paramétrage!I6+COUNTIF(Janvier[[#This Row],[1]:[31]],Paramétrage!G7)*Paramétrage!I7+COUNTIF(Janvier[[#This Row],[1]:[31]],Paramétrage!G8)*Paramétrage!I8+COUNTIF(Janvier[[#This Row],[1]:[31]],Paramétrage!G9)*Paramétrage!I9+COUNTIF(Janvier[[#This Row],[1]:[31]],Paramétrage!G10)*Paramétrage!I10+COUNTIF(Janvier[[#This Row],[1]:[31]],Paramétrage!G11)*Paramétrage!I11+COUNTIF(Janvier[[#This Row],[1]:[31]],Paramétrage!G12)*Paramétrage!I12+COUNTIF(Janvier[[#This Row],[1]:[31]],Paramétrage!G13)*Paramétrage!I13+COUNTIF(Janvier[[#This Row],[1]:[31]],Paramétrage!G14*Paramétrage!I14+COUNTIF(Janvier[[#This Row],[1]:[31]],Paramétrage!G15)*Paramétrage!I15+COUNTIF(Janvier[[#This Row],[1]:[31]],Paramétrage!G16)*Paramétrage!I16)</f>
        <v>0</v>
      </c>
    </row>
    <row r="8" spans="1:33" ht="15" customHeight="1" x14ac:dyDescent="0.3">
      <c r="A8" s="36" t="s">
        <v>4</v>
      </c>
      <c r="B8" s="34"/>
      <c r="C8" s="34"/>
      <c r="D8" s="34"/>
      <c r="E8" s="34"/>
      <c r="F8" s="34"/>
      <c r="G8" s="34"/>
      <c r="H8" s="34"/>
      <c r="I8" s="34"/>
      <c r="J8" s="34"/>
      <c r="K8" s="34"/>
      <c r="L8" s="34"/>
      <c r="M8" s="34"/>
      <c r="N8" s="34"/>
      <c r="O8" s="34"/>
      <c r="P8" s="34"/>
      <c r="Q8" s="34"/>
      <c r="R8" s="34"/>
      <c r="S8" s="34"/>
      <c r="T8" s="34"/>
      <c r="U8" s="34"/>
      <c r="V8" s="34"/>
      <c r="W8" s="34"/>
      <c r="X8" s="34"/>
      <c r="Y8" s="34"/>
      <c r="Z8" s="34"/>
      <c r="AA8" s="34"/>
      <c r="AB8" s="34"/>
      <c r="AC8" s="34"/>
      <c r="AD8" s="34"/>
      <c r="AE8" s="34"/>
      <c r="AF8" s="34"/>
      <c r="AG8" s="18">
        <f>COUNTIF(Janvier[[#This Row],[1]:[31]],Paramétrage!G4)*Paramétrage!I4+COUNTIF(Janvier[[#This Row],[1]:[31]],Paramétrage!G5)*Paramétrage!I5+COUNTIF(Janvier[[#This Row],[1]:[31]],Paramétrage!G6)*Paramétrage!I6+COUNTIF(Janvier[[#This Row],[1]:[31]],Paramétrage!G7)*Paramétrage!I7+COUNTIF(Janvier[[#This Row],[1]:[31]],Paramétrage!G8)*Paramétrage!I8+COUNTIF(Janvier[[#This Row],[1]:[31]],Paramétrage!G9)*Paramétrage!I9+COUNTIF(Janvier[[#This Row],[1]:[31]],Paramétrage!G10)*Paramétrage!I10+COUNTIF(Janvier[[#This Row],[1]:[31]],Paramétrage!G11)*Paramétrage!I11+COUNTIF(Janvier[[#This Row],[1]:[31]],Paramétrage!G12)*Paramétrage!I12+COUNTIF(Janvier[[#This Row],[1]:[31]],Paramétrage!G13)*Paramétrage!I13+COUNTIF(Janvier[[#This Row],[1]:[31]],Paramétrage!G14)*Paramétrage!I14+COUNTIF(Janvier[[#This Row],[1]:[31]],Paramétrage!G15*Paramétrage!I15+COUNTIF(Janvier[[#This Row],[1]:[31]],Paramétrage!G16)*Paramétrage!I16+COUNTIF(Janvier[[#This Row],[1]:[31]],Paramétrage!G17)*Paramétrage!I17)</f>
        <v>0</v>
      </c>
    </row>
    <row r="9" spans="1:33" ht="15" customHeight="1" x14ac:dyDescent="0.3">
      <c r="A9" s="36" t="s">
        <v>5</v>
      </c>
      <c r="B9" s="34"/>
      <c r="C9" s="34"/>
      <c r="D9" s="34"/>
      <c r="E9" s="34"/>
      <c r="F9" s="34"/>
      <c r="G9" s="34"/>
      <c r="H9" s="34"/>
      <c r="I9" s="34"/>
      <c r="J9" s="34"/>
      <c r="K9" s="34"/>
      <c r="L9" s="34"/>
      <c r="M9" s="34"/>
      <c r="N9" s="34"/>
      <c r="O9" s="34"/>
      <c r="P9" s="34"/>
      <c r="Q9" s="34"/>
      <c r="R9" s="34"/>
      <c r="S9" s="34"/>
      <c r="T9" s="34"/>
      <c r="U9" s="34"/>
      <c r="V9" s="34"/>
      <c r="W9" s="34"/>
      <c r="X9" s="34"/>
      <c r="Y9" s="34"/>
      <c r="Z9" s="34"/>
      <c r="AA9" s="34"/>
      <c r="AB9" s="34"/>
      <c r="AC9" s="34"/>
      <c r="AD9" s="34"/>
      <c r="AE9" s="34"/>
      <c r="AF9" s="34"/>
      <c r="AG9" s="18">
        <f>COUNTIF(Janvier[[#This Row],[1]:[31]],Paramétrage!G5)*Paramétrage!I5+COUNTIF(Janvier[[#This Row],[1]:[31]],Paramétrage!G6)*Paramétrage!I6+COUNTIF(Janvier[[#This Row],[1]:[31]],Paramétrage!G7)*Paramétrage!I7+COUNTIF(Janvier[[#This Row],[1]:[31]],Paramétrage!G8)*Paramétrage!I8+COUNTIF(Janvier[[#This Row],[1]:[31]],Paramétrage!G9)*Paramétrage!I9+COUNTIF(Janvier[[#This Row],[1]:[31]],Paramétrage!G10)*Paramétrage!I10+COUNTIF(Janvier[[#This Row],[1]:[31]],Paramétrage!G11)*Paramétrage!I11+COUNTIF(Janvier[[#This Row],[1]:[31]],Paramétrage!G12)*Paramétrage!I12+COUNTIF(Janvier[[#This Row],[1]:[31]],Paramétrage!G13)*Paramétrage!I13+COUNTIF(Janvier[[#This Row],[1]:[31]],Paramétrage!G14)*Paramétrage!I14+COUNTIF(Janvier[[#This Row],[1]:[31]],Paramétrage!G15)*Paramétrage!I15+COUNTIF(Janvier[[#This Row],[1]:[31]],Paramétrage!G16*Paramétrage!I16+COUNTIF(Janvier[[#This Row],[1]:[31]],Paramétrage!G17)*Paramétrage!I17+COUNTIF(Janvier[[#This Row],[1]:[31]],Paramétrage!G18)*Paramétrage!I18)</f>
        <v>0</v>
      </c>
    </row>
    <row r="10" spans="1:33" ht="15" customHeight="1" x14ac:dyDescent="0.3">
      <c r="A10" s="36" t="s">
        <v>6</v>
      </c>
      <c r="B10" s="34"/>
      <c r="C10" s="34"/>
      <c r="D10" s="34"/>
      <c r="E10" s="34"/>
      <c r="F10" s="34"/>
      <c r="G10" s="34"/>
      <c r="H10" s="34"/>
      <c r="I10" s="34"/>
      <c r="J10" s="34"/>
      <c r="K10" s="34"/>
      <c r="L10" s="34"/>
      <c r="M10" s="34"/>
      <c r="N10" s="34"/>
      <c r="O10" s="34"/>
      <c r="P10" s="34"/>
      <c r="Q10" s="34"/>
      <c r="R10" s="34"/>
      <c r="S10" s="34"/>
      <c r="T10" s="34"/>
      <c r="U10" s="34"/>
      <c r="V10" s="34"/>
      <c r="W10" s="34"/>
      <c r="X10" s="34"/>
      <c r="Y10" s="34"/>
      <c r="Z10" s="34"/>
      <c r="AA10" s="34"/>
      <c r="AB10" s="34"/>
      <c r="AC10" s="34"/>
      <c r="AD10" s="34"/>
      <c r="AE10" s="34"/>
      <c r="AF10" s="34"/>
      <c r="AG10" s="18">
        <f>COUNTIF(Janvier[[#This Row],[1]:[31]],Paramétrage!G6)*Paramétrage!I6+COUNTIF(Janvier[[#This Row],[1]:[31]],Paramétrage!G7)*Paramétrage!I7+COUNTIF(Janvier[[#This Row],[1]:[31]],Paramétrage!G8)*Paramétrage!I8+COUNTIF(Janvier[[#This Row],[1]:[31]],Paramétrage!G9)*Paramétrage!I9+COUNTIF(Janvier[[#This Row],[1]:[31]],Paramétrage!G10)*Paramétrage!I10+COUNTIF(Janvier[[#This Row],[1]:[31]],Paramétrage!G11)*Paramétrage!I11+COUNTIF(Janvier[[#This Row],[1]:[31]],Paramétrage!G12)*Paramétrage!I12+COUNTIF(Janvier[[#This Row],[1]:[31]],Paramétrage!G13)*Paramétrage!I13+COUNTIF(Janvier[[#This Row],[1]:[31]],Paramétrage!G14)*Paramétrage!I14+COUNTIF(Janvier[[#This Row],[1]:[31]],Paramétrage!G15)*Paramétrage!I15+COUNTIF(Janvier[[#This Row],[1]:[31]],Paramétrage!G16)*Paramétrage!I16+COUNTIF(Janvier[[#This Row],[1]:[31]],Paramétrage!G17*Paramétrage!I17+COUNTIF(Janvier[[#This Row],[1]:[31]],Paramétrage!G18)*Paramétrage!I18+COUNTIF(Janvier[[#This Row],[1]:[31]],Paramétrage!G19)*Paramétrage!I19)</f>
        <v>0</v>
      </c>
    </row>
    <row r="11" spans="1:33" ht="15" customHeight="1" x14ac:dyDescent="0.3">
      <c r="A11" s="36" t="s">
        <v>7</v>
      </c>
      <c r="B11" s="34"/>
      <c r="C11" s="34"/>
      <c r="D11" s="34"/>
      <c r="E11" s="34"/>
      <c r="F11" s="34"/>
      <c r="G11" s="34"/>
      <c r="H11" s="34"/>
      <c r="I11" s="34"/>
      <c r="J11" s="34"/>
      <c r="K11" s="34"/>
      <c r="L11" s="34"/>
      <c r="M11" s="34"/>
      <c r="N11" s="34"/>
      <c r="O11" s="34"/>
      <c r="P11" s="34"/>
      <c r="Q11" s="34"/>
      <c r="R11" s="34"/>
      <c r="S11" s="34"/>
      <c r="T11" s="34"/>
      <c r="U11" s="34"/>
      <c r="V11" s="34"/>
      <c r="W11" s="34"/>
      <c r="X11" s="34"/>
      <c r="Y11" s="34"/>
      <c r="Z11" s="34"/>
      <c r="AA11" s="34"/>
      <c r="AB11" s="34"/>
      <c r="AC11" s="34"/>
      <c r="AD11" s="34"/>
      <c r="AE11" s="34"/>
      <c r="AF11" s="34"/>
      <c r="AG11" s="18">
        <f>COUNTIF(Janvier[[#This Row],[1]:[31]],Paramétrage!G7)*Paramétrage!I7+COUNTIF(Janvier[[#This Row],[1]:[31]],Paramétrage!G8)*Paramétrage!I8+COUNTIF(Janvier[[#This Row],[1]:[31]],Paramétrage!G9)*Paramétrage!I9+COUNTIF(Janvier[[#This Row],[1]:[31]],Paramétrage!G10)*Paramétrage!I10+COUNTIF(Janvier[[#This Row],[1]:[31]],Paramétrage!G11)*Paramétrage!I11+COUNTIF(Janvier[[#This Row],[1]:[31]],Paramétrage!G12)*Paramétrage!I12+COUNTIF(Janvier[[#This Row],[1]:[31]],Paramétrage!G13)*Paramétrage!I13+COUNTIF(Janvier[[#This Row],[1]:[31]],Paramétrage!G14)*Paramétrage!I14+COUNTIF(Janvier[[#This Row],[1]:[31]],Paramétrage!G15)*Paramétrage!I15+COUNTIF(Janvier[[#This Row],[1]:[31]],Paramétrage!G16)*Paramétrage!I16+COUNTIF(Janvier[[#This Row],[1]:[31]],Paramétrage!G17)*Paramétrage!I17+COUNTIF(Janvier[[#This Row],[1]:[31]],Paramétrage!G18*Paramétrage!I18+COUNTIF(Janvier[[#This Row],[1]:[31]],Paramétrage!G19)*Paramétrage!I19+COUNTIF(Janvier[[#This Row],[1]:[31]],Paramétrage!G20)*Paramétrage!I20)</f>
        <v>0</v>
      </c>
    </row>
    <row r="12" spans="1:33" ht="15" customHeight="1" x14ac:dyDescent="0.3">
      <c r="A12" s="36" t="s">
        <v>55</v>
      </c>
      <c r="B12" s="34"/>
      <c r="C12" s="34"/>
      <c r="D12" s="34"/>
      <c r="E12" s="34"/>
      <c r="F12" s="34"/>
      <c r="G12" s="34"/>
      <c r="H12" s="34"/>
      <c r="I12" s="34"/>
      <c r="J12" s="34"/>
      <c r="K12" s="34"/>
      <c r="L12" s="34"/>
      <c r="M12" s="34"/>
      <c r="N12" s="34"/>
      <c r="O12" s="34"/>
      <c r="P12" s="34"/>
      <c r="Q12" s="34"/>
      <c r="R12" s="34"/>
      <c r="S12" s="34"/>
      <c r="T12" s="34"/>
      <c r="U12" s="34"/>
      <c r="V12" s="34"/>
      <c r="W12" s="34"/>
      <c r="X12" s="34"/>
      <c r="Y12" s="34"/>
      <c r="Z12" s="34"/>
      <c r="AA12" s="34"/>
      <c r="AB12" s="34"/>
      <c r="AC12" s="34"/>
      <c r="AD12" s="34"/>
      <c r="AE12" s="34"/>
      <c r="AF12" s="34"/>
      <c r="AG12" s="18">
        <f>COUNTIF(Janvier[[#This Row],[1]:[31]],Paramétrage!G8)*Paramétrage!I8+COUNTIF(Janvier[[#This Row],[1]:[31]],Paramétrage!G9)*Paramétrage!I9+COUNTIF(Janvier[[#This Row],[1]:[31]],Paramétrage!G10)*Paramétrage!I10+COUNTIF(Janvier[[#This Row],[1]:[31]],Paramétrage!G11)*Paramétrage!I11+COUNTIF(Janvier[[#This Row],[1]:[31]],Paramétrage!G12)*Paramétrage!I12+COUNTIF(Janvier[[#This Row],[1]:[31]],Paramétrage!G13)*Paramétrage!I13+COUNTIF(Janvier[[#This Row],[1]:[31]],Paramétrage!G14)*Paramétrage!I14+COUNTIF(Janvier[[#This Row],[1]:[31]],Paramétrage!G15)*Paramétrage!I15+COUNTIF(Janvier[[#This Row],[1]:[31]],Paramétrage!G16)*Paramétrage!I16+COUNTIF(Janvier[[#This Row],[1]:[31]],Paramétrage!G17)*Paramétrage!I17+COUNTIF(Janvier[[#This Row],[1]:[31]],Paramétrage!G18)*Paramétrage!I18+COUNTIF(Janvier[[#This Row],[1]:[31]],Paramétrage!G19*Paramétrage!I19+COUNTIF(Janvier[[#This Row],[1]:[31]],Paramétrage!G20)*Paramétrage!I20+COUNTIF(Janvier[[#This Row],[1]:[31]],Paramétrage!G21)*Paramétrage!I21)</f>
        <v>0</v>
      </c>
    </row>
    <row r="13" spans="1:33" ht="15" customHeight="1" x14ac:dyDescent="0.3">
      <c r="A13" s="36" t="s">
        <v>56</v>
      </c>
      <c r="B13" s="34"/>
      <c r="C13" s="34"/>
      <c r="D13" s="34"/>
      <c r="E13" s="34"/>
      <c r="F13" s="34"/>
      <c r="G13" s="34"/>
      <c r="H13" s="34"/>
      <c r="I13" s="34"/>
      <c r="J13" s="34"/>
      <c r="K13" s="34"/>
      <c r="L13" s="34"/>
      <c r="M13" s="34"/>
      <c r="N13" s="34"/>
      <c r="O13" s="34"/>
      <c r="P13" s="34"/>
      <c r="Q13" s="34"/>
      <c r="R13" s="34"/>
      <c r="S13" s="34"/>
      <c r="T13" s="34"/>
      <c r="U13" s="34"/>
      <c r="V13" s="34"/>
      <c r="W13" s="34"/>
      <c r="X13" s="34"/>
      <c r="Y13" s="34"/>
      <c r="Z13" s="34"/>
      <c r="AA13" s="34"/>
      <c r="AB13" s="34"/>
      <c r="AC13" s="34"/>
      <c r="AD13" s="34"/>
      <c r="AE13" s="34"/>
      <c r="AF13" s="34"/>
      <c r="AG13" s="18">
        <f>COUNTIF(Janvier[[#This Row],[1]:[31]],Paramétrage!G9)*Paramétrage!I9+COUNTIF(Janvier[[#This Row],[1]:[31]],Paramétrage!G10)*Paramétrage!I10+COUNTIF(Janvier[[#This Row],[1]:[31]],Paramétrage!G11)*Paramétrage!I11+COUNTIF(Janvier[[#This Row],[1]:[31]],Paramétrage!G12)*Paramétrage!I12+COUNTIF(Janvier[[#This Row],[1]:[31]],Paramétrage!G13)*Paramétrage!I13+COUNTIF(Janvier[[#This Row],[1]:[31]],Paramétrage!G14)*Paramétrage!I14+COUNTIF(Janvier[[#This Row],[1]:[31]],Paramétrage!G15)*Paramétrage!I15+COUNTIF(Janvier[[#This Row],[1]:[31]],Paramétrage!G16)*Paramétrage!I16+COUNTIF(Janvier[[#This Row],[1]:[31]],Paramétrage!G17)*Paramétrage!I17+COUNTIF(Janvier[[#This Row],[1]:[31]],Paramétrage!G18)*Paramétrage!I18+COUNTIF(Janvier[[#This Row],[1]:[31]],Paramétrage!G19)*Paramétrage!I19+COUNTIF(Janvier[[#This Row],[1]:[31]],Paramétrage!G20*Paramétrage!I20+COUNTIF(Janvier[[#This Row],[1]:[31]],Paramétrage!G21)*Paramétrage!I21+COUNTIF(Janvier[[#This Row],[1]:[31]],Paramétrage!G22)*Paramétrage!I22)</f>
        <v>0</v>
      </c>
    </row>
    <row r="14" spans="1:33" ht="15" customHeight="1" x14ac:dyDescent="0.3">
      <c r="A14" s="36" t="s">
        <v>57</v>
      </c>
      <c r="B14" s="34"/>
      <c r="C14" s="34"/>
      <c r="D14" s="34"/>
      <c r="E14" s="34"/>
      <c r="F14" s="34"/>
      <c r="G14" s="34"/>
      <c r="H14" s="34"/>
      <c r="I14" s="34"/>
      <c r="J14" s="34"/>
      <c r="K14" s="34"/>
      <c r="L14" s="34"/>
      <c r="M14" s="34"/>
      <c r="N14" s="34"/>
      <c r="O14" s="34"/>
      <c r="P14" s="34"/>
      <c r="Q14" s="34"/>
      <c r="R14" s="34"/>
      <c r="S14" s="34"/>
      <c r="T14" s="34"/>
      <c r="U14" s="34"/>
      <c r="V14" s="34"/>
      <c r="W14" s="34"/>
      <c r="X14" s="34"/>
      <c r="Y14" s="34"/>
      <c r="Z14" s="34"/>
      <c r="AA14" s="34"/>
      <c r="AB14" s="34"/>
      <c r="AC14" s="34"/>
      <c r="AD14" s="34"/>
      <c r="AE14" s="34"/>
      <c r="AF14" s="34"/>
      <c r="AG14" s="18">
        <f>COUNTIF(Janvier[[#This Row],[1]:[31]],Paramétrage!G10)*Paramétrage!I10+COUNTIF(Janvier[[#This Row],[1]:[31]],Paramétrage!G11)*Paramétrage!I11+COUNTIF(Janvier[[#This Row],[1]:[31]],Paramétrage!G12)*Paramétrage!I12+COUNTIF(Janvier[[#This Row],[1]:[31]],Paramétrage!G13)*Paramétrage!I13+COUNTIF(Janvier[[#This Row],[1]:[31]],Paramétrage!G14)*Paramétrage!I14+COUNTIF(Janvier[[#This Row],[1]:[31]],Paramétrage!G15)*Paramétrage!I15+COUNTIF(Janvier[[#This Row],[1]:[31]],Paramétrage!G16)*Paramétrage!I16+COUNTIF(Janvier[[#This Row],[1]:[31]],Paramétrage!G17)*Paramétrage!I17+COUNTIF(Janvier[[#This Row],[1]:[31]],Paramétrage!G18)*Paramétrage!I18+COUNTIF(Janvier[[#This Row],[1]:[31]],Paramétrage!G19)*Paramétrage!I19+COUNTIF(Janvier[[#This Row],[1]:[31]],Paramétrage!G20)*Paramétrage!I20+COUNTIF(Janvier[[#This Row],[1]:[31]],Paramétrage!G21*Paramétrage!I21+COUNTIF(Janvier[[#This Row],[1]:[31]],Paramétrage!G22)*Paramétrage!I22+COUNTIF(Janvier[[#This Row],[1]:[31]],Paramétrage!G23)*Paramétrage!I23)</f>
        <v>0</v>
      </c>
    </row>
    <row r="15" spans="1:33" ht="15" customHeight="1" x14ac:dyDescent="0.3">
      <c r="A15" s="36" t="s">
        <v>61</v>
      </c>
      <c r="B15" s="34"/>
      <c r="C15" s="34"/>
      <c r="D15" s="34"/>
      <c r="E15" s="34"/>
      <c r="F15" s="34"/>
      <c r="G15" s="34"/>
      <c r="H15" s="34"/>
      <c r="I15" s="34"/>
      <c r="J15" s="34"/>
      <c r="K15" s="34"/>
      <c r="L15" s="34"/>
      <c r="M15" s="34"/>
      <c r="N15" s="34"/>
      <c r="O15" s="34"/>
      <c r="P15" s="34"/>
      <c r="Q15" s="34"/>
      <c r="R15" s="34"/>
      <c r="S15" s="34"/>
      <c r="T15" s="34"/>
      <c r="U15" s="34"/>
      <c r="V15" s="34"/>
      <c r="W15" s="34"/>
      <c r="X15" s="34"/>
      <c r="Y15" s="34"/>
      <c r="Z15" s="34"/>
      <c r="AA15" s="34"/>
      <c r="AB15" s="34"/>
      <c r="AC15" s="34"/>
      <c r="AD15" s="34"/>
      <c r="AE15" s="34"/>
      <c r="AF15" s="34"/>
      <c r="AG15" s="18">
        <f>COUNTIF(Janvier[[#This Row],[1]:[31]],Paramétrage!G11)*Paramétrage!I11+COUNTIF(Janvier[[#This Row],[1]:[31]],Paramétrage!G12)*Paramétrage!I12+COUNTIF(Janvier[[#This Row],[1]:[31]],Paramétrage!G13)*Paramétrage!I13+COUNTIF(Janvier[[#This Row],[1]:[31]],Paramétrage!G14)*Paramétrage!I14+COUNTIF(Janvier[[#This Row],[1]:[31]],Paramétrage!G15)*Paramétrage!I15+COUNTIF(Janvier[[#This Row],[1]:[31]],Paramétrage!G16)*Paramétrage!I16+COUNTIF(Janvier[[#This Row],[1]:[31]],Paramétrage!G17)*Paramétrage!I17+COUNTIF(Janvier[[#This Row],[1]:[31]],Paramétrage!G18)*Paramétrage!I18+COUNTIF(Janvier[[#This Row],[1]:[31]],Paramétrage!G19)*Paramétrage!I19+COUNTIF(Janvier[[#This Row],[1]:[31]],Paramétrage!G20)*Paramétrage!I20+COUNTIF(Janvier[[#This Row],[1]:[31]],Paramétrage!G21)*Paramétrage!I21+COUNTIF(Janvier[[#This Row],[1]:[31]],Paramétrage!G22*Paramétrage!I22+COUNTIF(Janvier[[#This Row],[1]:[31]],Paramétrage!G23)*Paramétrage!I23+COUNTIF(Janvier[[#This Row],[1]:[31]],Paramétrage!G24)*Paramétrage!I24)</f>
        <v>0</v>
      </c>
    </row>
    <row r="16" spans="1:33" ht="15" customHeight="1" x14ac:dyDescent="0.3">
      <c r="A16" s="36" t="s">
        <v>62</v>
      </c>
      <c r="B16" s="34"/>
      <c r="C16" s="34"/>
      <c r="D16" s="34"/>
      <c r="E16" s="34"/>
      <c r="F16" s="34"/>
      <c r="G16" s="34"/>
      <c r="H16" s="34"/>
      <c r="I16" s="34"/>
      <c r="J16" s="34"/>
      <c r="K16" s="34"/>
      <c r="L16" s="34"/>
      <c r="M16" s="34"/>
      <c r="N16" s="34"/>
      <c r="O16" s="34"/>
      <c r="P16" s="34"/>
      <c r="Q16" s="34"/>
      <c r="R16" s="34"/>
      <c r="S16" s="34"/>
      <c r="T16" s="34"/>
      <c r="U16" s="34"/>
      <c r="V16" s="34"/>
      <c r="W16" s="34"/>
      <c r="X16" s="34"/>
      <c r="Y16" s="34"/>
      <c r="Z16" s="34"/>
      <c r="AA16" s="34"/>
      <c r="AB16" s="34"/>
      <c r="AC16" s="34"/>
      <c r="AD16" s="34"/>
      <c r="AE16" s="34"/>
      <c r="AF16" s="34"/>
      <c r="AG16" s="18">
        <f>COUNTIF(Janvier[[#This Row],[1]:[31]],Paramétrage!G12)*Paramétrage!I12+COUNTIF(Janvier[[#This Row],[1]:[31]],Paramétrage!G13)*Paramétrage!I13+COUNTIF(Janvier[[#This Row],[1]:[31]],Paramétrage!G14)*Paramétrage!I14+COUNTIF(Janvier[[#This Row],[1]:[31]],Paramétrage!G15)*Paramétrage!I15+COUNTIF(Janvier[[#This Row],[1]:[31]],Paramétrage!G16)*Paramétrage!I16+COUNTIF(Janvier[[#This Row],[1]:[31]],Paramétrage!G17)*Paramétrage!I17+COUNTIF(Janvier[[#This Row],[1]:[31]],Paramétrage!G18)*Paramétrage!I18+COUNTIF(Janvier[[#This Row],[1]:[31]],Paramétrage!G19)*Paramétrage!I19+COUNTIF(Janvier[[#This Row],[1]:[31]],Paramétrage!G20)*Paramétrage!I20+COUNTIF(Janvier[[#This Row],[1]:[31]],Paramétrage!G21)*Paramétrage!I21+COUNTIF(Janvier[[#This Row],[1]:[31]],Paramétrage!G22)*Paramétrage!I22+COUNTIF(Janvier[[#This Row],[1]:[31]],Paramétrage!G23*Paramétrage!I23+COUNTIF(Janvier[[#This Row],[1]:[31]],Paramétrage!G24)*Paramétrage!I24+COUNTIF(Janvier[[#This Row],[1]:[31]],Paramétrage!G25)*Paramétrage!I25)</f>
        <v>0</v>
      </c>
    </row>
    <row r="17" spans="1:33" ht="15" customHeight="1" x14ac:dyDescent="0.3">
      <c r="A17" s="36" t="s">
        <v>63</v>
      </c>
      <c r="B17" s="34"/>
      <c r="C17" s="34"/>
      <c r="D17" s="34"/>
      <c r="E17" s="34"/>
      <c r="F17" s="34"/>
      <c r="G17" s="34"/>
      <c r="H17" s="34"/>
      <c r="I17" s="34"/>
      <c r="J17" s="34"/>
      <c r="K17" s="34"/>
      <c r="L17" s="34"/>
      <c r="M17" s="34"/>
      <c r="N17" s="34"/>
      <c r="O17" s="34"/>
      <c r="P17" s="34"/>
      <c r="Q17" s="34"/>
      <c r="R17" s="34"/>
      <c r="S17" s="34"/>
      <c r="T17" s="34"/>
      <c r="U17" s="34"/>
      <c r="V17" s="34"/>
      <c r="W17" s="34"/>
      <c r="X17" s="34"/>
      <c r="Y17" s="34"/>
      <c r="Z17" s="34"/>
      <c r="AA17" s="34"/>
      <c r="AB17" s="34"/>
      <c r="AC17" s="34"/>
      <c r="AD17" s="34"/>
      <c r="AE17" s="34"/>
      <c r="AF17" s="34"/>
      <c r="AG17" s="18">
        <f>COUNTIF(Janvier[[#This Row],[1]:[31]],Paramétrage!G13)*Paramétrage!I13+COUNTIF(Janvier[[#This Row],[1]:[31]],Paramétrage!G14)*Paramétrage!I14+COUNTIF(Janvier[[#This Row],[1]:[31]],Paramétrage!G15)*Paramétrage!I15+COUNTIF(Janvier[[#This Row],[1]:[31]],Paramétrage!G16)*Paramétrage!I16+COUNTIF(Janvier[[#This Row],[1]:[31]],Paramétrage!G17)*Paramétrage!I17+COUNTIF(Janvier[[#This Row],[1]:[31]],Paramétrage!G18)*Paramétrage!I18+COUNTIF(Janvier[[#This Row],[1]:[31]],Paramétrage!G19)*Paramétrage!I19+COUNTIF(Janvier[[#This Row],[1]:[31]],Paramétrage!G20)*Paramétrage!I20+COUNTIF(Janvier[[#This Row],[1]:[31]],Paramétrage!G21)*Paramétrage!I21+COUNTIF(Janvier[[#This Row],[1]:[31]],Paramétrage!G22)*Paramétrage!I22+COUNTIF(Janvier[[#This Row],[1]:[31]],Paramétrage!G23)*Paramétrage!I23+COUNTIF(Janvier[[#This Row],[1]:[31]],Paramétrage!G24*Paramétrage!I24+COUNTIF(Janvier[[#This Row],[1]:[31]],Paramétrage!G25)*Paramétrage!I25+COUNTIF(Janvier[[#This Row],[1]:[31]],Paramétrage!G26)*Paramétrage!I26)</f>
        <v>0</v>
      </c>
    </row>
    <row r="18" spans="1:33" ht="15" customHeight="1" x14ac:dyDescent="0.3">
      <c r="A18" s="36" t="s">
        <v>65</v>
      </c>
      <c r="B18" s="34"/>
      <c r="C18" s="34"/>
      <c r="D18" s="34"/>
      <c r="E18" s="34"/>
      <c r="F18" s="34"/>
      <c r="G18" s="34"/>
      <c r="H18" s="34"/>
      <c r="I18" s="34"/>
      <c r="J18" s="34"/>
      <c r="K18" s="34"/>
      <c r="L18" s="34"/>
      <c r="M18" s="34"/>
      <c r="N18" s="34"/>
      <c r="O18" s="34"/>
      <c r="P18" s="34"/>
      <c r="Q18" s="34"/>
      <c r="R18" s="34"/>
      <c r="S18" s="34"/>
      <c r="T18" s="34"/>
      <c r="U18" s="34"/>
      <c r="V18" s="34"/>
      <c r="W18" s="34"/>
      <c r="X18" s="34"/>
      <c r="Y18" s="34"/>
      <c r="Z18" s="34"/>
      <c r="AA18" s="34"/>
      <c r="AB18" s="34"/>
      <c r="AC18" s="34"/>
      <c r="AD18" s="34"/>
      <c r="AE18" s="34"/>
      <c r="AF18" s="34"/>
      <c r="AG18" s="18">
        <f>COUNTIF(Janvier[[#This Row],[1]:[31]],Paramétrage!G14)*Paramétrage!I14+COUNTIF(Janvier[[#This Row],[1]:[31]],Paramétrage!G15)*Paramétrage!I15+COUNTIF(Janvier[[#This Row],[1]:[31]],Paramétrage!G16)*Paramétrage!I16+COUNTIF(Janvier[[#This Row],[1]:[31]],Paramétrage!G17)*Paramétrage!I17+COUNTIF(Janvier[[#This Row],[1]:[31]],Paramétrage!G18)*Paramétrage!I18+COUNTIF(Janvier[[#This Row],[1]:[31]],Paramétrage!G19)*Paramétrage!I19+COUNTIF(Janvier[[#This Row],[1]:[31]],Paramétrage!G20)*Paramétrage!I20+COUNTIF(Janvier[[#This Row],[1]:[31]],Paramétrage!G21)*Paramétrage!I21+COUNTIF(Janvier[[#This Row],[1]:[31]],Paramétrage!G22)*Paramétrage!I22+COUNTIF(Janvier[[#This Row],[1]:[31]],Paramétrage!G23)*Paramétrage!I23+COUNTIF(Janvier[[#This Row],[1]:[31]],Paramétrage!G24)*Paramétrage!I24+COUNTIF(Janvier[[#This Row],[1]:[31]],Paramétrage!G25*Paramétrage!I25+COUNTIF(Janvier[[#This Row],[1]:[31]],Paramétrage!G26)*Paramétrage!I26+COUNTIF(Janvier[[#This Row],[1]:[31]],Paramétrage!G27)*Paramétrage!I27)</f>
        <v>0</v>
      </c>
    </row>
    <row r="19" spans="1:33" ht="15" customHeight="1" x14ac:dyDescent="0.3">
      <c r="A19" s="36" t="s">
        <v>66</v>
      </c>
      <c r="B19" s="34"/>
      <c r="C19" s="34"/>
      <c r="D19" s="34"/>
      <c r="E19" s="34"/>
      <c r="F19" s="34"/>
      <c r="G19" s="34"/>
      <c r="H19" s="34"/>
      <c r="I19" s="34"/>
      <c r="J19" s="34"/>
      <c r="K19" s="34"/>
      <c r="L19" s="34"/>
      <c r="M19" s="34"/>
      <c r="N19" s="34"/>
      <c r="O19" s="34"/>
      <c r="P19" s="34"/>
      <c r="Q19" s="34"/>
      <c r="R19" s="34"/>
      <c r="S19" s="34"/>
      <c r="T19" s="34"/>
      <c r="U19" s="34"/>
      <c r="V19" s="34"/>
      <c r="W19" s="34"/>
      <c r="X19" s="34"/>
      <c r="Y19" s="34"/>
      <c r="Z19" s="34"/>
      <c r="AA19" s="34"/>
      <c r="AB19" s="34"/>
      <c r="AC19" s="34"/>
      <c r="AD19" s="34"/>
      <c r="AE19" s="34"/>
      <c r="AF19" s="34"/>
      <c r="AG19" s="18">
        <f>COUNTIF(Janvier[[#This Row],[1]:[31]],Paramétrage!G15)*Paramétrage!I15+COUNTIF(Janvier[[#This Row],[1]:[31]],Paramétrage!G16)*Paramétrage!I16+COUNTIF(Janvier[[#This Row],[1]:[31]],Paramétrage!G17)*Paramétrage!I17+COUNTIF(Janvier[[#This Row],[1]:[31]],Paramétrage!G18)*Paramétrage!I18+COUNTIF(Janvier[[#This Row],[1]:[31]],Paramétrage!G19)*Paramétrage!I19+COUNTIF(Janvier[[#This Row],[1]:[31]],Paramétrage!G20)*Paramétrage!I20+COUNTIF(Janvier[[#This Row],[1]:[31]],Paramétrage!G21)*Paramétrage!I21+COUNTIF(Janvier[[#This Row],[1]:[31]],Paramétrage!G22)*Paramétrage!I22+COUNTIF(Janvier[[#This Row],[1]:[31]],Paramétrage!G23)*Paramétrage!I23+COUNTIF(Janvier[[#This Row],[1]:[31]],Paramétrage!G24)*Paramétrage!I24+COUNTIF(Janvier[[#This Row],[1]:[31]],Paramétrage!G25)*Paramétrage!I25+COUNTIF(Janvier[[#This Row],[1]:[31]],Paramétrage!G26*Paramétrage!I26+COUNTIF(Janvier[[#This Row],[1]:[31]],Paramétrage!G27)*Paramétrage!I27+COUNTIF(Janvier[[#This Row],[1]:[31]],Paramétrage!G28)*Paramétrage!I28)</f>
        <v>0</v>
      </c>
    </row>
    <row r="20" spans="1:33" ht="15" customHeight="1" x14ac:dyDescent="0.3">
      <c r="A20" s="36" t="s">
        <v>67</v>
      </c>
      <c r="B20" s="34"/>
      <c r="C20" s="34"/>
      <c r="D20" s="34"/>
      <c r="E20" s="34"/>
      <c r="F20" s="34"/>
      <c r="G20" s="34"/>
      <c r="H20" s="34"/>
      <c r="I20" s="34"/>
      <c r="J20" s="34"/>
      <c r="K20" s="34"/>
      <c r="L20" s="34"/>
      <c r="M20" s="34"/>
      <c r="N20" s="34"/>
      <c r="O20" s="34"/>
      <c r="P20" s="34"/>
      <c r="Q20" s="34"/>
      <c r="R20" s="34"/>
      <c r="S20" s="34"/>
      <c r="T20" s="34"/>
      <c r="U20" s="34"/>
      <c r="V20" s="34"/>
      <c r="W20" s="34"/>
      <c r="X20" s="34"/>
      <c r="Y20" s="34"/>
      <c r="Z20" s="34"/>
      <c r="AA20" s="34"/>
      <c r="AB20" s="34"/>
      <c r="AC20" s="34"/>
      <c r="AD20" s="34"/>
      <c r="AE20" s="34"/>
      <c r="AF20" s="34"/>
      <c r="AG20" s="18">
        <f>COUNTIF(Janvier[[#This Row],[1]:[31]],Paramétrage!G16)*Paramétrage!I16+COUNTIF(Janvier[[#This Row],[1]:[31]],Paramétrage!G17)*Paramétrage!I17+COUNTIF(Janvier[[#This Row],[1]:[31]],Paramétrage!G18)*Paramétrage!I18+COUNTIF(Janvier[[#This Row],[1]:[31]],Paramétrage!G19)*Paramétrage!I19+COUNTIF(Janvier[[#This Row],[1]:[31]],Paramétrage!G20)*Paramétrage!I20+COUNTIF(Janvier[[#This Row],[1]:[31]],Paramétrage!G21)*Paramétrage!I21+COUNTIF(Janvier[[#This Row],[1]:[31]],Paramétrage!G22)*Paramétrage!I22+COUNTIF(Janvier[[#This Row],[1]:[31]],Paramétrage!G23)*Paramétrage!I23+COUNTIF(Janvier[[#This Row],[1]:[31]],Paramétrage!G24)*Paramétrage!I24+COUNTIF(Janvier[[#This Row],[1]:[31]],Paramétrage!G25)*Paramétrage!I25+COUNTIF(Janvier[[#This Row],[1]:[31]],Paramétrage!G26)*Paramétrage!I26+COUNTIF(Janvier[[#This Row],[1]:[31]],Paramétrage!G27*Paramétrage!I27+COUNTIF(Janvier[[#This Row],[1]:[31]],Paramétrage!G28)*Paramétrage!I28+COUNTIF(Janvier[[#This Row],[1]:[31]],Paramétrage!G29)*Paramétrage!I29)</f>
        <v>0</v>
      </c>
    </row>
    <row r="21" spans="1:33" ht="15" customHeight="1" x14ac:dyDescent="0.3">
      <c r="A21" s="36" t="s">
        <v>68</v>
      </c>
      <c r="B21" s="34"/>
      <c r="C21" s="34"/>
      <c r="D21" s="34"/>
      <c r="E21" s="34"/>
      <c r="F21" s="34"/>
      <c r="G21" s="34"/>
      <c r="H21" s="34"/>
      <c r="I21" s="34"/>
      <c r="J21" s="34"/>
      <c r="K21" s="34"/>
      <c r="L21" s="34"/>
      <c r="M21" s="34"/>
      <c r="N21" s="34"/>
      <c r="O21" s="34"/>
      <c r="P21" s="34"/>
      <c r="Q21" s="34"/>
      <c r="R21" s="34"/>
      <c r="S21" s="34"/>
      <c r="T21" s="34"/>
      <c r="U21" s="34"/>
      <c r="V21" s="34"/>
      <c r="W21" s="34"/>
      <c r="X21" s="34"/>
      <c r="Y21" s="34"/>
      <c r="Z21" s="34"/>
      <c r="AA21" s="34"/>
      <c r="AB21" s="34"/>
      <c r="AC21" s="34"/>
      <c r="AD21" s="34"/>
      <c r="AE21" s="34"/>
      <c r="AF21" s="34"/>
      <c r="AG21" s="18">
        <f>COUNTIF(Janvier[[#This Row],[1]:[31]],Paramétrage!G17)*Paramétrage!I17+COUNTIF(Janvier[[#This Row],[1]:[31]],Paramétrage!G18)*Paramétrage!I18+COUNTIF(Janvier[[#This Row],[1]:[31]],Paramétrage!G19)*Paramétrage!I19+COUNTIF(Janvier[[#This Row],[1]:[31]],Paramétrage!G20)*Paramétrage!I20+COUNTIF(Janvier[[#This Row],[1]:[31]],Paramétrage!G21)*Paramétrage!I21+COUNTIF(Janvier[[#This Row],[1]:[31]],Paramétrage!G22)*Paramétrage!I22+COUNTIF(Janvier[[#This Row],[1]:[31]],Paramétrage!G23)*Paramétrage!I23+COUNTIF(Janvier[[#This Row],[1]:[31]],Paramétrage!G24)*Paramétrage!I24+COUNTIF(Janvier[[#This Row],[1]:[31]],Paramétrage!G25)*Paramétrage!I25+COUNTIF(Janvier[[#This Row],[1]:[31]],Paramétrage!G26)*Paramétrage!I26+COUNTIF(Janvier[[#This Row],[1]:[31]],Paramétrage!G27)*Paramétrage!I27+COUNTIF(Janvier[[#This Row],[1]:[31]],Paramétrage!G28*Paramétrage!I28+COUNTIF(Janvier[[#This Row],[1]:[31]],Paramétrage!G29)*Paramétrage!I29+COUNTIF(Janvier[[#This Row],[1]:[31]],Paramétrage!G30)*Paramétrage!I30)</f>
        <v>0</v>
      </c>
    </row>
    <row r="22" spans="1:33" ht="15" customHeight="1" x14ac:dyDescent="0.3">
      <c r="A22" s="36" t="s">
        <v>91</v>
      </c>
      <c r="B22" s="37"/>
      <c r="C22" s="37"/>
      <c r="D22" s="37"/>
      <c r="E22" s="37"/>
      <c r="F22" s="37"/>
      <c r="G22" s="37"/>
      <c r="H22" s="37"/>
      <c r="I22" s="37"/>
      <c r="J22" s="37"/>
      <c r="K22" s="37"/>
      <c r="L22" s="37"/>
      <c r="M22" s="37"/>
      <c r="N22" s="37"/>
      <c r="O22" s="37"/>
      <c r="P22" s="37"/>
      <c r="Q22" s="37"/>
      <c r="R22" s="37"/>
      <c r="S22" s="37"/>
      <c r="T22" s="37"/>
      <c r="U22" s="37"/>
      <c r="V22" s="37"/>
      <c r="W22" s="37"/>
      <c r="X22" s="37"/>
      <c r="Y22" s="37"/>
      <c r="Z22" s="37"/>
      <c r="AA22" s="37"/>
      <c r="AB22" s="37"/>
      <c r="AC22" s="37"/>
      <c r="AD22" s="37"/>
      <c r="AE22" s="37"/>
      <c r="AF22" s="37"/>
      <c r="AG22" s="18">
        <f>COUNTIF(Janvier[[#This Row],[1]:[31]],Paramétrage!G18)*Paramétrage!I18+COUNTIF(Janvier[[#This Row],[1]:[31]],Paramétrage!G19)*Paramétrage!I19+COUNTIF(Janvier[[#This Row],[1]:[31]],Paramétrage!G20)*Paramétrage!I20+COUNTIF(Janvier[[#This Row],[1]:[31]],Paramétrage!G21)*Paramétrage!I21+COUNTIF(Janvier[[#This Row],[1]:[31]],Paramétrage!G22)*Paramétrage!I22+COUNTIF(Janvier[[#This Row],[1]:[31]],Paramétrage!G23)*Paramétrage!I23+COUNTIF(Janvier[[#This Row],[1]:[31]],Paramétrage!G24)*Paramétrage!I24+COUNTIF(Janvier[[#This Row],[1]:[31]],Paramétrage!G25)*Paramétrage!I25+COUNTIF(Janvier[[#This Row],[1]:[31]],Paramétrage!G26)*Paramétrage!I26+COUNTIF(Janvier[[#This Row],[1]:[31]],Paramétrage!G27)*Paramétrage!I27+COUNTIF(Janvier[[#This Row],[1]:[31]],Paramétrage!G28)*Paramétrage!I28+COUNTIF(Janvier[[#This Row],[1]:[31]],Paramétrage!G29*Paramétrage!I29+COUNTIF(Janvier[[#This Row],[1]:[31]],Paramétrage!G30)*Paramétrage!I30+COUNTIF(Janvier[[#This Row],[1]:[31]],Paramétrage!G31)*Paramétrage!I31)</f>
        <v>0</v>
      </c>
    </row>
    <row r="23" spans="1:33" ht="15" customHeight="1" x14ac:dyDescent="0.3">
      <c r="A23" s="36" t="s">
        <v>92</v>
      </c>
      <c r="B23" s="37"/>
      <c r="C23" s="37"/>
      <c r="D23" s="37"/>
      <c r="E23" s="37"/>
      <c r="F23" s="37"/>
      <c r="G23" s="37"/>
      <c r="H23" s="37"/>
      <c r="I23" s="37"/>
      <c r="J23" s="37"/>
      <c r="K23" s="37"/>
      <c r="L23" s="37"/>
      <c r="M23" s="37"/>
      <c r="N23" s="37"/>
      <c r="O23" s="37"/>
      <c r="P23" s="37"/>
      <c r="Q23" s="37"/>
      <c r="R23" s="37"/>
      <c r="S23" s="37"/>
      <c r="T23" s="37"/>
      <c r="U23" s="37"/>
      <c r="V23" s="37"/>
      <c r="W23" s="37"/>
      <c r="X23" s="37"/>
      <c r="Y23" s="37"/>
      <c r="Z23" s="37"/>
      <c r="AA23" s="37"/>
      <c r="AB23" s="37"/>
      <c r="AC23" s="37"/>
      <c r="AD23" s="37"/>
      <c r="AE23" s="37"/>
      <c r="AF23" s="37"/>
      <c r="AG23" s="18">
        <f>COUNTIF(Janvier[[#This Row],[1]:[31]],Paramétrage!G19)*Paramétrage!I19+COUNTIF(Janvier[[#This Row],[1]:[31]],Paramétrage!G20)*Paramétrage!I20+COUNTIF(Janvier[[#This Row],[1]:[31]],Paramétrage!G21)*Paramétrage!I21+COUNTIF(Janvier[[#This Row],[1]:[31]],Paramétrage!G22)*Paramétrage!I22+COUNTIF(Janvier[[#This Row],[1]:[31]],Paramétrage!G23)*Paramétrage!I23+COUNTIF(Janvier[[#This Row],[1]:[31]],Paramétrage!G24)*Paramétrage!I24+COUNTIF(Janvier[[#This Row],[1]:[31]],Paramétrage!G25)*Paramétrage!I25+COUNTIF(Janvier[[#This Row],[1]:[31]],Paramétrage!G26)*Paramétrage!I26+COUNTIF(Janvier[[#This Row],[1]:[31]],Paramétrage!G27)*Paramétrage!I27+COUNTIF(Janvier[[#This Row],[1]:[31]],Paramétrage!G28)*Paramétrage!I28+COUNTIF(Janvier[[#This Row],[1]:[31]],Paramétrage!G29)*Paramétrage!I29+COUNTIF(Janvier[[#This Row],[1]:[31]],Paramétrage!G30*Paramétrage!I30+COUNTIF(Janvier[[#This Row],[1]:[31]],Paramétrage!G31)*Paramétrage!I31+COUNTIF(Janvier[[#This Row],[1]:[31]],Paramétrage!G32)*Paramétrage!I32)</f>
        <v>0</v>
      </c>
    </row>
    <row r="24" spans="1:33" ht="15" customHeight="1" x14ac:dyDescent="0.3">
      <c r="A24" s="36" t="s">
        <v>93</v>
      </c>
      <c r="B24" s="37"/>
      <c r="C24" s="37"/>
      <c r="D24" s="37"/>
      <c r="E24" s="37"/>
      <c r="F24" s="37"/>
      <c r="G24" s="37"/>
      <c r="H24" s="37"/>
      <c r="I24" s="37"/>
      <c r="J24" s="37"/>
      <c r="K24" s="37"/>
      <c r="L24" s="37"/>
      <c r="M24" s="37"/>
      <c r="N24" s="37"/>
      <c r="O24" s="37"/>
      <c r="P24" s="37"/>
      <c r="Q24" s="37"/>
      <c r="R24" s="37"/>
      <c r="S24" s="37"/>
      <c r="T24" s="37"/>
      <c r="U24" s="37"/>
      <c r="V24" s="37"/>
      <c r="W24" s="37"/>
      <c r="X24" s="37"/>
      <c r="Y24" s="37"/>
      <c r="Z24" s="37"/>
      <c r="AA24" s="37"/>
      <c r="AB24" s="37"/>
      <c r="AC24" s="37"/>
      <c r="AD24" s="37"/>
      <c r="AE24" s="37"/>
      <c r="AF24" s="37"/>
      <c r="AG24" s="18">
        <f>COUNTIF(Janvier[[#This Row],[1]:[31]],Paramétrage!G20)*Paramétrage!I20+COUNTIF(Janvier[[#This Row],[1]:[31]],Paramétrage!G21)*Paramétrage!I21+COUNTIF(Janvier[[#This Row],[1]:[31]],Paramétrage!G22)*Paramétrage!I22+COUNTIF(Janvier[[#This Row],[1]:[31]],Paramétrage!G23)*Paramétrage!I23+COUNTIF(Janvier[[#This Row],[1]:[31]],Paramétrage!G24)*Paramétrage!I24+COUNTIF(Janvier[[#This Row],[1]:[31]],Paramétrage!G25)*Paramétrage!I25+COUNTIF(Janvier[[#This Row],[1]:[31]],Paramétrage!G26)*Paramétrage!I26+COUNTIF(Janvier[[#This Row],[1]:[31]],Paramétrage!G27)*Paramétrage!I27+COUNTIF(Janvier[[#This Row],[1]:[31]],Paramétrage!G28)*Paramétrage!I28+COUNTIF(Janvier[[#This Row],[1]:[31]],Paramétrage!G29)*Paramétrage!I29+COUNTIF(Janvier[[#This Row],[1]:[31]],Paramétrage!G30)*Paramétrage!I30+COUNTIF(Janvier[[#This Row],[1]:[31]],Paramétrage!G31*Paramétrage!I31+COUNTIF(Janvier[[#This Row],[1]:[31]],Paramétrage!G32)*Paramétrage!I32+COUNTIF(Janvier[[#This Row],[1]:[31]],Paramétrage!G33)*Paramétrage!I33)</f>
        <v>0</v>
      </c>
    </row>
    <row r="25" spans="1:33" ht="15" customHeight="1" x14ac:dyDescent="0.3">
      <c r="A25" s="36" t="s">
        <v>94</v>
      </c>
      <c r="B25" s="37"/>
      <c r="C25" s="37"/>
      <c r="D25" s="37"/>
      <c r="E25" s="37"/>
      <c r="F25" s="37"/>
      <c r="G25" s="37"/>
      <c r="H25" s="37"/>
      <c r="I25" s="37"/>
      <c r="J25" s="37"/>
      <c r="K25" s="37"/>
      <c r="L25" s="37"/>
      <c r="M25" s="37"/>
      <c r="N25" s="37"/>
      <c r="O25" s="37"/>
      <c r="P25" s="37"/>
      <c r="Q25" s="37"/>
      <c r="R25" s="37"/>
      <c r="S25" s="37"/>
      <c r="T25" s="37"/>
      <c r="U25" s="37"/>
      <c r="V25" s="37"/>
      <c r="W25" s="37"/>
      <c r="X25" s="37"/>
      <c r="Y25" s="37"/>
      <c r="Z25" s="37"/>
      <c r="AA25" s="37"/>
      <c r="AB25" s="37"/>
      <c r="AC25" s="37"/>
      <c r="AD25" s="37"/>
      <c r="AE25" s="37"/>
      <c r="AF25" s="37"/>
      <c r="AG25" s="18">
        <f>COUNTIF(Janvier[[#This Row],[1]:[31]],Paramétrage!G21)*Paramétrage!I21+COUNTIF(Janvier[[#This Row],[1]:[31]],Paramétrage!G22)*Paramétrage!I22+COUNTIF(Janvier[[#This Row],[1]:[31]],Paramétrage!G23)*Paramétrage!I23+COUNTIF(Janvier[[#This Row],[1]:[31]],Paramétrage!G24)*Paramétrage!I24+COUNTIF(Janvier[[#This Row],[1]:[31]],Paramétrage!G25)*Paramétrage!I25+COUNTIF(Janvier[[#This Row],[1]:[31]],Paramétrage!G26)*Paramétrage!I26+COUNTIF(Janvier[[#This Row],[1]:[31]],Paramétrage!G27)*Paramétrage!I27+COUNTIF(Janvier[[#This Row],[1]:[31]],Paramétrage!G28)*Paramétrage!I28+COUNTIF(Janvier[[#This Row],[1]:[31]],Paramétrage!G29)*Paramétrage!I29+COUNTIF(Janvier[[#This Row],[1]:[31]],Paramétrage!G30)*Paramétrage!I30+COUNTIF(Janvier[[#This Row],[1]:[31]],Paramétrage!G31)*Paramétrage!I31+COUNTIF(Janvier[[#This Row],[1]:[31]],Paramétrage!G32*Paramétrage!I32+COUNTIF(Janvier[[#This Row],[1]:[31]],Paramétrage!G33)*Paramétrage!I33+COUNTIF(Janvier[[#This Row],[1]:[31]],Paramétrage!G34)*Paramétrage!I34)</f>
        <v>0</v>
      </c>
    </row>
    <row r="26" spans="1:33" ht="15" customHeight="1" x14ac:dyDescent="0.3">
      <c r="A26" s="36" t="s">
        <v>95</v>
      </c>
      <c r="B26" s="37"/>
      <c r="C26" s="37"/>
      <c r="D26" s="37"/>
      <c r="E26" s="37"/>
      <c r="F26" s="37"/>
      <c r="G26" s="37"/>
      <c r="H26" s="37"/>
      <c r="I26" s="37"/>
      <c r="J26" s="37"/>
      <c r="K26" s="37"/>
      <c r="L26" s="37"/>
      <c r="M26" s="37"/>
      <c r="N26" s="37"/>
      <c r="O26" s="37"/>
      <c r="P26" s="37"/>
      <c r="Q26" s="37"/>
      <c r="R26" s="37"/>
      <c r="S26" s="37"/>
      <c r="T26" s="37"/>
      <c r="U26" s="37"/>
      <c r="V26" s="37"/>
      <c r="W26" s="37"/>
      <c r="X26" s="37"/>
      <c r="Y26" s="37"/>
      <c r="Z26" s="37"/>
      <c r="AA26" s="37"/>
      <c r="AB26" s="37"/>
      <c r="AC26" s="37"/>
      <c r="AD26" s="37"/>
      <c r="AE26" s="37"/>
      <c r="AF26" s="37"/>
      <c r="AG26" s="18">
        <f>COUNTIF(Janvier[[#This Row],[1]:[31]],Paramétrage!G22)*Paramétrage!I22+COUNTIF(Janvier[[#This Row],[1]:[31]],Paramétrage!G23)*Paramétrage!I23+COUNTIF(Janvier[[#This Row],[1]:[31]],Paramétrage!G24)*Paramétrage!I24+COUNTIF(Janvier[[#This Row],[1]:[31]],Paramétrage!G25)*Paramétrage!I25+COUNTIF(Janvier[[#This Row],[1]:[31]],Paramétrage!G26)*Paramétrage!I26+COUNTIF(Janvier[[#This Row],[1]:[31]],Paramétrage!G27)*Paramétrage!I27+COUNTIF(Janvier[[#This Row],[1]:[31]],Paramétrage!G28)*Paramétrage!I28+COUNTIF(Janvier[[#This Row],[1]:[31]],Paramétrage!G29)*Paramétrage!I29+COUNTIF(Janvier[[#This Row],[1]:[31]],Paramétrage!G30)*Paramétrage!I30+COUNTIF(Janvier[[#This Row],[1]:[31]],Paramétrage!G31)*Paramétrage!I31+COUNTIF(Janvier[[#This Row],[1]:[31]],Paramétrage!G32)*Paramétrage!I32+COUNTIF(Janvier[[#This Row],[1]:[31]],Paramétrage!G33*Paramétrage!I33+COUNTIF(Janvier[[#This Row],[1]:[31]],Paramétrage!G34)*Paramétrage!I34+COUNTIF(Janvier[[#This Row],[1]:[31]],Paramétrage!G35)*Paramétrage!I35)</f>
        <v>0</v>
      </c>
    </row>
    <row r="27" spans="1:33" ht="24" x14ac:dyDescent="0.3">
      <c r="A27" s="38" t="s">
        <v>106</v>
      </c>
      <c r="B27" s="39">
        <f>COUNTA(Janvier[1])-COUNTIF(Janvier[1],CléReposhebdomadaire)-COUNTIF(Janvier[1],CléCongé)-COUNTIF(Janvier[1],CléMaladie)-COUNTIF(Janvier[1],CléFormation)-COUNTIF(Janvier[1],CléAbsencenonjustifiée)</f>
        <v>0</v>
      </c>
      <c r="C27" s="39">
        <f>COUNTA(Janvier[2])-COUNTIF(Janvier[2],CléReposhebdomadaire)-COUNTIF(Janvier[2],CléCongé)-COUNTIF(Janvier[2],CléMaladie)-COUNTIF(Janvier[2],CléFormation)-COUNTIF(Janvier[2],CléAbsencenonjustifiée)</f>
        <v>0</v>
      </c>
      <c r="D27" s="39">
        <f>COUNTA(Janvier[3])-COUNTIF(Janvier[3],CléReposhebdomadaire)-COUNTIF(Janvier[3],CléCongé)-COUNTIF(Janvier[3],CléMaladie)-COUNTIF(Janvier[3],CléFormation)-COUNTIF(Janvier[3],CléAbsencenonjustifiée)</f>
        <v>0</v>
      </c>
      <c r="E27" s="39">
        <f>COUNTA(Janvier[4])-COUNTIF(Janvier[4],CléReposhebdomadaire)-COUNTIF(Janvier[4],CléCongé)-COUNTIF(Janvier[4],CléMaladie)-COUNTIF(Janvier[4],CléFormation)-COUNTIF(Janvier[4],CléAbsencenonjustifiée)</f>
        <v>0</v>
      </c>
      <c r="F27" s="39">
        <f>COUNTA(Janvier[5])-COUNTIF(Janvier[5],CléReposhebdomadaire)-COUNTIF(Janvier[5],CléCongé)-COUNTIF(Janvier[5],CléMaladie)-COUNTIF(Janvier[5],CléFormation)-COUNTIF(Janvier[5],CléAbsencenonjustifiée)</f>
        <v>0</v>
      </c>
      <c r="G27" s="39">
        <f>COUNTA(Janvier[6])-COUNTIF(Janvier[6],CléReposhebdomadaire)-COUNTIF(Janvier[6],CléCongé)-COUNTIF(Janvier[6],CléMaladie)-COUNTIF(Janvier[6],CléFormation)-COUNTIF(Janvier[6],CléAbsencenonjustifiée)</f>
        <v>0</v>
      </c>
      <c r="H27" s="39">
        <f>COUNTA(Janvier[7])-COUNTIF(Janvier[7],CléReposhebdomadaire)-COUNTIF(Janvier[7],CléCongé)-COUNTIF(Janvier[7],CléMaladie)-COUNTIF(Janvier[7],CléFormation)-COUNTIF(Janvier[7],CléAbsencenonjustifiée)</f>
        <v>0</v>
      </c>
      <c r="I27" s="39">
        <f>COUNTA(Janvier[8])-COUNTIF(Janvier[8],CléReposhebdomadaire)-COUNTIF(Janvier[8],CléCongé)-COUNTIF(Janvier[8],CléMaladie)-COUNTIF(Janvier[8],CléFormation)-COUNTIF(Janvier[8],CléAbsencenonjustifiée)</f>
        <v>0</v>
      </c>
      <c r="J27" s="39">
        <f>COUNTA(Janvier[9])-COUNTIF(Janvier[9],CléReposhebdomadaire)-COUNTIF(Janvier[9],CléCongé)-COUNTIF(Janvier[9],CléMaladie)-COUNTIF(Janvier[9],CléFormation)-COUNTIF(Janvier[9],CléAbsencenonjustifiée)</f>
        <v>0</v>
      </c>
      <c r="K27" s="39">
        <f>COUNTA(Janvier[10])-COUNTIF(Janvier[10],CléReposhebdomadaire)-COUNTIF(Janvier[10],CléCongé)-COUNTIF(Janvier[10],CléMaladie)-COUNTIF(Janvier[10],CléFormation)-COUNTIF(Janvier[10],CléAbsencenonjustifiée)</f>
        <v>0</v>
      </c>
      <c r="L27" s="39">
        <f>COUNTA(Janvier[11])-COUNTIF(Janvier[11],CléReposhebdomadaire)-COUNTIF(Janvier[11],CléCongé)-COUNTIF(Janvier[11],CléMaladie)-COUNTIF(Janvier[11],CléFormation)-COUNTIF(Janvier[11],CléAbsencenonjustifiée)</f>
        <v>0</v>
      </c>
      <c r="M27" s="39">
        <f>COUNTA(Janvier[12])-COUNTIF(Janvier[12],CléReposhebdomadaire)-COUNTIF(Janvier[12],CléCongé)-COUNTIF(Janvier[12],CléMaladie)-COUNTIF(Janvier[12],CléFormation)-COUNTIF(Janvier[12],CléAbsencenonjustifiée)</f>
        <v>0</v>
      </c>
      <c r="N27" s="39">
        <f>COUNTA(Janvier[13])-COUNTIF(Janvier[13],CléReposhebdomadaire)-COUNTIF(Janvier[13],CléCongé)-COUNTIF(Janvier[13],CléMaladie)-COUNTIF(Janvier[13],CléFormation)-COUNTIF(Janvier[13],CléAbsencenonjustifiée)</f>
        <v>0</v>
      </c>
      <c r="O27" s="39">
        <f>COUNTA(Janvier[14])-COUNTIF(Janvier[14],CléReposhebdomadaire)-COUNTIF(Janvier[14],CléCongé)-COUNTIF(Janvier[14],CléMaladie)-COUNTIF(Janvier[14],CléFormation)-COUNTIF(Janvier[14],CléAbsencenonjustifiée)</f>
        <v>0</v>
      </c>
      <c r="P27" s="39">
        <f>COUNTA(Janvier[15])-COUNTIF(Janvier[15],CléReposhebdomadaire)-COUNTIF(Janvier[15],CléCongé)-COUNTIF(Janvier[15],CléMaladie)-COUNTIF(Janvier[15],CléFormation)-COUNTIF(Janvier[15],CléAbsencenonjustifiée)</f>
        <v>0</v>
      </c>
      <c r="Q27" s="39">
        <f>COUNTA(Janvier[16])-COUNTIF(Janvier[16],CléReposhebdomadaire)-COUNTIF(Janvier[16],CléCongé)-COUNTIF(Janvier[16],CléMaladie)-COUNTIF(Janvier[16],CléFormation)-COUNTIF(Janvier[16],CléAbsencenonjustifiée)</f>
        <v>0</v>
      </c>
      <c r="R27" s="39">
        <f>COUNTA(Janvier[17])-COUNTIF(Janvier[17],CléReposhebdomadaire)-COUNTIF(Janvier[17],CléCongé)-COUNTIF(Janvier[17],CléMaladie)-COUNTIF(Janvier[17],CléFormation)-COUNTIF(Janvier[17],CléAbsencenonjustifiée)</f>
        <v>0</v>
      </c>
      <c r="S27" s="39">
        <f>COUNTA(Janvier[18])-COUNTIF(Janvier[18],CléReposhebdomadaire)-COUNTIF(Janvier[18],CléCongé)-COUNTIF(Janvier[18],CléMaladie)-COUNTIF(Janvier[18],CléFormation)-COUNTIF(Janvier[18],CléAbsencenonjustifiée)</f>
        <v>0</v>
      </c>
      <c r="T27" s="39">
        <f>COUNTA(Janvier[19])-COUNTIF(Janvier[19],CléReposhebdomadaire)-COUNTIF(Janvier[19],CléCongé)-COUNTIF(Janvier[19],CléMaladie)-COUNTIF(Janvier[19],CléFormation)-COUNTIF(Janvier[19],CléAbsencenonjustifiée)</f>
        <v>0</v>
      </c>
      <c r="U27" s="39">
        <f>COUNTA(Janvier[20])-COUNTIF(Janvier[20],CléReposhebdomadaire)-COUNTIF(Janvier[20],CléCongé)-COUNTIF(Janvier[20],CléMaladie)-COUNTIF(Janvier[20],CléFormation)-COUNTIF(Janvier[20],CléAbsencenonjustifiée)</f>
        <v>0</v>
      </c>
      <c r="V27" s="39">
        <f>COUNTA(Janvier[21])-COUNTIF(Janvier[21],CléReposhebdomadaire)-COUNTIF(Janvier[21],CléCongé)-COUNTIF(Janvier[21],CléMaladie)-COUNTIF(Janvier[21],CléFormation)-COUNTIF(Janvier[21],CléAbsencenonjustifiée)</f>
        <v>0</v>
      </c>
      <c r="W27" s="39">
        <f>COUNTA(Janvier[22])-COUNTIF(Janvier[22],CléReposhebdomadaire)-COUNTIF(Janvier[22],CléCongé)-COUNTIF(Janvier[22],CléMaladie)-COUNTIF(Janvier[22],CléFormation)-COUNTIF(Janvier[22],CléAbsencenonjustifiée)</f>
        <v>0</v>
      </c>
      <c r="X27" s="39">
        <f>COUNTA(Janvier[23])-COUNTIF(Janvier[23],CléReposhebdomadaire)-COUNTIF(Janvier[23],CléCongé)-COUNTIF(Janvier[23],CléMaladie)-COUNTIF(Janvier[23],CléFormation)-COUNTIF(Janvier[23],CléAbsencenonjustifiée)</f>
        <v>0</v>
      </c>
      <c r="Y27" s="39">
        <f>COUNTA(Janvier[24])-COUNTIF(Janvier[24],CléReposhebdomadaire)-COUNTIF(Janvier[24],CléCongé)-COUNTIF(Janvier[24],CléMaladie)-COUNTIF(Janvier[24],CléFormation)-COUNTIF(Janvier[24],CléAbsencenonjustifiée)</f>
        <v>0</v>
      </c>
      <c r="Z27" s="39">
        <f>COUNTA(Janvier[25])-COUNTIF(Janvier[25],CléReposhebdomadaire)-COUNTIF(Janvier[25],CléCongé)-COUNTIF(Janvier[25],CléMaladie)-COUNTIF(Janvier[25],CléFormation)-COUNTIF(Janvier[25],CléAbsencenonjustifiée)</f>
        <v>0</v>
      </c>
      <c r="AA27" s="39">
        <f>COUNTA(Janvier[26])-COUNTIF(Janvier[26],CléReposhebdomadaire)-COUNTIF(Janvier[26],CléCongé)-COUNTIF(Janvier[26],CléMaladie)-COUNTIF(Janvier[26],CléFormation)-COUNTIF(Janvier[26],CléAbsencenonjustifiée)</f>
        <v>0</v>
      </c>
      <c r="AB27" s="39">
        <f>COUNTA(Janvier[27])-COUNTIF(Janvier[27],CléReposhebdomadaire)-COUNTIF(Janvier[27],CléCongé)-COUNTIF(Janvier[27],CléMaladie)-COUNTIF(Janvier[27],CléFormation)-COUNTIF(Janvier[27],CléAbsencenonjustifiée)</f>
        <v>0</v>
      </c>
      <c r="AC27" s="39">
        <f>COUNTA(Janvier[28])-COUNTIF(Janvier[28],CléReposhebdomadaire)-COUNTIF(Janvier[28],CléCongé)-COUNTIF(Janvier[28],CléMaladie)-COUNTIF(Janvier[28],CléFormation)-COUNTIF(Janvier[28],CléAbsencenonjustifiée)</f>
        <v>0</v>
      </c>
      <c r="AD27" s="39">
        <f>COUNTA(Janvier[29])-COUNTIF(Janvier[29],CléReposhebdomadaire)-COUNTIF(Janvier[29],CléCongé)-COUNTIF(Janvier[29],CléMaladie)-COUNTIF(Janvier[29],CléFormation)-COUNTIF(Janvier[29],CléAbsencenonjustifiée)</f>
        <v>0</v>
      </c>
      <c r="AE27" s="39">
        <f>COUNTA(Janvier[30])-COUNTIF(Janvier[30],CléReposhebdomadaire)-COUNTIF(Janvier[30],CléCongé)-COUNTIF(Janvier[30],CléMaladie)-COUNTIF(Janvier[30],CléFormation)-COUNTIF(Janvier[30],CléAbsencenonjustifiée)</f>
        <v>0</v>
      </c>
      <c r="AF27" s="39">
        <f>COUNTA(Janvier[31])-COUNTIF(Janvier[31],CléReposhebdomadaire)-COUNTIF(Janvier[31],CléCongé)-COUNTIF(Janvier[31],CléMaladie)-COUNTIF(Janvier[31],CléFormation)-COUNTIF(Janvier[31],CléAbsencenonjustifiée)</f>
        <v>0</v>
      </c>
      <c r="AG27" s="40">
        <f ca="1">SUBTOTAL(109,Mars[Total des Heures effectuées])</f>
        <v>0</v>
      </c>
    </row>
  </sheetData>
  <mergeCells count="9">
    <mergeCell ref="A1:AG1"/>
    <mergeCell ref="A4:A5"/>
    <mergeCell ref="AG4:AG5"/>
    <mergeCell ref="B4:AF4"/>
    <mergeCell ref="R2:U2"/>
    <mergeCell ref="C2:F2"/>
    <mergeCell ref="H2:I2"/>
    <mergeCell ref="K2:M2"/>
    <mergeCell ref="O2:P2"/>
  </mergeCells>
  <conditionalFormatting sqref="B27:AF27">
    <cfRule type="dataBar" priority="11">
      <dataBar>
        <cfvo type="num" val="0"/>
        <cfvo type="num" val="31"/>
        <color theme="2" tint="-0.249977111117893"/>
      </dataBar>
      <extLst>
        <ext xmlns:x14="http://schemas.microsoft.com/office/spreadsheetml/2009/9/main" uri="{B025F937-C7B1-47D3-B67F-A62EFF666E3E}">
          <x14:id>{011167B1-9C84-439F-A8BD-153CCF0D7A31}</x14:id>
        </ext>
      </extLst>
    </cfRule>
  </conditionalFormatting>
  <conditionalFormatting sqref="B7:AF26">
    <cfRule type="cellIs" dxfId="161" priority="1" operator="equal">
      <formula>$Q$2</formula>
    </cfRule>
    <cfRule type="cellIs" dxfId="160" priority="2" operator="equal">
      <formula>$N$2</formula>
    </cfRule>
    <cfRule type="cellIs" dxfId="159" priority="3" operator="equal">
      <formula>$J$2</formula>
    </cfRule>
    <cfRule type="cellIs" dxfId="158" priority="4" operator="equal">
      <formula>$G$2</formula>
    </cfRule>
    <cfRule type="cellIs" dxfId="157" priority="5" operator="equal">
      <formula>$B$2</formula>
    </cfRule>
  </conditionalFormatting>
  <dataValidations count="12">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B6"/>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A4"/>
    <dataValidation allowBlank="1" showInputMessage="1" showErrorMessage="1" prompt="Le titre mis à jour automatiquement figure dans cette cellule. Pour modifier le titre, mettez à jour la cellule B1 de la feuille de calcul Janvier" sqref="A1"/>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A6"/>
    <dataValidation allowBlank="1" showInputMessage="1" showErrorMessage="1" prompt="Année mise à jour automatiquement en fonction de l’année entrée dans la feuille de calcul Janvier" sqref="AG4"/>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B5"/>
    <dataValidation allowBlank="1" showInputMessage="1" showErrorMessage="1" prompt="Cette ligne définit les clés utilisées dans le tableau : Repos hebdomadaire en C2, Congé en H2, Arrêt Maladie en K2, Formation en O2 et Absence non justifiée en R2_x000a_" sqref="A2"/>
    <dataValidation allowBlank="1" showInputMessage="1" showErrorMessage="1" prompt="« ABS» indique une absence pour cause d'Absence non justifiée" sqref="Q2"/>
    <dataValidation allowBlank="1" showInputMessage="1" showErrorMessage="1" prompt=" « AM » indique une absence pour cause d'Arrêt maladie" sqref="J2"/>
    <dataValidation allowBlank="1" showInputMessage="1" showErrorMessage="1" prompt=" « FO » indique une absence pour Formation" sqref="N2"/>
    <dataValidation allowBlank="1" showInputMessage="1" showErrorMessage="1" prompt="« CP» indique une absence pour cause de congé" sqref="G2"/>
    <dataValidation allowBlank="1" showInputMessage="1" showErrorMessage="1" prompt="Calcule automatiquement le nombre total des heures effectives d’un employé durant ce mois" sqref="AG6"/>
  </dataValidations>
  <pageMargins left="0.7" right="0.7" top="0.75" bottom="0.75" header="0.3" footer="0.3"/>
  <pageSetup paperSize="9" fitToHeight="0" orientation="portrait" verticalDpi="4294967293"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011167B1-9C84-439F-A8BD-153CCF0D7A31}">
            <x14:dataBar minLength="0" maxLength="100">
              <x14:cfvo type="num">
                <xm:f>0</xm:f>
              </x14:cfvo>
              <x14:cfvo type="num">
                <xm:f>31</xm:f>
              </x14:cfvo>
              <x14:negativeFillColor rgb="FFFF0000"/>
              <x14:axisColor rgb="FF000000"/>
            </x14:dataBar>
          </x14:cfRule>
          <xm:sqref>B27:AF27</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14:formula1>
            <xm:f>Paramétrage!$B$3:$B$22</xm:f>
          </x14:formula1>
          <xm:sqref>A7:A26</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79998168889431442"/>
  </sheetPr>
  <dimension ref="A1:AG27"/>
  <sheetViews>
    <sheetView showGridLines="0" zoomScaleNormal="100" workbookViewId="0">
      <selection activeCell="O12" sqref="O12"/>
    </sheetView>
  </sheetViews>
  <sheetFormatPr baseColWidth="10" defaultColWidth="9.109375" defaultRowHeight="30" customHeight="1" x14ac:dyDescent="0.3"/>
  <cols>
    <col min="1" max="1" width="20.44140625" style="30" customWidth="1"/>
    <col min="2" max="32" width="5.5546875" style="30" customWidth="1"/>
    <col min="33" max="33" width="12.44140625" style="30" customWidth="1"/>
    <col min="34" max="34" width="2.6640625" style="29" customWidth="1"/>
    <col min="35" max="16384" width="9.109375" style="29"/>
  </cols>
  <sheetData>
    <row r="1" spans="1:33" ht="25.8" x14ac:dyDescent="0.3">
      <c r="A1" s="58" t="str">
        <f>Titre_Absence_Employé</f>
        <v>PLANNING MENSUEL</v>
      </c>
      <c r="B1" s="58"/>
      <c r="C1" s="58"/>
      <c r="D1" s="58"/>
      <c r="E1" s="58"/>
      <c r="F1" s="58"/>
      <c r="G1" s="58"/>
      <c r="H1" s="58"/>
      <c r="I1" s="58"/>
      <c r="J1" s="58"/>
      <c r="K1" s="58"/>
      <c r="L1" s="58"/>
      <c r="M1" s="58"/>
      <c r="N1" s="58"/>
      <c r="O1" s="58"/>
      <c r="P1" s="58"/>
      <c r="Q1" s="58"/>
      <c r="R1" s="58"/>
      <c r="S1" s="58"/>
      <c r="T1" s="58"/>
      <c r="U1" s="58"/>
      <c r="V1" s="58"/>
      <c r="W1" s="58"/>
      <c r="X1" s="58"/>
      <c r="Y1" s="58"/>
      <c r="Z1" s="58"/>
      <c r="AA1" s="58"/>
      <c r="AB1" s="58"/>
      <c r="AC1" s="58"/>
      <c r="AD1" s="58"/>
      <c r="AE1" s="58"/>
      <c r="AF1" s="58"/>
      <c r="AG1" s="58"/>
    </row>
    <row r="2" spans="1:33" ht="12" x14ac:dyDescent="0.3">
      <c r="A2" s="41" t="s">
        <v>0</v>
      </c>
      <c r="B2" s="42" t="s">
        <v>88</v>
      </c>
      <c r="C2" s="57" t="s">
        <v>89</v>
      </c>
      <c r="D2" s="57"/>
      <c r="E2" s="57"/>
      <c r="F2" s="57"/>
      <c r="G2" s="9" t="s">
        <v>82</v>
      </c>
      <c r="H2" s="57" t="s">
        <v>9</v>
      </c>
      <c r="I2" s="57"/>
      <c r="J2" s="43" t="s">
        <v>84</v>
      </c>
      <c r="K2" s="57" t="s">
        <v>85</v>
      </c>
      <c r="L2" s="57"/>
      <c r="M2" s="57"/>
      <c r="N2" s="11" t="s">
        <v>60</v>
      </c>
      <c r="O2" s="57" t="s">
        <v>83</v>
      </c>
      <c r="P2" s="57"/>
      <c r="Q2" s="44" t="s">
        <v>86</v>
      </c>
      <c r="R2" s="57" t="s">
        <v>87</v>
      </c>
      <c r="S2" s="57"/>
      <c r="T2" s="57"/>
      <c r="U2" s="57"/>
    </row>
    <row r="3" spans="1:33" ht="12" x14ac:dyDescent="0.3">
      <c r="AG3" s="31"/>
    </row>
    <row r="4" spans="1:33" ht="25.8" x14ac:dyDescent="0.3">
      <c r="A4" s="59" t="s">
        <v>53</v>
      </c>
      <c r="B4" s="59" t="s">
        <v>109</v>
      </c>
      <c r="C4" s="59"/>
      <c r="D4" s="59"/>
      <c r="E4" s="59"/>
      <c r="F4" s="59"/>
      <c r="G4" s="59"/>
      <c r="H4" s="59"/>
      <c r="I4" s="59"/>
      <c r="J4" s="59"/>
      <c r="K4" s="59"/>
      <c r="L4" s="59"/>
      <c r="M4" s="59"/>
      <c r="N4" s="59"/>
      <c r="O4" s="59"/>
      <c r="P4" s="59"/>
      <c r="Q4" s="59"/>
      <c r="R4" s="59"/>
      <c r="S4" s="59"/>
      <c r="T4" s="59"/>
      <c r="U4" s="59"/>
      <c r="V4" s="59"/>
      <c r="W4" s="59"/>
      <c r="X4" s="59"/>
      <c r="Y4" s="59"/>
      <c r="Z4" s="59"/>
      <c r="AA4" s="59"/>
      <c r="AB4" s="59"/>
      <c r="AC4" s="59"/>
      <c r="AD4" s="59"/>
      <c r="AE4" s="59"/>
      <c r="AF4" s="59"/>
      <c r="AG4" s="59">
        <f>AnnéeCalendrier</f>
        <v>2023</v>
      </c>
    </row>
    <row r="5" spans="1:33" ht="12" x14ac:dyDescent="0.3">
      <c r="A5" s="59"/>
      <c r="B5" s="47" t="str">
        <f>TEXT(WEEKDAY(DATE(AnnéeCalendrier,12,1),1),"jjj")</f>
        <v>ven</v>
      </c>
      <c r="C5" s="32" t="str">
        <f>TEXT(WEEKDAY(DATE(AnnéeCalendrier,12,2),1),"jjj")</f>
        <v>sam</v>
      </c>
      <c r="D5" s="32" t="str">
        <f>TEXT(WEEKDAY(DATE(AnnéeCalendrier,12,3),1),"jjj")</f>
        <v>dim</v>
      </c>
      <c r="E5" s="32" t="str">
        <f>TEXT(WEEKDAY(DATE(AnnéeCalendrier,12,4),1),"jjj")</f>
        <v>lun</v>
      </c>
      <c r="F5" s="32" t="str">
        <f>TEXT(WEEKDAY(DATE(AnnéeCalendrier,12,5),1),"jjj")</f>
        <v>mar</v>
      </c>
      <c r="G5" s="32" t="str">
        <f>TEXT(WEEKDAY(DATE(AnnéeCalendrier,12,6),1),"jjj")</f>
        <v>mer</v>
      </c>
      <c r="H5" s="32" t="str">
        <f>TEXT(WEEKDAY(DATE(AnnéeCalendrier,12,7),1),"jjj")</f>
        <v>jeu</v>
      </c>
      <c r="I5" s="32" t="str">
        <f>TEXT(WEEKDAY(DATE(AnnéeCalendrier,12,8),1),"jjj")</f>
        <v>ven</v>
      </c>
      <c r="J5" s="32" t="str">
        <f>TEXT(WEEKDAY(DATE(AnnéeCalendrier,12,9),1),"jjj")</f>
        <v>sam</v>
      </c>
      <c r="K5" s="32" t="str">
        <f>TEXT(WEEKDAY(DATE(AnnéeCalendrier,12,10),1),"jjj")</f>
        <v>dim</v>
      </c>
      <c r="L5" s="32" t="str">
        <f>TEXT(WEEKDAY(DATE(AnnéeCalendrier,12,11),1),"jjj")</f>
        <v>lun</v>
      </c>
      <c r="M5" s="32" t="str">
        <f>TEXT(WEEKDAY(DATE(AnnéeCalendrier,12,12),1),"jjj")</f>
        <v>mar</v>
      </c>
      <c r="N5" s="32" t="str">
        <f>TEXT(WEEKDAY(DATE(AnnéeCalendrier,12,13),1),"jjj")</f>
        <v>mer</v>
      </c>
      <c r="O5" s="32" t="str">
        <f>TEXT(WEEKDAY(DATE(AnnéeCalendrier,12,14),1),"jjj")</f>
        <v>jeu</v>
      </c>
      <c r="P5" s="32" t="str">
        <f>TEXT(WEEKDAY(DATE(AnnéeCalendrier,12,15),1),"jjj")</f>
        <v>ven</v>
      </c>
      <c r="Q5" s="32" t="str">
        <f>TEXT(WEEKDAY(DATE(AnnéeCalendrier,12,16),1),"jjj")</f>
        <v>sam</v>
      </c>
      <c r="R5" s="32" t="str">
        <f>TEXT(WEEKDAY(DATE(AnnéeCalendrier,12,17),1),"jjj")</f>
        <v>dim</v>
      </c>
      <c r="S5" s="32" t="str">
        <f>TEXT(WEEKDAY(DATE(AnnéeCalendrier,12,18),1),"jjj")</f>
        <v>lun</v>
      </c>
      <c r="T5" s="32" t="str">
        <f>TEXT(WEEKDAY(DATE(AnnéeCalendrier,12,19),1),"jjj")</f>
        <v>mar</v>
      </c>
      <c r="U5" s="32" t="str">
        <f>TEXT(WEEKDAY(DATE(AnnéeCalendrier,12,20),1),"jjj")</f>
        <v>mer</v>
      </c>
      <c r="V5" s="32" t="str">
        <f>TEXT(WEEKDAY(DATE(AnnéeCalendrier,12,21),1),"jjj")</f>
        <v>jeu</v>
      </c>
      <c r="W5" s="32" t="str">
        <f>TEXT(WEEKDAY(DATE(AnnéeCalendrier,12,22),1),"jjj")</f>
        <v>ven</v>
      </c>
      <c r="X5" s="32" t="str">
        <f>TEXT(WEEKDAY(DATE(AnnéeCalendrier,12,23),1),"jjj")</f>
        <v>sam</v>
      </c>
      <c r="Y5" s="32" t="str">
        <f>TEXT(WEEKDAY(DATE(AnnéeCalendrier,12,24),1),"jjj")</f>
        <v>dim</v>
      </c>
      <c r="Z5" s="32" t="str">
        <f>TEXT(WEEKDAY(DATE(AnnéeCalendrier,12,25),1),"jjj")</f>
        <v>lun</v>
      </c>
      <c r="AA5" s="32" t="str">
        <f>TEXT(WEEKDAY(DATE(AnnéeCalendrier,12,26),1),"jjj")</f>
        <v>mar</v>
      </c>
      <c r="AB5" s="32" t="str">
        <f>TEXT(WEEKDAY(DATE(AnnéeCalendrier,12,27),1),"jjj")</f>
        <v>mer</v>
      </c>
      <c r="AC5" s="32" t="str">
        <f>TEXT(WEEKDAY(DATE(AnnéeCalendrier,12,28),1),"jjj")</f>
        <v>jeu</v>
      </c>
      <c r="AD5" s="32" t="str">
        <f>TEXT(WEEKDAY(DATE(AnnéeCalendrier,12,29),1),"jjj")</f>
        <v>ven</v>
      </c>
      <c r="AE5" s="32" t="str">
        <f>TEXT(WEEKDAY(DATE(AnnéeCalendrier,12,30),1),"jjj")</f>
        <v>sam</v>
      </c>
      <c r="AF5" s="32" t="str">
        <f>TEXT(WEEKDAY(DATE(AnnéeCalendrier,12,31),1),"jjj")</f>
        <v>dim</v>
      </c>
      <c r="AG5" s="59"/>
    </row>
    <row r="6" spans="1:33" ht="24" x14ac:dyDescent="0.3">
      <c r="A6" s="45" t="s">
        <v>2</v>
      </c>
      <c r="B6" s="46" t="s">
        <v>8</v>
      </c>
      <c r="C6" s="46" t="s">
        <v>10</v>
      </c>
      <c r="D6" s="46" t="s">
        <v>11</v>
      </c>
      <c r="E6" s="46" t="s">
        <v>12</v>
      </c>
      <c r="F6" s="46" t="s">
        <v>13</v>
      </c>
      <c r="G6" s="46" t="s">
        <v>14</v>
      </c>
      <c r="H6" s="46" t="s">
        <v>15</v>
      </c>
      <c r="I6" s="46" t="s">
        <v>16</v>
      </c>
      <c r="J6" s="46" t="s">
        <v>17</v>
      </c>
      <c r="K6" s="46" t="s">
        <v>18</v>
      </c>
      <c r="L6" s="46" t="s">
        <v>19</v>
      </c>
      <c r="M6" s="46" t="s">
        <v>20</v>
      </c>
      <c r="N6" s="46" t="s">
        <v>21</v>
      </c>
      <c r="O6" s="46" t="s">
        <v>22</v>
      </c>
      <c r="P6" s="46" t="s">
        <v>23</v>
      </c>
      <c r="Q6" s="46" t="s">
        <v>24</v>
      </c>
      <c r="R6" s="46" t="s">
        <v>25</v>
      </c>
      <c r="S6" s="46" t="s">
        <v>26</v>
      </c>
      <c r="T6" s="46" t="s">
        <v>27</v>
      </c>
      <c r="U6" s="46" t="s">
        <v>28</v>
      </c>
      <c r="V6" s="46" t="s">
        <v>29</v>
      </c>
      <c r="W6" s="46" t="s">
        <v>30</v>
      </c>
      <c r="X6" s="46" t="s">
        <v>31</v>
      </c>
      <c r="Y6" s="46" t="s">
        <v>32</v>
      </c>
      <c r="Z6" s="46" t="s">
        <v>33</v>
      </c>
      <c r="AA6" s="46" t="s">
        <v>34</v>
      </c>
      <c r="AB6" s="46" t="s">
        <v>35</v>
      </c>
      <c r="AC6" s="46" t="s">
        <v>36</v>
      </c>
      <c r="AD6" s="46" t="s">
        <v>37</v>
      </c>
      <c r="AE6" s="46" t="s">
        <v>38</v>
      </c>
      <c r="AF6" s="46" t="s">
        <v>39</v>
      </c>
      <c r="AG6" s="35" t="s">
        <v>107</v>
      </c>
    </row>
    <row r="7" spans="1:33" ht="15" customHeight="1" x14ac:dyDescent="0.3">
      <c r="A7" s="36" t="s">
        <v>3</v>
      </c>
      <c r="B7" s="34"/>
      <c r="C7" s="34"/>
      <c r="D7" s="34"/>
      <c r="E7" s="34"/>
      <c r="F7" s="34"/>
      <c r="G7" s="34"/>
      <c r="H7" s="34"/>
      <c r="I7" s="34"/>
      <c r="J7" s="34"/>
      <c r="K7" s="34"/>
      <c r="L7" s="34"/>
      <c r="M7" s="34"/>
      <c r="N7" s="34"/>
      <c r="O7" s="34"/>
      <c r="P7" s="34"/>
      <c r="Q7" s="34"/>
      <c r="R7" s="34"/>
      <c r="S7" s="34"/>
      <c r="T7" s="34"/>
      <c r="U7" s="34"/>
      <c r="V7" s="34"/>
      <c r="W7" s="34"/>
      <c r="X7" s="34"/>
      <c r="Y7" s="34"/>
      <c r="Z7" s="34"/>
      <c r="AA7" s="34"/>
      <c r="AB7" s="34"/>
      <c r="AC7" s="34"/>
      <c r="AD7" s="34"/>
      <c r="AE7" s="34"/>
      <c r="AF7" s="34"/>
      <c r="AG7" s="18">
        <f>COUNTIF(Janvier[[#This Row],[1]:[31]],Paramétrage!G3)*Paramétrage!I3+COUNTIF(Janvier[[#This Row],[1]:[31]],Paramétrage!G4)*Paramétrage!I4+COUNTIF(Janvier[[#This Row],[1]:[31]],Paramétrage!G5)*Paramétrage!I5+COUNTIF(Janvier[[#This Row],[1]:[31]],Paramétrage!G6)*Paramétrage!I6+COUNTIF(Janvier[[#This Row],[1]:[31]],Paramétrage!G7)*Paramétrage!I7+COUNTIF(Janvier[[#This Row],[1]:[31]],Paramétrage!G8)*Paramétrage!I8+COUNTIF(Janvier[[#This Row],[1]:[31]],Paramétrage!G9)*Paramétrage!I9+COUNTIF(Janvier[[#This Row],[1]:[31]],Paramétrage!G10)*Paramétrage!I10+COUNTIF(Janvier[[#This Row],[1]:[31]],Paramétrage!G11)*Paramétrage!I11+COUNTIF(Janvier[[#This Row],[1]:[31]],Paramétrage!G12)*Paramétrage!I12+COUNTIF(Janvier[[#This Row],[1]:[31]],Paramétrage!G13)*Paramétrage!I13+COUNTIF(Janvier[[#This Row],[1]:[31]],Paramétrage!G14*Paramétrage!I14+COUNTIF(Janvier[[#This Row],[1]:[31]],Paramétrage!G15)*Paramétrage!I15+COUNTIF(Janvier[[#This Row],[1]:[31]],Paramétrage!G16)*Paramétrage!I16)</f>
        <v>0</v>
      </c>
    </row>
    <row r="8" spans="1:33" ht="15" customHeight="1" x14ac:dyDescent="0.3">
      <c r="A8" s="36" t="s">
        <v>4</v>
      </c>
      <c r="B8" s="34"/>
      <c r="C8" s="34"/>
      <c r="D8" s="34"/>
      <c r="E8" s="34"/>
      <c r="F8" s="34"/>
      <c r="G8" s="34"/>
      <c r="H8" s="34"/>
      <c r="I8" s="34"/>
      <c r="J8" s="34"/>
      <c r="K8" s="34"/>
      <c r="L8" s="34"/>
      <c r="M8" s="34"/>
      <c r="N8" s="34"/>
      <c r="O8" s="34"/>
      <c r="P8" s="34"/>
      <c r="Q8" s="34"/>
      <c r="R8" s="34"/>
      <c r="S8" s="34"/>
      <c r="T8" s="34"/>
      <c r="U8" s="34"/>
      <c r="V8" s="34"/>
      <c r="W8" s="34"/>
      <c r="X8" s="34"/>
      <c r="Y8" s="34"/>
      <c r="Z8" s="34"/>
      <c r="AA8" s="34"/>
      <c r="AB8" s="34"/>
      <c r="AC8" s="34"/>
      <c r="AD8" s="34"/>
      <c r="AE8" s="34"/>
      <c r="AF8" s="34"/>
      <c r="AG8" s="18">
        <f>COUNTIF(Janvier[[#This Row],[1]:[31]],Paramétrage!G4)*Paramétrage!I4+COUNTIF(Janvier[[#This Row],[1]:[31]],Paramétrage!G5)*Paramétrage!I5+COUNTIF(Janvier[[#This Row],[1]:[31]],Paramétrage!G6)*Paramétrage!I6+COUNTIF(Janvier[[#This Row],[1]:[31]],Paramétrage!G7)*Paramétrage!I7+COUNTIF(Janvier[[#This Row],[1]:[31]],Paramétrage!G8)*Paramétrage!I8+COUNTIF(Janvier[[#This Row],[1]:[31]],Paramétrage!G9)*Paramétrage!I9+COUNTIF(Janvier[[#This Row],[1]:[31]],Paramétrage!G10)*Paramétrage!I10+COUNTIF(Janvier[[#This Row],[1]:[31]],Paramétrage!G11)*Paramétrage!I11+COUNTIF(Janvier[[#This Row],[1]:[31]],Paramétrage!G12)*Paramétrage!I12+COUNTIF(Janvier[[#This Row],[1]:[31]],Paramétrage!G13)*Paramétrage!I13+COUNTIF(Janvier[[#This Row],[1]:[31]],Paramétrage!G14)*Paramétrage!I14+COUNTIF(Janvier[[#This Row],[1]:[31]],Paramétrage!G15*Paramétrage!I15+COUNTIF(Janvier[[#This Row],[1]:[31]],Paramétrage!G16)*Paramétrage!I16+COUNTIF(Janvier[[#This Row],[1]:[31]],Paramétrage!G17)*Paramétrage!I17)</f>
        <v>0</v>
      </c>
    </row>
    <row r="9" spans="1:33" ht="15" customHeight="1" x14ac:dyDescent="0.3">
      <c r="A9" s="36" t="s">
        <v>5</v>
      </c>
      <c r="B9" s="34"/>
      <c r="C9" s="34"/>
      <c r="D9" s="34"/>
      <c r="E9" s="34"/>
      <c r="F9" s="34"/>
      <c r="G9" s="34"/>
      <c r="H9" s="34"/>
      <c r="I9" s="34"/>
      <c r="J9" s="34"/>
      <c r="K9" s="34"/>
      <c r="L9" s="34"/>
      <c r="M9" s="34"/>
      <c r="N9" s="34"/>
      <c r="O9" s="34"/>
      <c r="P9" s="34"/>
      <c r="Q9" s="34"/>
      <c r="R9" s="34"/>
      <c r="S9" s="34"/>
      <c r="T9" s="34"/>
      <c r="U9" s="34"/>
      <c r="V9" s="34"/>
      <c r="W9" s="34"/>
      <c r="X9" s="34"/>
      <c r="Y9" s="34"/>
      <c r="Z9" s="34"/>
      <c r="AA9" s="34"/>
      <c r="AB9" s="34"/>
      <c r="AC9" s="34"/>
      <c r="AD9" s="34"/>
      <c r="AE9" s="34"/>
      <c r="AF9" s="34"/>
      <c r="AG9" s="18">
        <f>COUNTIF(Janvier[[#This Row],[1]:[31]],Paramétrage!G5)*Paramétrage!I5+COUNTIF(Janvier[[#This Row],[1]:[31]],Paramétrage!G6)*Paramétrage!I6+COUNTIF(Janvier[[#This Row],[1]:[31]],Paramétrage!G7)*Paramétrage!I7+COUNTIF(Janvier[[#This Row],[1]:[31]],Paramétrage!G8)*Paramétrage!I8+COUNTIF(Janvier[[#This Row],[1]:[31]],Paramétrage!G9)*Paramétrage!I9+COUNTIF(Janvier[[#This Row],[1]:[31]],Paramétrage!G10)*Paramétrage!I10+COUNTIF(Janvier[[#This Row],[1]:[31]],Paramétrage!G11)*Paramétrage!I11+COUNTIF(Janvier[[#This Row],[1]:[31]],Paramétrage!G12)*Paramétrage!I12+COUNTIF(Janvier[[#This Row],[1]:[31]],Paramétrage!G13)*Paramétrage!I13+COUNTIF(Janvier[[#This Row],[1]:[31]],Paramétrage!G14)*Paramétrage!I14+COUNTIF(Janvier[[#This Row],[1]:[31]],Paramétrage!G15)*Paramétrage!I15+COUNTIF(Janvier[[#This Row],[1]:[31]],Paramétrage!G16*Paramétrage!I16+COUNTIF(Janvier[[#This Row],[1]:[31]],Paramétrage!G17)*Paramétrage!I17+COUNTIF(Janvier[[#This Row],[1]:[31]],Paramétrage!G18)*Paramétrage!I18)</f>
        <v>0</v>
      </c>
    </row>
    <row r="10" spans="1:33" ht="15" customHeight="1" x14ac:dyDescent="0.3">
      <c r="A10" s="36" t="s">
        <v>6</v>
      </c>
      <c r="B10" s="34"/>
      <c r="C10" s="34"/>
      <c r="D10" s="34"/>
      <c r="E10" s="34"/>
      <c r="F10" s="34"/>
      <c r="G10" s="34"/>
      <c r="H10" s="34"/>
      <c r="I10" s="34"/>
      <c r="J10" s="34"/>
      <c r="K10" s="34"/>
      <c r="L10" s="34"/>
      <c r="M10" s="34"/>
      <c r="N10" s="34"/>
      <c r="O10" s="34"/>
      <c r="P10" s="34"/>
      <c r="Q10" s="34"/>
      <c r="R10" s="34"/>
      <c r="S10" s="34"/>
      <c r="T10" s="34"/>
      <c r="U10" s="34"/>
      <c r="V10" s="34"/>
      <c r="W10" s="34"/>
      <c r="X10" s="34"/>
      <c r="Y10" s="34"/>
      <c r="Z10" s="34"/>
      <c r="AA10" s="34"/>
      <c r="AB10" s="34"/>
      <c r="AC10" s="34"/>
      <c r="AD10" s="34"/>
      <c r="AE10" s="34"/>
      <c r="AF10" s="34"/>
      <c r="AG10" s="18">
        <f>COUNTIF(Janvier[[#This Row],[1]:[31]],Paramétrage!G6)*Paramétrage!I6+COUNTIF(Janvier[[#This Row],[1]:[31]],Paramétrage!G7)*Paramétrage!I7+COUNTIF(Janvier[[#This Row],[1]:[31]],Paramétrage!G8)*Paramétrage!I8+COUNTIF(Janvier[[#This Row],[1]:[31]],Paramétrage!G9)*Paramétrage!I9+COUNTIF(Janvier[[#This Row],[1]:[31]],Paramétrage!G10)*Paramétrage!I10+COUNTIF(Janvier[[#This Row],[1]:[31]],Paramétrage!G11)*Paramétrage!I11+COUNTIF(Janvier[[#This Row],[1]:[31]],Paramétrage!G12)*Paramétrage!I12+COUNTIF(Janvier[[#This Row],[1]:[31]],Paramétrage!G13)*Paramétrage!I13+COUNTIF(Janvier[[#This Row],[1]:[31]],Paramétrage!G14)*Paramétrage!I14+COUNTIF(Janvier[[#This Row],[1]:[31]],Paramétrage!G15)*Paramétrage!I15+COUNTIF(Janvier[[#This Row],[1]:[31]],Paramétrage!G16)*Paramétrage!I16+COUNTIF(Janvier[[#This Row],[1]:[31]],Paramétrage!G17*Paramétrage!I17+COUNTIF(Janvier[[#This Row],[1]:[31]],Paramétrage!G18)*Paramétrage!I18+COUNTIF(Janvier[[#This Row],[1]:[31]],Paramétrage!G19)*Paramétrage!I19)</f>
        <v>0</v>
      </c>
    </row>
    <row r="11" spans="1:33" ht="15" customHeight="1" x14ac:dyDescent="0.3">
      <c r="A11" s="36" t="s">
        <v>7</v>
      </c>
      <c r="B11" s="34"/>
      <c r="C11" s="34"/>
      <c r="D11" s="34"/>
      <c r="E11" s="34"/>
      <c r="F11" s="34"/>
      <c r="G11" s="34"/>
      <c r="H11" s="34"/>
      <c r="I11" s="34"/>
      <c r="J11" s="34"/>
      <c r="K11" s="34"/>
      <c r="L11" s="34"/>
      <c r="M11" s="34"/>
      <c r="N11" s="34"/>
      <c r="O11" s="34"/>
      <c r="P11" s="34"/>
      <c r="Q11" s="34"/>
      <c r="R11" s="34"/>
      <c r="S11" s="34"/>
      <c r="T11" s="34"/>
      <c r="U11" s="34"/>
      <c r="V11" s="34"/>
      <c r="W11" s="34"/>
      <c r="X11" s="34"/>
      <c r="Y11" s="34"/>
      <c r="Z11" s="34"/>
      <c r="AA11" s="34"/>
      <c r="AB11" s="34"/>
      <c r="AC11" s="34"/>
      <c r="AD11" s="34"/>
      <c r="AE11" s="34"/>
      <c r="AF11" s="34"/>
      <c r="AG11" s="18">
        <f>COUNTIF(Janvier[[#This Row],[1]:[31]],Paramétrage!G7)*Paramétrage!I7+COUNTIF(Janvier[[#This Row],[1]:[31]],Paramétrage!G8)*Paramétrage!I8+COUNTIF(Janvier[[#This Row],[1]:[31]],Paramétrage!G9)*Paramétrage!I9+COUNTIF(Janvier[[#This Row],[1]:[31]],Paramétrage!G10)*Paramétrage!I10+COUNTIF(Janvier[[#This Row],[1]:[31]],Paramétrage!G11)*Paramétrage!I11+COUNTIF(Janvier[[#This Row],[1]:[31]],Paramétrage!G12)*Paramétrage!I12+COUNTIF(Janvier[[#This Row],[1]:[31]],Paramétrage!G13)*Paramétrage!I13+COUNTIF(Janvier[[#This Row],[1]:[31]],Paramétrage!G14)*Paramétrage!I14+COUNTIF(Janvier[[#This Row],[1]:[31]],Paramétrage!G15)*Paramétrage!I15+COUNTIF(Janvier[[#This Row],[1]:[31]],Paramétrage!G16)*Paramétrage!I16+COUNTIF(Janvier[[#This Row],[1]:[31]],Paramétrage!G17)*Paramétrage!I17+COUNTIF(Janvier[[#This Row],[1]:[31]],Paramétrage!G18*Paramétrage!I18+COUNTIF(Janvier[[#This Row],[1]:[31]],Paramétrage!G19)*Paramétrage!I19+COUNTIF(Janvier[[#This Row],[1]:[31]],Paramétrage!G20)*Paramétrage!I20)</f>
        <v>0</v>
      </c>
    </row>
    <row r="12" spans="1:33" ht="15" customHeight="1" x14ac:dyDescent="0.3">
      <c r="A12" s="36" t="s">
        <v>55</v>
      </c>
      <c r="B12" s="34"/>
      <c r="C12" s="34"/>
      <c r="D12" s="34"/>
      <c r="E12" s="34"/>
      <c r="F12" s="34"/>
      <c r="G12" s="34"/>
      <c r="H12" s="34"/>
      <c r="I12" s="34"/>
      <c r="J12" s="34"/>
      <c r="K12" s="34"/>
      <c r="L12" s="34"/>
      <c r="M12" s="34"/>
      <c r="N12" s="34"/>
      <c r="O12" s="34"/>
      <c r="P12" s="34"/>
      <c r="Q12" s="34"/>
      <c r="R12" s="34"/>
      <c r="S12" s="34"/>
      <c r="T12" s="34"/>
      <c r="U12" s="34"/>
      <c r="V12" s="34"/>
      <c r="W12" s="34"/>
      <c r="X12" s="34"/>
      <c r="Y12" s="34"/>
      <c r="Z12" s="34"/>
      <c r="AA12" s="34"/>
      <c r="AB12" s="34"/>
      <c r="AC12" s="34"/>
      <c r="AD12" s="34"/>
      <c r="AE12" s="34"/>
      <c r="AF12" s="34"/>
      <c r="AG12" s="18">
        <f>COUNTIF(Janvier[[#This Row],[1]:[31]],Paramétrage!G8)*Paramétrage!I8+COUNTIF(Janvier[[#This Row],[1]:[31]],Paramétrage!G9)*Paramétrage!I9+COUNTIF(Janvier[[#This Row],[1]:[31]],Paramétrage!G10)*Paramétrage!I10+COUNTIF(Janvier[[#This Row],[1]:[31]],Paramétrage!G11)*Paramétrage!I11+COUNTIF(Janvier[[#This Row],[1]:[31]],Paramétrage!G12)*Paramétrage!I12+COUNTIF(Janvier[[#This Row],[1]:[31]],Paramétrage!G13)*Paramétrage!I13+COUNTIF(Janvier[[#This Row],[1]:[31]],Paramétrage!G14)*Paramétrage!I14+COUNTIF(Janvier[[#This Row],[1]:[31]],Paramétrage!G15)*Paramétrage!I15+COUNTIF(Janvier[[#This Row],[1]:[31]],Paramétrage!G16)*Paramétrage!I16+COUNTIF(Janvier[[#This Row],[1]:[31]],Paramétrage!G17)*Paramétrage!I17+COUNTIF(Janvier[[#This Row],[1]:[31]],Paramétrage!G18)*Paramétrage!I18+COUNTIF(Janvier[[#This Row],[1]:[31]],Paramétrage!G19*Paramétrage!I19+COUNTIF(Janvier[[#This Row],[1]:[31]],Paramétrage!G20)*Paramétrage!I20+COUNTIF(Janvier[[#This Row],[1]:[31]],Paramétrage!G21)*Paramétrage!I21)</f>
        <v>0</v>
      </c>
    </row>
    <row r="13" spans="1:33" ht="15" customHeight="1" x14ac:dyDescent="0.3">
      <c r="A13" s="36" t="s">
        <v>56</v>
      </c>
      <c r="B13" s="34"/>
      <c r="C13" s="34"/>
      <c r="D13" s="34"/>
      <c r="E13" s="34"/>
      <c r="F13" s="34"/>
      <c r="G13" s="34"/>
      <c r="H13" s="34"/>
      <c r="I13" s="34"/>
      <c r="J13" s="34"/>
      <c r="K13" s="34"/>
      <c r="L13" s="34"/>
      <c r="M13" s="34"/>
      <c r="N13" s="34"/>
      <c r="O13" s="34"/>
      <c r="P13" s="34"/>
      <c r="Q13" s="34"/>
      <c r="R13" s="34"/>
      <c r="S13" s="34"/>
      <c r="T13" s="34"/>
      <c r="U13" s="34"/>
      <c r="V13" s="34"/>
      <c r="W13" s="34"/>
      <c r="X13" s="34"/>
      <c r="Y13" s="34"/>
      <c r="Z13" s="34"/>
      <c r="AA13" s="34"/>
      <c r="AB13" s="34"/>
      <c r="AC13" s="34"/>
      <c r="AD13" s="34"/>
      <c r="AE13" s="34"/>
      <c r="AF13" s="34"/>
      <c r="AG13" s="18">
        <f>COUNTIF(Janvier[[#This Row],[1]:[31]],Paramétrage!G9)*Paramétrage!I9+COUNTIF(Janvier[[#This Row],[1]:[31]],Paramétrage!G10)*Paramétrage!I10+COUNTIF(Janvier[[#This Row],[1]:[31]],Paramétrage!G11)*Paramétrage!I11+COUNTIF(Janvier[[#This Row],[1]:[31]],Paramétrage!G12)*Paramétrage!I12+COUNTIF(Janvier[[#This Row],[1]:[31]],Paramétrage!G13)*Paramétrage!I13+COUNTIF(Janvier[[#This Row],[1]:[31]],Paramétrage!G14)*Paramétrage!I14+COUNTIF(Janvier[[#This Row],[1]:[31]],Paramétrage!G15)*Paramétrage!I15+COUNTIF(Janvier[[#This Row],[1]:[31]],Paramétrage!G16)*Paramétrage!I16+COUNTIF(Janvier[[#This Row],[1]:[31]],Paramétrage!G17)*Paramétrage!I17+COUNTIF(Janvier[[#This Row],[1]:[31]],Paramétrage!G18)*Paramétrage!I18+COUNTIF(Janvier[[#This Row],[1]:[31]],Paramétrage!G19)*Paramétrage!I19+COUNTIF(Janvier[[#This Row],[1]:[31]],Paramétrage!G20*Paramétrage!I20+COUNTIF(Janvier[[#This Row],[1]:[31]],Paramétrage!G21)*Paramétrage!I21+COUNTIF(Janvier[[#This Row],[1]:[31]],Paramétrage!G22)*Paramétrage!I22)</f>
        <v>0</v>
      </c>
    </row>
    <row r="14" spans="1:33" ht="15" customHeight="1" x14ac:dyDescent="0.3">
      <c r="A14" s="36" t="s">
        <v>57</v>
      </c>
      <c r="B14" s="34"/>
      <c r="C14" s="34"/>
      <c r="D14" s="34"/>
      <c r="E14" s="34"/>
      <c r="F14" s="34"/>
      <c r="G14" s="34"/>
      <c r="H14" s="34"/>
      <c r="I14" s="34"/>
      <c r="J14" s="34"/>
      <c r="K14" s="34"/>
      <c r="L14" s="34"/>
      <c r="M14" s="34"/>
      <c r="N14" s="34"/>
      <c r="O14" s="34"/>
      <c r="P14" s="34"/>
      <c r="Q14" s="34"/>
      <c r="R14" s="34"/>
      <c r="S14" s="34"/>
      <c r="T14" s="34"/>
      <c r="U14" s="34"/>
      <c r="V14" s="34"/>
      <c r="W14" s="34"/>
      <c r="X14" s="34"/>
      <c r="Y14" s="34"/>
      <c r="Z14" s="34"/>
      <c r="AA14" s="34"/>
      <c r="AB14" s="34"/>
      <c r="AC14" s="34"/>
      <c r="AD14" s="34"/>
      <c r="AE14" s="34"/>
      <c r="AF14" s="34"/>
      <c r="AG14" s="18">
        <f>COUNTIF(Janvier[[#This Row],[1]:[31]],Paramétrage!G10)*Paramétrage!I10+COUNTIF(Janvier[[#This Row],[1]:[31]],Paramétrage!G11)*Paramétrage!I11+COUNTIF(Janvier[[#This Row],[1]:[31]],Paramétrage!G12)*Paramétrage!I12+COUNTIF(Janvier[[#This Row],[1]:[31]],Paramétrage!G13)*Paramétrage!I13+COUNTIF(Janvier[[#This Row],[1]:[31]],Paramétrage!G14)*Paramétrage!I14+COUNTIF(Janvier[[#This Row],[1]:[31]],Paramétrage!G15)*Paramétrage!I15+COUNTIF(Janvier[[#This Row],[1]:[31]],Paramétrage!G16)*Paramétrage!I16+COUNTIF(Janvier[[#This Row],[1]:[31]],Paramétrage!G17)*Paramétrage!I17+COUNTIF(Janvier[[#This Row],[1]:[31]],Paramétrage!G18)*Paramétrage!I18+COUNTIF(Janvier[[#This Row],[1]:[31]],Paramétrage!G19)*Paramétrage!I19+COUNTIF(Janvier[[#This Row],[1]:[31]],Paramétrage!G20)*Paramétrage!I20+COUNTIF(Janvier[[#This Row],[1]:[31]],Paramétrage!G21*Paramétrage!I21+COUNTIF(Janvier[[#This Row],[1]:[31]],Paramétrage!G22)*Paramétrage!I22+COUNTIF(Janvier[[#This Row],[1]:[31]],Paramétrage!G23)*Paramétrage!I23)</f>
        <v>0</v>
      </c>
    </row>
    <row r="15" spans="1:33" ht="15" customHeight="1" x14ac:dyDescent="0.3">
      <c r="A15" s="36" t="s">
        <v>61</v>
      </c>
      <c r="B15" s="34"/>
      <c r="C15" s="34"/>
      <c r="D15" s="34"/>
      <c r="E15" s="34"/>
      <c r="F15" s="34"/>
      <c r="G15" s="34"/>
      <c r="H15" s="34"/>
      <c r="I15" s="34"/>
      <c r="J15" s="34"/>
      <c r="K15" s="34"/>
      <c r="L15" s="34"/>
      <c r="M15" s="34"/>
      <c r="N15" s="34"/>
      <c r="O15" s="34"/>
      <c r="P15" s="34"/>
      <c r="Q15" s="34"/>
      <c r="R15" s="34"/>
      <c r="S15" s="34"/>
      <c r="T15" s="34"/>
      <c r="U15" s="34"/>
      <c r="V15" s="34"/>
      <c r="W15" s="34"/>
      <c r="X15" s="34"/>
      <c r="Y15" s="34"/>
      <c r="Z15" s="34"/>
      <c r="AA15" s="34"/>
      <c r="AB15" s="34"/>
      <c r="AC15" s="34"/>
      <c r="AD15" s="34"/>
      <c r="AE15" s="34"/>
      <c r="AF15" s="34"/>
      <c r="AG15" s="18">
        <f>COUNTIF(Janvier[[#This Row],[1]:[31]],Paramétrage!G11)*Paramétrage!I11+COUNTIF(Janvier[[#This Row],[1]:[31]],Paramétrage!G12)*Paramétrage!I12+COUNTIF(Janvier[[#This Row],[1]:[31]],Paramétrage!G13)*Paramétrage!I13+COUNTIF(Janvier[[#This Row],[1]:[31]],Paramétrage!G14)*Paramétrage!I14+COUNTIF(Janvier[[#This Row],[1]:[31]],Paramétrage!G15)*Paramétrage!I15+COUNTIF(Janvier[[#This Row],[1]:[31]],Paramétrage!G16)*Paramétrage!I16+COUNTIF(Janvier[[#This Row],[1]:[31]],Paramétrage!G17)*Paramétrage!I17+COUNTIF(Janvier[[#This Row],[1]:[31]],Paramétrage!G18)*Paramétrage!I18+COUNTIF(Janvier[[#This Row],[1]:[31]],Paramétrage!G19)*Paramétrage!I19+COUNTIF(Janvier[[#This Row],[1]:[31]],Paramétrage!G20)*Paramétrage!I20+COUNTIF(Janvier[[#This Row],[1]:[31]],Paramétrage!G21)*Paramétrage!I21+COUNTIF(Janvier[[#This Row],[1]:[31]],Paramétrage!G22*Paramétrage!I22+COUNTIF(Janvier[[#This Row],[1]:[31]],Paramétrage!G23)*Paramétrage!I23+COUNTIF(Janvier[[#This Row],[1]:[31]],Paramétrage!G24)*Paramétrage!I24)</f>
        <v>0</v>
      </c>
    </row>
    <row r="16" spans="1:33" ht="15" customHeight="1" x14ac:dyDescent="0.3">
      <c r="A16" s="36" t="s">
        <v>62</v>
      </c>
      <c r="B16" s="34"/>
      <c r="C16" s="34"/>
      <c r="D16" s="34"/>
      <c r="E16" s="34"/>
      <c r="F16" s="34"/>
      <c r="G16" s="34"/>
      <c r="H16" s="34"/>
      <c r="I16" s="34"/>
      <c r="J16" s="34"/>
      <c r="K16" s="34"/>
      <c r="L16" s="34"/>
      <c r="M16" s="34"/>
      <c r="N16" s="34"/>
      <c r="O16" s="34"/>
      <c r="P16" s="34"/>
      <c r="Q16" s="34"/>
      <c r="R16" s="34"/>
      <c r="S16" s="34"/>
      <c r="T16" s="34"/>
      <c r="U16" s="34"/>
      <c r="V16" s="34"/>
      <c r="W16" s="34"/>
      <c r="X16" s="34"/>
      <c r="Y16" s="34"/>
      <c r="Z16" s="34"/>
      <c r="AA16" s="34"/>
      <c r="AB16" s="34"/>
      <c r="AC16" s="34"/>
      <c r="AD16" s="34"/>
      <c r="AE16" s="34"/>
      <c r="AF16" s="34"/>
      <c r="AG16" s="18">
        <f>COUNTIF(Janvier[[#This Row],[1]:[31]],Paramétrage!G12)*Paramétrage!I12+COUNTIF(Janvier[[#This Row],[1]:[31]],Paramétrage!G13)*Paramétrage!I13+COUNTIF(Janvier[[#This Row],[1]:[31]],Paramétrage!G14)*Paramétrage!I14+COUNTIF(Janvier[[#This Row],[1]:[31]],Paramétrage!G15)*Paramétrage!I15+COUNTIF(Janvier[[#This Row],[1]:[31]],Paramétrage!G16)*Paramétrage!I16+COUNTIF(Janvier[[#This Row],[1]:[31]],Paramétrage!G17)*Paramétrage!I17+COUNTIF(Janvier[[#This Row],[1]:[31]],Paramétrage!G18)*Paramétrage!I18+COUNTIF(Janvier[[#This Row],[1]:[31]],Paramétrage!G19)*Paramétrage!I19+COUNTIF(Janvier[[#This Row],[1]:[31]],Paramétrage!G20)*Paramétrage!I20+COUNTIF(Janvier[[#This Row],[1]:[31]],Paramétrage!G21)*Paramétrage!I21+COUNTIF(Janvier[[#This Row],[1]:[31]],Paramétrage!G22)*Paramétrage!I22+COUNTIF(Janvier[[#This Row],[1]:[31]],Paramétrage!G23*Paramétrage!I23+COUNTIF(Janvier[[#This Row],[1]:[31]],Paramétrage!G24)*Paramétrage!I24+COUNTIF(Janvier[[#This Row],[1]:[31]],Paramétrage!G25)*Paramétrage!I25)</f>
        <v>0</v>
      </c>
    </row>
    <row r="17" spans="1:33" ht="15" customHeight="1" x14ac:dyDescent="0.3">
      <c r="A17" s="36" t="s">
        <v>63</v>
      </c>
      <c r="B17" s="34"/>
      <c r="C17" s="34"/>
      <c r="D17" s="34"/>
      <c r="E17" s="34"/>
      <c r="F17" s="34"/>
      <c r="G17" s="34"/>
      <c r="H17" s="34"/>
      <c r="I17" s="34"/>
      <c r="J17" s="34"/>
      <c r="K17" s="34"/>
      <c r="L17" s="34"/>
      <c r="M17" s="34"/>
      <c r="N17" s="34"/>
      <c r="O17" s="34"/>
      <c r="P17" s="34"/>
      <c r="Q17" s="34"/>
      <c r="R17" s="34"/>
      <c r="S17" s="34"/>
      <c r="T17" s="34"/>
      <c r="U17" s="34"/>
      <c r="V17" s="34"/>
      <c r="W17" s="34"/>
      <c r="X17" s="34"/>
      <c r="Y17" s="34"/>
      <c r="Z17" s="34"/>
      <c r="AA17" s="34"/>
      <c r="AB17" s="34"/>
      <c r="AC17" s="34"/>
      <c r="AD17" s="34"/>
      <c r="AE17" s="34"/>
      <c r="AF17" s="34"/>
      <c r="AG17" s="18">
        <f>COUNTIF(Janvier[[#This Row],[1]:[31]],Paramétrage!G13)*Paramétrage!I13+COUNTIF(Janvier[[#This Row],[1]:[31]],Paramétrage!G14)*Paramétrage!I14+COUNTIF(Janvier[[#This Row],[1]:[31]],Paramétrage!G15)*Paramétrage!I15+COUNTIF(Janvier[[#This Row],[1]:[31]],Paramétrage!G16)*Paramétrage!I16+COUNTIF(Janvier[[#This Row],[1]:[31]],Paramétrage!G17)*Paramétrage!I17+COUNTIF(Janvier[[#This Row],[1]:[31]],Paramétrage!G18)*Paramétrage!I18+COUNTIF(Janvier[[#This Row],[1]:[31]],Paramétrage!G19)*Paramétrage!I19+COUNTIF(Janvier[[#This Row],[1]:[31]],Paramétrage!G20)*Paramétrage!I20+COUNTIF(Janvier[[#This Row],[1]:[31]],Paramétrage!G21)*Paramétrage!I21+COUNTIF(Janvier[[#This Row],[1]:[31]],Paramétrage!G22)*Paramétrage!I22+COUNTIF(Janvier[[#This Row],[1]:[31]],Paramétrage!G23)*Paramétrage!I23+COUNTIF(Janvier[[#This Row],[1]:[31]],Paramétrage!G24*Paramétrage!I24+COUNTIF(Janvier[[#This Row],[1]:[31]],Paramétrage!G25)*Paramétrage!I25+COUNTIF(Janvier[[#This Row],[1]:[31]],Paramétrage!G26)*Paramétrage!I26)</f>
        <v>0</v>
      </c>
    </row>
    <row r="18" spans="1:33" ht="15" customHeight="1" x14ac:dyDescent="0.3">
      <c r="A18" s="36" t="s">
        <v>65</v>
      </c>
      <c r="B18" s="34"/>
      <c r="C18" s="34"/>
      <c r="D18" s="34"/>
      <c r="E18" s="34"/>
      <c r="F18" s="34"/>
      <c r="G18" s="34"/>
      <c r="H18" s="34"/>
      <c r="I18" s="34"/>
      <c r="J18" s="34"/>
      <c r="K18" s="34"/>
      <c r="L18" s="34"/>
      <c r="M18" s="34"/>
      <c r="N18" s="34"/>
      <c r="O18" s="34"/>
      <c r="P18" s="34"/>
      <c r="Q18" s="34"/>
      <c r="R18" s="34"/>
      <c r="S18" s="34"/>
      <c r="T18" s="34"/>
      <c r="U18" s="34"/>
      <c r="V18" s="34"/>
      <c r="W18" s="34"/>
      <c r="X18" s="34"/>
      <c r="Y18" s="34"/>
      <c r="Z18" s="34"/>
      <c r="AA18" s="34"/>
      <c r="AB18" s="34"/>
      <c r="AC18" s="34"/>
      <c r="AD18" s="34"/>
      <c r="AE18" s="34"/>
      <c r="AF18" s="34"/>
      <c r="AG18" s="18">
        <f>COUNTIF(Janvier[[#This Row],[1]:[31]],Paramétrage!G14)*Paramétrage!I14+COUNTIF(Janvier[[#This Row],[1]:[31]],Paramétrage!G15)*Paramétrage!I15+COUNTIF(Janvier[[#This Row],[1]:[31]],Paramétrage!G16)*Paramétrage!I16+COUNTIF(Janvier[[#This Row],[1]:[31]],Paramétrage!G17)*Paramétrage!I17+COUNTIF(Janvier[[#This Row],[1]:[31]],Paramétrage!G18)*Paramétrage!I18+COUNTIF(Janvier[[#This Row],[1]:[31]],Paramétrage!G19)*Paramétrage!I19+COUNTIF(Janvier[[#This Row],[1]:[31]],Paramétrage!G20)*Paramétrage!I20+COUNTIF(Janvier[[#This Row],[1]:[31]],Paramétrage!G21)*Paramétrage!I21+COUNTIF(Janvier[[#This Row],[1]:[31]],Paramétrage!G22)*Paramétrage!I22+COUNTIF(Janvier[[#This Row],[1]:[31]],Paramétrage!G23)*Paramétrage!I23+COUNTIF(Janvier[[#This Row],[1]:[31]],Paramétrage!G24)*Paramétrage!I24+COUNTIF(Janvier[[#This Row],[1]:[31]],Paramétrage!G25*Paramétrage!I25+COUNTIF(Janvier[[#This Row],[1]:[31]],Paramétrage!G26)*Paramétrage!I26+COUNTIF(Janvier[[#This Row],[1]:[31]],Paramétrage!G27)*Paramétrage!I27)</f>
        <v>0</v>
      </c>
    </row>
    <row r="19" spans="1:33" ht="15" customHeight="1" x14ac:dyDescent="0.3">
      <c r="A19" s="36" t="s">
        <v>66</v>
      </c>
      <c r="B19" s="34"/>
      <c r="C19" s="34"/>
      <c r="D19" s="34"/>
      <c r="E19" s="34"/>
      <c r="F19" s="34"/>
      <c r="G19" s="34"/>
      <c r="H19" s="34"/>
      <c r="I19" s="34"/>
      <c r="J19" s="34"/>
      <c r="K19" s="34"/>
      <c r="L19" s="34"/>
      <c r="M19" s="34"/>
      <c r="N19" s="34"/>
      <c r="O19" s="34"/>
      <c r="P19" s="34"/>
      <c r="Q19" s="34"/>
      <c r="R19" s="34"/>
      <c r="S19" s="34"/>
      <c r="T19" s="34"/>
      <c r="U19" s="34"/>
      <c r="V19" s="34"/>
      <c r="W19" s="34"/>
      <c r="X19" s="34"/>
      <c r="Y19" s="34"/>
      <c r="Z19" s="34"/>
      <c r="AA19" s="34"/>
      <c r="AB19" s="34"/>
      <c r="AC19" s="34"/>
      <c r="AD19" s="34"/>
      <c r="AE19" s="34"/>
      <c r="AF19" s="34"/>
      <c r="AG19" s="18">
        <f>COUNTIF(Janvier[[#This Row],[1]:[31]],Paramétrage!G15)*Paramétrage!I15+COUNTIF(Janvier[[#This Row],[1]:[31]],Paramétrage!G16)*Paramétrage!I16+COUNTIF(Janvier[[#This Row],[1]:[31]],Paramétrage!G17)*Paramétrage!I17+COUNTIF(Janvier[[#This Row],[1]:[31]],Paramétrage!G18)*Paramétrage!I18+COUNTIF(Janvier[[#This Row],[1]:[31]],Paramétrage!G19)*Paramétrage!I19+COUNTIF(Janvier[[#This Row],[1]:[31]],Paramétrage!G20)*Paramétrage!I20+COUNTIF(Janvier[[#This Row],[1]:[31]],Paramétrage!G21)*Paramétrage!I21+COUNTIF(Janvier[[#This Row],[1]:[31]],Paramétrage!G22)*Paramétrage!I22+COUNTIF(Janvier[[#This Row],[1]:[31]],Paramétrage!G23)*Paramétrage!I23+COUNTIF(Janvier[[#This Row],[1]:[31]],Paramétrage!G24)*Paramétrage!I24+COUNTIF(Janvier[[#This Row],[1]:[31]],Paramétrage!G25)*Paramétrage!I25+COUNTIF(Janvier[[#This Row],[1]:[31]],Paramétrage!G26*Paramétrage!I26+COUNTIF(Janvier[[#This Row],[1]:[31]],Paramétrage!G27)*Paramétrage!I27+COUNTIF(Janvier[[#This Row],[1]:[31]],Paramétrage!G28)*Paramétrage!I28)</f>
        <v>0</v>
      </c>
    </row>
    <row r="20" spans="1:33" ht="15" customHeight="1" x14ac:dyDescent="0.3">
      <c r="A20" s="36" t="s">
        <v>67</v>
      </c>
      <c r="B20" s="34"/>
      <c r="C20" s="34"/>
      <c r="D20" s="34"/>
      <c r="E20" s="34"/>
      <c r="F20" s="34"/>
      <c r="G20" s="34"/>
      <c r="H20" s="34"/>
      <c r="I20" s="34"/>
      <c r="J20" s="34"/>
      <c r="K20" s="34"/>
      <c r="L20" s="34"/>
      <c r="M20" s="34"/>
      <c r="N20" s="34"/>
      <c r="O20" s="34"/>
      <c r="P20" s="34"/>
      <c r="Q20" s="34"/>
      <c r="R20" s="34"/>
      <c r="S20" s="34"/>
      <c r="T20" s="34"/>
      <c r="U20" s="34"/>
      <c r="V20" s="34"/>
      <c r="W20" s="34"/>
      <c r="X20" s="34"/>
      <c r="Y20" s="34"/>
      <c r="Z20" s="34"/>
      <c r="AA20" s="34"/>
      <c r="AB20" s="34"/>
      <c r="AC20" s="34"/>
      <c r="AD20" s="34"/>
      <c r="AE20" s="34"/>
      <c r="AF20" s="34"/>
      <c r="AG20" s="18">
        <f>COUNTIF(Janvier[[#This Row],[1]:[31]],Paramétrage!G16)*Paramétrage!I16+COUNTIF(Janvier[[#This Row],[1]:[31]],Paramétrage!G17)*Paramétrage!I17+COUNTIF(Janvier[[#This Row],[1]:[31]],Paramétrage!G18)*Paramétrage!I18+COUNTIF(Janvier[[#This Row],[1]:[31]],Paramétrage!G19)*Paramétrage!I19+COUNTIF(Janvier[[#This Row],[1]:[31]],Paramétrage!G20)*Paramétrage!I20+COUNTIF(Janvier[[#This Row],[1]:[31]],Paramétrage!G21)*Paramétrage!I21+COUNTIF(Janvier[[#This Row],[1]:[31]],Paramétrage!G22)*Paramétrage!I22+COUNTIF(Janvier[[#This Row],[1]:[31]],Paramétrage!G23)*Paramétrage!I23+COUNTIF(Janvier[[#This Row],[1]:[31]],Paramétrage!G24)*Paramétrage!I24+COUNTIF(Janvier[[#This Row],[1]:[31]],Paramétrage!G25)*Paramétrage!I25+COUNTIF(Janvier[[#This Row],[1]:[31]],Paramétrage!G26)*Paramétrage!I26+COUNTIF(Janvier[[#This Row],[1]:[31]],Paramétrage!G27*Paramétrage!I27+COUNTIF(Janvier[[#This Row],[1]:[31]],Paramétrage!G28)*Paramétrage!I28+COUNTIF(Janvier[[#This Row],[1]:[31]],Paramétrage!G29)*Paramétrage!I29)</f>
        <v>0</v>
      </c>
    </row>
    <row r="21" spans="1:33" ht="15" customHeight="1" x14ac:dyDescent="0.3">
      <c r="A21" s="36" t="s">
        <v>68</v>
      </c>
      <c r="B21" s="34"/>
      <c r="C21" s="34"/>
      <c r="D21" s="34"/>
      <c r="E21" s="34"/>
      <c r="F21" s="34"/>
      <c r="G21" s="34"/>
      <c r="H21" s="34"/>
      <c r="I21" s="34"/>
      <c r="J21" s="34"/>
      <c r="K21" s="34"/>
      <c r="L21" s="34"/>
      <c r="M21" s="34"/>
      <c r="N21" s="34"/>
      <c r="O21" s="34"/>
      <c r="P21" s="34"/>
      <c r="Q21" s="34"/>
      <c r="R21" s="34"/>
      <c r="S21" s="34"/>
      <c r="T21" s="34"/>
      <c r="U21" s="34"/>
      <c r="V21" s="34"/>
      <c r="W21" s="34"/>
      <c r="X21" s="34"/>
      <c r="Y21" s="34"/>
      <c r="Z21" s="34"/>
      <c r="AA21" s="34"/>
      <c r="AB21" s="34"/>
      <c r="AC21" s="34"/>
      <c r="AD21" s="34"/>
      <c r="AE21" s="34"/>
      <c r="AF21" s="34"/>
      <c r="AG21" s="18">
        <f>COUNTIF(Janvier[[#This Row],[1]:[31]],Paramétrage!G17)*Paramétrage!I17+COUNTIF(Janvier[[#This Row],[1]:[31]],Paramétrage!G18)*Paramétrage!I18+COUNTIF(Janvier[[#This Row],[1]:[31]],Paramétrage!G19)*Paramétrage!I19+COUNTIF(Janvier[[#This Row],[1]:[31]],Paramétrage!G20)*Paramétrage!I20+COUNTIF(Janvier[[#This Row],[1]:[31]],Paramétrage!G21)*Paramétrage!I21+COUNTIF(Janvier[[#This Row],[1]:[31]],Paramétrage!G22)*Paramétrage!I22+COUNTIF(Janvier[[#This Row],[1]:[31]],Paramétrage!G23)*Paramétrage!I23+COUNTIF(Janvier[[#This Row],[1]:[31]],Paramétrage!G24)*Paramétrage!I24+COUNTIF(Janvier[[#This Row],[1]:[31]],Paramétrage!G25)*Paramétrage!I25+COUNTIF(Janvier[[#This Row],[1]:[31]],Paramétrage!G26)*Paramétrage!I26+COUNTIF(Janvier[[#This Row],[1]:[31]],Paramétrage!G27)*Paramétrage!I27+COUNTIF(Janvier[[#This Row],[1]:[31]],Paramétrage!G28*Paramétrage!I28+COUNTIF(Janvier[[#This Row],[1]:[31]],Paramétrage!G29)*Paramétrage!I29+COUNTIF(Janvier[[#This Row],[1]:[31]],Paramétrage!G30)*Paramétrage!I30)</f>
        <v>0</v>
      </c>
    </row>
    <row r="22" spans="1:33" ht="15" customHeight="1" x14ac:dyDescent="0.3">
      <c r="A22" s="36" t="s">
        <v>91</v>
      </c>
      <c r="B22" s="37"/>
      <c r="C22" s="37"/>
      <c r="D22" s="37"/>
      <c r="E22" s="37"/>
      <c r="F22" s="37"/>
      <c r="G22" s="37"/>
      <c r="H22" s="37"/>
      <c r="I22" s="37"/>
      <c r="J22" s="37"/>
      <c r="K22" s="37"/>
      <c r="L22" s="37"/>
      <c r="M22" s="37"/>
      <c r="N22" s="37"/>
      <c r="O22" s="37"/>
      <c r="P22" s="37"/>
      <c r="Q22" s="37"/>
      <c r="R22" s="37"/>
      <c r="S22" s="37"/>
      <c r="T22" s="37"/>
      <c r="U22" s="37"/>
      <c r="V22" s="37"/>
      <c r="W22" s="37"/>
      <c r="X22" s="37"/>
      <c r="Y22" s="37"/>
      <c r="Z22" s="37"/>
      <c r="AA22" s="37"/>
      <c r="AB22" s="37"/>
      <c r="AC22" s="37"/>
      <c r="AD22" s="37"/>
      <c r="AE22" s="37"/>
      <c r="AF22" s="37"/>
      <c r="AG22" s="18">
        <f>COUNTIF(Janvier[[#This Row],[1]:[31]],Paramétrage!G18)*Paramétrage!I18+COUNTIF(Janvier[[#This Row],[1]:[31]],Paramétrage!G19)*Paramétrage!I19+COUNTIF(Janvier[[#This Row],[1]:[31]],Paramétrage!G20)*Paramétrage!I20+COUNTIF(Janvier[[#This Row],[1]:[31]],Paramétrage!G21)*Paramétrage!I21+COUNTIF(Janvier[[#This Row],[1]:[31]],Paramétrage!G22)*Paramétrage!I22+COUNTIF(Janvier[[#This Row],[1]:[31]],Paramétrage!G23)*Paramétrage!I23+COUNTIF(Janvier[[#This Row],[1]:[31]],Paramétrage!G24)*Paramétrage!I24+COUNTIF(Janvier[[#This Row],[1]:[31]],Paramétrage!G25)*Paramétrage!I25+COUNTIF(Janvier[[#This Row],[1]:[31]],Paramétrage!G26)*Paramétrage!I26+COUNTIF(Janvier[[#This Row],[1]:[31]],Paramétrage!G27)*Paramétrage!I27+COUNTIF(Janvier[[#This Row],[1]:[31]],Paramétrage!G28)*Paramétrage!I28+COUNTIF(Janvier[[#This Row],[1]:[31]],Paramétrage!G29*Paramétrage!I29+COUNTIF(Janvier[[#This Row],[1]:[31]],Paramétrage!G30)*Paramétrage!I30+COUNTIF(Janvier[[#This Row],[1]:[31]],Paramétrage!G31)*Paramétrage!I31)</f>
        <v>0</v>
      </c>
    </row>
    <row r="23" spans="1:33" ht="15" customHeight="1" x14ac:dyDescent="0.3">
      <c r="A23" s="36" t="s">
        <v>92</v>
      </c>
      <c r="B23" s="37"/>
      <c r="C23" s="37"/>
      <c r="D23" s="37"/>
      <c r="E23" s="37"/>
      <c r="F23" s="37"/>
      <c r="G23" s="37"/>
      <c r="H23" s="37"/>
      <c r="I23" s="37"/>
      <c r="J23" s="37"/>
      <c r="K23" s="37"/>
      <c r="L23" s="37"/>
      <c r="M23" s="37"/>
      <c r="N23" s="37"/>
      <c r="O23" s="37"/>
      <c r="P23" s="37"/>
      <c r="Q23" s="37"/>
      <c r="R23" s="37"/>
      <c r="S23" s="37"/>
      <c r="T23" s="37"/>
      <c r="U23" s="37"/>
      <c r="V23" s="37"/>
      <c r="W23" s="37"/>
      <c r="X23" s="37"/>
      <c r="Y23" s="37"/>
      <c r="Z23" s="37"/>
      <c r="AA23" s="37"/>
      <c r="AB23" s="37"/>
      <c r="AC23" s="37"/>
      <c r="AD23" s="37"/>
      <c r="AE23" s="37"/>
      <c r="AF23" s="37"/>
      <c r="AG23" s="18">
        <f>COUNTIF(Janvier[[#This Row],[1]:[31]],Paramétrage!G19)*Paramétrage!I19+COUNTIF(Janvier[[#This Row],[1]:[31]],Paramétrage!G20)*Paramétrage!I20+COUNTIF(Janvier[[#This Row],[1]:[31]],Paramétrage!G21)*Paramétrage!I21+COUNTIF(Janvier[[#This Row],[1]:[31]],Paramétrage!G22)*Paramétrage!I22+COUNTIF(Janvier[[#This Row],[1]:[31]],Paramétrage!G23)*Paramétrage!I23+COUNTIF(Janvier[[#This Row],[1]:[31]],Paramétrage!G24)*Paramétrage!I24+COUNTIF(Janvier[[#This Row],[1]:[31]],Paramétrage!G25)*Paramétrage!I25+COUNTIF(Janvier[[#This Row],[1]:[31]],Paramétrage!G26)*Paramétrage!I26+COUNTIF(Janvier[[#This Row],[1]:[31]],Paramétrage!G27)*Paramétrage!I27+COUNTIF(Janvier[[#This Row],[1]:[31]],Paramétrage!G28)*Paramétrage!I28+COUNTIF(Janvier[[#This Row],[1]:[31]],Paramétrage!G29)*Paramétrage!I29+COUNTIF(Janvier[[#This Row],[1]:[31]],Paramétrage!G30*Paramétrage!I30+COUNTIF(Janvier[[#This Row],[1]:[31]],Paramétrage!G31)*Paramétrage!I31+COUNTIF(Janvier[[#This Row],[1]:[31]],Paramétrage!G32)*Paramétrage!I32)</f>
        <v>0</v>
      </c>
    </row>
    <row r="24" spans="1:33" ht="15" customHeight="1" x14ac:dyDescent="0.3">
      <c r="A24" s="36" t="s">
        <v>93</v>
      </c>
      <c r="B24" s="37"/>
      <c r="C24" s="37"/>
      <c r="D24" s="37"/>
      <c r="E24" s="37"/>
      <c r="F24" s="37"/>
      <c r="G24" s="37"/>
      <c r="H24" s="37"/>
      <c r="I24" s="37"/>
      <c r="J24" s="37"/>
      <c r="K24" s="37"/>
      <c r="L24" s="37"/>
      <c r="M24" s="37"/>
      <c r="N24" s="37"/>
      <c r="O24" s="37"/>
      <c r="P24" s="37"/>
      <c r="Q24" s="37"/>
      <c r="R24" s="37"/>
      <c r="S24" s="37"/>
      <c r="T24" s="37"/>
      <c r="U24" s="37"/>
      <c r="V24" s="37"/>
      <c r="W24" s="37"/>
      <c r="X24" s="37"/>
      <c r="Y24" s="37"/>
      <c r="Z24" s="37"/>
      <c r="AA24" s="37"/>
      <c r="AB24" s="37"/>
      <c r="AC24" s="37"/>
      <c r="AD24" s="37"/>
      <c r="AE24" s="37"/>
      <c r="AF24" s="37"/>
      <c r="AG24" s="18">
        <f>COUNTIF(Janvier[[#This Row],[1]:[31]],Paramétrage!G20)*Paramétrage!I20+COUNTIF(Janvier[[#This Row],[1]:[31]],Paramétrage!G21)*Paramétrage!I21+COUNTIF(Janvier[[#This Row],[1]:[31]],Paramétrage!G22)*Paramétrage!I22+COUNTIF(Janvier[[#This Row],[1]:[31]],Paramétrage!G23)*Paramétrage!I23+COUNTIF(Janvier[[#This Row],[1]:[31]],Paramétrage!G24)*Paramétrage!I24+COUNTIF(Janvier[[#This Row],[1]:[31]],Paramétrage!G25)*Paramétrage!I25+COUNTIF(Janvier[[#This Row],[1]:[31]],Paramétrage!G26)*Paramétrage!I26+COUNTIF(Janvier[[#This Row],[1]:[31]],Paramétrage!G27)*Paramétrage!I27+COUNTIF(Janvier[[#This Row],[1]:[31]],Paramétrage!G28)*Paramétrage!I28+COUNTIF(Janvier[[#This Row],[1]:[31]],Paramétrage!G29)*Paramétrage!I29+COUNTIF(Janvier[[#This Row],[1]:[31]],Paramétrage!G30)*Paramétrage!I30+COUNTIF(Janvier[[#This Row],[1]:[31]],Paramétrage!G31*Paramétrage!I31+COUNTIF(Janvier[[#This Row],[1]:[31]],Paramétrage!G32)*Paramétrage!I32+COUNTIF(Janvier[[#This Row],[1]:[31]],Paramétrage!G33)*Paramétrage!I33)</f>
        <v>0</v>
      </c>
    </row>
    <row r="25" spans="1:33" ht="15" customHeight="1" x14ac:dyDescent="0.3">
      <c r="A25" s="36" t="s">
        <v>94</v>
      </c>
      <c r="B25" s="37"/>
      <c r="C25" s="37"/>
      <c r="D25" s="37"/>
      <c r="E25" s="37"/>
      <c r="F25" s="37"/>
      <c r="G25" s="37"/>
      <c r="H25" s="37"/>
      <c r="I25" s="37"/>
      <c r="J25" s="37"/>
      <c r="K25" s="37"/>
      <c r="L25" s="37"/>
      <c r="M25" s="37"/>
      <c r="N25" s="37"/>
      <c r="O25" s="37"/>
      <c r="P25" s="37"/>
      <c r="Q25" s="37"/>
      <c r="R25" s="37"/>
      <c r="S25" s="37"/>
      <c r="T25" s="37"/>
      <c r="U25" s="37"/>
      <c r="V25" s="37"/>
      <c r="W25" s="37"/>
      <c r="X25" s="37"/>
      <c r="Y25" s="37"/>
      <c r="Z25" s="37"/>
      <c r="AA25" s="37"/>
      <c r="AB25" s="37"/>
      <c r="AC25" s="37"/>
      <c r="AD25" s="37"/>
      <c r="AE25" s="37"/>
      <c r="AF25" s="37"/>
      <c r="AG25" s="18">
        <f>COUNTIF(Janvier[[#This Row],[1]:[31]],Paramétrage!G21)*Paramétrage!I21+COUNTIF(Janvier[[#This Row],[1]:[31]],Paramétrage!G22)*Paramétrage!I22+COUNTIF(Janvier[[#This Row],[1]:[31]],Paramétrage!G23)*Paramétrage!I23+COUNTIF(Janvier[[#This Row],[1]:[31]],Paramétrage!G24)*Paramétrage!I24+COUNTIF(Janvier[[#This Row],[1]:[31]],Paramétrage!G25)*Paramétrage!I25+COUNTIF(Janvier[[#This Row],[1]:[31]],Paramétrage!G26)*Paramétrage!I26+COUNTIF(Janvier[[#This Row],[1]:[31]],Paramétrage!G27)*Paramétrage!I27+COUNTIF(Janvier[[#This Row],[1]:[31]],Paramétrage!G28)*Paramétrage!I28+COUNTIF(Janvier[[#This Row],[1]:[31]],Paramétrage!G29)*Paramétrage!I29+COUNTIF(Janvier[[#This Row],[1]:[31]],Paramétrage!G30)*Paramétrage!I30+COUNTIF(Janvier[[#This Row],[1]:[31]],Paramétrage!G31)*Paramétrage!I31+COUNTIF(Janvier[[#This Row],[1]:[31]],Paramétrage!G32*Paramétrage!I32+COUNTIF(Janvier[[#This Row],[1]:[31]],Paramétrage!G33)*Paramétrage!I33+COUNTIF(Janvier[[#This Row],[1]:[31]],Paramétrage!G34)*Paramétrage!I34)</f>
        <v>0</v>
      </c>
    </row>
    <row r="26" spans="1:33" ht="15" customHeight="1" x14ac:dyDescent="0.3">
      <c r="A26" s="36" t="s">
        <v>95</v>
      </c>
      <c r="B26" s="37"/>
      <c r="C26" s="37"/>
      <c r="D26" s="37"/>
      <c r="E26" s="37"/>
      <c r="F26" s="37"/>
      <c r="G26" s="37"/>
      <c r="H26" s="37"/>
      <c r="I26" s="37"/>
      <c r="J26" s="37"/>
      <c r="K26" s="37"/>
      <c r="L26" s="37"/>
      <c r="M26" s="37"/>
      <c r="N26" s="37"/>
      <c r="O26" s="37"/>
      <c r="P26" s="37"/>
      <c r="Q26" s="37"/>
      <c r="R26" s="37"/>
      <c r="S26" s="37"/>
      <c r="T26" s="37"/>
      <c r="U26" s="37"/>
      <c r="V26" s="37"/>
      <c r="W26" s="37"/>
      <c r="X26" s="37"/>
      <c r="Y26" s="37"/>
      <c r="Z26" s="37"/>
      <c r="AA26" s="37"/>
      <c r="AB26" s="37"/>
      <c r="AC26" s="37"/>
      <c r="AD26" s="37"/>
      <c r="AE26" s="37"/>
      <c r="AF26" s="37"/>
      <c r="AG26" s="18">
        <f>COUNTIF(Janvier[[#This Row],[1]:[31]],Paramétrage!G22)*Paramétrage!I22+COUNTIF(Janvier[[#This Row],[1]:[31]],Paramétrage!G23)*Paramétrage!I23+COUNTIF(Janvier[[#This Row],[1]:[31]],Paramétrage!G24)*Paramétrage!I24+COUNTIF(Janvier[[#This Row],[1]:[31]],Paramétrage!G25)*Paramétrage!I25+COUNTIF(Janvier[[#This Row],[1]:[31]],Paramétrage!G26)*Paramétrage!I26+COUNTIF(Janvier[[#This Row],[1]:[31]],Paramétrage!G27)*Paramétrage!I27+COUNTIF(Janvier[[#This Row],[1]:[31]],Paramétrage!G28)*Paramétrage!I28+COUNTIF(Janvier[[#This Row],[1]:[31]],Paramétrage!G29)*Paramétrage!I29+COUNTIF(Janvier[[#This Row],[1]:[31]],Paramétrage!G30)*Paramétrage!I30+COUNTIF(Janvier[[#This Row],[1]:[31]],Paramétrage!G31)*Paramétrage!I31+COUNTIF(Janvier[[#This Row],[1]:[31]],Paramétrage!G32)*Paramétrage!I32+COUNTIF(Janvier[[#This Row],[1]:[31]],Paramétrage!G33*Paramétrage!I33+COUNTIF(Janvier[[#This Row],[1]:[31]],Paramétrage!G34)*Paramétrage!I34+COUNTIF(Janvier[[#This Row],[1]:[31]],Paramétrage!G35)*Paramétrage!I35)</f>
        <v>0</v>
      </c>
    </row>
    <row r="27" spans="1:33" ht="24" x14ac:dyDescent="0.3">
      <c r="A27" s="38" t="s">
        <v>106</v>
      </c>
      <c r="B27" s="39">
        <f>COUNTA(Janvier[1])-COUNTIF(Janvier[1],CléReposhebdomadaire)-COUNTIF(Janvier[1],CléCongé)-COUNTIF(Janvier[1],CléMaladie)-COUNTIF(Janvier[1],CléFormation)-COUNTIF(Janvier[1],CléAbsencenonjustifiée)</f>
        <v>0</v>
      </c>
      <c r="C27" s="39">
        <f>COUNTA(Janvier[2])-COUNTIF(Janvier[2],CléReposhebdomadaire)-COUNTIF(Janvier[2],CléCongé)-COUNTIF(Janvier[2],CléMaladie)-COUNTIF(Janvier[2],CléFormation)-COUNTIF(Janvier[2],CléAbsencenonjustifiée)</f>
        <v>0</v>
      </c>
      <c r="D27" s="39">
        <f>COUNTA(Janvier[3])-COUNTIF(Janvier[3],CléReposhebdomadaire)-COUNTIF(Janvier[3],CléCongé)-COUNTIF(Janvier[3],CléMaladie)-COUNTIF(Janvier[3],CléFormation)-COUNTIF(Janvier[3],CléAbsencenonjustifiée)</f>
        <v>0</v>
      </c>
      <c r="E27" s="39">
        <f>COUNTA(Janvier[4])-COUNTIF(Janvier[4],CléReposhebdomadaire)-COUNTIF(Janvier[4],CléCongé)-COUNTIF(Janvier[4],CléMaladie)-COUNTIF(Janvier[4],CléFormation)-COUNTIF(Janvier[4],CléAbsencenonjustifiée)</f>
        <v>0</v>
      </c>
      <c r="F27" s="39">
        <f>COUNTA(Janvier[5])-COUNTIF(Janvier[5],CléReposhebdomadaire)-COUNTIF(Janvier[5],CléCongé)-COUNTIF(Janvier[5],CléMaladie)-COUNTIF(Janvier[5],CléFormation)-COUNTIF(Janvier[5],CléAbsencenonjustifiée)</f>
        <v>0</v>
      </c>
      <c r="G27" s="39">
        <f>COUNTA(Janvier[6])-COUNTIF(Janvier[6],CléReposhebdomadaire)-COUNTIF(Janvier[6],CléCongé)-COUNTIF(Janvier[6],CléMaladie)-COUNTIF(Janvier[6],CléFormation)-COUNTIF(Janvier[6],CléAbsencenonjustifiée)</f>
        <v>0</v>
      </c>
      <c r="H27" s="39">
        <f>COUNTA(Janvier[7])-COUNTIF(Janvier[7],CléReposhebdomadaire)-COUNTIF(Janvier[7],CléCongé)-COUNTIF(Janvier[7],CléMaladie)-COUNTIF(Janvier[7],CléFormation)-COUNTIF(Janvier[7],CléAbsencenonjustifiée)</f>
        <v>0</v>
      </c>
      <c r="I27" s="39">
        <f>COUNTA(Janvier[8])-COUNTIF(Janvier[8],CléReposhebdomadaire)-COUNTIF(Janvier[8],CléCongé)-COUNTIF(Janvier[8],CléMaladie)-COUNTIF(Janvier[8],CléFormation)-COUNTIF(Janvier[8],CléAbsencenonjustifiée)</f>
        <v>0</v>
      </c>
      <c r="J27" s="39">
        <f>COUNTA(Janvier[9])-COUNTIF(Janvier[9],CléReposhebdomadaire)-COUNTIF(Janvier[9],CléCongé)-COUNTIF(Janvier[9],CléMaladie)-COUNTIF(Janvier[9],CléFormation)-COUNTIF(Janvier[9],CléAbsencenonjustifiée)</f>
        <v>0</v>
      </c>
      <c r="K27" s="39">
        <f>COUNTA(Janvier[10])-COUNTIF(Janvier[10],CléReposhebdomadaire)-COUNTIF(Janvier[10],CléCongé)-COUNTIF(Janvier[10],CléMaladie)-COUNTIF(Janvier[10],CléFormation)-COUNTIF(Janvier[10],CléAbsencenonjustifiée)</f>
        <v>0</v>
      </c>
      <c r="L27" s="39">
        <f>COUNTA(Janvier[11])-COUNTIF(Janvier[11],CléReposhebdomadaire)-COUNTIF(Janvier[11],CléCongé)-COUNTIF(Janvier[11],CléMaladie)-COUNTIF(Janvier[11],CléFormation)-COUNTIF(Janvier[11],CléAbsencenonjustifiée)</f>
        <v>0</v>
      </c>
      <c r="M27" s="39">
        <f>COUNTA(Janvier[12])-COUNTIF(Janvier[12],CléReposhebdomadaire)-COUNTIF(Janvier[12],CléCongé)-COUNTIF(Janvier[12],CléMaladie)-COUNTIF(Janvier[12],CléFormation)-COUNTIF(Janvier[12],CléAbsencenonjustifiée)</f>
        <v>0</v>
      </c>
      <c r="N27" s="39">
        <f>COUNTA(Janvier[13])-COUNTIF(Janvier[13],CléReposhebdomadaire)-COUNTIF(Janvier[13],CléCongé)-COUNTIF(Janvier[13],CléMaladie)-COUNTIF(Janvier[13],CléFormation)-COUNTIF(Janvier[13],CléAbsencenonjustifiée)</f>
        <v>0</v>
      </c>
      <c r="O27" s="39">
        <f>COUNTA(Janvier[14])-COUNTIF(Janvier[14],CléReposhebdomadaire)-COUNTIF(Janvier[14],CléCongé)-COUNTIF(Janvier[14],CléMaladie)-COUNTIF(Janvier[14],CléFormation)-COUNTIF(Janvier[14],CléAbsencenonjustifiée)</f>
        <v>0</v>
      </c>
      <c r="P27" s="39">
        <f>COUNTA(Janvier[15])-COUNTIF(Janvier[15],CléReposhebdomadaire)-COUNTIF(Janvier[15],CléCongé)-COUNTIF(Janvier[15],CléMaladie)-COUNTIF(Janvier[15],CléFormation)-COUNTIF(Janvier[15],CléAbsencenonjustifiée)</f>
        <v>0</v>
      </c>
      <c r="Q27" s="39">
        <f>COUNTA(Janvier[16])-COUNTIF(Janvier[16],CléReposhebdomadaire)-COUNTIF(Janvier[16],CléCongé)-COUNTIF(Janvier[16],CléMaladie)-COUNTIF(Janvier[16],CléFormation)-COUNTIF(Janvier[16],CléAbsencenonjustifiée)</f>
        <v>0</v>
      </c>
      <c r="R27" s="39">
        <f>COUNTA(Janvier[17])-COUNTIF(Janvier[17],CléReposhebdomadaire)-COUNTIF(Janvier[17],CléCongé)-COUNTIF(Janvier[17],CléMaladie)-COUNTIF(Janvier[17],CléFormation)-COUNTIF(Janvier[17],CléAbsencenonjustifiée)</f>
        <v>0</v>
      </c>
      <c r="S27" s="39">
        <f>COUNTA(Janvier[18])-COUNTIF(Janvier[18],CléReposhebdomadaire)-COUNTIF(Janvier[18],CléCongé)-COUNTIF(Janvier[18],CléMaladie)-COUNTIF(Janvier[18],CléFormation)-COUNTIF(Janvier[18],CléAbsencenonjustifiée)</f>
        <v>0</v>
      </c>
      <c r="T27" s="39">
        <f>COUNTA(Janvier[19])-COUNTIF(Janvier[19],CléReposhebdomadaire)-COUNTIF(Janvier[19],CléCongé)-COUNTIF(Janvier[19],CléMaladie)-COUNTIF(Janvier[19],CléFormation)-COUNTIF(Janvier[19],CléAbsencenonjustifiée)</f>
        <v>0</v>
      </c>
      <c r="U27" s="39">
        <f>COUNTA(Janvier[20])-COUNTIF(Janvier[20],CléReposhebdomadaire)-COUNTIF(Janvier[20],CléCongé)-COUNTIF(Janvier[20],CléMaladie)-COUNTIF(Janvier[20],CléFormation)-COUNTIF(Janvier[20],CléAbsencenonjustifiée)</f>
        <v>0</v>
      </c>
      <c r="V27" s="39">
        <f>COUNTA(Janvier[21])-COUNTIF(Janvier[21],CléReposhebdomadaire)-COUNTIF(Janvier[21],CléCongé)-COUNTIF(Janvier[21],CléMaladie)-COUNTIF(Janvier[21],CléFormation)-COUNTIF(Janvier[21],CléAbsencenonjustifiée)</f>
        <v>0</v>
      </c>
      <c r="W27" s="39">
        <f>COUNTA(Janvier[22])-COUNTIF(Janvier[22],CléReposhebdomadaire)-COUNTIF(Janvier[22],CléCongé)-COUNTIF(Janvier[22],CléMaladie)-COUNTIF(Janvier[22],CléFormation)-COUNTIF(Janvier[22],CléAbsencenonjustifiée)</f>
        <v>0</v>
      </c>
      <c r="X27" s="39">
        <f>COUNTA(Janvier[23])-COUNTIF(Janvier[23],CléReposhebdomadaire)-COUNTIF(Janvier[23],CléCongé)-COUNTIF(Janvier[23],CléMaladie)-COUNTIF(Janvier[23],CléFormation)-COUNTIF(Janvier[23],CléAbsencenonjustifiée)</f>
        <v>0</v>
      </c>
      <c r="Y27" s="39">
        <f>COUNTA(Janvier[24])-COUNTIF(Janvier[24],CléReposhebdomadaire)-COUNTIF(Janvier[24],CléCongé)-COUNTIF(Janvier[24],CléMaladie)-COUNTIF(Janvier[24],CléFormation)-COUNTIF(Janvier[24],CléAbsencenonjustifiée)</f>
        <v>0</v>
      </c>
      <c r="Z27" s="39">
        <f>COUNTA(Janvier[25])-COUNTIF(Janvier[25],CléReposhebdomadaire)-COUNTIF(Janvier[25],CléCongé)-COUNTIF(Janvier[25],CléMaladie)-COUNTIF(Janvier[25],CléFormation)-COUNTIF(Janvier[25],CléAbsencenonjustifiée)</f>
        <v>0</v>
      </c>
      <c r="AA27" s="39">
        <f>COUNTA(Janvier[26])-COUNTIF(Janvier[26],CléReposhebdomadaire)-COUNTIF(Janvier[26],CléCongé)-COUNTIF(Janvier[26],CléMaladie)-COUNTIF(Janvier[26],CléFormation)-COUNTIF(Janvier[26],CléAbsencenonjustifiée)</f>
        <v>0</v>
      </c>
      <c r="AB27" s="39">
        <f>COUNTA(Janvier[27])-COUNTIF(Janvier[27],CléReposhebdomadaire)-COUNTIF(Janvier[27],CléCongé)-COUNTIF(Janvier[27],CléMaladie)-COUNTIF(Janvier[27],CléFormation)-COUNTIF(Janvier[27],CléAbsencenonjustifiée)</f>
        <v>0</v>
      </c>
      <c r="AC27" s="39">
        <f>COUNTA(Janvier[28])-COUNTIF(Janvier[28],CléReposhebdomadaire)-COUNTIF(Janvier[28],CléCongé)-COUNTIF(Janvier[28],CléMaladie)-COUNTIF(Janvier[28],CléFormation)-COUNTIF(Janvier[28],CléAbsencenonjustifiée)</f>
        <v>0</v>
      </c>
      <c r="AD27" s="39">
        <f>COUNTA(Janvier[29])-COUNTIF(Janvier[29],CléReposhebdomadaire)-COUNTIF(Janvier[29],CléCongé)-COUNTIF(Janvier[29],CléMaladie)-COUNTIF(Janvier[29],CléFormation)-COUNTIF(Janvier[29],CléAbsencenonjustifiée)</f>
        <v>0</v>
      </c>
      <c r="AE27" s="39">
        <f>COUNTA(Janvier[30])-COUNTIF(Janvier[30],CléReposhebdomadaire)-COUNTIF(Janvier[30],CléCongé)-COUNTIF(Janvier[30],CléMaladie)-COUNTIF(Janvier[30],CléFormation)-COUNTIF(Janvier[30],CléAbsencenonjustifiée)</f>
        <v>0</v>
      </c>
      <c r="AF27" s="39">
        <f>COUNTA(Janvier[31])-COUNTIF(Janvier[31],CléReposhebdomadaire)-COUNTIF(Janvier[31],CléCongé)-COUNTIF(Janvier[31],CléMaladie)-COUNTIF(Janvier[31],CléFormation)-COUNTIF(Janvier[31],CléAbsencenonjustifiée)</f>
        <v>0</v>
      </c>
      <c r="AG27" s="40">
        <f ca="1">SUBTOTAL(109,Mars[Total des Heures effectuées])</f>
        <v>0</v>
      </c>
    </row>
  </sheetData>
  <mergeCells count="9">
    <mergeCell ref="A1:AG1"/>
    <mergeCell ref="A4:A5"/>
    <mergeCell ref="AG4:AG5"/>
    <mergeCell ref="B4:AF4"/>
    <mergeCell ref="R2:U2"/>
    <mergeCell ref="C2:F2"/>
    <mergeCell ref="H2:I2"/>
    <mergeCell ref="K2:M2"/>
    <mergeCell ref="O2:P2"/>
  </mergeCells>
  <conditionalFormatting sqref="B27:AF27">
    <cfRule type="dataBar" priority="11">
      <dataBar>
        <cfvo type="num" val="0"/>
        <cfvo type="num" val="31"/>
        <color theme="2" tint="-0.249977111117893"/>
      </dataBar>
      <extLst>
        <ext xmlns:x14="http://schemas.microsoft.com/office/spreadsheetml/2009/9/main" uri="{B025F937-C7B1-47D3-B67F-A62EFF666E3E}">
          <x14:id>{10BE29CC-0EA7-4BEB-890D-61B179C57DD1}</x14:id>
        </ext>
      </extLst>
    </cfRule>
  </conditionalFormatting>
  <conditionalFormatting sqref="B7:AF26">
    <cfRule type="cellIs" dxfId="85" priority="1" operator="equal">
      <formula>$Q$2</formula>
    </cfRule>
    <cfRule type="cellIs" dxfId="84" priority="2" operator="equal">
      <formula>$N$2</formula>
    </cfRule>
    <cfRule type="cellIs" dxfId="83" priority="3" operator="equal">
      <formula>$J$2</formula>
    </cfRule>
    <cfRule type="cellIs" dxfId="82" priority="4" operator="equal">
      <formula>$G$2</formula>
    </cfRule>
    <cfRule type="cellIs" dxfId="81" priority="5" operator="equal">
      <formula>$B$2</formula>
    </cfRule>
  </conditionalFormatting>
  <dataValidations count="12">
    <dataValidation allowBlank="1" showInputMessage="1" showErrorMessage="1" prompt="Année mise à jour automatiquement en fonction de l’année entrée dans la feuille de calcul Janvier" sqref="AG4"/>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A6"/>
    <dataValidation allowBlank="1" showInputMessage="1" showErrorMessage="1" prompt="Le titre mis à jour automatiquement figure dans cette cellule. Pour modifier le titre, mettez à jour la cellule B1 de la feuille de calcul Janvier" sqref="A1"/>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A4"/>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B5"/>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B6"/>
    <dataValidation allowBlank="1" showInputMessage="1" showErrorMessage="1" prompt="Cette ligne définit les clés utilisées dans le tableau : Repos hebdomadaire en C2, Congé en H2, Arrêt Maladie en K2, Formation en O2 et Absence non justifiée en R2_x000a_" sqref="A2"/>
    <dataValidation allowBlank="1" showInputMessage="1" showErrorMessage="1" prompt="« ABS» indique une absence pour cause d'Absence non justifiée" sqref="Q2"/>
    <dataValidation allowBlank="1" showInputMessage="1" showErrorMessage="1" prompt=" « AM » indique une absence pour cause d'Arrêt maladie" sqref="J2"/>
    <dataValidation allowBlank="1" showInputMessage="1" showErrorMessage="1" prompt=" « FO » indique une absence pour Formation" sqref="N2"/>
    <dataValidation allowBlank="1" showInputMessage="1" showErrorMessage="1" prompt="« CP» indique une absence pour cause de congé" sqref="G2"/>
    <dataValidation allowBlank="1" showInputMessage="1" showErrorMessage="1" prompt="Calcule automatiquement le nombre total des heures effectives d’un employé durant ce mois" sqref="AG6"/>
  </dataValidations>
  <pageMargins left="0.7" right="0.7" top="0.75" bottom="0.75" header="0.3" footer="0.3"/>
  <pageSetup paperSize="9" fitToHeight="0" orientation="portrait" verticalDpi="4294967293"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10BE29CC-0EA7-4BEB-890D-61B179C57DD1}">
            <x14:dataBar minLength="0" maxLength="100">
              <x14:cfvo type="num">
                <xm:f>0</xm:f>
              </x14:cfvo>
              <x14:cfvo type="num">
                <xm:f>31</xm:f>
              </x14:cfvo>
              <x14:negativeFillColor rgb="FFFF0000"/>
              <x14:axisColor rgb="FF000000"/>
            </x14:dataBar>
          </x14:cfRule>
          <xm:sqref>B27:AF27</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14:formula1>
            <xm:f>Paramétrage!$B$3:$B$22</xm:f>
          </x14:formula1>
          <xm:sqref>A7:A26</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14</vt:i4>
      </vt:variant>
      <vt:variant>
        <vt:lpstr>Plages nommées</vt:lpstr>
      </vt:variant>
      <vt:variant>
        <vt:i4>50</vt:i4>
      </vt:variant>
    </vt:vector>
  </HeadingPairs>
  <TitlesOfParts>
    <vt:vector size="64" baseType="lpstr">
      <vt:lpstr>Paramétrage</vt:lpstr>
      <vt:lpstr>Cycle</vt:lpstr>
      <vt:lpstr>Janvier</vt:lpstr>
      <vt:lpstr>Février</vt:lpstr>
      <vt:lpstr>Mars</vt:lpstr>
      <vt:lpstr>Avril</vt:lpstr>
      <vt:lpstr>Mai</vt:lpstr>
      <vt:lpstr>Juin</vt:lpstr>
      <vt:lpstr>Juillet</vt:lpstr>
      <vt:lpstr>Août</vt:lpstr>
      <vt:lpstr>Septembre</vt:lpstr>
      <vt:lpstr>Octobre</vt:lpstr>
      <vt:lpstr>Novembre</vt:lpstr>
      <vt:lpstr>Décembre</vt:lpstr>
      <vt:lpstr>AnnéeCalendrier</vt:lpstr>
      <vt:lpstr>CléAbsencenonjustifiée</vt:lpstr>
      <vt:lpstr>CléCongé</vt:lpstr>
      <vt:lpstr>CléFormation</vt:lpstr>
      <vt:lpstr>CléMaladie</vt:lpstr>
      <vt:lpstr>CléReposhebdomadaire</vt:lpstr>
      <vt:lpstr>ÉtiquetteCléCongé</vt:lpstr>
      <vt:lpstr>ÉtiquetteCléMaladie</vt:lpstr>
      <vt:lpstr>ÉtiquetteCléPersonnalisée1</vt:lpstr>
      <vt:lpstr>ÉtiquetteCléPersonnalisée2</vt:lpstr>
      <vt:lpstr>ÉtiquetteCléPersonnel</vt:lpstr>
      <vt:lpstr>Août!Impression_des_titres</vt:lpstr>
      <vt:lpstr>Avril!Impression_des_titres</vt:lpstr>
      <vt:lpstr>Décembre!Impression_des_titres</vt:lpstr>
      <vt:lpstr>Février!Impression_des_titres</vt:lpstr>
      <vt:lpstr>Janvier!Impression_des_titres</vt:lpstr>
      <vt:lpstr>Juillet!Impression_des_titres</vt:lpstr>
      <vt:lpstr>Juin!Impression_des_titres</vt:lpstr>
      <vt:lpstr>Mai!Impression_des_titres</vt:lpstr>
      <vt:lpstr>Mars!Impression_des_titres</vt:lpstr>
      <vt:lpstr>Novembre!Impression_des_titres</vt:lpstr>
      <vt:lpstr>Octobre!Impression_des_titres</vt:lpstr>
      <vt:lpstr>Septembre!Impression_des_titres</vt:lpstr>
      <vt:lpstr>Nom_clé</vt:lpstr>
      <vt:lpstr>Août!NomMois</vt:lpstr>
      <vt:lpstr>Avril!NomMois</vt:lpstr>
      <vt:lpstr>Décembre!NomMois</vt:lpstr>
      <vt:lpstr>Février!NomMois</vt:lpstr>
      <vt:lpstr>Janvier!NomMois</vt:lpstr>
      <vt:lpstr>Juillet!NomMois</vt:lpstr>
      <vt:lpstr>Juin!NomMois</vt:lpstr>
      <vt:lpstr>Mai!NomMois</vt:lpstr>
      <vt:lpstr>Mars!NomMois</vt:lpstr>
      <vt:lpstr>Novembre!NomMois</vt:lpstr>
      <vt:lpstr>Octobre!NomMois</vt:lpstr>
      <vt:lpstr>Septembre!NomMois</vt:lpstr>
      <vt:lpstr>Titre_Absence_Employé</vt:lpstr>
      <vt:lpstr>Titre1</vt:lpstr>
      <vt:lpstr>Titre10</vt:lpstr>
      <vt:lpstr>Titre11</vt:lpstr>
      <vt:lpstr>Titre12</vt:lpstr>
      <vt:lpstr>Titre2</vt:lpstr>
      <vt:lpstr>Titre3</vt:lpstr>
      <vt:lpstr>Titre4</vt:lpstr>
      <vt:lpstr>Titre5</vt:lpstr>
      <vt:lpstr>Titre6</vt:lpstr>
      <vt:lpstr>Titre7</vt:lpstr>
      <vt:lpstr>Titre8</vt:lpstr>
      <vt:lpstr>Titre9</vt:lpstr>
      <vt:lpstr>TitreColonne13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Muriel ARNAUD</dc:creator>
  <cp:lastModifiedBy>Muriel ARNAUD</cp:lastModifiedBy>
  <dcterms:created xsi:type="dcterms:W3CDTF">2016-12-06T04:52:27Z</dcterms:created>
  <dcterms:modified xsi:type="dcterms:W3CDTF">2023-03-12T10:45:07Z</dcterms:modified>
</cp:coreProperties>
</file>