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Calcul prix passerelle" sheetId="2" r:id="rId1"/>
    <sheet name="Structure porteuse" sheetId="1" r:id="rId2"/>
    <sheet name="Données listes" sheetId="3" r:id="rId3"/>
  </sheets>
  <definedNames>
    <definedName name="distance">'Structure porteuse'!#REF!</definedName>
    <definedName name="entraxe_solive">'Structure porteuse'!$AI$4:$AL$4</definedName>
    <definedName name="entraxe_solive2">'Structure porteuse'!$AQ$4:$AT$4</definedName>
    <definedName name="L.longerons">'Structure porteuse'!$AH$9:$AH$41</definedName>
    <definedName name="Largeur">'Données listes'!$B$2:$B$5</definedName>
    <definedName name="Longeur_longerons">'Structure porteuse'!$AH$13:$AH$41</definedName>
    <definedName name="Longueur">'Données listes'!$A$6:$A$38</definedName>
    <definedName name="Longueur_longerons">'Structure porteuse'!$AH$13:$AH$140</definedName>
    <definedName name="longueur_longerons2">'Structure porteuse'!$AP$13:$AP$41</definedName>
    <definedName name="prices46x120">#REF!</definedName>
    <definedName name="prices46x68">#REF!</definedName>
    <definedName name="prices46x90">#REF!</definedName>
    <definedName name="prices68x120">#REF!</definedName>
    <definedName name="prices68x68">#REF!</definedName>
    <definedName name="prices68x90">#REF!</definedName>
    <definedName name="prices90x120">#REF!</definedName>
    <definedName name="prices90x90">#REF!</definedName>
    <definedName name="pricesclin22">#REF!</definedName>
    <definedName name="pricesclin36">#REF!</definedName>
    <definedName name="pricescouv36x145">#REF!</definedName>
    <definedName name="pricescouv36x190">#REF!</definedName>
    <definedName name="priceslambom22x90">#REF!</definedName>
    <definedName name="privaletude">#REF!</definedName>
    <definedName name="prixcestasjon27x27">#REF!</definedName>
  </definedNames>
  <calcPr calcId="162913"/>
</workbook>
</file>

<file path=xl/calcChain.xml><?xml version="1.0" encoding="utf-8"?>
<calcChain xmlns="http://schemas.openxmlformats.org/spreadsheetml/2006/main">
  <c r="C10" i="1" l="1"/>
  <c r="D10" i="1"/>
  <c r="M68" i="1"/>
  <c r="F3" i="1"/>
  <c r="F21" i="1" l="1"/>
  <c r="F15" i="1"/>
  <c r="D56" i="2"/>
  <c r="M150" i="1" l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5" i="1"/>
  <c r="M6" i="1"/>
  <c r="M4" i="1"/>
  <c r="I32" i="2" l="1"/>
  <c r="I33" i="2"/>
  <c r="I34" i="2"/>
  <c r="C38" i="1" l="1"/>
  <c r="D55" i="2" l="1"/>
  <c r="E55" i="2"/>
  <c r="D50" i="2"/>
  <c r="D51" i="2"/>
  <c r="E51" i="2"/>
  <c r="D52" i="2"/>
  <c r="D53" i="2"/>
  <c r="E53" i="2"/>
  <c r="D54" i="2"/>
  <c r="E54" i="2"/>
  <c r="D49" i="2"/>
  <c r="E49" i="2"/>
  <c r="C49" i="2"/>
  <c r="D48" i="2"/>
  <c r="E48" i="2"/>
  <c r="F48" i="2"/>
  <c r="G48" i="2"/>
  <c r="G49" i="2" l="1"/>
  <c r="C48" i="2" l="1"/>
  <c r="M3" i="1"/>
  <c r="E20" i="1"/>
  <c r="F20" i="1" s="1"/>
  <c r="S4" i="1"/>
  <c r="S5" i="1"/>
  <c r="S6" i="1"/>
  <c r="S7" i="1"/>
  <c r="S8" i="1"/>
  <c r="S9" i="1"/>
  <c r="S10" i="1"/>
  <c r="S11" i="1"/>
  <c r="S12" i="1"/>
  <c r="S13" i="1"/>
  <c r="S14" i="1"/>
  <c r="S3" i="1"/>
  <c r="BL4" i="1"/>
  <c r="BL5" i="1"/>
  <c r="BL6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3" i="1"/>
  <c r="C15" i="2" l="1"/>
  <c r="E16" i="1" s="1"/>
  <c r="F16" i="1" s="1"/>
  <c r="F51" i="2"/>
  <c r="F53" i="2"/>
  <c r="F54" i="2"/>
  <c r="F55" i="2"/>
  <c r="F49" i="2"/>
  <c r="B42" i="2" l="1"/>
  <c r="I42" i="2" s="1"/>
  <c r="B41" i="2"/>
  <c r="I41" i="2" s="1"/>
  <c r="B40" i="2"/>
  <c r="B36" i="2"/>
  <c r="B37" i="2"/>
  <c r="B38" i="2"/>
  <c r="B39" i="2"/>
  <c r="I39" i="2" s="1"/>
  <c r="I38" i="2" l="1"/>
  <c r="I37" i="2"/>
  <c r="I36" i="2"/>
  <c r="E36" i="2"/>
  <c r="I40" i="2"/>
  <c r="E40" i="2"/>
  <c r="D40" i="2"/>
  <c r="C40" i="2"/>
  <c r="F41" i="2"/>
  <c r="C41" i="2"/>
  <c r="D41" i="2"/>
  <c r="E41" i="2"/>
  <c r="D38" i="2"/>
  <c r="C38" i="2"/>
  <c r="C37" i="2"/>
  <c r="D37" i="2"/>
  <c r="D36" i="2"/>
  <c r="C36" i="2"/>
  <c r="C42" i="2"/>
  <c r="D42" i="2"/>
  <c r="G39" i="2"/>
  <c r="D39" i="2"/>
  <c r="C39" i="2"/>
  <c r="B55" i="2"/>
  <c r="B53" i="2"/>
  <c r="F40" i="2" l="1"/>
  <c r="E17" i="1"/>
  <c r="F17" i="1" s="1"/>
  <c r="E37" i="2" l="1"/>
  <c r="B3" i="1"/>
  <c r="C3" i="1"/>
  <c r="G22" i="1" l="1"/>
  <c r="G42" i="2" s="1"/>
  <c r="G18" i="1"/>
  <c r="G38" i="2" s="1"/>
  <c r="E11" i="1"/>
  <c r="C14" i="1"/>
  <c r="E13" i="1"/>
  <c r="F13" i="1" s="1"/>
  <c r="G13" i="1"/>
  <c r="D3" i="1"/>
  <c r="E10" i="1"/>
  <c r="F37" i="2"/>
  <c r="F36" i="2"/>
  <c r="G15" i="1" l="1"/>
  <c r="C37" i="1" s="1"/>
  <c r="E3" i="1"/>
  <c r="F38" i="2"/>
  <c r="E38" i="2"/>
  <c r="E33" i="2"/>
  <c r="G20" i="1"/>
  <c r="G11" i="1"/>
  <c r="C40" i="1" s="1"/>
  <c r="C56" i="2" s="1"/>
  <c r="G16" i="1" l="1"/>
  <c r="G17" i="1" s="1"/>
  <c r="G21" i="1"/>
  <c r="G41" i="2" s="1"/>
  <c r="C12" i="1"/>
  <c r="C11" i="1"/>
  <c r="C54" i="2"/>
  <c r="G54" i="2" s="1"/>
  <c r="G40" i="2"/>
  <c r="C36" i="1"/>
  <c r="H38" i="2"/>
  <c r="D12" i="1"/>
  <c r="D11" i="1"/>
  <c r="H41" i="2" l="1"/>
  <c r="J41" i="2" s="1"/>
  <c r="C35" i="1"/>
  <c r="I31" i="2"/>
  <c r="E56" i="2"/>
  <c r="G56" i="2" s="1"/>
  <c r="B56" i="2"/>
  <c r="C53" i="2"/>
  <c r="G53" i="2" s="1"/>
  <c r="E42" i="2"/>
  <c r="H40" i="2"/>
  <c r="J40" i="2" s="1"/>
  <c r="B35" i="2"/>
  <c r="C52" i="2" l="1"/>
  <c r="E52" i="2"/>
  <c r="F52" i="2"/>
  <c r="F56" i="2"/>
  <c r="I35" i="2"/>
  <c r="E35" i="2"/>
  <c r="H42" i="2"/>
  <c r="J42" i="2" s="1"/>
  <c r="F42" i="2"/>
  <c r="C35" i="2"/>
  <c r="H35" i="2"/>
  <c r="D35" i="2"/>
  <c r="F35" i="2"/>
  <c r="G35" i="2"/>
  <c r="D33" i="2"/>
  <c r="B31" i="2"/>
  <c r="B32" i="2"/>
  <c r="B33" i="2"/>
  <c r="B34" i="2"/>
  <c r="B30" i="2"/>
  <c r="G52" i="2" l="1"/>
  <c r="B52" i="2"/>
  <c r="C13" i="1" l="1"/>
  <c r="B50" i="2" l="1"/>
  <c r="C33" i="2"/>
  <c r="E50" i="2" l="1"/>
  <c r="F50" i="2"/>
  <c r="B51" i="2"/>
  <c r="B54" i="2"/>
  <c r="B49" i="2" l="1"/>
  <c r="N146" i="1" l="1"/>
  <c r="N145" i="1"/>
  <c r="N144" i="1"/>
  <c r="N142" i="1"/>
  <c r="N141" i="1"/>
  <c r="N140" i="1"/>
  <c r="N138" i="1"/>
  <c r="N137" i="1"/>
  <c r="N136" i="1"/>
  <c r="N134" i="1"/>
  <c r="N133" i="1"/>
  <c r="N132" i="1"/>
  <c r="N130" i="1"/>
  <c r="N129" i="1"/>
  <c r="N128" i="1"/>
  <c r="N126" i="1"/>
  <c r="N125" i="1"/>
  <c r="N124" i="1"/>
  <c r="N122" i="1"/>
  <c r="N121" i="1"/>
  <c r="N120" i="1"/>
  <c r="N118" i="1"/>
  <c r="N117" i="1"/>
  <c r="N116" i="1"/>
  <c r="N114" i="1"/>
  <c r="N113" i="1"/>
  <c r="N112" i="1"/>
  <c r="N110" i="1"/>
  <c r="N109" i="1"/>
  <c r="N108" i="1"/>
  <c r="N106" i="1"/>
  <c r="N105" i="1"/>
  <c r="N104" i="1"/>
  <c r="N102" i="1"/>
  <c r="N101" i="1"/>
  <c r="N100" i="1"/>
  <c r="N98" i="1"/>
  <c r="N97" i="1"/>
  <c r="N96" i="1"/>
  <c r="G10" i="1"/>
  <c r="D30" i="2" l="1"/>
  <c r="C32" i="2"/>
  <c r="G30" i="2"/>
  <c r="C34" i="2"/>
  <c r="D14" i="1"/>
  <c r="F10" i="1"/>
  <c r="H30" i="2" l="1"/>
  <c r="I30" i="2"/>
  <c r="C30" i="2"/>
  <c r="E19" i="1"/>
  <c r="F19" i="1" s="1"/>
  <c r="D34" i="2"/>
  <c r="G33" i="2"/>
  <c r="E30" i="2"/>
  <c r="F11" i="1" l="1"/>
  <c r="E31" i="2"/>
  <c r="E39" i="2"/>
  <c r="G36" i="2"/>
  <c r="H36" i="2"/>
  <c r="G37" i="2"/>
  <c r="H37" i="2"/>
  <c r="F33" i="2"/>
  <c r="H33" i="2"/>
  <c r="J30" i="2"/>
  <c r="F30" i="2"/>
  <c r="J35" i="2"/>
  <c r="F31" i="2" l="1"/>
  <c r="F39" i="2"/>
  <c r="J33" i="2"/>
  <c r="J36" i="2"/>
  <c r="J38" i="2"/>
  <c r="J37" i="2"/>
  <c r="H39" i="2" l="1"/>
  <c r="J39" i="2"/>
  <c r="G7" i="2"/>
  <c r="D31" i="2" l="1"/>
  <c r="D32" i="2"/>
  <c r="G31" i="2"/>
  <c r="C17" i="2" s="1"/>
  <c r="G14" i="1" s="1"/>
  <c r="G34" i="2" l="1"/>
  <c r="G12" i="1"/>
  <c r="C39" i="1" s="1"/>
  <c r="C34" i="1" s="1"/>
  <c r="E12" i="1"/>
  <c r="F12" i="1" s="1"/>
  <c r="E14" i="1"/>
  <c r="F14" i="1" s="1"/>
  <c r="C31" i="2"/>
  <c r="E32" i="2" l="1"/>
  <c r="E34" i="2"/>
  <c r="G32" i="2"/>
  <c r="G43" i="2" s="1"/>
  <c r="C33" i="1"/>
  <c r="H31" i="2"/>
  <c r="J31" i="2"/>
  <c r="C16" i="2"/>
  <c r="C55" i="2" l="1"/>
  <c r="G55" i="2" s="1"/>
  <c r="C50" i="2"/>
  <c r="G50" i="2" s="1"/>
  <c r="F32" i="2"/>
  <c r="F34" i="2"/>
  <c r="C21" i="2" l="1"/>
  <c r="C51" i="2"/>
  <c r="G51" i="2" s="1"/>
  <c r="G57" i="2" s="1"/>
  <c r="C20" i="2" s="1"/>
  <c r="H34" i="2"/>
  <c r="J34" i="2"/>
  <c r="H32" i="2"/>
  <c r="H43" i="2" s="1"/>
  <c r="J32" i="2"/>
  <c r="J43" i="2" s="1"/>
  <c r="C19" i="2" l="1"/>
  <c r="G3" i="2"/>
  <c r="C24" i="2" l="1"/>
  <c r="G4" i="2" l="1"/>
  <c r="G6" i="2"/>
  <c r="G5" i="2"/>
</calcChain>
</file>

<file path=xl/sharedStrings.xml><?xml version="1.0" encoding="utf-8"?>
<sst xmlns="http://schemas.openxmlformats.org/spreadsheetml/2006/main" count="403" uniqueCount="124">
  <si>
    <t>Largeur</t>
  </si>
  <si>
    <t>Solives</t>
  </si>
  <si>
    <t>Distance entre appuis</t>
  </si>
  <si>
    <t>Epaisseur</t>
  </si>
  <si>
    <t>Entraxe</t>
  </si>
  <si>
    <t>Longerons</t>
  </si>
  <si>
    <t>Longueur</t>
  </si>
  <si>
    <t>Largeur de passage</t>
  </si>
  <si>
    <t>TC</t>
  </si>
  <si>
    <t>Longueurs</t>
  </si>
  <si>
    <t>Largeurs</t>
  </si>
  <si>
    <t>Désignation</t>
  </si>
  <si>
    <t>Sommier</t>
  </si>
  <si>
    <t>Solive</t>
  </si>
  <si>
    <t>Poteaux</t>
  </si>
  <si>
    <t>Main courante</t>
  </si>
  <si>
    <t>Contreventement</t>
  </si>
  <si>
    <t>NOM</t>
  </si>
  <si>
    <t>Coeff de choix</t>
  </si>
  <si>
    <t>Qté</t>
  </si>
  <si>
    <t>Entraxe sommiers = longueur solives</t>
  </si>
  <si>
    <t>€/m3</t>
  </si>
  <si>
    <t>€ total</t>
  </si>
  <si>
    <t>Détail BOIS</t>
  </si>
  <si>
    <t>Détail QUINCAILLERIE</t>
  </si>
  <si>
    <t>PARTIE BOIS</t>
  </si>
  <si>
    <t>PARTIE QUINCAILLERIE</t>
  </si>
  <si>
    <t>INDICATEURS DE CONTRÔLE</t>
  </si>
  <si>
    <t>Prix / ml de GC</t>
  </si>
  <si>
    <r>
      <t>Prix / m</t>
    </r>
    <r>
      <rPr>
        <b/>
        <vertAlign val="super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 xml:space="preserve"> de passerelle</t>
    </r>
  </si>
  <si>
    <r>
      <t>Prix /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(bois uniquement)</t>
    </r>
  </si>
  <si>
    <r>
      <t>Prix /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(tout compris)</t>
    </r>
  </si>
  <si>
    <t>OUI</t>
  </si>
  <si>
    <t>NON</t>
  </si>
  <si>
    <t>Prix / ml de passerelle</t>
  </si>
  <si>
    <t>LONGUEUR</t>
  </si>
  <si>
    <t>GC</t>
  </si>
  <si>
    <t>TYPE DE GARDE-CORPS</t>
  </si>
  <si>
    <t>VERTICAL</t>
  </si>
  <si>
    <t>HORIZONTAL</t>
  </si>
  <si>
    <t>EPAISSEUR PLATELAGE</t>
  </si>
  <si>
    <t>Lame de terrasse</t>
  </si>
  <si>
    <t>Chasse-roue</t>
  </si>
  <si>
    <t>ETUDE + FRAIS ADMIN</t>
  </si>
  <si>
    <t>LARGEUR DE PASSAGE (3M EN DEUX FOIS 1,5M)</t>
  </si>
  <si>
    <t>Traitement</t>
  </si>
  <si>
    <t>Platelage</t>
  </si>
  <si>
    <t>Entraxe GC</t>
  </si>
  <si>
    <t>TC std traitement</t>
  </si>
  <si>
    <t>unité</t>
  </si>
  <si>
    <t>€/m3F</t>
  </si>
  <si>
    <t>M4</t>
  </si>
  <si>
    <t>T4</t>
  </si>
  <si>
    <t>Détail TRAITEMENT</t>
  </si>
  <si>
    <t>TRAITEMENT</t>
  </si>
  <si>
    <t>€/volume</t>
  </si>
  <si>
    <t>Lisse basse</t>
  </si>
  <si>
    <t>Lisse haute</t>
  </si>
  <si>
    <t>Longueur longeron</t>
  </si>
  <si>
    <t>Entraxe poteaux</t>
  </si>
  <si>
    <t>Vide tasseaux GC vertical</t>
  </si>
  <si>
    <t xml:space="preserve">Montage </t>
  </si>
  <si>
    <t>Détail CONFIGURATION</t>
  </si>
  <si>
    <t>Valeur</t>
  </si>
  <si>
    <t>ENTRAXE POTEAUX GARDE-CORPS (2M MAXI)</t>
  </si>
  <si>
    <t>HAUTEUR GC</t>
  </si>
  <si>
    <t>ENTRAXE SOMMIERS = LONGUEUR SOLIVE</t>
  </si>
  <si>
    <t>NOMBRE CONTREVENTEMENTS</t>
  </si>
  <si>
    <t xml:space="preserve">GARDE-CORPS </t>
  </si>
  <si>
    <t xml:space="preserve">CHASSE-ROUE </t>
  </si>
  <si>
    <t>Tasseaux lame de terrasse</t>
  </si>
  <si>
    <t>Tasseaux GC vertical</t>
  </si>
  <si>
    <t>€/u</t>
  </si>
  <si>
    <t xml:space="preserve">ESSENCE </t>
  </si>
  <si>
    <t>Essence</t>
  </si>
  <si>
    <t>PIN</t>
  </si>
  <si>
    <t>DOUGLAS</t>
  </si>
  <si>
    <t>M3</t>
  </si>
  <si>
    <t>T3</t>
  </si>
  <si>
    <t>Largueur de passage</t>
  </si>
  <si>
    <t>Lame GC horizontale</t>
  </si>
  <si>
    <t>Surlongueur</t>
  </si>
  <si>
    <t>Volume Brut</t>
  </si>
  <si>
    <t>Volume brut</t>
  </si>
  <si>
    <t>FRAIS DE PREPARATION/COLISAGE</t>
  </si>
  <si>
    <t>Prix au 100 unités</t>
  </si>
  <si>
    <t>Sous-traitance Eurolamellé</t>
  </si>
  <si>
    <t>VIDE TASSEAUX GC VERTICALE</t>
  </si>
  <si>
    <t>ok</t>
  </si>
  <si>
    <t>Critère</t>
  </si>
  <si>
    <t>Longeron</t>
  </si>
  <si>
    <t>Quantités</t>
  </si>
  <si>
    <t>Conditionnements</t>
  </si>
  <si>
    <t>Détail Montage</t>
  </si>
  <si>
    <t>Coût par quincaillerie</t>
  </si>
  <si>
    <t>Nombre de quincaillerie</t>
  </si>
  <si>
    <t>Coût montage</t>
  </si>
  <si>
    <t>MONTAGE</t>
  </si>
  <si>
    <t>€/m^3</t>
  </si>
  <si>
    <t>Détails</t>
  </si>
  <si>
    <t>Changement du prix bois</t>
  </si>
  <si>
    <t>102% ELS</t>
  </si>
  <si>
    <t>DG</t>
  </si>
  <si>
    <t>Voir si Pin</t>
  </si>
  <si>
    <t>Valeur 6m</t>
  </si>
  <si>
    <t>101% ELU</t>
  </si>
  <si>
    <t>Valeur 7m</t>
  </si>
  <si>
    <t>Valeur 8m</t>
  </si>
  <si>
    <t>Valeur 9m</t>
  </si>
  <si>
    <t>Valeur 10m</t>
  </si>
  <si>
    <t>Valeur 11m</t>
  </si>
  <si>
    <t>Valeur 12m</t>
  </si>
  <si>
    <t>Valeur 13m</t>
  </si>
  <si>
    <t>103% ELU</t>
  </si>
  <si>
    <t>Pin 140x640</t>
  </si>
  <si>
    <t>Pin 140x720</t>
  </si>
  <si>
    <t>Pin 140x760</t>
  </si>
  <si>
    <t>SST</t>
  </si>
  <si>
    <t>103% ELS</t>
  </si>
  <si>
    <t>100% ELS</t>
  </si>
  <si>
    <t>ou 200x680</t>
  </si>
  <si>
    <t>SST Eurolamellé</t>
  </si>
  <si>
    <t>Critères Longerons</t>
  </si>
  <si>
    <t>Critères Solives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</si>
</sst>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0.000"/>
    <numFmt numFmtId="166" formatCode="_-* #,##0\ &quot;€&quot;_-;\-* #,##0\ &quot;€&quot;_-;_-* &quot;-&quot;??\ &quot;€&quot;_-;_-@_-"/>
    <numFmt numFmtId="167" formatCode="_-* #,##0\ &quot;€&quot;_-;\-* #,##0\ &quot;€&quot;_-;_-* &quot;-&quot;???\ &quot;€&quot;_-;_-@_-"/>
    <numFmt numFmtId="168" formatCode="_-* #,##0.0_-;\-* #,##0.0_-;_-* &quot;-&quot;??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CAE4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3" borderId="4" xfId="2" applyBorder="1" applyAlignment="1">
      <alignment horizontal="center" vertical="center"/>
    </xf>
    <xf numFmtId="0" fontId="1" fillId="4" borderId="4" xfId="3" applyBorder="1" applyAlignment="1">
      <alignment horizontal="center" vertical="center"/>
    </xf>
    <xf numFmtId="0" fontId="1" fillId="3" borderId="5" xfId="2" applyBorder="1" applyAlignment="1">
      <alignment horizontal="center" vertical="center"/>
    </xf>
    <xf numFmtId="0" fontId="1" fillId="4" borderId="3" xfId="3" applyBorder="1" applyAlignment="1">
      <alignment horizontal="center" vertical="center"/>
    </xf>
    <xf numFmtId="0" fontId="1" fillId="4" borderId="5" xfId="3" applyBorder="1" applyAlignment="1">
      <alignment horizontal="center" vertical="center"/>
    </xf>
    <xf numFmtId="0" fontId="1" fillId="4" borderId="7" xfId="3" applyBorder="1" applyAlignment="1">
      <alignment horizontal="center" vertical="center"/>
    </xf>
    <xf numFmtId="0" fontId="1" fillId="4" borderId="6" xfId="3" applyBorder="1" applyAlignment="1">
      <alignment horizontal="center" vertical="center"/>
    </xf>
    <xf numFmtId="0" fontId="0" fillId="0" borderId="0" xfId="0" applyAlignment="1">
      <alignment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1" fontId="1" fillId="2" borderId="4" xfId="1" applyNumberFormat="1" applyBorder="1" applyAlignment="1">
      <alignment horizontal="center" vertical="center"/>
    </xf>
    <xf numFmtId="1" fontId="1" fillId="6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7" borderId="4" xfId="0" applyFill="1" applyBorder="1" applyAlignment="1">
      <alignment horizontal="center" vertical="center"/>
    </xf>
    <xf numFmtId="1" fontId="0" fillId="7" borderId="4" xfId="0" applyNumberForma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1" fontId="0" fillId="8" borderId="4" xfId="0" applyNumberForma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165" fontId="0" fillId="8" borderId="4" xfId="0" applyNumberFormat="1" applyFill="1" applyBorder="1" applyAlignment="1">
      <alignment horizontal="center" vertical="center"/>
    </xf>
    <xf numFmtId="0" fontId="4" fillId="9" borderId="2" xfId="0" applyFont="1" applyFill="1" applyBorder="1" applyAlignment="1">
      <alignment vertical="center"/>
    </xf>
    <xf numFmtId="0" fontId="0" fillId="9" borderId="3" xfId="0" applyFill="1" applyBorder="1" applyAlignment="1">
      <alignment vertical="center"/>
    </xf>
    <xf numFmtId="166" fontId="0" fillId="8" borderId="4" xfId="8" applyNumberFormat="1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2" fillId="10" borderId="11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left" vertical="center" wrapText="1"/>
    </xf>
    <xf numFmtId="166" fontId="2" fillId="11" borderId="11" xfId="8" applyNumberFormat="1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67" fontId="2" fillId="13" borderId="11" xfId="0" applyNumberFormat="1" applyFont="1" applyFill="1" applyBorder="1" applyAlignment="1">
      <alignment vertical="center"/>
    </xf>
    <xf numFmtId="167" fontId="2" fillId="13" borderId="13" xfId="0" applyNumberFormat="1" applyFont="1" applyFill="1" applyBorder="1" applyAlignment="1">
      <alignment vertical="center"/>
    </xf>
    <xf numFmtId="0" fontId="2" fillId="7" borderId="4" xfId="0" applyFont="1" applyFill="1" applyBorder="1" applyAlignment="1">
      <alignment horizontal="left" vertical="center"/>
    </xf>
    <xf numFmtId="0" fontId="0" fillId="7" borderId="4" xfId="0" applyFont="1" applyFill="1" applyBorder="1" applyAlignment="1">
      <alignment horizontal="center" vertical="center"/>
    </xf>
    <xf numFmtId="165" fontId="0" fillId="7" borderId="4" xfId="0" applyNumberFormat="1" applyFont="1" applyFill="1" applyBorder="1" applyAlignment="1">
      <alignment horizontal="center" vertical="center"/>
    </xf>
    <xf numFmtId="166" fontId="0" fillId="7" borderId="4" xfId="8" applyNumberFormat="1" applyFont="1" applyFill="1" applyBorder="1" applyAlignment="1">
      <alignment horizontal="center" vertical="center"/>
    </xf>
    <xf numFmtId="166" fontId="2" fillId="7" borderId="4" xfId="8" applyNumberFormat="1" applyFont="1" applyFill="1" applyBorder="1" applyAlignment="1">
      <alignment horizontal="center" vertical="center"/>
    </xf>
    <xf numFmtId="1" fontId="0" fillId="7" borderId="4" xfId="0" applyNumberFormat="1" applyFont="1" applyFill="1" applyBorder="1" applyAlignment="1">
      <alignment horizontal="center" vertical="center"/>
    </xf>
    <xf numFmtId="166" fontId="1" fillId="7" borderId="4" xfId="8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vertical="center"/>
    </xf>
    <xf numFmtId="44" fontId="0" fillId="0" borderId="0" xfId="0" applyNumberFormat="1" applyAlignment="1">
      <alignment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0" fontId="1" fillId="15" borderId="5" xfId="3" applyFill="1" applyBorder="1" applyAlignment="1">
      <alignment horizontal="center" vertical="center"/>
    </xf>
    <xf numFmtId="0" fontId="1" fillId="15" borderId="7" xfId="3" applyFill="1" applyBorder="1" applyAlignment="1">
      <alignment horizontal="center" vertical="center"/>
    </xf>
    <xf numFmtId="0" fontId="1" fillId="15" borderId="6" xfId="3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4" xfId="2" applyFont="1" applyBorder="1" applyAlignment="1">
      <alignment horizontal="center" vertical="center"/>
    </xf>
    <xf numFmtId="0" fontId="1" fillId="3" borderId="7" xfId="2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10" fillId="8" borderId="4" xfId="0" applyFont="1" applyFill="1" applyBorder="1"/>
    <xf numFmtId="1" fontId="9" fillId="8" borderId="4" xfId="0" applyNumberFormat="1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right" vertical="center"/>
    </xf>
    <xf numFmtId="0" fontId="10" fillId="5" borderId="4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9" fillId="0" borderId="0" xfId="0" applyFont="1" applyFill="1" applyBorder="1" applyAlignment="1">
      <alignment horizontal="center"/>
    </xf>
    <xf numFmtId="0" fontId="2" fillId="7" borderId="0" xfId="0" applyFont="1" applyFill="1" applyAlignment="1">
      <alignment horizontal="left" vertical="center"/>
    </xf>
    <xf numFmtId="44" fontId="0" fillId="7" borderId="4" xfId="8" applyNumberFormat="1" applyFont="1" applyFill="1" applyBorder="1" applyAlignment="1">
      <alignment horizontal="center" vertical="center"/>
    </xf>
    <xf numFmtId="0" fontId="2" fillId="16" borderId="1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4" borderId="7" xfId="3" applyFont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44" fontId="0" fillId="7" borderId="4" xfId="8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 wrapText="1"/>
    </xf>
    <xf numFmtId="168" fontId="0" fillId="0" borderId="21" xfId="9" applyNumberFormat="1" applyFont="1" applyFill="1" applyBorder="1" applyAlignment="1">
      <alignment horizontal="center" vertical="center"/>
    </xf>
    <xf numFmtId="166" fontId="0" fillId="0" borderId="21" xfId="8" applyNumberFormat="1" applyFont="1" applyFill="1" applyBorder="1" applyAlignment="1">
      <alignment horizontal="center" vertical="center"/>
    </xf>
    <xf numFmtId="168" fontId="0" fillId="0" borderId="0" xfId="9" applyNumberFormat="1" applyFont="1" applyFill="1" applyBorder="1" applyAlignment="1">
      <alignment horizontal="center" vertical="center"/>
    </xf>
    <xf numFmtId="166" fontId="0" fillId="0" borderId="0" xfId="8" applyNumberFormat="1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1" fontId="2" fillId="11" borderId="11" xfId="0" applyNumberFormat="1" applyFont="1" applyFill="1" applyBorder="1" applyAlignment="1">
      <alignment horizontal="center" vertical="center"/>
    </xf>
    <xf numFmtId="0" fontId="10" fillId="17" borderId="10" xfId="0" applyFont="1" applyFill="1" applyBorder="1" applyAlignment="1">
      <alignment vertical="center"/>
    </xf>
    <xf numFmtId="0" fontId="10" fillId="17" borderId="10" xfId="0" applyFont="1" applyFill="1" applyBorder="1" applyAlignment="1">
      <alignment horizontal="left" vertical="center" wrapText="1"/>
    </xf>
    <xf numFmtId="0" fontId="10" fillId="12" borderId="10" xfId="0" applyFont="1" applyFill="1" applyBorder="1" applyAlignment="1">
      <alignment horizontal="left" vertical="center" wrapText="1"/>
    </xf>
    <xf numFmtId="0" fontId="1" fillId="3" borderId="22" xfId="2" applyBorder="1" applyAlignment="1">
      <alignment horizontal="center" vertical="center"/>
    </xf>
    <xf numFmtId="0" fontId="1" fillId="3" borderId="23" xfId="2" applyBorder="1" applyAlignment="1">
      <alignment horizontal="center" vertical="center"/>
    </xf>
    <xf numFmtId="0" fontId="1" fillId="9" borderId="22" xfId="2" applyFill="1" applyBorder="1" applyAlignment="1">
      <alignment horizontal="center" vertical="center"/>
    </xf>
    <xf numFmtId="0" fontId="1" fillId="9" borderId="4" xfId="2" applyFill="1" applyBorder="1" applyAlignment="1">
      <alignment horizontal="center" vertical="center"/>
    </xf>
    <xf numFmtId="0" fontId="1" fillId="9" borderId="5" xfId="2" applyFill="1" applyBorder="1" applyAlignment="1">
      <alignment horizontal="center" vertical="center"/>
    </xf>
    <xf numFmtId="0" fontId="1" fillId="9" borderId="23" xfId="2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2" fillId="5" borderId="5" xfId="0" applyFont="1" applyFill="1" applyBorder="1" applyAlignment="1">
      <alignment horizontal="center" vertical="center"/>
    </xf>
    <xf numFmtId="0" fontId="1" fillId="18" borderId="0" xfId="3" applyFill="1" applyBorder="1" applyAlignment="1">
      <alignment horizontal="center" vertical="center"/>
    </xf>
    <xf numFmtId="0" fontId="1" fillId="18" borderId="25" xfId="3" applyFill="1" applyBorder="1" applyAlignment="1">
      <alignment horizontal="center" vertical="center"/>
    </xf>
    <xf numFmtId="0" fontId="1" fillId="18" borderId="26" xfId="3" applyFill="1" applyBorder="1" applyAlignment="1">
      <alignment horizontal="center" vertical="center"/>
    </xf>
    <xf numFmtId="0" fontId="1" fillId="18" borderId="27" xfId="3" applyFill="1" applyBorder="1" applyAlignment="1">
      <alignment horizontal="center" vertical="center"/>
    </xf>
    <xf numFmtId="0" fontId="1" fillId="18" borderId="28" xfId="3" applyFill="1" applyBorder="1" applyAlignment="1">
      <alignment horizontal="center" vertical="center"/>
    </xf>
    <xf numFmtId="0" fontId="1" fillId="18" borderId="1" xfId="3" applyFill="1" applyBorder="1" applyAlignment="1">
      <alignment horizontal="center" vertical="center"/>
    </xf>
    <xf numFmtId="0" fontId="1" fillId="18" borderId="24" xfId="3" applyFill="1" applyBorder="1" applyAlignment="1">
      <alignment horizontal="center" vertical="center"/>
    </xf>
    <xf numFmtId="0" fontId="1" fillId="15" borderId="25" xfId="3" applyFill="1" applyBorder="1" applyAlignment="1">
      <alignment horizontal="center" vertical="center"/>
    </xf>
    <xf numFmtId="0" fontId="1" fillId="15" borderId="26" xfId="3" applyFill="1" applyBorder="1" applyAlignment="1">
      <alignment horizontal="center" vertical="center"/>
    </xf>
    <xf numFmtId="0" fontId="1" fillId="15" borderId="27" xfId="3" applyFill="1" applyBorder="1" applyAlignment="1">
      <alignment horizontal="center" vertical="center"/>
    </xf>
    <xf numFmtId="0" fontId="1" fillId="15" borderId="28" xfId="3" applyFill="1" applyBorder="1" applyAlignment="1">
      <alignment horizontal="center" vertical="center"/>
    </xf>
    <xf numFmtId="0" fontId="1" fillId="15" borderId="0" xfId="3" applyFill="1" applyBorder="1" applyAlignment="1">
      <alignment horizontal="center" vertical="center"/>
    </xf>
    <xf numFmtId="0" fontId="1" fillId="15" borderId="1" xfId="3" applyFill="1" applyBorder="1" applyAlignment="1">
      <alignment horizontal="center" vertical="center"/>
    </xf>
    <xf numFmtId="0" fontId="1" fillId="15" borderId="24" xfId="3" applyFill="1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10" fillId="7" borderId="4" xfId="0" applyFont="1" applyFill="1" applyBorder="1"/>
    <xf numFmtId="0" fontId="2" fillId="7" borderId="4" xfId="0" applyFont="1" applyFill="1" applyBorder="1" applyAlignment="1">
      <alignment horizontal="center" vertical="center"/>
    </xf>
    <xf numFmtId="166" fontId="5" fillId="18" borderId="13" xfId="8" applyNumberFormat="1" applyFont="1" applyFill="1" applyBorder="1" applyAlignment="1">
      <alignment horizontal="center" vertical="center"/>
    </xf>
    <xf numFmtId="0" fontId="2" fillId="19" borderId="4" xfId="0" applyFont="1" applyFill="1" applyBorder="1" applyAlignment="1">
      <alignment horizontal="left" vertical="center"/>
    </xf>
    <xf numFmtId="0" fontId="0" fillId="19" borderId="4" xfId="0" applyFill="1" applyBorder="1" applyAlignment="1">
      <alignment horizontal="center" vertical="center"/>
    </xf>
    <xf numFmtId="165" fontId="0" fillId="19" borderId="4" xfId="0" applyNumberFormat="1" applyFill="1" applyBorder="1" applyAlignment="1">
      <alignment horizontal="center" vertical="center"/>
    </xf>
    <xf numFmtId="1" fontId="0" fillId="19" borderId="4" xfId="0" applyNumberFormat="1" applyFill="1" applyBorder="1" applyAlignment="1">
      <alignment horizontal="center" vertical="center"/>
    </xf>
    <xf numFmtId="166" fontId="0" fillId="19" borderId="4" xfId="8" applyNumberFormat="1" applyFont="1" applyFill="1" applyBorder="1" applyAlignment="1">
      <alignment horizontal="center" vertical="center"/>
    </xf>
    <xf numFmtId="0" fontId="0" fillId="19" borderId="0" xfId="0" applyFill="1" applyAlignment="1">
      <alignment horizontal="center" vertical="center"/>
    </xf>
    <xf numFmtId="168" fontId="0" fillId="19" borderId="4" xfId="9" applyNumberFormat="1" applyFont="1" applyFill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20" borderId="0" xfId="0" applyFill="1" applyAlignment="1">
      <alignment vertical="center"/>
    </xf>
    <xf numFmtId="0" fontId="0" fillId="20" borderId="0" xfId="0" applyFill="1" applyAlignment="1">
      <alignment horizontal="center" vertical="center"/>
    </xf>
    <xf numFmtId="0" fontId="0" fillId="21" borderId="0" xfId="0" applyFill="1" applyAlignment="1">
      <alignment vertical="center"/>
    </xf>
    <xf numFmtId="0" fontId="0" fillId="21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vertical="center"/>
    </xf>
    <xf numFmtId="0" fontId="0" fillId="9" borderId="33" xfId="2" applyFont="1" applyFill="1" applyBorder="1" applyAlignment="1">
      <alignment horizontal="center" vertical="center"/>
    </xf>
    <xf numFmtId="0" fontId="0" fillId="9" borderId="2" xfId="2" applyFont="1" applyFill="1" applyBorder="1" applyAlignment="1">
      <alignment horizontal="center" vertical="center"/>
    </xf>
    <xf numFmtId="0" fontId="0" fillId="9" borderId="34" xfId="2" applyFont="1" applyFill="1" applyBorder="1" applyAlignment="1">
      <alignment horizontal="center" vertical="center"/>
    </xf>
    <xf numFmtId="0" fontId="0" fillId="3" borderId="33" xfId="2" applyFont="1" applyBorder="1" applyAlignment="1">
      <alignment horizontal="center" vertical="center"/>
    </xf>
    <xf numFmtId="0" fontId="0" fillId="3" borderId="2" xfId="2" applyFont="1" applyBorder="1" applyAlignment="1">
      <alignment horizontal="center" vertical="center"/>
    </xf>
    <xf numFmtId="0" fontId="0" fillId="3" borderId="34" xfId="2" applyFont="1" applyBorder="1" applyAlignment="1">
      <alignment horizontal="center" vertical="center"/>
    </xf>
    <xf numFmtId="0" fontId="0" fillId="9" borderId="25" xfId="2" applyFont="1" applyFill="1" applyBorder="1" applyAlignment="1">
      <alignment horizontal="center" vertical="center"/>
    </xf>
    <xf numFmtId="0" fontId="1" fillId="18" borderId="20" xfId="3" applyFill="1" applyBorder="1" applyAlignment="1">
      <alignment horizontal="center" vertical="center"/>
    </xf>
    <xf numFmtId="0" fontId="1" fillId="18" borderId="3" xfId="3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" fontId="1" fillId="18" borderId="26" xfId="3" applyNumberFormat="1" applyFill="1" applyBorder="1" applyAlignment="1">
      <alignment horizontal="center" vertical="center"/>
    </xf>
    <xf numFmtId="2" fontId="1" fillId="18" borderId="27" xfId="3" applyNumberFormat="1" applyFill="1" applyBorder="1" applyAlignment="1">
      <alignment horizontal="center" vertical="center"/>
    </xf>
    <xf numFmtId="0" fontId="1" fillId="18" borderId="25" xfId="3" applyNumberFormat="1" applyFill="1" applyBorder="1" applyAlignment="1">
      <alignment horizontal="center" vertical="center"/>
    </xf>
    <xf numFmtId="0" fontId="1" fillId="18" borderId="28" xfId="3" applyNumberFormat="1" applyFill="1" applyBorder="1" applyAlignment="1">
      <alignment horizontal="center" vertical="center"/>
    </xf>
    <xf numFmtId="0" fontId="1" fillId="18" borderId="1" xfId="3" applyNumberFormat="1" applyFill="1" applyBorder="1" applyAlignment="1">
      <alignment horizontal="center" vertical="center"/>
    </xf>
    <xf numFmtId="0" fontId="1" fillId="15" borderId="25" xfId="3" applyNumberFormat="1" applyFill="1" applyBorder="1" applyAlignment="1">
      <alignment horizontal="center" vertical="center"/>
    </xf>
    <xf numFmtId="0" fontId="1" fillId="15" borderId="28" xfId="3" applyNumberFormat="1" applyFill="1" applyBorder="1" applyAlignment="1">
      <alignment horizontal="center" vertical="center"/>
    </xf>
    <xf numFmtId="0" fontId="1" fillId="15" borderId="1" xfId="3" applyNumberFormat="1" applyFill="1" applyBorder="1" applyAlignment="1">
      <alignment horizontal="center" vertical="center"/>
    </xf>
    <xf numFmtId="0" fontId="1" fillId="18" borderId="28" xfId="9" applyNumberForma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16" fillId="0" borderId="0" xfId="0" applyFont="1" applyAlignment="1">
      <alignment horizontal="center" vertical="center" wrapText="1"/>
    </xf>
    <xf numFmtId="0" fontId="2" fillId="6" borderId="17" xfId="0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left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2" fillId="10" borderId="31" xfId="0" applyFont="1" applyFill="1" applyBorder="1" applyAlignment="1">
      <alignment horizontal="center" vertical="center"/>
    </xf>
    <xf numFmtId="0" fontId="2" fillId="10" borderId="32" xfId="0" applyFont="1" applyFill="1" applyBorder="1" applyAlignment="1">
      <alignment horizontal="center" vertical="center"/>
    </xf>
    <xf numFmtId="1" fontId="2" fillId="11" borderId="17" xfId="0" applyNumberFormat="1" applyFont="1" applyFill="1" applyBorder="1" applyAlignment="1">
      <alignment horizontal="center" vertical="center"/>
    </xf>
    <xf numFmtId="1" fontId="2" fillId="11" borderId="29" xfId="0" applyNumberFormat="1" applyFont="1" applyFill="1" applyBorder="1" applyAlignment="1">
      <alignment horizontal="center" vertical="center"/>
    </xf>
    <xf numFmtId="166" fontId="14" fillId="18" borderId="18" xfId="8" applyNumberFormat="1" applyFont="1" applyFill="1" applyBorder="1" applyAlignment="1">
      <alignment horizontal="center" vertical="center"/>
    </xf>
    <xf numFmtId="166" fontId="14" fillId="18" borderId="30" xfId="8" applyNumberFormat="1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left" vertical="center"/>
    </xf>
    <xf numFmtId="0" fontId="2" fillId="6" borderId="19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1" fillId="15" borderId="2" xfId="0" applyFont="1" applyFill="1" applyBorder="1" applyAlignment="1">
      <alignment horizontal="center" vertical="center"/>
    </xf>
    <xf numFmtId="0" fontId="11" fillId="15" borderId="20" xfId="0" applyFont="1" applyFill="1" applyBorder="1" applyAlignment="1">
      <alignment horizontal="center" vertical="center"/>
    </xf>
    <xf numFmtId="0" fontId="11" fillId="15" borderId="3" xfId="0" applyFont="1" applyFill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" fillId="18" borderId="26" xfId="3" applyFill="1" applyBorder="1" applyAlignment="1">
      <alignment horizontal="center" vertical="center"/>
    </xf>
    <xf numFmtId="0" fontId="1" fillId="18" borderId="0" xfId="3" applyFill="1" applyBorder="1" applyAlignment="1">
      <alignment horizontal="center" vertical="center"/>
    </xf>
    <xf numFmtId="0" fontId="1" fillId="18" borderId="24" xfId="3" applyFill="1" applyBorder="1" applyAlignment="1">
      <alignment horizontal="center" vertical="center"/>
    </xf>
    <xf numFmtId="0" fontId="1" fillId="15" borderId="26" xfId="3" applyFill="1" applyBorder="1" applyAlignment="1">
      <alignment horizontal="center" vertical="center"/>
    </xf>
    <xf numFmtId="0" fontId="1" fillId="15" borderId="0" xfId="3" applyFill="1" applyBorder="1" applyAlignment="1">
      <alignment horizontal="center" vertical="center"/>
    </xf>
    <xf numFmtId="0" fontId="1" fillId="15" borderId="24" xfId="3" applyFill="1" applyBorder="1" applyAlignment="1">
      <alignment horizontal="center" vertical="center"/>
    </xf>
  </cellXfs>
  <cellStyles count="10">
    <cellStyle name="40 % - Accent1" xfId="1" builtinId="31"/>
    <cellStyle name="40 % - Accent2" xfId="2" builtinId="35"/>
    <cellStyle name="40 % - Accent3" xfId="3" builtinId="39"/>
    <cellStyle name="Milliers" xfId="9" builtinId="3"/>
    <cellStyle name="Milliers 2" xfId="5"/>
    <cellStyle name="Monétaire" xfId="8" builtinId="4"/>
    <cellStyle name="Monétaire 2" xfId="6"/>
    <cellStyle name="Normal" xfId="0" builtinId="0"/>
    <cellStyle name="Normal 2" xfId="4"/>
    <cellStyle name="Pourcentage 2" xfId="7"/>
  </cellStyles>
  <dxfs count="1">
    <dxf>
      <font>
        <color rgb="FFFF0000"/>
      </font>
    </dxf>
  </dxfs>
  <tableStyles count="0" defaultTableStyle="TableStyleMedium2" defaultPivotStyle="PivotStyleMedium9"/>
  <colors>
    <mruColors>
      <color rgb="FF8CAE48"/>
      <color rgb="FF81A0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57"/>
  <sheetViews>
    <sheetView tabSelected="1" topLeftCell="A31" zoomScaleNormal="100" workbookViewId="0">
      <selection activeCell="B22" sqref="B22"/>
    </sheetView>
  </sheetViews>
  <sheetFormatPr baseColWidth="10" defaultColWidth="11.42578125" defaultRowHeight="15" x14ac:dyDescent="0.25"/>
  <cols>
    <col min="1" max="1" width="6.7109375" style="12" customWidth="1"/>
    <col min="2" max="2" width="43.5703125" style="12" customWidth="1"/>
    <col min="3" max="3" width="23.28515625" style="12" customWidth="1"/>
    <col min="4" max="4" width="16.7109375" style="12" customWidth="1"/>
    <col min="5" max="5" width="16.140625" style="12" customWidth="1"/>
    <col min="6" max="6" width="14.42578125" style="12" customWidth="1"/>
    <col min="7" max="7" width="14.7109375" style="12" customWidth="1"/>
    <col min="8" max="8" width="13.42578125" style="12" customWidth="1"/>
    <col min="9" max="10" width="11.42578125" style="12"/>
    <col min="11" max="11" width="20.85546875" style="12" customWidth="1"/>
    <col min="12" max="12" width="21.85546875" style="12" bestFit="1" customWidth="1"/>
    <col min="13" max="16384" width="11.42578125" style="12"/>
  </cols>
  <sheetData>
    <row r="1" spans="2:14" ht="39" customHeight="1" thickBot="1" x14ac:dyDescent="0.3">
      <c r="B1" s="150"/>
      <c r="C1" s="151"/>
      <c r="E1" s="152" t="s">
        <v>27</v>
      </c>
      <c r="F1" s="153"/>
      <c r="G1" s="154"/>
    </row>
    <row r="2" spans="2:14" x14ac:dyDescent="0.25">
      <c r="B2" s="29"/>
      <c r="C2" s="30"/>
      <c r="E2" s="29"/>
      <c r="F2" s="35"/>
      <c r="G2" s="30"/>
    </row>
    <row r="3" spans="2:14" ht="17.25" x14ac:dyDescent="0.25">
      <c r="B3" s="84" t="s">
        <v>73</v>
      </c>
      <c r="C3" s="71" t="s">
        <v>75</v>
      </c>
      <c r="E3" s="148" t="s">
        <v>30</v>
      </c>
      <c r="F3" s="149"/>
      <c r="G3" s="36" t="e">
        <f>J43/H43</f>
        <v>#DIV/0!</v>
      </c>
      <c r="J3" s="147"/>
      <c r="K3" s="147"/>
      <c r="L3" s="147"/>
      <c r="M3" s="147"/>
      <c r="N3" s="147"/>
    </row>
    <row r="4" spans="2:14" ht="17.25" x14ac:dyDescent="0.25">
      <c r="B4" s="85" t="s">
        <v>54</v>
      </c>
      <c r="C4" s="31" t="s">
        <v>51</v>
      </c>
      <c r="E4" s="148" t="s">
        <v>31</v>
      </c>
      <c r="F4" s="149"/>
      <c r="G4" s="36" t="e">
        <f>C24/H43</f>
        <v>#DIV/0!</v>
      </c>
      <c r="J4" s="147"/>
      <c r="K4" s="147"/>
      <c r="L4" s="147"/>
      <c r="M4" s="147"/>
      <c r="N4" s="147"/>
    </row>
    <row r="5" spans="2:14" ht="17.25" customHeight="1" x14ac:dyDescent="0.25">
      <c r="B5" s="86" t="s">
        <v>35</v>
      </c>
      <c r="C5" s="31">
        <v>10000</v>
      </c>
      <c r="E5" s="148" t="s">
        <v>34</v>
      </c>
      <c r="F5" s="149"/>
      <c r="G5" s="36">
        <f>$C$24/($C$5/10^3)</f>
        <v>0</v>
      </c>
      <c r="J5" s="147"/>
      <c r="K5" s="147"/>
      <c r="L5" s="147"/>
      <c r="M5" s="147"/>
      <c r="N5" s="147"/>
    </row>
    <row r="6" spans="2:14" ht="30" x14ac:dyDescent="0.25">
      <c r="B6" s="86" t="s">
        <v>44</v>
      </c>
      <c r="C6" s="31">
        <v>1500</v>
      </c>
      <c r="E6" s="148" t="s">
        <v>29</v>
      </c>
      <c r="F6" s="149"/>
      <c r="G6" s="36">
        <f>$C$24/($C$5*$C$6/10^6)</f>
        <v>0</v>
      </c>
      <c r="J6" s="147"/>
      <c r="K6" s="147"/>
      <c r="L6" s="147"/>
      <c r="M6" s="147"/>
      <c r="N6" s="147"/>
    </row>
    <row r="7" spans="2:14" ht="15.75" thickBot="1" x14ac:dyDescent="0.3">
      <c r="B7" s="85" t="s">
        <v>68</v>
      </c>
      <c r="C7" s="31" t="s">
        <v>32</v>
      </c>
      <c r="E7" s="161" t="s">
        <v>28</v>
      </c>
      <c r="F7" s="162"/>
      <c r="G7" s="37">
        <f>SUM(J35:J40,G52:G53,G54)/(2*(C5/10^3))</f>
        <v>0</v>
      </c>
      <c r="J7" s="147"/>
      <c r="K7" s="147"/>
      <c r="L7" s="147"/>
      <c r="M7" s="147"/>
      <c r="N7" s="147"/>
    </row>
    <row r="8" spans="2:14" x14ac:dyDescent="0.25">
      <c r="B8" s="85" t="s">
        <v>37</v>
      </c>
      <c r="C8" s="31" t="s">
        <v>39</v>
      </c>
    </row>
    <row r="9" spans="2:14" x14ac:dyDescent="0.25">
      <c r="B9" s="85" t="s">
        <v>65</v>
      </c>
      <c r="C9" s="31">
        <v>1100</v>
      </c>
    </row>
    <row r="10" spans="2:14" x14ac:dyDescent="0.25">
      <c r="B10" s="85" t="s">
        <v>87</v>
      </c>
      <c r="C10" s="31">
        <v>75</v>
      </c>
    </row>
    <row r="11" spans="2:14" x14ac:dyDescent="0.25">
      <c r="B11" s="86" t="s">
        <v>69</v>
      </c>
      <c r="C11" s="31" t="s">
        <v>33</v>
      </c>
    </row>
    <row r="12" spans="2:14" ht="15.75" thickBot="1" x14ac:dyDescent="0.3">
      <c r="B12" s="86" t="s">
        <v>40</v>
      </c>
      <c r="C12" s="31">
        <v>46</v>
      </c>
    </row>
    <row r="13" spans="2:14" x14ac:dyDescent="0.25">
      <c r="B13" s="86"/>
      <c r="C13" s="31"/>
      <c r="E13" s="155"/>
      <c r="F13" s="156"/>
    </row>
    <row r="14" spans="2:14" x14ac:dyDescent="0.25">
      <c r="B14" s="86"/>
      <c r="C14" s="31"/>
      <c r="E14" s="157"/>
      <c r="F14" s="158"/>
    </row>
    <row r="15" spans="2:14" ht="16.5" thickBot="1" x14ac:dyDescent="0.3">
      <c r="B15" s="85" t="s">
        <v>64</v>
      </c>
      <c r="C15" s="83">
        <f>VLOOKUP(C5,'Structure porteuse'!BK3:BL39,2)</f>
        <v>2000</v>
      </c>
      <c r="E15" s="159"/>
      <c r="F15" s="160"/>
    </row>
    <row r="16" spans="2:14" x14ac:dyDescent="0.25">
      <c r="B16" s="85" t="s">
        <v>66</v>
      </c>
      <c r="C16" s="83">
        <f>E32</f>
        <v>2000</v>
      </c>
    </row>
    <row r="17" spans="2:11" x14ac:dyDescent="0.25">
      <c r="B17" s="85" t="s">
        <v>67</v>
      </c>
      <c r="C17" s="82">
        <f>G31-1</f>
        <v>5</v>
      </c>
    </row>
    <row r="18" spans="2:11" x14ac:dyDescent="0.25">
      <c r="B18" s="29"/>
      <c r="C18" s="30"/>
      <c r="K18" s="48"/>
    </row>
    <row r="19" spans="2:11" x14ac:dyDescent="0.25">
      <c r="B19" s="32" t="s">
        <v>25</v>
      </c>
      <c r="C19" s="33">
        <f>IF(C7="OUI",J43,J43-SUM(J35:J40))+IF(C4="M3",'Structure porteuse'!E56,IF(C4="M4",'Structure porteuse'!E54,IF(C4="T3",'Structure porteuse'!E57,IF(C4="T4",'Structure porteuse'!E55))))</f>
        <v>0</v>
      </c>
    </row>
    <row r="20" spans="2:11" x14ac:dyDescent="0.25">
      <c r="B20" s="32" t="s">
        <v>26</v>
      </c>
      <c r="C20" s="33">
        <f>G57*1.05</f>
        <v>0</v>
      </c>
    </row>
    <row r="21" spans="2:11" x14ac:dyDescent="0.25">
      <c r="B21" s="32" t="s">
        <v>97</v>
      </c>
      <c r="C21" s="33">
        <f>IF(C14="NON",0,'Structure porteuse'!C48)</f>
        <v>0</v>
      </c>
    </row>
    <row r="22" spans="2:11" x14ac:dyDescent="0.25">
      <c r="B22" s="32" t="s">
        <v>84</v>
      </c>
      <c r="C22" s="33"/>
    </row>
    <row r="23" spans="2:11" x14ac:dyDescent="0.25">
      <c r="B23" s="32" t="s">
        <v>43</v>
      </c>
      <c r="C23" s="33"/>
    </row>
    <row r="24" spans="2:11" ht="24" thickBot="1" x14ac:dyDescent="0.3">
      <c r="B24" s="34" t="s">
        <v>8</v>
      </c>
      <c r="C24" s="112">
        <f>SUM(C19:C23)</f>
        <v>0</v>
      </c>
    </row>
    <row r="26" spans="2:11" x14ac:dyDescent="0.25">
      <c r="J26" s="47"/>
    </row>
    <row r="27" spans="2:11" ht="26.25" x14ac:dyDescent="0.25">
      <c r="B27" s="25" t="s">
        <v>23</v>
      </c>
      <c r="C27" s="26"/>
      <c r="J27" s="47"/>
      <c r="K27" s="47"/>
    </row>
    <row r="28" spans="2:11" x14ac:dyDescent="0.25">
      <c r="K28" s="47"/>
    </row>
    <row r="29" spans="2:11" x14ac:dyDescent="0.25">
      <c r="B29" s="14" t="s">
        <v>11</v>
      </c>
      <c r="C29" s="14" t="s">
        <v>3</v>
      </c>
      <c r="D29" s="14" t="s">
        <v>0</v>
      </c>
      <c r="E29" s="14" t="s">
        <v>6</v>
      </c>
      <c r="F29" s="14" t="s">
        <v>81</v>
      </c>
      <c r="G29" s="14" t="s">
        <v>19</v>
      </c>
      <c r="H29" s="14" t="s">
        <v>82</v>
      </c>
      <c r="I29" s="14" t="s">
        <v>21</v>
      </c>
      <c r="J29" s="14" t="s">
        <v>22</v>
      </c>
    </row>
    <row r="30" spans="2:11" x14ac:dyDescent="0.25">
      <c r="B30" s="38" t="str">
        <f>'Structure porteuse'!B10</f>
        <v>Longerons</v>
      </c>
      <c r="C30" s="39" t="e">
        <f>'Structure porteuse'!C10</f>
        <v>#N/A</v>
      </c>
      <c r="D30" s="39" t="e">
        <f>'Structure porteuse'!D10</f>
        <v>#N/A</v>
      </c>
      <c r="E30" s="39">
        <f>'Structure porteuse'!E10</f>
        <v>10000</v>
      </c>
      <c r="F30" s="39">
        <f>'Structure porteuse'!F10</f>
        <v>11100.000000000002</v>
      </c>
      <c r="G30" s="39">
        <f>'Structure porteuse'!G10</f>
        <v>2</v>
      </c>
      <c r="H30" s="40">
        <f>'Structure porteuse'!H10</f>
        <v>0</v>
      </c>
      <c r="I30" s="43">
        <f>'Structure porteuse'!I10</f>
        <v>0</v>
      </c>
      <c r="J30" s="44">
        <f>'Structure porteuse'!J10</f>
        <v>0</v>
      </c>
    </row>
    <row r="31" spans="2:11" x14ac:dyDescent="0.25">
      <c r="B31" s="38" t="str">
        <f>'Structure porteuse'!B11</f>
        <v>Sommier</v>
      </c>
      <c r="C31" s="39">
        <f>'Structure porteuse'!C11</f>
        <v>68</v>
      </c>
      <c r="D31" s="39">
        <f>'Structure porteuse'!D11</f>
        <v>220</v>
      </c>
      <c r="E31" s="39" t="e">
        <f>'Structure porteuse'!E11</f>
        <v>#N/A</v>
      </c>
      <c r="F31" s="39" t="e">
        <f>'Structure porteuse'!F11</f>
        <v>#N/A</v>
      </c>
      <c r="G31" s="39">
        <f>'Structure porteuse'!G11</f>
        <v>6</v>
      </c>
      <c r="H31" s="40">
        <f>'Structure porteuse'!H11</f>
        <v>0</v>
      </c>
      <c r="I31" s="43">
        <f>'Structure porteuse'!I11</f>
        <v>0</v>
      </c>
      <c r="J31" s="44">
        <f>'Structure porteuse'!J11</f>
        <v>0</v>
      </c>
    </row>
    <row r="32" spans="2:11" x14ac:dyDescent="0.25">
      <c r="B32" s="38" t="str">
        <f>'Structure porteuse'!B12</f>
        <v>Solive</v>
      </c>
      <c r="C32" s="39">
        <f>'Structure porteuse'!C12</f>
        <v>68</v>
      </c>
      <c r="D32" s="39">
        <f>'Structure porteuse'!D12</f>
        <v>190</v>
      </c>
      <c r="E32" s="43">
        <f>'Structure porteuse'!E12</f>
        <v>2000</v>
      </c>
      <c r="F32" s="39">
        <f>'Structure porteuse'!F12</f>
        <v>2000</v>
      </c>
      <c r="G32" s="39">
        <f>'Structure porteuse'!G12</f>
        <v>10</v>
      </c>
      <c r="H32" s="40">
        <f>'Structure porteuse'!H12</f>
        <v>0</v>
      </c>
      <c r="I32" s="43">
        <f>'Structure porteuse'!I12</f>
        <v>0</v>
      </c>
      <c r="J32" s="44">
        <f>'Structure porteuse'!J12</f>
        <v>0</v>
      </c>
    </row>
    <row r="33" spans="2:11" x14ac:dyDescent="0.25">
      <c r="B33" s="38" t="str">
        <f>'Structure porteuse'!B13</f>
        <v>Lame de terrasse</v>
      </c>
      <c r="C33" s="39">
        <f>'Structure porteuse'!C13</f>
        <v>46</v>
      </c>
      <c r="D33" s="39">
        <f>'Structure porteuse'!D13</f>
        <v>145</v>
      </c>
      <c r="E33" s="39">
        <f>'Structure porteuse'!E13</f>
        <v>1540</v>
      </c>
      <c r="F33" s="39">
        <f>'Structure porteuse'!F13</f>
        <v>2000</v>
      </c>
      <c r="G33" s="39">
        <f>'Structure porteuse'!G13</f>
        <v>69</v>
      </c>
      <c r="H33" s="40">
        <f>'Structure porteuse'!H13</f>
        <v>0</v>
      </c>
      <c r="I33" s="43">
        <f>'Structure porteuse'!I13</f>
        <v>0</v>
      </c>
      <c r="J33" s="44">
        <f>'Structure porteuse'!J13</f>
        <v>0</v>
      </c>
    </row>
    <row r="34" spans="2:11" x14ac:dyDescent="0.25">
      <c r="B34" s="38" t="str">
        <f>'Structure porteuse'!B14</f>
        <v>Contreventement</v>
      </c>
      <c r="C34" s="39">
        <f>'Structure porteuse'!C14</f>
        <v>68</v>
      </c>
      <c r="D34" s="39">
        <f>'Structure porteuse'!D14</f>
        <v>145</v>
      </c>
      <c r="E34" s="39">
        <f>'Structure porteuse'!E14</f>
        <v>2500</v>
      </c>
      <c r="F34" s="39">
        <f>'Structure porteuse'!F14</f>
        <v>2500</v>
      </c>
      <c r="G34" s="39">
        <f>'Structure porteuse'!G14</f>
        <v>5</v>
      </c>
      <c r="H34" s="40">
        <f>'Structure porteuse'!H14</f>
        <v>0</v>
      </c>
      <c r="I34" s="43">
        <f>'Structure porteuse'!I14</f>
        <v>0</v>
      </c>
      <c r="J34" s="44">
        <f>'Structure porteuse'!J14</f>
        <v>0</v>
      </c>
    </row>
    <row r="35" spans="2:11" x14ac:dyDescent="0.25">
      <c r="B35" s="38" t="str">
        <f>IF($C$7="OUI",'Structure porteuse'!B15,"")</f>
        <v>Poteaux</v>
      </c>
      <c r="C35" s="39">
        <f>IF($B35="","",'Structure porteuse'!C15)</f>
        <v>120</v>
      </c>
      <c r="D35" s="39">
        <f>IF($B35="","",'Structure porteuse'!D15)</f>
        <v>120</v>
      </c>
      <c r="E35" s="39">
        <f>IF($B35="","",'Structure porteuse'!E15)</f>
        <v>1500</v>
      </c>
      <c r="F35" s="39">
        <f>IF($B35="","",'Structure porteuse'!F15)</f>
        <v>1665.0000000000002</v>
      </c>
      <c r="G35" s="39">
        <f>IF($B35="","",'Structure porteuse'!G15)</f>
        <v>12</v>
      </c>
      <c r="H35" s="40">
        <f>IF($B35="","",'Structure porteuse'!H15)</f>
        <v>0</v>
      </c>
      <c r="I35" s="39">
        <f>IF($B35="","",'Structure porteuse'!I15)</f>
        <v>0</v>
      </c>
      <c r="J35" s="44">
        <f>'Structure porteuse'!J15</f>
        <v>0</v>
      </c>
    </row>
    <row r="36" spans="2:11" x14ac:dyDescent="0.25">
      <c r="B36" s="38" t="str">
        <f>IF($C$7="OUI",'Structure porteuse'!B16,"")</f>
        <v>Lisse basse</v>
      </c>
      <c r="C36" s="39">
        <f>IF($B36="","",'Structure porteuse'!C16)</f>
        <v>45</v>
      </c>
      <c r="D36" s="39">
        <f>IF($B36="","",'Structure porteuse'!D16)</f>
        <v>120</v>
      </c>
      <c r="E36" s="43">
        <f>IF($B36="","",'Structure porteuse'!E16)</f>
        <v>2000</v>
      </c>
      <c r="F36" s="39">
        <f>IF($B36="","",'Structure porteuse'!F16)</f>
        <v>2000</v>
      </c>
      <c r="G36" s="39">
        <f>IF($B36="","",'Structure porteuse'!G16)</f>
        <v>10</v>
      </c>
      <c r="H36" s="40">
        <f>IF($B36="","",'Structure porteuse'!H16)</f>
        <v>0</v>
      </c>
      <c r="I36" s="39">
        <f>IF($B36="","",'Structure porteuse'!I16)</f>
        <v>0</v>
      </c>
      <c r="J36" s="44">
        <f>'Structure porteuse'!J16</f>
        <v>0</v>
      </c>
      <c r="K36" s="109"/>
    </row>
    <row r="37" spans="2:11" x14ac:dyDescent="0.25">
      <c r="B37" s="38" t="str">
        <f>IF($C$7="OUI",'Structure porteuse'!B17,"")</f>
        <v>Lisse haute</v>
      </c>
      <c r="C37" s="39">
        <f>IF($B37="","",'Structure porteuse'!C17)</f>
        <v>45</v>
      </c>
      <c r="D37" s="39">
        <f>IF($B37="","",'Structure porteuse'!D17)</f>
        <v>45</v>
      </c>
      <c r="E37" s="43">
        <f>IF($B37="","",'Structure porteuse'!E17)</f>
        <v>2000</v>
      </c>
      <c r="F37" s="39">
        <f>IF($B37="","",'Structure porteuse'!F17)</f>
        <v>2000</v>
      </c>
      <c r="G37" s="39">
        <f>IF($B37="","",'Structure porteuse'!G17)</f>
        <v>10</v>
      </c>
      <c r="H37" s="40">
        <f>IF($B37="","",'Structure porteuse'!H17)</f>
        <v>0</v>
      </c>
      <c r="I37" s="39">
        <f>IF($B37="","",'Structure porteuse'!I17)</f>
        <v>0</v>
      </c>
      <c r="J37" s="44">
        <f>'Structure porteuse'!J17</f>
        <v>0</v>
      </c>
      <c r="K37" s="109"/>
    </row>
    <row r="38" spans="2:11" x14ac:dyDescent="0.25">
      <c r="B38" s="38" t="str">
        <f>IF($C$7="OUI",'Structure porteuse'!B18,"")</f>
        <v>Main courante</v>
      </c>
      <c r="C38" s="39">
        <f>IF($B38="","",'Structure porteuse'!C18)</f>
        <v>45</v>
      </c>
      <c r="D38" s="39">
        <f>IF($B38="","",'Structure porteuse'!D18)</f>
        <v>120</v>
      </c>
      <c r="E38" s="39">
        <f>IF($B38="","",'Structure porteuse'!E18)</f>
        <v>4000</v>
      </c>
      <c r="F38" s="39">
        <f>IF($B38="","",'Structure porteuse'!F18)</f>
        <v>4000</v>
      </c>
      <c r="G38" s="39">
        <f>IF($B38="","",'Structure porteuse'!G18)</f>
        <v>6</v>
      </c>
      <c r="H38" s="40">
        <f>IF($B38="","",'Structure porteuse'!H18)</f>
        <v>0</v>
      </c>
      <c r="I38" s="39">
        <f>IF($B38="","",'Structure porteuse'!I18)</f>
        <v>0</v>
      </c>
      <c r="J38" s="44">
        <f>'Structure porteuse'!J18</f>
        <v>0</v>
      </c>
      <c r="K38" s="109"/>
    </row>
    <row r="39" spans="2:11" x14ac:dyDescent="0.25">
      <c r="B39" s="38" t="str">
        <f>IF($C$7="OUI",'Structure porteuse'!B19,"")</f>
        <v>Tasseaux lame de terrasse</v>
      </c>
      <c r="C39" s="39">
        <f>IF($B39="","",'Structure porteuse'!C19)</f>
        <v>45</v>
      </c>
      <c r="D39" s="39">
        <f>IF($B39="","",'Structure porteuse'!D19)</f>
        <v>45</v>
      </c>
      <c r="E39" s="39" t="e">
        <f>IF($B39="","",'Structure porteuse'!E19)</f>
        <v>#N/A</v>
      </c>
      <c r="F39" s="39" t="e">
        <f>IF($B39="","",'Structure porteuse'!F19)</f>
        <v>#N/A</v>
      </c>
      <c r="G39" s="39">
        <f>IF($B39="","",'Structure porteuse'!G19)</f>
        <v>2</v>
      </c>
      <c r="H39" s="40">
        <f>IF($B39="","",'Structure porteuse'!H19)</f>
        <v>0</v>
      </c>
      <c r="I39" s="39">
        <f>IF($B39="","",'Structure porteuse'!I19)</f>
        <v>0</v>
      </c>
      <c r="J39" s="44">
        <f>'Structure porteuse'!J19</f>
        <v>0</v>
      </c>
      <c r="K39" s="109"/>
    </row>
    <row r="40" spans="2:11" x14ac:dyDescent="0.25">
      <c r="B40" s="38" t="str">
        <f>IF(AND(C7="OUI",C8="vertical"),'Structure porteuse'!B20,"")</f>
        <v/>
      </c>
      <c r="C40" s="39" t="str">
        <f>IF($B40="","",'Structure porteuse'!C20)</f>
        <v/>
      </c>
      <c r="D40" s="39" t="str">
        <f>IF($B40="","",'Structure porteuse'!D20)</f>
        <v/>
      </c>
      <c r="E40" s="39" t="str">
        <f>IF($B40="","",'Structure porteuse'!E20)</f>
        <v/>
      </c>
      <c r="F40" s="39" t="str">
        <f>IF($B40="","",'Structure porteuse'!F20)</f>
        <v/>
      </c>
      <c r="G40" s="39" t="str">
        <f>IF($B40="","",'Structure porteuse'!G20)</f>
        <v/>
      </c>
      <c r="H40" s="40" t="str">
        <f>IF($B40="","",'Structure porteuse'!H20)</f>
        <v/>
      </c>
      <c r="I40" s="39" t="str">
        <f>IF($B40="","",'Structure porteuse'!I20)</f>
        <v/>
      </c>
      <c r="J40" s="41">
        <f>IF(AND(C7="OUI",C8="vertical"),I40*H40,0)</f>
        <v>0</v>
      </c>
      <c r="K40" s="109"/>
    </row>
    <row r="41" spans="2:11" x14ac:dyDescent="0.25">
      <c r="B41" s="69" t="str">
        <f>IF(AND(C7="OUI",C8="horizontal"),'Structure porteuse'!B21,"")</f>
        <v>Lame GC horizontale</v>
      </c>
      <c r="C41" s="39">
        <f>IF($B41="","",'Structure porteuse'!C21)</f>
        <v>45</v>
      </c>
      <c r="D41" s="39">
        <f>IF($B41="","",'Structure porteuse'!D21)</f>
        <v>120</v>
      </c>
      <c r="E41" s="39">
        <f>IF($B41="","",'Structure porteuse'!E21)</f>
        <v>2000</v>
      </c>
      <c r="F41" s="39">
        <f>IF($B41="","",'Structure porteuse'!F21)</f>
        <v>2000</v>
      </c>
      <c r="G41" s="39">
        <f>IF($B41="","",'Structure porteuse'!G21)</f>
        <v>40</v>
      </c>
      <c r="H41" s="40">
        <f>IF($B41="","",'Structure porteuse'!H21)</f>
        <v>0</v>
      </c>
      <c r="I41" s="39">
        <f>IF($B41="","",'Structure porteuse'!I21)</f>
        <v>0</v>
      </c>
      <c r="J41" s="41">
        <f>IF(AND(C7="OUI",C8="horizontal"),I41*H41,0)</f>
        <v>0</v>
      </c>
    </row>
    <row r="42" spans="2:11" x14ac:dyDescent="0.25">
      <c r="B42" s="38" t="str">
        <f>IF(C11="oui","Chasse-roue","")</f>
        <v/>
      </c>
      <c r="C42" s="39" t="str">
        <f>IF($B42="","",'Structure porteuse'!C22)</f>
        <v/>
      </c>
      <c r="D42" s="39" t="str">
        <f>IF($B42="","",'Structure porteuse'!D22)</f>
        <v/>
      </c>
      <c r="E42" s="39" t="str">
        <f>IF($B42="","",'Structure porteuse'!E22)</f>
        <v/>
      </c>
      <c r="F42" s="39" t="str">
        <f>IF($B42="","",'Structure porteuse'!F22)</f>
        <v/>
      </c>
      <c r="G42" s="39" t="str">
        <f>IF($B42="","",'Structure porteuse'!G22)</f>
        <v/>
      </c>
      <c r="H42" s="40" t="str">
        <f>IF($B42="","",'Structure porteuse'!H22)</f>
        <v/>
      </c>
      <c r="I42" s="39" t="str">
        <f>IF($B42="","",'Structure porteuse'!I22)</f>
        <v/>
      </c>
      <c r="J42" s="76">
        <f>IF(C11="oui",I42*H42,0)</f>
        <v>0</v>
      </c>
    </row>
    <row r="43" spans="2:11" x14ac:dyDescent="0.25">
      <c r="B43" s="1"/>
      <c r="C43" s="45"/>
      <c r="D43" s="45"/>
      <c r="E43" s="45"/>
      <c r="F43" s="45"/>
      <c r="G43" s="39">
        <f>SUM(G30:G42)</f>
        <v>172</v>
      </c>
      <c r="H43" s="40">
        <f>SUM(H30:H42)</f>
        <v>0</v>
      </c>
      <c r="I43" s="46"/>
      <c r="J43" s="44">
        <f>SUM(J30:J42)</f>
        <v>0</v>
      </c>
    </row>
    <row r="46" spans="2:11" ht="26.25" x14ac:dyDescent="0.25">
      <c r="B46" s="25" t="s">
        <v>24</v>
      </c>
      <c r="C46" s="26"/>
    </row>
    <row r="48" spans="2:11" ht="30" x14ac:dyDescent="0.25">
      <c r="B48" s="14" t="s">
        <v>11</v>
      </c>
      <c r="C48" s="14" t="str">
        <f>'Structure porteuse'!C31</f>
        <v>Quantités</v>
      </c>
      <c r="D48" s="14" t="str">
        <f>'Structure porteuse'!D31</f>
        <v>Conditionnements</v>
      </c>
      <c r="E48" s="14" t="str">
        <f>'Structure porteuse'!E31</f>
        <v>Prix au 100 unités</v>
      </c>
      <c r="F48" s="14" t="str">
        <f>'Structure porteuse'!F31</f>
        <v>€/u</v>
      </c>
      <c r="G48" s="14" t="str">
        <f>'Structure porteuse'!G31</f>
        <v>€ total</v>
      </c>
    </row>
    <row r="49" spans="2:7" x14ac:dyDescent="0.25">
      <c r="B49" s="38">
        <f>'Structure porteuse'!B32</f>
        <v>0</v>
      </c>
      <c r="C49" s="39">
        <f>'Structure porteuse'!C32</f>
        <v>4</v>
      </c>
      <c r="D49" s="39">
        <f>'Structure porteuse'!D32</f>
        <v>1</v>
      </c>
      <c r="E49" s="39">
        <f>'Structure porteuse'!E32</f>
        <v>0</v>
      </c>
      <c r="F49" s="39">
        <f>'Structure porteuse'!F32</f>
        <v>0</v>
      </c>
      <c r="G49" s="70">
        <f t="shared" ref="G49:G55" si="0">ROUNDUP(C49/D49,0)*E49/100*D49</f>
        <v>0</v>
      </c>
    </row>
    <row r="50" spans="2:7" x14ac:dyDescent="0.25">
      <c r="B50" s="38">
        <f>'Structure porteuse'!B33</f>
        <v>0</v>
      </c>
      <c r="C50" s="39">
        <f>'Structure porteuse'!C33</f>
        <v>473.14285714285717</v>
      </c>
      <c r="D50" s="39">
        <f>'Structure porteuse'!D33</f>
        <v>100</v>
      </c>
      <c r="E50" s="39">
        <f>'Structure porteuse'!E33</f>
        <v>0</v>
      </c>
      <c r="F50" s="39">
        <f>'Structure porteuse'!F33</f>
        <v>0</v>
      </c>
      <c r="G50" s="70">
        <f t="shared" si="0"/>
        <v>0</v>
      </c>
    </row>
    <row r="51" spans="2:7" x14ac:dyDescent="0.25">
      <c r="B51" s="38">
        <f>'Structure porteuse'!B34</f>
        <v>0</v>
      </c>
      <c r="C51" s="39">
        <f>'Structure porteuse'!C34</f>
        <v>1500</v>
      </c>
      <c r="D51" s="39">
        <f>'Structure porteuse'!D34</f>
        <v>100</v>
      </c>
      <c r="E51" s="39">
        <f>'Structure porteuse'!E34</f>
        <v>0</v>
      </c>
      <c r="F51" s="39">
        <f>'Structure porteuse'!F34</f>
        <v>0</v>
      </c>
      <c r="G51" s="70">
        <f t="shared" si="0"/>
        <v>0</v>
      </c>
    </row>
    <row r="52" spans="2:7" x14ac:dyDescent="0.25">
      <c r="B52" s="38">
        <f>'Structure porteuse'!B35</f>
        <v>0</v>
      </c>
      <c r="C52" s="39">
        <f>'Structure porteuse'!C35</f>
        <v>160</v>
      </c>
      <c r="D52" s="39">
        <f>'Structure porteuse'!D35</f>
        <v>100</v>
      </c>
      <c r="E52" s="39">
        <f>'Structure porteuse'!E35</f>
        <v>0</v>
      </c>
      <c r="F52" s="39">
        <f>'Structure porteuse'!F35</f>
        <v>0</v>
      </c>
      <c r="G52" s="70">
        <f t="shared" si="0"/>
        <v>0</v>
      </c>
    </row>
    <row r="53" spans="2:7" x14ac:dyDescent="0.25">
      <c r="B53" s="38">
        <f>'Structure porteuse'!B36</f>
        <v>0</v>
      </c>
      <c r="C53" s="39">
        <f>'Structure porteuse'!C36</f>
        <v>144</v>
      </c>
      <c r="D53" s="39">
        <f>'Structure porteuse'!D36</f>
        <v>100</v>
      </c>
      <c r="E53" s="39">
        <f>'Structure porteuse'!E36</f>
        <v>0</v>
      </c>
      <c r="F53" s="39">
        <f>'Structure porteuse'!F36</f>
        <v>0</v>
      </c>
      <c r="G53" s="70">
        <f t="shared" si="0"/>
        <v>0</v>
      </c>
    </row>
    <row r="54" spans="2:7" x14ac:dyDescent="0.25">
      <c r="B54" s="38">
        <f>'Structure porteuse'!B37</f>
        <v>0</v>
      </c>
      <c r="C54" s="39">
        <f>'Structure porteuse'!C37</f>
        <v>36</v>
      </c>
      <c r="D54" s="39">
        <f>'Structure porteuse'!D37</f>
        <v>25</v>
      </c>
      <c r="E54" s="39">
        <f>'Structure porteuse'!E37</f>
        <v>0</v>
      </c>
      <c r="F54" s="39">
        <f>'Structure porteuse'!F37</f>
        <v>0</v>
      </c>
      <c r="G54" s="70">
        <f t="shared" si="0"/>
        <v>0</v>
      </c>
    </row>
    <row r="55" spans="2:7" x14ac:dyDescent="0.25">
      <c r="B55" s="38">
        <f>'Structure porteuse'!B39</f>
        <v>0</v>
      </c>
      <c r="C55" s="39">
        <f>'Structure porteuse'!C39</f>
        <v>30</v>
      </c>
      <c r="D55" s="39">
        <f>'Structure porteuse'!D39</f>
        <v>1</v>
      </c>
      <c r="E55" s="39">
        <f>'Structure porteuse'!E39</f>
        <v>0</v>
      </c>
      <c r="F55" s="39">
        <f>'Structure porteuse'!F39</f>
        <v>0</v>
      </c>
      <c r="G55" s="70">
        <f t="shared" si="0"/>
        <v>0</v>
      </c>
    </row>
    <row r="56" spans="2:7" x14ac:dyDescent="0.25">
      <c r="B56" s="38">
        <f>'Structure porteuse'!B40</f>
        <v>0</v>
      </c>
      <c r="C56" s="39">
        <f>'Structure porteuse'!C40</f>
        <v>12</v>
      </c>
      <c r="D56" s="39">
        <f>'Structure porteuse'!D40</f>
        <v>1</v>
      </c>
      <c r="E56" s="39">
        <f>'Structure porteuse'!E40</f>
        <v>0</v>
      </c>
      <c r="F56" s="39">
        <f>'Structure porteuse'!F40</f>
        <v>0</v>
      </c>
      <c r="G56" s="70">
        <f t="shared" ref="G56" si="1">ROUNDUP(C56/D56,0)*E56/100*D56</f>
        <v>0</v>
      </c>
    </row>
    <row r="57" spans="2:7" x14ac:dyDescent="0.25">
      <c r="G57" s="42">
        <f>SUM(G49:G55)</f>
        <v>0</v>
      </c>
    </row>
  </sheetData>
  <mergeCells count="11">
    <mergeCell ref="E13:F13"/>
    <mergeCell ref="E14:F14"/>
    <mergeCell ref="E15:F15"/>
    <mergeCell ref="E7:F7"/>
    <mergeCell ref="E6:F6"/>
    <mergeCell ref="J3:N7"/>
    <mergeCell ref="E5:F5"/>
    <mergeCell ref="E4:F4"/>
    <mergeCell ref="B1:C1"/>
    <mergeCell ref="E1:G1"/>
    <mergeCell ref="E3:F3"/>
  </mergeCells>
  <conditionalFormatting sqref="C5">
    <cfRule type="cellIs" dxfId="0" priority="1" operator="greaterThan">
      <formula>13000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'Données listes'!$B$2:$B$6</xm:f>
          </x14:formula1>
          <xm:sqref>C6</xm:sqref>
        </x14:dataValidation>
        <x14:dataValidation type="list" allowBlank="1" showInputMessage="1" showErrorMessage="1">
          <x14:formula1>
            <xm:f>'Données listes'!$A$2:$A$38</xm:f>
          </x14:formula1>
          <xm:sqref>C5</xm:sqref>
        </x14:dataValidation>
        <x14:dataValidation type="list" allowBlank="1" showInputMessage="1" showErrorMessage="1">
          <x14:formula1>
            <xm:f>'Données listes'!$C$2:$C$3</xm:f>
          </x14:formula1>
          <xm:sqref>C11 C14 C7</xm:sqref>
        </x14:dataValidation>
        <x14:dataValidation type="list" allowBlank="1" showInputMessage="1" showErrorMessage="1">
          <x14:formula1>
            <xm:f>'Données listes'!$D$2:$D$3</xm:f>
          </x14:formula1>
          <xm:sqref>C8</xm:sqref>
        </x14:dataValidation>
        <x14:dataValidation type="list" allowBlank="1" showInputMessage="1" showErrorMessage="1">
          <x14:formula1>
            <xm:f>'Données listes'!$E$2:$E$4</xm:f>
          </x14:formula1>
          <xm:sqref>C12</xm:sqref>
        </x14:dataValidation>
        <x14:dataValidation type="list" allowBlank="1" showInputMessage="1" showErrorMessage="1">
          <x14:formula1>
            <xm:f>'Données listes'!$H$2:$H$12</xm:f>
          </x14:formula1>
          <xm:sqref>C10</xm:sqref>
        </x14:dataValidation>
        <x14:dataValidation type="list" allowBlank="1" showInputMessage="1" showErrorMessage="1">
          <x14:formula1>
            <xm:f>'Données listes'!$I$2:$I$3</xm:f>
          </x14:formula1>
          <xm:sqref>C3</xm:sqref>
        </x14:dataValidation>
        <x14:dataValidation type="list" allowBlank="1" showInputMessage="1" showErrorMessage="1">
          <x14:formula1>
            <xm:f>'Données listes'!$G$2:$G$5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N151"/>
  <sheetViews>
    <sheetView zoomScale="85" zoomScaleNormal="85" workbookViewId="0">
      <selection activeCell="B97" sqref="B97"/>
    </sheetView>
  </sheetViews>
  <sheetFormatPr baseColWidth="10" defaultColWidth="9.140625" defaultRowHeight="15" outlineLevelCol="1" x14ac:dyDescent="0.25"/>
  <cols>
    <col min="1" max="1" width="3.140625" style="12" customWidth="1"/>
    <col min="2" max="2" width="55.42578125" style="12" bestFit="1" customWidth="1"/>
    <col min="3" max="3" width="24" style="1" bestFit="1" customWidth="1"/>
    <col min="4" max="4" width="20.28515625" style="1" customWidth="1"/>
    <col min="5" max="5" width="13.85546875" style="1" bestFit="1" customWidth="1"/>
    <col min="6" max="6" width="18.28515625" style="1" bestFit="1" customWidth="1"/>
    <col min="7" max="7" width="8.85546875" style="1" customWidth="1"/>
    <col min="8" max="8" width="12.140625" style="1" bestFit="1" customWidth="1"/>
    <col min="9" max="9" width="8.5703125" style="1" customWidth="1"/>
    <col min="10" max="10" width="8.5703125" style="52" bestFit="1" customWidth="1"/>
    <col min="11" max="11" width="6.42578125" style="52" customWidth="1"/>
    <col min="12" max="12" width="9.140625" style="1"/>
    <col min="13" max="13" width="11.42578125" style="1" customWidth="1"/>
    <col min="14" max="14" width="11.28515625" style="1" customWidth="1"/>
    <col min="15" max="15" width="11.42578125" style="1" customWidth="1"/>
    <col min="16" max="16" width="10.42578125" style="1" customWidth="1"/>
    <col min="17" max="17" width="9.42578125" style="1" customWidth="1"/>
    <col min="18" max="18" width="6.140625" style="1" customWidth="1"/>
    <col min="19" max="19" width="13.5703125" style="12" customWidth="1"/>
    <col min="20" max="20" width="12.5703125" style="12" customWidth="1"/>
    <col min="21" max="21" width="10.85546875" style="12" customWidth="1"/>
    <col min="22" max="22" width="10.42578125" style="12" customWidth="1"/>
    <col min="23" max="23" width="8.7109375" style="12" customWidth="1"/>
    <col min="24" max="24" width="5.42578125" style="12" customWidth="1"/>
    <col min="25" max="25" width="7.28515625" style="12" bestFit="1" customWidth="1"/>
    <col min="26" max="26" width="10.85546875" style="12" customWidth="1"/>
    <col min="27" max="27" width="9.140625" style="12" customWidth="1"/>
    <col min="28" max="28" width="9.85546875" style="12" customWidth="1"/>
    <col min="29" max="29" width="8.42578125" style="12" customWidth="1"/>
    <col min="30" max="30" width="8.5703125" style="12" bestFit="1" customWidth="1"/>
    <col min="31" max="31" width="9.140625" style="1"/>
    <col min="32" max="32" width="11" style="1" hidden="1" customWidth="1" outlineLevel="1"/>
    <col min="33" max="33" width="12.140625" style="1" hidden="1" customWidth="1" outlineLevel="1"/>
    <col min="34" max="34" width="15.140625" style="1" hidden="1" customWidth="1" outlineLevel="1"/>
    <col min="35" max="39" width="9.140625" style="1" hidden="1" customWidth="1" outlineLevel="1"/>
    <col min="40" max="40" width="12.7109375" style="1" hidden="1" customWidth="1" outlineLevel="1"/>
    <col min="41" max="41" width="12.28515625" style="1" hidden="1" customWidth="1" outlineLevel="1"/>
    <col min="42" max="42" width="12.85546875" style="1" hidden="1" customWidth="1" outlineLevel="1"/>
    <col min="43" max="47" width="9.140625" style="1" hidden="1" customWidth="1" outlineLevel="1"/>
    <col min="48" max="48" width="11.5703125" style="1" hidden="1" customWidth="1" outlineLevel="1"/>
    <col min="49" max="49" width="9.140625" style="1" hidden="1" customWidth="1" outlineLevel="1"/>
    <col min="50" max="50" width="12.85546875" style="1" hidden="1" customWidth="1" outlineLevel="1"/>
    <col min="51" max="62" width="9.140625" style="1" hidden="1" customWidth="1" outlineLevel="1"/>
    <col min="63" max="63" width="25.140625" style="1" hidden="1" customWidth="1" outlineLevel="1"/>
    <col min="64" max="64" width="22.42578125" style="1" hidden="1" customWidth="1" outlineLevel="1"/>
    <col min="65" max="65" width="9.140625" style="1" hidden="1" customWidth="1" outlineLevel="1"/>
    <col min="66" max="66" width="9.140625" style="1" collapsed="1"/>
    <col min="67" max="16384" width="9.140625" style="1"/>
  </cols>
  <sheetData>
    <row r="1" spans="1:66" s="52" customFormat="1" ht="21" x14ac:dyDescent="0.25">
      <c r="A1" s="12"/>
      <c r="B1" s="12"/>
      <c r="M1" s="167" t="s">
        <v>90</v>
      </c>
      <c r="N1" s="167"/>
      <c r="O1" s="167"/>
      <c r="P1" s="167"/>
      <c r="Q1" s="167"/>
      <c r="S1" s="167" t="s">
        <v>12</v>
      </c>
      <c r="T1" s="167"/>
      <c r="U1" s="167"/>
      <c r="V1" s="167"/>
      <c r="W1" s="167"/>
      <c r="X1" s="12"/>
      <c r="Y1" s="167" t="s">
        <v>1</v>
      </c>
      <c r="Z1" s="167"/>
      <c r="AA1" s="167"/>
      <c r="AB1" s="167"/>
      <c r="AC1" s="167"/>
      <c r="AD1" s="167"/>
    </row>
    <row r="2" spans="1:66" ht="43.5" customHeight="1" thickBot="1" x14ac:dyDescent="0.3">
      <c r="B2" s="14" t="s">
        <v>6</v>
      </c>
      <c r="C2" s="14" t="s">
        <v>7</v>
      </c>
      <c r="D2" s="14" t="s">
        <v>20</v>
      </c>
      <c r="E2" s="14" t="s">
        <v>123</v>
      </c>
      <c r="F2" s="12" t="s">
        <v>122</v>
      </c>
      <c r="J2" s="164" t="s">
        <v>86</v>
      </c>
      <c r="K2" s="165"/>
      <c r="L2" s="166"/>
      <c r="M2" s="94" t="s">
        <v>89</v>
      </c>
      <c r="N2" s="75" t="s">
        <v>2</v>
      </c>
      <c r="O2" s="75" t="s">
        <v>79</v>
      </c>
      <c r="P2" s="75" t="s">
        <v>3</v>
      </c>
      <c r="Q2" s="75" t="s">
        <v>0</v>
      </c>
      <c r="R2" s="17"/>
      <c r="S2" s="75" t="s">
        <v>89</v>
      </c>
      <c r="T2" s="75" t="s">
        <v>2</v>
      </c>
      <c r="U2" s="75" t="s">
        <v>4</v>
      </c>
      <c r="V2" s="75" t="s">
        <v>3</v>
      </c>
      <c r="W2" s="75" t="s">
        <v>0</v>
      </c>
      <c r="X2" s="18"/>
      <c r="Y2" s="14" t="s">
        <v>17</v>
      </c>
      <c r="Z2" s="14" t="s">
        <v>2</v>
      </c>
      <c r="AA2" s="14" t="s">
        <v>4</v>
      </c>
      <c r="AB2" s="14" t="s">
        <v>3</v>
      </c>
      <c r="AC2" s="14" t="s">
        <v>0</v>
      </c>
      <c r="AD2" s="14" t="s">
        <v>18</v>
      </c>
      <c r="AI2" s="163" t="s">
        <v>3</v>
      </c>
      <c r="AJ2" s="163"/>
      <c r="AK2" s="163"/>
      <c r="AN2" s="51"/>
      <c r="AO2" s="51"/>
      <c r="AP2" s="51"/>
      <c r="AQ2" s="163" t="s">
        <v>0</v>
      </c>
      <c r="AR2" s="163"/>
      <c r="AS2" s="163"/>
      <c r="AT2" s="51"/>
      <c r="AU2" s="53"/>
      <c r="AY2" s="163" t="s">
        <v>3</v>
      </c>
      <c r="AZ2" s="163"/>
      <c r="BA2" s="163"/>
      <c r="BC2" s="52"/>
      <c r="BD2" s="52"/>
      <c r="BE2" s="52"/>
      <c r="BF2" s="163" t="s">
        <v>0</v>
      </c>
      <c r="BG2" s="163"/>
      <c r="BH2" s="163"/>
      <c r="BK2" s="67" t="s">
        <v>58</v>
      </c>
      <c r="BL2" s="67" t="s">
        <v>59</v>
      </c>
      <c r="BN2" s="12"/>
    </row>
    <row r="3" spans="1:66" ht="14.25" customHeight="1" x14ac:dyDescent="0.25">
      <c r="B3" s="19">
        <f>'Calcul prix passerelle'!C5</f>
        <v>10000</v>
      </c>
      <c r="C3" s="19">
        <f>'Calcul prix passerelle'!C6</f>
        <v>1500</v>
      </c>
      <c r="D3" s="20">
        <f>VLOOKUP(B3,BK3:BL39,2)</f>
        <v>2000</v>
      </c>
      <c r="E3" s="20">
        <f>IF(1500-D3&gt;0,1500,IF(1750-D3&gt;0,1750,2000))</f>
        <v>2000</v>
      </c>
      <c r="F3" s="146" t="str">
        <f>10000 &amp; " " &amp; 1500</f>
        <v>10000 1500</v>
      </c>
      <c r="G3" s="12"/>
      <c r="M3" s="96" t="str">
        <f>N3 &amp;  " " &amp; O3</f>
        <v>2000 1000</v>
      </c>
      <c r="N3" s="168">
        <v>2000</v>
      </c>
      <c r="O3" s="97">
        <v>1000</v>
      </c>
      <c r="P3" s="97">
        <v>68</v>
      </c>
      <c r="Q3" s="98">
        <v>220</v>
      </c>
      <c r="R3" s="1" t="s">
        <v>88</v>
      </c>
      <c r="S3" s="89" t="str">
        <f>T3 &amp; " " &amp; U3</f>
        <v>1000 1500</v>
      </c>
      <c r="T3" s="89">
        <v>1000</v>
      </c>
      <c r="U3" s="127">
        <v>1500</v>
      </c>
      <c r="V3" s="89">
        <v>68</v>
      </c>
      <c r="W3" s="127">
        <v>190</v>
      </c>
      <c r="Y3" s="2" t="s">
        <v>1</v>
      </c>
      <c r="Z3" s="15">
        <v>1500</v>
      </c>
      <c r="AA3" s="4">
        <v>500</v>
      </c>
      <c r="AB3" s="4">
        <v>68</v>
      </c>
      <c r="AC3" s="4">
        <v>145</v>
      </c>
      <c r="AD3" s="16"/>
      <c r="AG3" s="13" t="s">
        <v>17</v>
      </c>
      <c r="AH3" s="14" t="s">
        <v>2</v>
      </c>
      <c r="AN3" s="51"/>
      <c r="AO3" s="13" t="s">
        <v>17</v>
      </c>
      <c r="AP3" s="14" t="s">
        <v>2</v>
      </c>
      <c r="AQ3" s="51"/>
      <c r="AR3" s="51"/>
      <c r="AS3" s="51"/>
      <c r="AT3" s="51"/>
      <c r="AU3" s="53"/>
      <c r="AW3" s="14" t="s">
        <v>17</v>
      </c>
      <c r="AX3" s="14" t="s">
        <v>2</v>
      </c>
      <c r="BB3" s="58"/>
      <c r="BC3" s="52"/>
      <c r="BD3" s="14" t="s">
        <v>17</v>
      </c>
      <c r="BE3" s="14" t="s">
        <v>2</v>
      </c>
      <c r="BF3" s="52"/>
      <c r="BG3" s="52"/>
      <c r="BH3" s="52"/>
      <c r="BK3" s="52">
        <v>2000</v>
      </c>
      <c r="BL3" s="12">
        <f>BK3/ROUNDUP(BK3/2000,0)</f>
        <v>2000</v>
      </c>
      <c r="BM3" s="12"/>
      <c r="BN3" s="12"/>
    </row>
    <row r="4" spans="1:66" x14ac:dyDescent="0.25">
      <c r="C4" s="12"/>
      <c r="D4" s="12"/>
      <c r="E4" s="12"/>
      <c r="F4" s="12"/>
      <c r="G4" s="12"/>
      <c r="M4" s="99" t="str">
        <f>N3 &amp;  " " &amp; O4</f>
        <v>2000 1500</v>
      </c>
      <c r="N4" s="169"/>
      <c r="O4" s="95">
        <v>1500</v>
      </c>
      <c r="P4" s="97">
        <v>68</v>
      </c>
      <c r="Q4" s="98">
        <v>220</v>
      </c>
      <c r="R4" s="52" t="s">
        <v>88</v>
      </c>
      <c r="S4" s="90" t="str">
        <f t="shared" ref="S4:S14" si="0">T4 &amp; " " &amp; U4</f>
        <v>1000 1750</v>
      </c>
      <c r="T4" s="90">
        <v>1000</v>
      </c>
      <c r="U4" s="128">
        <v>1750</v>
      </c>
      <c r="V4" s="90">
        <v>68</v>
      </c>
      <c r="W4" s="128">
        <v>190</v>
      </c>
      <c r="Y4" s="2" t="s">
        <v>1</v>
      </c>
      <c r="Z4" s="15">
        <v>1750</v>
      </c>
      <c r="AA4" s="4">
        <v>500</v>
      </c>
      <c r="AB4" s="4">
        <v>68</v>
      </c>
      <c r="AC4" s="4">
        <v>145</v>
      </c>
      <c r="AD4" s="16"/>
      <c r="AF4" s="14" t="s">
        <v>4</v>
      </c>
      <c r="AG4" s="49"/>
      <c r="AH4" s="50"/>
      <c r="AI4" s="6">
        <v>1000</v>
      </c>
      <c r="AJ4" s="8">
        <v>1500</v>
      </c>
      <c r="AK4" s="8">
        <v>2000</v>
      </c>
      <c r="AL4" s="8">
        <v>2500</v>
      </c>
      <c r="AN4" s="14" t="s">
        <v>4</v>
      </c>
      <c r="AO4" s="49"/>
      <c r="AP4" s="50"/>
      <c r="AQ4" s="8">
        <v>1000</v>
      </c>
      <c r="AR4" s="8">
        <v>1500</v>
      </c>
      <c r="AS4" s="8">
        <v>2000</v>
      </c>
      <c r="AT4" s="8">
        <v>2500</v>
      </c>
      <c r="AU4" s="53"/>
      <c r="AV4" s="14" t="s">
        <v>4</v>
      </c>
      <c r="AW4" s="50"/>
      <c r="AX4" s="50"/>
      <c r="AY4" s="5">
        <v>2000</v>
      </c>
      <c r="AZ4" s="5">
        <v>2500</v>
      </c>
      <c r="BC4" s="14" t="s">
        <v>4</v>
      </c>
      <c r="BD4" s="50"/>
      <c r="BE4" s="50"/>
      <c r="BF4" s="5">
        <v>2000</v>
      </c>
      <c r="BG4" s="5">
        <v>2500</v>
      </c>
      <c r="BH4" s="52"/>
      <c r="BK4" s="52">
        <v>2500</v>
      </c>
      <c r="BL4" s="12">
        <f t="shared" ref="BL4:BL39" si="1">BK4/ROUNDUP(BK4/2000,0)</f>
        <v>1250</v>
      </c>
      <c r="BM4" s="12"/>
      <c r="BN4" s="12"/>
    </row>
    <row r="5" spans="1:66" ht="15.75" thickBot="1" x14ac:dyDescent="0.3">
      <c r="C5" s="12"/>
      <c r="D5" s="12"/>
      <c r="E5" s="12"/>
      <c r="F5" s="12"/>
      <c r="G5" s="12"/>
      <c r="M5" s="99" t="str">
        <f>N3 &amp;  " " &amp; O5</f>
        <v>2000 2000</v>
      </c>
      <c r="N5" s="169"/>
      <c r="O5" s="95">
        <v>2000</v>
      </c>
      <c r="P5" s="97">
        <v>80</v>
      </c>
      <c r="Q5" s="98">
        <v>280</v>
      </c>
      <c r="R5" s="52" t="s">
        <v>88</v>
      </c>
      <c r="S5" s="92" t="str">
        <f t="shared" si="0"/>
        <v>1000 2000</v>
      </c>
      <c r="T5" s="92">
        <v>1000</v>
      </c>
      <c r="U5" s="129">
        <v>2000</v>
      </c>
      <c r="V5" s="92">
        <v>68</v>
      </c>
      <c r="W5" s="129">
        <v>190</v>
      </c>
      <c r="Y5" s="3" t="s">
        <v>1</v>
      </c>
      <c r="Z5" s="15">
        <v>2000</v>
      </c>
      <c r="AA5" s="4">
        <v>500</v>
      </c>
      <c r="AB5" s="4">
        <v>68</v>
      </c>
      <c r="AC5" s="4">
        <v>190</v>
      </c>
      <c r="AD5" s="16"/>
      <c r="AG5" s="9" t="s">
        <v>5</v>
      </c>
      <c r="AH5" s="55">
        <v>2000</v>
      </c>
      <c r="AI5" s="54">
        <v>80</v>
      </c>
      <c r="AJ5" s="54">
        <v>80</v>
      </c>
      <c r="AK5" s="54">
        <v>80</v>
      </c>
      <c r="AL5" s="54">
        <v>80</v>
      </c>
      <c r="AM5" s="52"/>
      <c r="AN5" s="72"/>
      <c r="AO5" s="9" t="s">
        <v>5</v>
      </c>
      <c r="AP5" s="55">
        <v>2000</v>
      </c>
      <c r="AQ5" s="54">
        <v>200</v>
      </c>
      <c r="AR5" s="54">
        <v>200</v>
      </c>
      <c r="AS5" s="54">
        <v>200</v>
      </c>
      <c r="AT5" s="54">
        <v>200</v>
      </c>
      <c r="AU5" s="53"/>
      <c r="AW5" s="59" t="s">
        <v>12</v>
      </c>
      <c r="AX5" s="7">
        <v>1000</v>
      </c>
      <c r="AY5" s="1">
        <v>68</v>
      </c>
      <c r="AZ5" s="1">
        <v>68</v>
      </c>
      <c r="BC5" s="52"/>
      <c r="BD5" s="59" t="s">
        <v>12</v>
      </c>
      <c r="BE5" s="7">
        <v>1000</v>
      </c>
      <c r="BF5" s="52">
        <v>145</v>
      </c>
      <c r="BG5" s="52">
        <v>190</v>
      </c>
      <c r="BH5" s="52"/>
      <c r="BK5" s="52">
        <v>3000</v>
      </c>
      <c r="BL5" s="12">
        <f t="shared" si="1"/>
        <v>1500</v>
      </c>
      <c r="BM5" s="12"/>
      <c r="BN5" s="12"/>
    </row>
    <row r="6" spans="1:66" x14ac:dyDescent="0.25">
      <c r="C6" s="12"/>
      <c r="D6" s="12"/>
      <c r="E6" s="12"/>
      <c r="F6" s="12"/>
      <c r="G6" s="12"/>
      <c r="M6" s="100" t="str">
        <f>N3 &amp;  " " &amp; O6</f>
        <v>2000 2500</v>
      </c>
      <c r="N6" s="170"/>
      <c r="O6" s="101">
        <v>2500</v>
      </c>
      <c r="P6" s="97">
        <v>80</v>
      </c>
      <c r="Q6" s="98">
        <v>280</v>
      </c>
      <c r="R6" s="52" t="s">
        <v>88</v>
      </c>
      <c r="S6" s="87" t="str">
        <f t="shared" si="0"/>
        <v>1500 1500</v>
      </c>
      <c r="T6" s="87">
        <v>1500</v>
      </c>
      <c r="U6" s="130">
        <v>1500</v>
      </c>
      <c r="V6" s="87">
        <v>68</v>
      </c>
      <c r="W6" s="130">
        <v>220</v>
      </c>
      <c r="AG6" s="74" t="s">
        <v>5</v>
      </c>
      <c r="AH6" s="56">
        <v>2500</v>
      </c>
      <c r="AI6" s="54">
        <v>80</v>
      </c>
      <c r="AJ6" s="54">
        <v>80</v>
      </c>
      <c r="AK6" s="54">
        <v>80</v>
      </c>
      <c r="AL6" s="54">
        <v>80</v>
      </c>
      <c r="AM6" s="52"/>
      <c r="AN6" s="72"/>
      <c r="AO6" s="74" t="s">
        <v>5</v>
      </c>
      <c r="AP6" s="56">
        <v>2500</v>
      </c>
      <c r="AQ6" s="54">
        <v>200</v>
      </c>
      <c r="AR6" s="54">
        <v>200</v>
      </c>
      <c r="AS6" s="54">
        <v>200</v>
      </c>
      <c r="AT6" s="54">
        <v>200</v>
      </c>
      <c r="AU6" s="53"/>
      <c r="AW6" s="59" t="s">
        <v>12</v>
      </c>
      <c r="AX6" s="60">
        <v>1500</v>
      </c>
      <c r="AY6" s="1">
        <v>68</v>
      </c>
      <c r="AZ6" s="1">
        <v>80</v>
      </c>
      <c r="BC6" s="52"/>
      <c r="BD6" s="59" t="s">
        <v>12</v>
      </c>
      <c r="BE6" s="60">
        <v>1500</v>
      </c>
      <c r="BF6" s="52">
        <v>220</v>
      </c>
      <c r="BG6" s="52">
        <v>220</v>
      </c>
      <c r="BH6" s="52"/>
      <c r="BK6" s="52">
        <v>3500</v>
      </c>
      <c r="BL6" s="12">
        <f t="shared" si="1"/>
        <v>1750</v>
      </c>
      <c r="BM6" s="12"/>
      <c r="BN6" s="12"/>
    </row>
    <row r="7" spans="1:66" ht="20.25" customHeight="1" x14ac:dyDescent="0.25">
      <c r="B7" s="25" t="s">
        <v>23</v>
      </c>
      <c r="C7" s="26"/>
      <c r="D7" s="12"/>
      <c r="E7" s="12"/>
      <c r="F7" s="12"/>
      <c r="G7" s="12"/>
      <c r="M7" s="102" t="str">
        <f t="shared" ref="M7" si="2">N7 &amp;  " " &amp; O7</f>
        <v>2500 1000</v>
      </c>
      <c r="N7" s="171">
        <v>2500</v>
      </c>
      <c r="O7" s="103">
        <v>1000</v>
      </c>
      <c r="P7" s="103">
        <v>68</v>
      </c>
      <c r="Q7" s="104">
        <v>220</v>
      </c>
      <c r="R7" s="52" t="s">
        <v>88</v>
      </c>
      <c r="S7" s="5" t="str">
        <f t="shared" si="0"/>
        <v>1500 1750</v>
      </c>
      <c r="T7" s="5">
        <v>1500</v>
      </c>
      <c r="U7" s="131">
        <v>1750</v>
      </c>
      <c r="V7" s="5">
        <v>68</v>
      </c>
      <c r="W7" s="131">
        <v>220</v>
      </c>
      <c r="AG7" s="10" t="s">
        <v>5</v>
      </c>
      <c r="AH7" s="56">
        <v>3000</v>
      </c>
      <c r="AI7" s="54">
        <v>80</v>
      </c>
      <c r="AJ7" s="54">
        <v>80</v>
      </c>
      <c r="AK7" s="54">
        <v>80</v>
      </c>
      <c r="AL7" s="54">
        <v>80</v>
      </c>
      <c r="AM7" s="52"/>
      <c r="AN7" s="72"/>
      <c r="AO7" s="10" t="s">
        <v>5</v>
      </c>
      <c r="AP7" s="56">
        <v>3000</v>
      </c>
      <c r="AQ7" s="54">
        <v>200</v>
      </c>
      <c r="AR7" s="54">
        <v>200</v>
      </c>
      <c r="AS7" s="54">
        <v>200</v>
      </c>
      <c r="AT7" s="54">
        <v>200</v>
      </c>
      <c r="AU7" s="53"/>
      <c r="AW7" s="59" t="s">
        <v>12</v>
      </c>
      <c r="AX7" s="60">
        <v>2000</v>
      </c>
      <c r="AY7" s="1">
        <v>80</v>
      </c>
      <c r="AZ7" s="1">
        <v>80</v>
      </c>
      <c r="BC7" s="52"/>
      <c r="BD7" s="59" t="s">
        <v>12</v>
      </c>
      <c r="BE7" s="60">
        <v>2000</v>
      </c>
      <c r="BF7" s="52">
        <v>240</v>
      </c>
      <c r="BG7" s="52">
        <v>280</v>
      </c>
      <c r="BH7" s="52"/>
      <c r="BK7" s="52">
        <v>4000</v>
      </c>
      <c r="BL7" s="12">
        <f t="shared" si="1"/>
        <v>2000</v>
      </c>
      <c r="BM7" s="12"/>
      <c r="BN7" s="12"/>
    </row>
    <row r="8" spans="1:66" ht="15.75" thickBot="1" x14ac:dyDescent="0.3">
      <c r="C8" s="12"/>
      <c r="D8" s="12"/>
      <c r="E8" s="12"/>
      <c r="F8" s="12"/>
      <c r="G8" s="12"/>
      <c r="H8" s="12"/>
      <c r="J8" s="1"/>
      <c r="L8" s="52"/>
      <c r="M8" s="105" t="str">
        <f t="shared" ref="M8" si="3">N7 &amp;  " " &amp; O8</f>
        <v>2500 1500</v>
      </c>
      <c r="N8" s="172">
        <v>2500</v>
      </c>
      <c r="O8" s="106">
        <v>1500</v>
      </c>
      <c r="P8" s="103">
        <v>68</v>
      </c>
      <c r="Q8" s="104">
        <v>220</v>
      </c>
      <c r="R8" s="52" t="s">
        <v>88</v>
      </c>
      <c r="S8" s="88" t="str">
        <f t="shared" si="0"/>
        <v>1500 2000</v>
      </c>
      <c r="T8" s="88">
        <v>1500</v>
      </c>
      <c r="U8" s="132">
        <v>2000</v>
      </c>
      <c r="V8" s="88">
        <v>68</v>
      </c>
      <c r="W8" s="132">
        <v>220</v>
      </c>
      <c r="AG8" s="10" t="s">
        <v>5</v>
      </c>
      <c r="AH8" s="56">
        <v>3500</v>
      </c>
      <c r="AI8" s="54">
        <v>80</v>
      </c>
      <c r="AJ8" s="54">
        <v>80</v>
      </c>
      <c r="AK8" s="54">
        <v>80</v>
      </c>
      <c r="AL8" s="54">
        <v>80</v>
      </c>
      <c r="AM8" s="52"/>
      <c r="AN8" s="72"/>
      <c r="AO8" s="10" t="s">
        <v>5</v>
      </c>
      <c r="AP8" s="56">
        <v>3500</v>
      </c>
      <c r="AQ8" s="54">
        <v>200</v>
      </c>
      <c r="AR8" s="54">
        <v>200</v>
      </c>
      <c r="AS8" s="54">
        <v>200</v>
      </c>
      <c r="AT8" s="54">
        <v>200</v>
      </c>
      <c r="AU8" s="53"/>
      <c r="AW8" s="59" t="s">
        <v>12</v>
      </c>
      <c r="AX8" s="60">
        <v>2500</v>
      </c>
      <c r="AY8" s="1">
        <v>80</v>
      </c>
      <c r="AZ8" s="1">
        <v>100</v>
      </c>
      <c r="BC8" s="52"/>
      <c r="BD8" s="59" t="s">
        <v>12</v>
      </c>
      <c r="BE8" s="60">
        <v>2500</v>
      </c>
      <c r="BF8" s="52">
        <v>280</v>
      </c>
      <c r="BG8" s="52">
        <v>320</v>
      </c>
      <c r="BH8" s="52"/>
      <c r="BK8" s="52">
        <v>4500</v>
      </c>
      <c r="BL8" s="12">
        <f t="shared" si="1"/>
        <v>1500</v>
      </c>
      <c r="BM8" s="12"/>
      <c r="BN8" s="12"/>
    </row>
    <row r="9" spans="1:66" x14ac:dyDescent="0.25">
      <c r="B9" s="14" t="s">
        <v>11</v>
      </c>
      <c r="C9" s="14" t="s">
        <v>3</v>
      </c>
      <c r="D9" s="14" t="s">
        <v>0</v>
      </c>
      <c r="E9" s="14" t="s">
        <v>6</v>
      </c>
      <c r="F9" s="14" t="s">
        <v>81</v>
      </c>
      <c r="G9" s="14" t="s">
        <v>19</v>
      </c>
      <c r="H9" s="14" t="s">
        <v>83</v>
      </c>
      <c r="I9" s="14" t="s">
        <v>21</v>
      </c>
      <c r="J9" s="14" t="s">
        <v>22</v>
      </c>
      <c r="K9" s="72"/>
      <c r="L9" s="77"/>
      <c r="M9" s="105" t="str">
        <f t="shared" ref="M9" si="4">N7 &amp;  " " &amp; O9</f>
        <v>2500 2000</v>
      </c>
      <c r="N9" s="172">
        <v>2500</v>
      </c>
      <c r="O9" s="106">
        <v>2000</v>
      </c>
      <c r="P9" s="103">
        <v>80</v>
      </c>
      <c r="Q9" s="104">
        <v>280</v>
      </c>
      <c r="R9" s="52" t="s">
        <v>88</v>
      </c>
      <c r="S9" s="89" t="str">
        <f t="shared" si="0"/>
        <v>2000 1500</v>
      </c>
      <c r="T9" s="89">
        <v>2000</v>
      </c>
      <c r="U9" s="127">
        <v>1500</v>
      </c>
      <c r="V9" s="89">
        <v>80</v>
      </c>
      <c r="W9" s="127">
        <v>280</v>
      </c>
      <c r="AF9" s="53"/>
      <c r="AG9" s="10" t="s">
        <v>5</v>
      </c>
      <c r="AH9" s="56">
        <v>4000</v>
      </c>
      <c r="AI9" s="54">
        <v>100</v>
      </c>
      <c r="AJ9" s="54">
        <v>80</v>
      </c>
      <c r="AK9" s="54">
        <v>100</v>
      </c>
      <c r="AL9" s="54">
        <v>100</v>
      </c>
      <c r="AM9" s="52"/>
      <c r="AN9" s="72"/>
      <c r="AO9" s="10" t="s">
        <v>5</v>
      </c>
      <c r="AP9" s="56">
        <v>4000</v>
      </c>
      <c r="AQ9" s="54">
        <v>240</v>
      </c>
      <c r="AR9" s="54">
        <v>280</v>
      </c>
      <c r="AS9" s="54">
        <v>320</v>
      </c>
      <c r="AT9" s="54">
        <v>320</v>
      </c>
      <c r="AU9" s="53"/>
      <c r="AW9" s="58"/>
      <c r="AX9" s="58"/>
      <c r="BC9" s="52"/>
      <c r="BH9" s="52"/>
      <c r="BK9" s="52">
        <v>5000</v>
      </c>
      <c r="BL9" s="12">
        <f t="shared" si="1"/>
        <v>1666.6666666666667</v>
      </c>
      <c r="BM9" s="12"/>
      <c r="BN9" s="12"/>
    </row>
    <row r="10" spans="1:66" ht="15.75" x14ac:dyDescent="0.25">
      <c r="B10" s="113" t="s">
        <v>5</v>
      </c>
      <c r="C10" s="114" t="e">
        <f>VLOOKUP($F$3,$M$3:$Q$150,4)</f>
        <v>#N/A</v>
      </c>
      <c r="D10" s="114" t="e">
        <f>VLOOKUP($F$3,$M$3:$Q$150,5)</f>
        <v>#N/A</v>
      </c>
      <c r="E10" s="114">
        <f>B3</f>
        <v>10000</v>
      </c>
      <c r="F10" s="114">
        <f>E10*1.11</f>
        <v>11100.000000000002</v>
      </c>
      <c r="G10" s="114">
        <f>2</f>
        <v>2</v>
      </c>
      <c r="H10" s="115"/>
      <c r="I10" s="116"/>
      <c r="J10" s="119"/>
      <c r="K10" s="80"/>
      <c r="L10" s="78"/>
      <c r="M10" s="107" t="str">
        <f t="shared" ref="M10" si="5">N7 &amp;  " " &amp; O10</f>
        <v>2500 2500</v>
      </c>
      <c r="N10" s="173">
        <v>2500</v>
      </c>
      <c r="O10" s="108">
        <v>2500</v>
      </c>
      <c r="P10" s="103">
        <v>80</v>
      </c>
      <c r="Q10" s="104">
        <v>280</v>
      </c>
      <c r="R10" s="52" t="s">
        <v>88</v>
      </c>
      <c r="S10" s="90" t="str">
        <f t="shared" si="0"/>
        <v>2000 1750</v>
      </c>
      <c r="T10" s="90">
        <v>2000</v>
      </c>
      <c r="U10" s="128">
        <v>1750</v>
      </c>
      <c r="V10" s="90">
        <v>80</v>
      </c>
      <c r="W10" s="128">
        <v>280</v>
      </c>
      <c r="X10" s="93"/>
      <c r="AF10" s="53"/>
      <c r="AG10" s="74" t="s">
        <v>5</v>
      </c>
      <c r="AH10" s="56">
        <v>4500</v>
      </c>
      <c r="AI10" s="54">
        <v>80</v>
      </c>
      <c r="AJ10" s="54">
        <v>100</v>
      </c>
      <c r="AK10" s="54">
        <v>100</v>
      </c>
      <c r="AL10" s="54">
        <v>100</v>
      </c>
      <c r="AM10" s="52"/>
      <c r="AN10" s="72"/>
      <c r="AO10" s="74" t="s">
        <v>5</v>
      </c>
      <c r="AP10" s="56">
        <v>4500</v>
      </c>
      <c r="AQ10" s="54">
        <v>280</v>
      </c>
      <c r="AR10" s="54">
        <v>320</v>
      </c>
      <c r="AS10" s="54">
        <v>360</v>
      </c>
      <c r="AT10" s="54">
        <v>400</v>
      </c>
      <c r="AU10" s="53"/>
      <c r="BK10" s="52">
        <v>5500</v>
      </c>
      <c r="BL10" s="12">
        <f t="shared" si="1"/>
        <v>1833.3333333333333</v>
      </c>
      <c r="BM10" s="12"/>
      <c r="BN10" s="12"/>
    </row>
    <row r="11" spans="1:66" ht="16.5" thickBot="1" x14ac:dyDescent="0.3">
      <c r="B11" s="113" t="s">
        <v>12</v>
      </c>
      <c r="C11" s="114">
        <f>VLOOKUP($C$3 &amp; " " &amp; $E$3,$S$3:$W$14,4,FALSE)</f>
        <v>68</v>
      </c>
      <c r="D11" s="114">
        <f>VLOOKUP($C$3 &amp; " " &amp; $E$3,$S$3:$W$14,5,FALSE)</f>
        <v>220</v>
      </c>
      <c r="E11" s="114" t="e">
        <f>C3-C10*2</f>
        <v>#N/A</v>
      </c>
      <c r="F11" s="114" t="e">
        <f>IF(C11=80,E11*1.11,IF(E11&lt;=1000,1000,IF(E11&lt;=1500,1500,IF(E11&lt;=2000,2000,IF(E11&lt;=2500,2500,IF(E11&lt;=3000,3000,"FAUX"))))))</f>
        <v>#N/A</v>
      </c>
      <c r="G11" s="114">
        <f>ROUND(B3/D3,0)+1</f>
        <v>6</v>
      </c>
      <c r="H11" s="115"/>
      <c r="I11" s="116"/>
      <c r="J11" s="117"/>
      <c r="K11" s="81"/>
      <c r="L11" s="79"/>
      <c r="M11" s="96" t="str">
        <f t="shared" ref="M11" si="6">N11 &amp;  " " &amp; O11</f>
        <v>3000 1000</v>
      </c>
      <c r="N11" s="168">
        <v>3000</v>
      </c>
      <c r="O11" s="97">
        <v>1000</v>
      </c>
      <c r="P11" s="97">
        <v>68</v>
      </c>
      <c r="Q11" s="98">
        <v>220</v>
      </c>
      <c r="R11" s="52" t="s">
        <v>88</v>
      </c>
      <c r="S11" s="91" t="str">
        <f t="shared" si="0"/>
        <v>2000 2000</v>
      </c>
      <c r="T11" s="91">
        <v>2000</v>
      </c>
      <c r="U11" s="133">
        <v>2000</v>
      </c>
      <c r="V11" s="91">
        <v>80</v>
      </c>
      <c r="W11" s="133">
        <v>280</v>
      </c>
      <c r="X11" s="93"/>
      <c r="AF11" s="53"/>
      <c r="AG11" s="10" t="s">
        <v>5</v>
      </c>
      <c r="AH11" s="56">
        <v>5000</v>
      </c>
      <c r="AI11" s="54">
        <v>100</v>
      </c>
      <c r="AJ11" s="54">
        <v>100</v>
      </c>
      <c r="AK11" s="54">
        <v>100</v>
      </c>
      <c r="AL11" s="54">
        <v>100</v>
      </c>
      <c r="AM11" s="52"/>
      <c r="AN11" s="72"/>
      <c r="AO11" s="10" t="s">
        <v>5</v>
      </c>
      <c r="AP11" s="56">
        <v>5000</v>
      </c>
      <c r="AQ11" s="54">
        <v>320</v>
      </c>
      <c r="AR11" s="54">
        <v>360</v>
      </c>
      <c r="AS11" s="54">
        <v>360</v>
      </c>
      <c r="AT11" s="54">
        <v>400</v>
      </c>
      <c r="AU11" s="53"/>
      <c r="BK11" s="52">
        <v>6000</v>
      </c>
      <c r="BL11" s="12">
        <f t="shared" si="1"/>
        <v>2000</v>
      </c>
      <c r="BM11" s="12"/>
      <c r="BN11" s="12"/>
    </row>
    <row r="12" spans="1:66" ht="15.75" x14ac:dyDescent="0.25">
      <c r="B12" s="23" t="s">
        <v>13</v>
      </c>
      <c r="C12" s="21">
        <f>VLOOKUP($E$3,$Z$3:$AC$14,3,FALSE)</f>
        <v>68</v>
      </c>
      <c r="D12" s="21">
        <f>VLOOKUP($E$3,$Z$3:$AC$14,4,FALSE)</f>
        <v>190</v>
      </c>
      <c r="E12" s="22">
        <f>B3/(G11-1)</f>
        <v>2000</v>
      </c>
      <c r="F12" s="21">
        <f>IF(E12&lt;=1000,1000,IF(E12&lt;=1500,1500,IF(E12&lt;=2000,2000,IF(E12&lt;=2500,2500,IF(E12&lt;=3000,3000,"FAUX")))))</f>
        <v>2000</v>
      </c>
      <c r="G12" s="22">
        <f>IF(C3=1000,G11-1,IF(C3&gt;1000,(G11-1)*((C3/500)-1),0))</f>
        <v>10</v>
      </c>
      <c r="H12" s="24"/>
      <c r="I12" s="22"/>
      <c r="J12" s="27"/>
      <c r="K12" s="81"/>
      <c r="L12" s="79"/>
      <c r="M12" s="99" t="str">
        <f t="shared" ref="M12" si="7">N11 &amp;  " " &amp; O12</f>
        <v>3000 1500</v>
      </c>
      <c r="N12" s="169">
        <v>3000</v>
      </c>
      <c r="O12" s="95">
        <v>1500</v>
      </c>
      <c r="P12" s="97">
        <v>80</v>
      </c>
      <c r="Q12" s="98">
        <v>280</v>
      </c>
      <c r="R12" s="52" t="s">
        <v>88</v>
      </c>
      <c r="S12" s="87" t="str">
        <f t="shared" si="0"/>
        <v>2500 1500</v>
      </c>
      <c r="T12" s="87">
        <v>2500</v>
      </c>
      <c r="U12" s="130">
        <v>1500</v>
      </c>
      <c r="V12" s="87">
        <v>80</v>
      </c>
      <c r="W12" s="130">
        <v>280</v>
      </c>
      <c r="X12" s="93"/>
      <c r="AF12" s="53"/>
      <c r="AG12" s="10" t="s">
        <v>5</v>
      </c>
      <c r="AH12" s="56">
        <v>5500</v>
      </c>
      <c r="AI12" s="54">
        <v>100</v>
      </c>
      <c r="AJ12" s="54">
        <v>100</v>
      </c>
      <c r="AK12" s="54">
        <v>100</v>
      </c>
      <c r="AL12" s="54">
        <v>140</v>
      </c>
      <c r="AN12" s="73"/>
      <c r="AO12" s="10" t="s">
        <v>5</v>
      </c>
      <c r="AP12" s="56">
        <v>5500</v>
      </c>
      <c r="AQ12" s="54">
        <v>320</v>
      </c>
      <c r="AR12" s="54">
        <v>360</v>
      </c>
      <c r="AS12" s="54">
        <v>400</v>
      </c>
      <c r="AT12" s="54">
        <v>440</v>
      </c>
      <c r="AU12" s="53"/>
      <c r="BK12" s="52">
        <v>6500</v>
      </c>
      <c r="BL12" s="12">
        <f t="shared" si="1"/>
        <v>1625</v>
      </c>
      <c r="BM12" s="12"/>
      <c r="BN12" s="12"/>
    </row>
    <row r="13" spans="1:66" ht="15.75" x14ac:dyDescent="0.25">
      <c r="B13" s="23" t="s">
        <v>41</v>
      </c>
      <c r="C13" s="21">
        <f>'Calcul prix passerelle'!C12</f>
        <v>46</v>
      </c>
      <c r="D13" s="21">
        <v>145</v>
      </c>
      <c r="E13" s="21">
        <f>C3+40</f>
        <v>1540</v>
      </c>
      <c r="F13" s="21">
        <f>IF(E13&lt;=1000,1000,IF(E13&lt;=1500,1500,IF(E13&lt;=2000,2000,IF(E13&lt;=2500,2500,IF(E13&lt;=3000,3000,"FAUX")))))</f>
        <v>2000</v>
      </c>
      <c r="G13" s="21">
        <f>ROUNDUP(B3/D13,0)</f>
        <v>69</v>
      </c>
      <c r="H13" s="24"/>
      <c r="I13" s="22"/>
      <c r="J13" s="27"/>
      <c r="K13" s="81"/>
      <c r="L13" s="79"/>
      <c r="M13" s="99" t="str">
        <f t="shared" ref="M13" si="8">N11 &amp;  " " &amp; O13</f>
        <v>3000 2000</v>
      </c>
      <c r="N13" s="169">
        <v>3000</v>
      </c>
      <c r="O13" s="95">
        <v>2000</v>
      </c>
      <c r="P13" s="97">
        <v>80</v>
      </c>
      <c r="Q13" s="98">
        <v>280</v>
      </c>
      <c r="R13" s="52" t="s">
        <v>88</v>
      </c>
      <c r="S13" s="5" t="str">
        <f t="shared" si="0"/>
        <v>2500 1750</v>
      </c>
      <c r="T13" s="5">
        <v>2500</v>
      </c>
      <c r="U13" s="131">
        <v>1750</v>
      </c>
      <c r="V13" s="5">
        <v>80</v>
      </c>
      <c r="W13" s="131">
        <v>280</v>
      </c>
      <c r="X13" s="93"/>
      <c r="AF13" s="53"/>
      <c r="AG13" s="10" t="s">
        <v>5</v>
      </c>
      <c r="AH13" s="56">
        <v>6000</v>
      </c>
      <c r="AI13" s="53">
        <v>100</v>
      </c>
      <c r="AJ13" s="53">
        <v>100</v>
      </c>
      <c r="AK13" s="53">
        <v>100</v>
      </c>
      <c r="AL13" s="53">
        <v>140</v>
      </c>
      <c r="AM13" s="53"/>
      <c r="AN13" s="53"/>
      <c r="AO13" s="10" t="s">
        <v>5</v>
      </c>
      <c r="AP13" s="56">
        <v>6000</v>
      </c>
      <c r="AQ13" s="53">
        <v>360</v>
      </c>
      <c r="AR13" s="53">
        <v>400</v>
      </c>
      <c r="AS13" s="53">
        <v>440</v>
      </c>
      <c r="AT13" s="53">
        <v>440</v>
      </c>
      <c r="BK13" s="52">
        <v>7000</v>
      </c>
      <c r="BL13" s="12">
        <f t="shared" si="1"/>
        <v>1750</v>
      </c>
      <c r="BM13" s="12"/>
      <c r="BN13" s="12"/>
    </row>
    <row r="14" spans="1:66" ht="16.5" thickBot="1" x14ac:dyDescent="0.3">
      <c r="B14" s="113" t="s">
        <v>16</v>
      </c>
      <c r="C14" s="114">
        <f>IF(C3&lt;2000,68,80)</f>
        <v>68</v>
      </c>
      <c r="D14" s="114">
        <f>IF(C3&lt;2000,145,160)</f>
        <v>145</v>
      </c>
      <c r="E14" s="114">
        <f>ROUNDUP(SQRT(C3^2+(B3/(G11-1))^2),0)</f>
        <v>2500</v>
      </c>
      <c r="F14" s="114">
        <f>IF(E14&lt;=1000,1000,IF(E14&lt;=1500,1500,IF(E14&lt;=2000,2000,IF(E14&lt;=2500,2500,IF(E14&lt;=3000,3000,"FAUX")))))</f>
        <v>2500</v>
      </c>
      <c r="G14" s="114">
        <f>'Calcul prix passerelle'!C17</f>
        <v>5</v>
      </c>
      <c r="H14" s="115"/>
      <c r="I14" s="116"/>
      <c r="J14" s="117"/>
      <c r="K14" s="81"/>
      <c r="L14" s="79"/>
      <c r="M14" s="100" t="str">
        <f t="shared" ref="M14" si="9">N11 &amp;  " " &amp; O14</f>
        <v>3000 2500</v>
      </c>
      <c r="N14" s="170">
        <v>3000</v>
      </c>
      <c r="O14" s="101">
        <v>2500</v>
      </c>
      <c r="P14" s="97">
        <v>80</v>
      </c>
      <c r="Q14" s="98">
        <v>280</v>
      </c>
      <c r="R14" s="52" t="s">
        <v>88</v>
      </c>
      <c r="S14" s="88" t="str">
        <f t="shared" si="0"/>
        <v>2500 2000</v>
      </c>
      <c r="T14" s="88">
        <v>2500</v>
      </c>
      <c r="U14" s="132">
        <v>2000</v>
      </c>
      <c r="V14" s="88">
        <v>80</v>
      </c>
      <c r="W14" s="132">
        <v>280</v>
      </c>
      <c r="X14" s="93"/>
      <c r="AF14" s="53"/>
      <c r="AG14" s="10" t="s">
        <v>5</v>
      </c>
      <c r="AH14" s="56">
        <v>6500</v>
      </c>
      <c r="AI14" s="53">
        <v>100</v>
      </c>
      <c r="AJ14" s="53">
        <v>100</v>
      </c>
      <c r="AK14" s="53">
        <v>140</v>
      </c>
      <c r="AL14" s="53">
        <v>140</v>
      </c>
      <c r="AM14" s="53"/>
      <c r="AN14" s="53"/>
      <c r="AO14" s="10" t="s">
        <v>5</v>
      </c>
      <c r="AP14" s="56">
        <v>6500</v>
      </c>
      <c r="AQ14" s="53">
        <v>400</v>
      </c>
      <c r="AR14" s="53">
        <v>440</v>
      </c>
      <c r="AS14" s="53">
        <v>440</v>
      </c>
      <c r="AT14" s="53">
        <v>440</v>
      </c>
      <c r="BK14" s="52">
        <v>7500</v>
      </c>
      <c r="BL14" s="12">
        <f t="shared" si="1"/>
        <v>1875</v>
      </c>
      <c r="BM14" s="12"/>
      <c r="BN14" s="12"/>
    </row>
    <row r="15" spans="1:66" x14ac:dyDescent="0.25">
      <c r="B15" s="113" t="s">
        <v>14</v>
      </c>
      <c r="C15" s="114">
        <v>120</v>
      </c>
      <c r="D15" s="114">
        <v>120</v>
      </c>
      <c r="E15" s="114">
        <v>1500</v>
      </c>
      <c r="F15" s="114">
        <f>E15*1.11</f>
        <v>1665.0000000000002</v>
      </c>
      <c r="G15" s="118">
        <f>((B3/D3)+1)*2</f>
        <v>12</v>
      </c>
      <c r="H15" s="115"/>
      <c r="I15" s="116"/>
      <c r="J15" s="117"/>
      <c r="K15" s="81"/>
      <c r="L15" s="79"/>
      <c r="M15" s="102" t="str">
        <f t="shared" ref="M15" si="10">N15 &amp;  " " &amp; O15</f>
        <v>3500 1000</v>
      </c>
      <c r="N15" s="171">
        <v>3500</v>
      </c>
      <c r="O15" s="103">
        <v>1000</v>
      </c>
      <c r="P15" s="103">
        <v>80</v>
      </c>
      <c r="Q15" s="104">
        <v>280</v>
      </c>
      <c r="R15" s="52" t="s">
        <v>88</v>
      </c>
      <c r="AF15" s="53"/>
      <c r="AG15" s="10" t="s">
        <v>5</v>
      </c>
      <c r="AH15" s="56">
        <v>7000</v>
      </c>
      <c r="AI15" s="53">
        <v>100</v>
      </c>
      <c r="AJ15" s="53">
        <v>140</v>
      </c>
      <c r="AK15" s="53">
        <v>120</v>
      </c>
      <c r="AL15" s="53">
        <v>140</v>
      </c>
      <c r="AM15" s="53"/>
      <c r="AN15" s="53"/>
      <c r="AO15" s="10" t="s">
        <v>5</v>
      </c>
      <c r="AP15" s="56">
        <v>7000</v>
      </c>
      <c r="AQ15" s="53">
        <v>400</v>
      </c>
      <c r="AR15" s="53">
        <v>440</v>
      </c>
      <c r="AS15" s="53">
        <v>480</v>
      </c>
      <c r="AT15" s="53">
        <v>480</v>
      </c>
      <c r="BK15" s="52">
        <v>8000</v>
      </c>
      <c r="BL15" s="12">
        <f t="shared" si="1"/>
        <v>2000</v>
      </c>
      <c r="BM15" s="12"/>
      <c r="BN15" s="12"/>
    </row>
    <row r="16" spans="1:66" x14ac:dyDescent="0.25">
      <c r="B16" s="23" t="s">
        <v>56</v>
      </c>
      <c r="C16" s="21">
        <v>45</v>
      </c>
      <c r="D16" s="21">
        <v>120</v>
      </c>
      <c r="E16" s="22">
        <f>'Calcul prix passerelle'!C15</f>
        <v>2000</v>
      </c>
      <c r="F16" s="21">
        <f>IF(E16&lt;=1000,1000,IF(E16&lt;=1500,1500,IF(E16&lt;=2000,2000,IF(E16&lt;=2500,2500,IF(E16&lt;=3000,3000,"FAUX")))))</f>
        <v>2000</v>
      </c>
      <c r="G16" s="21">
        <f>G15-2</f>
        <v>10</v>
      </c>
      <c r="H16" s="24"/>
      <c r="I16" s="22"/>
      <c r="J16" s="27"/>
      <c r="K16" s="81"/>
      <c r="L16" s="79"/>
      <c r="M16" s="105" t="str">
        <f t="shared" ref="M16" si="11">N15 &amp;  " " &amp; O16</f>
        <v>3500 1500</v>
      </c>
      <c r="N16" s="172">
        <v>3500</v>
      </c>
      <c r="O16" s="106">
        <v>1500</v>
      </c>
      <c r="P16" s="103">
        <v>80</v>
      </c>
      <c r="Q16" s="104">
        <v>280</v>
      </c>
      <c r="R16" s="52" t="s">
        <v>88</v>
      </c>
      <c r="AF16" s="53"/>
      <c r="AG16" s="10" t="s">
        <v>5</v>
      </c>
      <c r="AH16" s="56">
        <v>7500</v>
      </c>
      <c r="AI16" s="53">
        <v>140</v>
      </c>
      <c r="AJ16" s="53">
        <v>140</v>
      </c>
      <c r="AK16" s="53">
        <v>140</v>
      </c>
      <c r="AL16" s="53">
        <v>140</v>
      </c>
      <c r="AM16" s="53"/>
      <c r="AN16" s="53"/>
      <c r="AO16" s="10" t="s">
        <v>5</v>
      </c>
      <c r="AP16" s="56">
        <v>7500</v>
      </c>
      <c r="AQ16" s="53">
        <v>400</v>
      </c>
      <c r="AR16" s="53">
        <v>440</v>
      </c>
      <c r="AS16" s="53">
        <v>480</v>
      </c>
      <c r="AT16" s="53">
        <v>520</v>
      </c>
      <c r="BK16" s="52">
        <v>8500</v>
      </c>
      <c r="BL16" s="12">
        <f t="shared" si="1"/>
        <v>1700</v>
      </c>
      <c r="BM16" s="12"/>
      <c r="BN16" s="12"/>
    </row>
    <row r="17" spans="2:66" x14ac:dyDescent="0.25">
      <c r="B17" s="23" t="s">
        <v>57</v>
      </c>
      <c r="C17" s="21">
        <v>45</v>
      </c>
      <c r="D17" s="21">
        <v>45</v>
      </c>
      <c r="E17" s="22">
        <f>'Calcul prix passerelle'!C15</f>
        <v>2000</v>
      </c>
      <c r="F17" s="21">
        <f>IF(E17&lt;=1000,1000,IF(E17&lt;=1500,1500,IF(E17&lt;=2000,2000,IF(E17&lt;=2500,2500,IF(E17&lt;=3000,3000,"FAUX")))))</f>
        <v>2000</v>
      </c>
      <c r="G17" s="21">
        <f>G16</f>
        <v>10</v>
      </c>
      <c r="H17" s="24"/>
      <c r="I17" s="22"/>
      <c r="J17" s="27"/>
      <c r="K17" s="81"/>
      <c r="L17" s="79"/>
      <c r="M17" s="105" t="str">
        <f t="shared" ref="M17" si="12">N15 &amp;  " " &amp; O17</f>
        <v>3500 2000</v>
      </c>
      <c r="N17" s="172">
        <v>3500</v>
      </c>
      <c r="O17" s="106">
        <v>2000</v>
      </c>
      <c r="P17" s="103">
        <v>100</v>
      </c>
      <c r="Q17" s="104">
        <v>320</v>
      </c>
      <c r="R17" s="52" t="s">
        <v>88</v>
      </c>
      <c r="AF17" s="53"/>
      <c r="AG17" s="10" t="s">
        <v>5</v>
      </c>
      <c r="AH17" s="56">
        <v>8000</v>
      </c>
      <c r="AI17" s="53">
        <v>140</v>
      </c>
      <c r="AJ17" s="53">
        <v>140</v>
      </c>
      <c r="AK17" s="53">
        <v>140</v>
      </c>
      <c r="AL17" s="53">
        <v>160</v>
      </c>
      <c r="AM17" s="53"/>
      <c r="AN17" s="53"/>
      <c r="AO17" s="10" t="s">
        <v>5</v>
      </c>
      <c r="AP17" s="56">
        <v>8000</v>
      </c>
      <c r="AQ17" s="53">
        <v>440</v>
      </c>
      <c r="AR17" s="53">
        <v>480</v>
      </c>
      <c r="AS17" s="53">
        <v>520</v>
      </c>
      <c r="AT17" s="53">
        <v>520</v>
      </c>
      <c r="BK17" s="52">
        <v>9000</v>
      </c>
      <c r="BL17" s="12">
        <f t="shared" si="1"/>
        <v>1800</v>
      </c>
      <c r="BM17" s="12"/>
      <c r="BN17" s="12"/>
    </row>
    <row r="18" spans="2:66" x14ac:dyDescent="0.25">
      <c r="B18" s="23" t="s">
        <v>15</v>
      </c>
      <c r="C18" s="21">
        <v>45</v>
      </c>
      <c r="D18" s="21">
        <v>120</v>
      </c>
      <c r="E18" s="21">
        <v>4000</v>
      </c>
      <c r="F18" s="21">
        <v>4000</v>
      </c>
      <c r="G18" s="21">
        <f>ROUNDUP(B3/4000,0)*2</f>
        <v>6</v>
      </c>
      <c r="H18" s="24"/>
      <c r="I18" s="22"/>
      <c r="J18" s="27"/>
      <c r="K18" s="81"/>
      <c r="L18" s="79"/>
      <c r="M18" s="107" t="str">
        <f t="shared" ref="M18" si="13">N15 &amp;  " " &amp; O18</f>
        <v>3500 2500</v>
      </c>
      <c r="N18" s="173">
        <v>3500</v>
      </c>
      <c r="O18" s="108">
        <v>2500</v>
      </c>
      <c r="P18" s="103">
        <v>100</v>
      </c>
      <c r="Q18" s="104">
        <v>320</v>
      </c>
      <c r="R18" s="52" t="s">
        <v>88</v>
      </c>
      <c r="AF18" s="53"/>
      <c r="AG18" s="10" t="s">
        <v>5</v>
      </c>
      <c r="AH18" s="56">
        <v>8500</v>
      </c>
      <c r="AI18" s="53">
        <v>120</v>
      </c>
      <c r="AJ18" s="53">
        <v>120</v>
      </c>
      <c r="AK18" s="53">
        <v>140</v>
      </c>
      <c r="AL18" s="53">
        <v>160</v>
      </c>
      <c r="AM18" s="53"/>
      <c r="AN18" s="53"/>
      <c r="AO18" s="10" t="s">
        <v>5</v>
      </c>
      <c r="AP18" s="56">
        <v>8500</v>
      </c>
      <c r="AQ18" s="53">
        <v>480</v>
      </c>
      <c r="AR18" s="53">
        <v>520</v>
      </c>
      <c r="AS18" s="53">
        <v>560</v>
      </c>
      <c r="AT18" s="53">
        <v>560</v>
      </c>
      <c r="BK18" s="52">
        <v>9500</v>
      </c>
      <c r="BL18" s="12">
        <f t="shared" si="1"/>
        <v>1900</v>
      </c>
      <c r="BM18" s="12"/>
      <c r="BN18" s="12"/>
    </row>
    <row r="19" spans="2:66" x14ac:dyDescent="0.25">
      <c r="B19" s="23" t="s">
        <v>70</v>
      </c>
      <c r="C19" s="21">
        <v>45</v>
      </c>
      <c r="D19" s="21">
        <v>45</v>
      </c>
      <c r="E19" s="21" t="e">
        <f>C3-C10</f>
        <v>#N/A</v>
      </c>
      <c r="F19" s="21" t="e">
        <f>IF(E19&lt;=1000,1000,IF(E19&lt;=1500,1500,IF(E19&lt;=2000,2000,IF(E19&lt;=2500,2500,IF(E19&lt;=3000,3000,"FAUX")))))</f>
        <v>#N/A</v>
      </c>
      <c r="G19" s="21">
        <v>2</v>
      </c>
      <c r="H19" s="24"/>
      <c r="I19" s="22"/>
      <c r="J19" s="27"/>
      <c r="K19" s="81"/>
      <c r="L19" s="79"/>
      <c r="M19" s="96" t="str">
        <f t="shared" ref="M19" si="14">N19 &amp;  " " &amp; O19</f>
        <v>4000 1000</v>
      </c>
      <c r="N19" s="168">
        <v>4000</v>
      </c>
      <c r="O19" s="97">
        <v>1000</v>
      </c>
      <c r="P19" s="97">
        <v>80</v>
      </c>
      <c r="Q19" s="98">
        <v>280</v>
      </c>
      <c r="R19" s="52" t="s">
        <v>88</v>
      </c>
      <c r="AF19" s="53"/>
      <c r="AG19" s="10" t="s">
        <v>5</v>
      </c>
      <c r="AH19" s="56">
        <v>9000</v>
      </c>
      <c r="AI19" s="53">
        <v>120</v>
      </c>
      <c r="AJ19" s="53">
        <v>140</v>
      </c>
      <c r="AK19" s="53">
        <v>160</v>
      </c>
      <c r="AL19" s="53">
        <v>160</v>
      </c>
      <c r="AM19" s="53"/>
      <c r="AN19" s="53"/>
      <c r="AO19" s="10" t="s">
        <v>5</v>
      </c>
      <c r="AP19" s="56">
        <v>9000</v>
      </c>
      <c r="AQ19" s="53">
        <v>480</v>
      </c>
      <c r="AR19" s="53">
        <v>520</v>
      </c>
      <c r="AS19" s="53">
        <v>560</v>
      </c>
      <c r="AT19" s="53">
        <v>600</v>
      </c>
      <c r="BK19" s="52">
        <v>10000</v>
      </c>
      <c r="BL19" s="12">
        <f t="shared" si="1"/>
        <v>2000</v>
      </c>
      <c r="BM19" s="12"/>
      <c r="BN19" s="12"/>
    </row>
    <row r="20" spans="2:66" x14ac:dyDescent="0.25">
      <c r="B20" s="23" t="s">
        <v>71</v>
      </c>
      <c r="C20" s="21">
        <v>45</v>
      </c>
      <c r="D20" s="21">
        <v>45</v>
      </c>
      <c r="E20" s="21">
        <f>'Calcul prix passerelle'!C9</f>
        <v>1100</v>
      </c>
      <c r="F20" s="21">
        <f t="shared" ref="F20:F21" si="15">IF(E20&lt;=1000,1000,IF(E20&lt;=1500,1500,IF(E20&lt;=2000,2000,IF(E20&lt;=2500,2500,IF(E20&lt;=3000,3000,"FAUX")))))</f>
        <v>1500</v>
      </c>
      <c r="G20" s="21">
        <f>IF('Calcul prix passerelle'!C8="Horizontal",0,ROUNDUP((D3-D15)/('Calcul prix passerelle'!C10+C20),0)*(G15-2))</f>
        <v>0</v>
      </c>
      <c r="H20" s="24"/>
      <c r="I20" s="22"/>
      <c r="J20" s="27"/>
      <c r="K20" s="81"/>
      <c r="L20" s="79"/>
      <c r="M20" s="99" t="str">
        <f t="shared" ref="M20" si="16">N19 &amp;  " " &amp; O20</f>
        <v>4000 1500</v>
      </c>
      <c r="N20" s="169">
        <v>4000</v>
      </c>
      <c r="O20" s="95">
        <v>1500</v>
      </c>
      <c r="P20" s="97">
        <v>80</v>
      </c>
      <c r="Q20" s="98">
        <v>280</v>
      </c>
      <c r="R20" s="52" t="s">
        <v>88</v>
      </c>
      <c r="AF20" s="53"/>
      <c r="AG20" s="10" t="s">
        <v>5</v>
      </c>
      <c r="AH20" s="56">
        <v>9500</v>
      </c>
      <c r="AI20" s="53">
        <v>120</v>
      </c>
      <c r="AJ20" s="53">
        <v>140</v>
      </c>
      <c r="AK20" s="53">
        <v>160</v>
      </c>
      <c r="AL20" s="53">
        <v>180</v>
      </c>
      <c r="AM20" s="53"/>
      <c r="AN20" s="53"/>
      <c r="AO20" s="10" t="s">
        <v>5</v>
      </c>
      <c r="AP20" s="56">
        <v>9500</v>
      </c>
      <c r="AQ20" s="53">
        <v>520</v>
      </c>
      <c r="AR20" s="53">
        <v>560</v>
      </c>
      <c r="AS20" s="53">
        <v>600</v>
      </c>
      <c r="AT20" s="53">
        <v>600</v>
      </c>
      <c r="BK20" s="52">
        <v>10500</v>
      </c>
      <c r="BL20" s="12">
        <f t="shared" si="1"/>
        <v>1750</v>
      </c>
      <c r="BM20" s="12"/>
      <c r="BN20" s="12"/>
    </row>
    <row r="21" spans="2:66" x14ac:dyDescent="0.25">
      <c r="B21" s="23" t="s">
        <v>80</v>
      </c>
      <c r="C21" s="21">
        <v>45</v>
      </c>
      <c r="D21" s="21">
        <v>120</v>
      </c>
      <c r="E21" s="21">
        <v>2000</v>
      </c>
      <c r="F21" s="21">
        <f t="shared" si="15"/>
        <v>2000</v>
      </c>
      <c r="G21" s="21">
        <f>IF('Calcul prix passerelle'!C8="Vertical",0,(G15-2)*4)</f>
        <v>40</v>
      </c>
      <c r="H21" s="24"/>
      <c r="I21" s="22"/>
      <c r="J21" s="27"/>
      <c r="K21" s="81"/>
      <c r="L21" s="79"/>
      <c r="M21" s="99" t="str">
        <f t="shared" ref="M21" si="17">N19 &amp;  " " &amp; O21</f>
        <v>4000 2000</v>
      </c>
      <c r="N21" s="169">
        <v>4000</v>
      </c>
      <c r="O21" s="95">
        <v>2000</v>
      </c>
      <c r="P21" s="97">
        <v>100</v>
      </c>
      <c r="Q21" s="98">
        <v>320</v>
      </c>
      <c r="R21" s="52" t="s">
        <v>88</v>
      </c>
      <c r="AF21" s="53"/>
      <c r="AG21" s="10" t="s">
        <v>5</v>
      </c>
      <c r="AH21" s="56">
        <v>10000</v>
      </c>
      <c r="AI21" s="53">
        <v>120</v>
      </c>
      <c r="AJ21" s="53">
        <v>160</v>
      </c>
      <c r="AK21" s="53">
        <v>180</v>
      </c>
      <c r="AL21" s="53">
        <v>220</v>
      </c>
      <c r="AM21" s="53"/>
      <c r="AN21" s="53"/>
      <c r="AO21" s="10" t="s">
        <v>5</v>
      </c>
      <c r="AP21" s="56">
        <v>10000</v>
      </c>
      <c r="AQ21" s="53">
        <v>560</v>
      </c>
      <c r="AR21" s="53">
        <v>560</v>
      </c>
      <c r="AS21" s="53">
        <v>600</v>
      </c>
      <c r="AT21" s="53">
        <v>600</v>
      </c>
      <c r="BK21" s="52">
        <v>11000</v>
      </c>
      <c r="BL21" s="12">
        <f t="shared" si="1"/>
        <v>1833.3333333333333</v>
      </c>
      <c r="BM21" s="12"/>
      <c r="BN21" s="12"/>
    </row>
    <row r="22" spans="2:66" x14ac:dyDescent="0.25">
      <c r="B22" s="23" t="s">
        <v>42</v>
      </c>
      <c r="C22" s="21">
        <v>68</v>
      </c>
      <c r="D22" s="21">
        <v>68</v>
      </c>
      <c r="E22" s="21">
        <v>4000</v>
      </c>
      <c r="F22" s="21">
        <v>4000</v>
      </c>
      <c r="G22" s="21">
        <f>ROUNDUP(B3/4000,0)+1</f>
        <v>4</v>
      </c>
      <c r="H22" s="24"/>
      <c r="I22" s="22"/>
      <c r="J22" s="27"/>
      <c r="K22" s="81"/>
      <c r="L22" s="79"/>
      <c r="M22" s="100" t="str">
        <f t="shared" ref="M22" si="18">N19 &amp;  " " &amp; O22</f>
        <v>4000 2500</v>
      </c>
      <c r="N22" s="170">
        <v>4000</v>
      </c>
      <c r="O22" s="101">
        <v>2500</v>
      </c>
      <c r="P22" s="97">
        <v>100</v>
      </c>
      <c r="Q22" s="98">
        <v>320</v>
      </c>
      <c r="R22" s="52" t="s">
        <v>88</v>
      </c>
      <c r="AF22" s="53"/>
      <c r="AG22" s="10" t="s">
        <v>5</v>
      </c>
      <c r="AH22" s="56">
        <v>10500</v>
      </c>
      <c r="AI22" s="53">
        <v>140</v>
      </c>
      <c r="AJ22" s="53">
        <v>160</v>
      </c>
      <c r="AK22" s="53">
        <v>200</v>
      </c>
      <c r="AL22" s="53">
        <v>240</v>
      </c>
      <c r="AM22" s="53"/>
      <c r="AN22" s="53"/>
      <c r="AO22" s="10" t="s">
        <v>5</v>
      </c>
      <c r="AP22" s="56">
        <v>10500</v>
      </c>
      <c r="AQ22" s="53">
        <v>560</v>
      </c>
      <c r="AR22" s="53">
        <v>600</v>
      </c>
      <c r="AS22" s="53">
        <v>600</v>
      </c>
      <c r="AT22" s="53">
        <v>600</v>
      </c>
      <c r="BK22" s="52">
        <v>11500</v>
      </c>
      <c r="BL22" s="12">
        <f t="shared" si="1"/>
        <v>1916.6666666666667</v>
      </c>
      <c r="BM22" s="12"/>
      <c r="BN22" s="12"/>
    </row>
    <row r="23" spans="2:66" x14ac:dyDescent="0.25">
      <c r="F23" s="52"/>
      <c r="J23" s="1"/>
      <c r="L23" s="53"/>
      <c r="M23" s="102" t="str">
        <f t="shared" ref="M23" si="19">N23 &amp;  " " &amp; O23</f>
        <v>4500 1000</v>
      </c>
      <c r="N23" s="171">
        <v>4500</v>
      </c>
      <c r="O23" s="103">
        <v>1000</v>
      </c>
      <c r="P23" s="103">
        <v>80</v>
      </c>
      <c r="Q23" s="104">
        <v>280</v>
      </c>
      <c r="R23" s="52" t="s">
        <v>88</v>
      </c>
      <c r="AF23" s="53"/>
      <c r="AG23" s="10" t="s">
        <v>5</v>
      </c>
      <c r="AH23" s="56">
        <v>11000</v>
      </c>
      <c r="AI23" s="53">
        <v>140</v>
      </c>
      <c r="AJ23" s="53">
        <v>180</v>
      </c>
      <c r="AK23" s="53">
        <v>240</v>
      </c>
      <c r="AL23" s="53">
        <v>164</v>
      </c>
      <c r="AM23" s="53"/>
      <c r="AN23" s="53"/>
      <c r="AO23" s="10" t="s">
        <v>5</v>
      </c>
      <c r="AP23" s="56">
        <v>11000</v>
      </c>
      <c r="AQ23" s="53">
        <v>600</v>
      </c>
      <c r="AR23" s="53">
        <v>600</v>
      </c>
      <c r="AS23" s="53">
        <v>600</v>
      </c>
      <c r="AT23" s="53">
        <v>757</v>
      </c>
      <c r="BD23" s="52"/>
      <c r="BK23" s="52">
        <v>12000</v>
      </c>
      <c r="BL23" s="12">
        <f t="shared" si="1"/>
        <v>2000</v>
      </c>
      <c r="BM23" s="12"/>
      <c r="BN23" s="12"/>
    </row>
    <row r="24" spans="2:66" x14ac:dyDescent="0.25">
      <c r="M24" s="105" t="str">
        <f t="shared" ref="M24" si="20">N23 &amp;  " " &amp; O24</f>
        <v>4500 1500</v>
      </c>
      <c r="N24" s="172">
        <v>4500</v>
      </c>
      <c r="O24" s="106">
        <v>1500</v>
      </c>
      <c r="P24" s="103">
        <v>100</v>
      </c>
      <c r="Q24" s="104">
        <v>320</v>
      </c>
      <c r="R24" s="52"/>
      <c r="S24" s="121" t="s">
        <v>101</v>
      </c>
      <c r="AF24" s="53"/>
      <c r="AG24" s="10" t="s">
        <v>5</v>
      </c>
      <c r="AH24" s="56">
        <v>11500</v>
      </c>
      <c r="AI24" s="53">
        <v>140</v>
      </c>
      <c r="AJ24" s="53">
        <v>200</v>
      </c>
      <c r="AK24" s="53">
        <v>164</v>
      </c>
      <c r="AL24" s="53">
        <v>164</v>
      </c>
      <c r="AM24" s="53"/>
      <c r="AN24" s="53"/>
      <c r="AO24" s="10" t="s">
        <v>5</v>
      </c>
      <c r="AP24" s="56">
        <v>11500</v>
      </c>
      <c r="AQ24" s="53">
        <v>600</v>
      </c>
      <c r="AR24" s="53">
        <v>600</v>
      </c>
      <c r="AS24" s="53">
        <v>757</v>
      </c>
      <c r="AT24" s="53">
        <v>757</v>
      </c>
      <c r="BD24" s="52"/>
      <c r="BK24" s="52">
        <v>12500</v>
      </c>
      <c r="BL24" s="12">
        <f t="shared" si="1"/>
        <v>1785.7142857142858</v>
      </c>
      <c r="BM24" s="12"/>
      <c r="BN24" s="12"/>
    </row>
    <row r="25" spans="2:66" x14ac:dyDescent="0.25">
      <c r="M25" s="105" t="str">
        <f t="shared" ref="M25" si="21">N23 &amp;  " " &amp; O25</f>
        <v>4500 2000</v>
      </c>
      <c r="N25" s="172">
        <v>4500</v>
      </c>
      <c r="O25" s="106">
        <v>2000</v>
      </c>
      <c r="P25" s="103">
        <v>100</v>
      </c>
      <c r="Q25" s="104">
        <v>320</v>
      </c>
      <c r="R25" s="52" t="s">
        <v>88</v>
      </c>
      <c r="AF25" s="53"/>
      <c r="AG25" s="10" t="s">
        <v>5</v>
      </c>
      <c r="AH25" s="56">
        <v>12000</v>
      </c>
      <c r="AI25" s="53">
        <v>160</v>
      </c>
      <c r="AJ25" s="53">
        <v>240</v>
      </c>
      <c r="AK25" s="53">
        <v>164</v>
      </c>
      <c r="AL25" s="53">
        <v>164</v>
      </c>
      <c r="AM25" s="53"/>
      <c r="AN25" s="53"/>
      <c r="AO25" s="10" t="s">
        <v>5</v>
      </c>
      <c r="AP25" s="56">
        <v>12000</v>
      </c>
      <c r="AQ25" s="53">
        <v>600</v>
      </c>
      <c r="AR25" s="53">
        <v>600</v>
      </c>
      <c r="AS25" s="53">
        <v>757</v>
      </c>
      <c r="AT25" s="53">
        <v>797</v>
      </c>
      <c r="AV25" s="58"/>
      <c r="BD25" s="52"/>
      <c r="BK25" s="52">
        <v>13000</v>
      </c>
      <c r="BL25" s="12">
        <f t="shared" si="1"/>
        <v>1857.1428571428571</v>
      </c>
      <c r="BM25" s="12"/>
      <c r="BN25" s="12"/>
    </row>
    <row r="26" spans="2:66" x14ac:dyDescent="0.25">
      <c r="M26" s="107" t="str">
        <f t="shared" ref="M26" si="22">N23 &amp;  " " &amp; O26</f>
        <v>4500 2500</v>
      </c>
      <c r="N26" s="173">
        <v>4500</v>
      </c>
      <c r="O26" s="108">
        <v>2500</v>
      </c>
      <c r="P26" s="103">
        <v>100</v>
      </c>
      <c r="Q26" s="104">
        <v>360</v>
      </c>
      <c r="R26" s="122" t="s">
        <v>102</v>
      </c>
      <c r="S26" s="121" t="s">
        <v>103</v>
      </c>
      <c r="AF26" s="53"/>
      <c r="AG26" s="10" t="s">
        <v>5</v>
      </c>
      <c r="AH26" s="56">
        <v>12500</v>
      </c>
      <c r="AI26" s="53">
        <v>180</v>
      </c>
      <c r="AJ26" s="53">
        <v>164</v>
      </c>
      <c r="AK26" s="53">
        <v>164</v>
      </c>
      <c r="AL26" s="53">
        <v>164</v>
      </c>
      <c r="AM26" s="53"/>
      <c r="AN26" s="53"/>
      <c r="AO26" s="10" t="s">
        <v>5</v>
      </c>
      <c r="AP26" s="56">
        <v>12500</v>
      </c>
      <c r="AQ26" s="53">
        <v>600</v>
      </c>
      <c r="AR26" s="53">
        <v>757</v>
      </c>
      <c r="AS26" s="53">
        <v>797</v>
      </c>
      <c r="AT26" s="53">
        <v>837</v>
      </c>
      <c r="AV26" s="58"/>
      <c r="BD26" s="52"/>
      <c r="BK26" s="52">
        <v>13500</v>
      </c>
      <c r="BL26" s="12">
        <f t="shared" si="1"/>
        <v>1928.5714285714287</v>
      </c>
      <c r="BM26" s="12"/>
      <c r="BN26" s="12"/>
    </row>
    <row r="27" spans="2:66" x14ac:dyDescent="0.25">
      <c r="M27" s="96" t="str">
        <f t="shared" ref="M27" si="23">N27 &amp;  " " &amp; O27</f>
        <v>5000 1000</v>
      </c>
      <c r="N27" s="168">
        <v>5000</v>
      </c>
      <c r="O27" s="97">
        <v>1000</v>
      </c>
      <c r="P27" s="97">
        <v>100</v>
      </c>
      <c r="Q27" s="98">
        <v>320</v>
      </c>
      <c r="R27" s="1" t="s">
        <v>88</v>
      </c>
      <c r="AF27" s="53"/>
      <c r="AG27" s="10" t="s">
        <v>5</v>
      </c>
      <c r="AH27" s="56">
        <v>13000</v>
      </c>
      <c r="AI27" s="53">
        <v>240</v>
      </c>
      <c r="AJ27" s="53">
        <v>164</v>
      </c>
      <c r="AK27" s="53">
        <v>164</v>
      </c>
      <c r="AL27" s="53">
        <v>164</v>
      </c>
      <c r="AM27" s="53"/>
      <c r="AN27" s="53"/>
      <c r="AO27" s="10" t="s">
        <v>5</v>
      </c>
      <c r="AP27" s="56">
        <v>13000</v>
      </c>
      <c r="AQ27" s="53">
        <v>600</v>
      </c>
      <c r="AR27" s="53">
        <v>757</v>
      </c>
      <c r="AS27" s="53">
        <v>837</v>
      </c>
      <c r="AT27" s="53">
        <v>877</v>
      </c>
      <c r="BD27" s="52"/>
      <c r="BK27" s="52">
        <v>14000</v>
      </c>
      <c r="BL27" s="12">
        <f t="shared" si="1"/>
        <v>2000</v>
      </c>
      <c r="BM27" s="12"/>
      <c r="BN27" s="12"/>
    </row>
    <row r="28" spans="2:66" x14ac:dyDescent="0.25">
      <c r="M28" s="99" t="str">
        <f t="shared" ref="M28" si="24">N27 &amp;  " " &amp; O28</f>
        <v>5000 1500</v>
      </c>
      <c r="N28" s="169">
        <v>5000</v>
      </c>
      <c r="O28" s="95">
        <v>1500</v>
      </c>
      <c r="P28" s="97">
        <v>100</v>
      </c>
      <c r="Q28" s="98">
        <v>320</v>
      </c>
      <c r="R28" s="1" t="s">
        <v>88</v>
      </c>
      <c r="AF28" s="53"/>
      <c r="AG28" s="10" t="s">
        <v>5</v>
      </c>
      <c r="AH28" s="56">
        <v>13500</v>
      </c>
      <c r="AI28" s="53">
        <v>164</v>
      </c>
      <c r="AJ28" s="53">
        <v>164</v>
      </c>
      <c r="AK28" s="53">
        <v>164</v>
      </c>
      <c r="AL28" s="53">
        <v>164</v>
      </c>
      <c r="AM28" s="53"/>
      <c r="AN28" s="53"/>
      <c r="AO28" s="10" t="s">
        <v>5</v>
      </c>
      <c r="AP28" s="56">
        <v>13500</v>
      </c>
      <c r="AQ28" s="53">
        <v>717</v>
      </c>
      <c r="AR28" s="53">
        <v>757</v>
      </c>
      <c r="AS28" s="53">
        <v>877</v>
      </c>
      <c r="AT28" s="53">
        <v>917</v>
      </c>
      <c r="BD28" s="52"/>
      <c r="BK28" s="52">
        <v>14500</v>
      </c>
      <c r="BL28" s="12">
        <f t="shared" si="1"/>
        <v>1812.5</v>
      </c>
      <c r="BM28" s="12"/>
      <c r="BN28" s="12"/>
    </row>
    <row r="29" spans="2:66" ht="21.75" customHeight="1" x14ac:dyDescent="0.25">
      <c r="B29" s="25" t="s">
        <v>24</v>
      </c>
      <c r="C29" s="26"/>
      <c r="D29" s="12"/>
      <c r="E29" s="12"/>
      <c r="M29" s="99" t="str">
        <f t="shared" ref="M29" si="25">N27 &amp;  " " &amp; O29</f>
        <v>5000 2000</v>
      </c>
      <c r="N29" s="169">
        <v>5000</v>
      </c>
      <c r="O29" s="95">
        <v>2000</v>
      </c>
      <c r="P29" s="97">
        <v>100</v>
      </c>
      <c r="Q29" s="98">
        <v>360</v>
      </c>
      <c r="R29" s="122" t="s">
        <v>102</v>
      </c>
      <c r="S29" s="121" t="s">
        <v>103</v>
      </c>
      <c r="AF29" s="53"/>
      <c r="AG29" s="10" t="s">
        <v>5</v>
      </c>
      <c r="AH29" s="56">
        <v>14000</v>
      </c>
      <c r="AI29" s="53">
        <v>164</v>
      </c>
      <c r="AJ29" s="53">
        <v>164</v>
      </c>
      <c r="AK29" s="53">
        <v>164</v>
      </c>
      <c r="AL29" s="53">
        <v>164</v>
      </c>
      <c r="AM29" s="53"/>
      <c r="AN29" s="53"/>
      <c r="AO29" s="10" t="s">
        <v>5</v>
      </c>
      <c r="AP29" s="56">
        <v>14000</v>
      </c>
      <c r="AQ29" s="53">
        <v>757</v>
      </c>
      <c r="AR29" s="53">
        <v>797</v>
      </c>
      <c r="AS29" s="53">
        <v>917</v>
      </c>
      <c r="AT29" s="53">
        <v>957</v>
      </c>
      <c r="BD29" s="52"/>
      <c r="BK29" s="52">
        <v>15000</v>
      </c>
      <c r="BL29" s="12">
        <f t="shared" si="1"/>
        <v>1875</v>
      </c>
      <c r="BM29" s="12"/>
      <c r="BN29" s="12"/>
    </row>
    <row r="30" spans="2:66" x14ac:dyDescent="0.25">
      <c r="C30" s="12"/>
      <c r="D30" s="12"/>
      <c r="E30" s="12"/>
      <c r="M30" s="100" t="str">
        <f t="shared" ref="M30" si="26">N27 &amp;  " " &amp; O30</f>
        <v>5000 2500</v>
      </c>
      <c r="N30" s="170">
        <v>5000</v>
      </c>
      <c r="O30" s="101">
        <v>2500</v>
      </c>
      <c r="P30" s="97">
        <v>100</v>
      </c>
      <c r="Q30" s="98">
        <v>400</v>
      </c>
      <c r="R30" s="122" t="s">
        <v>102</v>
      </c>
      <c r="S30" s="121" t="s">
        <v>103</v>
      </c>
      <c r="AF30" s="53"/>
      <c r="AG30" s="10" t="s">
        <v>5</v>
      </c>
      <c r="AH30" s="56">
        <v>14500</v>
      </c>
      <c r="AI30" s="53">
        <v>164</v>
      </c>
      <c r="AJ30" s="53">
        <v>164</v>
      </c>
      <c r="AK30" s="53">
        <v>164</v>
      </c>
      <c r="AL30" s="53">
        <v>164</v>
      </c>
      <c r="AM30" s="53"/>
      <c r="AN30" s="53"/>
      <c r="AO30" s="10" t="s">
        <v>5</v>
      </c>
      <c r="AP30" s="56">
        <v>14500</v>
      </c>
      <c r="AQ30" s="53">
        <v>757</v>
      </c>
      <c r="AR30" s="53">
        <v>837</v>
      </c>
      <c r="AS30" s="53">
        <v>917</v>
      </c>
      <c r="AT30" s="53">
        <v>997</v>
      </c>
      <c r="BD30" s="52"/>
      <c r="BK30" s="52">
        <v>15500</v>
      </c>
      <c r="BL30" s="12">
        <f t="shared" si="1"/>
        <v>1937.5</v>
      </c>
      <c r="BM30" s="12"/>
      <c r="BN30" s="12"/>
    </row>
    <row r="31" spans="2:66" ht="30" x14ac:dyDescent="0.25">
      <c r="B31" s="14" t="s">
        <v>11</v>
      </c>
      <c r="C31" s="14" t="s">
        <v>91</v>
      </c>
      <c r="D31" s="14" t="s">
        <v>92</v>
      </c>
      <c r="E31" s="14" t="s">
        <v>85</v>
      </c>
      <c r="F31" s="14" t="s">
        <v>72</v>
      </c>
      <c r="G31" s="14" t="s">
        <v>22</v>
      </c>
      <c r="M31" s="102" t="str">
        <f t="shared" ref="M31" si="27">N31 &amp;  " " &amp; O31</f>
        <v>5500 1000</v>
      </c>
      <c r="N31" s="171">
        <v>5500</v>
      </c>
      <c r="O31" s="103">
        <v>1000</v>
      </c>
      <c r="P31" s="103">
        <v>100</v>
      </c>
      <c r="Q31" s="104">
        <v>360</v>
      </c>
      <c r="R31" s="122" t="s">
        <v>102</v>
      </c>
      <c r="S31" s="121" t="s">
        <v>103</v>
      </c>
      <c r="T31" s="120" t="s">
        <v>104</v>
      </c>
      <c r="AF31" s="53"/>
      <c r="AG31" s="10" t="s">
        <v>5</v>
      </c>
      <c r="AH31" s="56">
        <v>15000</v>
      </c>
      <c r="AI31" s="53">
        <v>164</v>
      </c>
      <c r="AJ31" s="53">
        <v>164</v>
      </c>
      <c r="AK31" s="53">
        <v>164</v>
      </c>
      <c r="AL31" s="53">
        <v>164</v>
      </c>
      <c r="AM31" s="53"/>
      <c r="AN31" s="53"/>
      <c r="AO31" s="10" t="s">
        <v>5</v>
      </c>
      <c r="AP31" s="56">
        <v>15000</v>
      </c>
      <c r="AQ31" s="53">
        <v>757</v>
      </c>
      <c r="AR31" s="53">
        <v>877</v>
      </c>
      <c r="AS31" s="53">
        <v>957</v>
      </c>
      <c r="AT31" s="53">
        <v>1037</v>
      </c>
      <c r="BD31" s="52"/>
      <c r="BK31" s="52">
        <v>16000</v>
      </c>
      <c r="BL31" s="12">
        <f t="shared" si="1"/>
        <v>2000</v>
      </c>
      <c r="BM31" s="12"/>
      <c r="BN31" s="12"/>
    </row>
    <row r="32" spans="2:66" x14ac:dyDescent="0.25">
      <c r="B32" s="23"/>
      <c r="C32" s="21">
        <v>4</v>
      </c>
      <c r="D32" s="21">
        <v>1</v>
      </c>
      <c r="E32" s="21"/>
      <c r="F32" s="24"/>
      <c r="G32" s="27"/>
      <c r="M32" s="105" t="str">
        <f t="shared" ref="M32" si="28">N31 &amp;  " " &amp; O32</f>
        <v>5500 1500</v>
      </c>
      <c r="N32" s="172">
        <v>5500</v>
      </c>
      <c r="O32" s="106">
        <v>1500</v>
      </c>
      <c r="P32" s="103">
        <v>100</v>
      </c>
      <c r="Q32" s="104">
        <v>360</v>
      </c>
      <c r="R32" s="122" t="s">
        <v>102</v>
      </c>
      <c r="S32" s="121" t="s">
        <v>103</v>
      </c>
      <c r="T32" s="120" t="s">
        <v>104</v>
      </c>
      <c r="AF32" s="53"/>
      <c r="AG32" s="10" t="s">
        <v>5</v>
      </c>
      <c r="AH32" s="56">
        <v>15500</v>
      </c>
      <c r="AI32" s="53">
        <v>164</v>
      </c>
      <c r="AJ32" s="53">
        <v>164</v>
      </c>
      <c r="AK32" s="53">
        <v>164</v>
      </c>
      <c r="AL32" s="53">
        <v>164</v>
      </c>
      <c r="AM32" s="53"/>
      <c r="AN32" s="53"/>
      <c r="AO32" s="10" t="s">
        <v>5</v>
      </c>
      <c r="AP32" s="56">
        <v>15500</v>
      </c>
      <c r="AQ32" s="53">
        <v>797</v>
      </c>
      <c r="AR32" s="53">
        <v>917</v>
      </c>
      <c r="AS32" s="53">
        <v>957</v>
      </c>
      <c r="AT32" s="53">
        <v>1077</v>
      </c>
      <c r="BD32" s="52"/>
      <c r="BK32" s="52">
        <v>16500</v>
      </c>
      <c r="BL32" s="12">
        <f t="shared" si="1"/>
        <v>1833.3333333333333</v>
      </c>
      <c r="BM32" s="12"/>
      <c r="BN32" s="12"/>
    </row>
    <row r="33" spans="2:66" x14ac:dyDescent="0.25">
      <c r="B33" s="23"/>
      <c r="C33" s="21">
        <f>(G10+G12/(G11+1))*2*G13</f>
        <v>473.14285714285717</v>
      </c>
      <c r="D33" s="21">
        <v>100</v>
      </c>
      <c r="E33" s="21"/>
      <c r="F33" s="24"/>
      <c r="G33" s="27"/>
      <c r="M33" s="105" t="str">
        <f t="shared" ref="M33" si="29">N31 &amp;  " " &amp; O33</f>
        <v>5500 2000</v>
      </c>
      <c r="N33" s="172">
        <v>5500</v>
      </c>
      <c r="O33" s="106">
        <v>2000</v>
      </c>
      <c r="P33" s="103">
        <v>100</v>
      </c>
      <c r="Q33" s="104">
        <v>400</v>
      </c>
      <c r="R33" s="122" t="s">
        <v>102</v>
      </c>
      <c r="S33" s="121" t="s">
        <v>103</v>
      </c>
      <c r="T33" s="120" t="s">
        <v>104</v>
      </c>
      <c r="AF33" s="53"/>
      <c r="AG33" s="10" t="s">
        <v>5</v>
      </c>
      <c r="AH33" s="56">
        <v>16000</v>
      </c>
      <c r="AI33" s="53">
        <v>164</v>
      </c>
      <c r="AJ33" s="53">
        <v>164</v>
      </c>
      <c r="AK33" s="53">
        <v>164</v>
      </c>
      <c r="AL33" s="53">
        <v>164</v>
      </c>
      <c r="AM33" s="53"/>
      <c r="AN33" s="53"/>
      <c r="AO33" s="10" t="s">
        <v>5</v>
      </c>
      <c r="AP33" s="56">
        <v>16000</v>
      </c>
      <c r="AQ33" s="53">
        <v>837</v>
      </c>
      <c r="AR33" s="53">
        <v>957</v>
      </c>
      <c r="AS33" s="53">
        <v>1037</v>
      </c>
      <c r="AT33" s="53">
        <v>1117</v>
      </c>
      <c r="BD33" s="52"/>
      <c r="BK33" s="52">
        <v>17000</v>
      </c>
      <c r="BL33" s="12">
        <f t="shared" si="1"/>
        <v>1888.8888888888889</v>
      </c>
      <c r="BM33" s="12"/>
      <c r="BN33" s="12"/>
    </row>
    <row r="34" spans="2:66" x14ac:dyDescent="0.25">
      <c r="B34" s="23"/>
      <c r="C34" s="21">
        <f>C39*30+C40*50</f>
        <v>1500</v>
      </c>
      <c r="D34" s="21">
        <v>100</v>
      </c>
      <c r="E34" s="21"/>
      <c r="F34" s="24"/>
      <c r="G34" s="27"/>
      <c r="M34" s="107" t="str">
        <f t="shared" ref="M34" si="30">N31 &amp;  " " &amp; O34</f>
        <v>5500 2500</v>
      </c>
      <c r="N34" s="173">
        <v>5500</v>
      </c>
      <c r="O34" s="108">
        <v>2500</v>
      </c>
      <c r="P34" s="103">
        <v>140</v>
      </c>
      <c r="Q34" s="104">
        <v>360</v>
      </c>
      <c r="R34" s="122" t="s">
        <v>102</v>
      </c>
      <c r="S34" s="121" t="s">
        <v>103</v>
      </c>
      <c r="T34" s="120" t="s">
        <v>104</v>
      </c>
      <c r="AF34" s="53"/>
      <c r="AG34" s="10" t="s">
        <v>5</v>
      </c>
      <c r="AH34" s="56">
        <v>16500</v>
      </c>
      <c r="AI34" s="53">
        <v>164</v>
      </c>
      <c r="AJ34" s="53">
        <v>164</v>
      </c>
      <c r="AK34" s="53">
        <v>164</v>
      </c>
      <c r="AL34" s="53">
        <v>164</v>
      </c>
      <c r="AM34" s="53"/>
      <c r="AN34" s="53"/>
      <c r="AO34" s="10" t="s">
        <v>5</v>
      </c>
      <c r="AP34" s="56">
        <v>16500</v>
      </c>
      <c r="AQ34" s="53">
        <v>877</v>
      </c>
      <c r="AR34" s="53">
        <v>957</v>
      </c>
      <c r="AS34" s="53">
        <v>1037</v>
      </c>
      <c r="AT34" s="53">
        <v>1157</v>
      </c>
      <c r="BD34" s="52"/>
      <c r="BK34" s="52">
        <v>17500</v>
      </c>
      <c r="BL34" s="12">
        <f t="shared" si="1"/>
        <v>1944.4444444444443</v>
      </c>
      <c r="BM34" s="12"/>
      <c r="BN34" s="12"/>
    </row>
    <row r="35" spans="2:66" x14ac:dyDescent="0.25">
      <c r="B35" s="23"/>
      <c r="C35" s="21">
        <f>G20*3+G21*4</f>
        <v>160</v>
      </c>
      <c r="D35" s="21">
        <v>100</v>
      </c>
      <c r="E35" s="21"/>
      <c r="F35" s="24"/>
      <c r="G35" s="27"/>
      <c r="M35" s="96" t="str">
        <f t="shared" ref="M35" si="31">N35 &amp;  " " &amp; O35</f>
        <v>6000 1000</v>
      </c>
      <c r="N35" s="168">
        <v>6000</v>
      </c>
      <c r="O35" s="97">
        <v>1000</v>
      </c>
      <c r="P35" s="97">
        <v>100</v>
      </c>
      <c r="Q35" s="98">
        <v>360</v>
      </c>
      <c r="R35" s="122" t="s">
        <v>102</v>
      </c>
      <c r="S35" s="121" t="s">
        <v>103</v>
      </c>
      <c r="AF35" s="53"/>
      <c r="AG35" s="10" t="s">
        <v>5</v>
      </c>
      <c r="AH35" s="56">
        <v>17000</v>
      </c>
      <c r="AI35" s="53">
        <v>164</v>
      </c>
      <c r="AJ35" s="53">
        <v>164</v>
      </c>
      <c r="AK35" s="53">
        <v>164</v>
      </c>
      <c r="AL35" s="53">
        <v>164</v>
      </c>
      <c r="AM35" s="53"/>
      <c r="AN35" s="53"/>
      <c r="AO35" s="10" t="s">
        <v>5</v>
      </c>
      <c r="AP35" s="56">
        <v>17000</v>
      </c>
      <c r="AQ35" s="53">
        <v>877</v>
      </c>
      <c r="AR35" s="53">
        <v>997</v>
      </c>
      <c r="AS35" s="53">
        <v>1077</v>
      </c>
      <c r="AT35" s="53">
        <v>1157</v>
      </c>
      <c r="BD35" s="52"/>
      <c r="BK35" s="52">
        <v>18000</v>
      </c>
      <c r="BL35" s="12">
        <f t="shared" si="1"/>
        <v>2000</v>
      </c>
      <c r="BM35" s="12"/>
      <c r="BN35" s="12"/>
    </row>
    <row r="36" spans="2:66" x14ac:dyDescent="0.25">
      <c r="B36" s="23"/>
      <c r="C36" s="21">
        <f>(G15*2)+((4*G15*2))+G15*2</f>
        <v>144</v>
      </c>
      <c r="D36" s="21">
        <v>100</v>
      </c>
      <c r="E36" s="21"/>
      <c r="F36" s="24"/>
      <c r="G36" s="27"/>
      <c r="M36" s="99" t="str">
        <f t="shared" ref="M36" si="32">N35 &amp;  " " &amp; O36</f>
        <v>6000 1500</v>
      </c>
      <c r="N36" s="169">
        <v>6000</v>
      </c>
      <c r="O36" s="95">
        <v>1500</v>
      </c>
      <c r="P36" s="97">
        <v>100</v>
      </c>
      <c r="Q36" s="98">
        <v>360</v>
      </c>
      <c r="R36" s="122" t="s">
        <v>102</v>
      </c>
      <c r="S36" s="121" t="s">
        <v>103</v>
      </c>
      <c r="AF36" s="53"/>
      <c r="AG36" s="10" t="s">
        <v>5</v>
      </c>
      <c r="AH36" s="56">
        <v>17500</v>
      </c>
      <c r="AI36" s="53">
        <v>164</v>
      </c>
      <c r="AJ36" s="53">
        <v>164</v>
      </c>
      <c r="AK36" s="53">
        <v>164</v>
      </c>
      <c r="AL36" s="53">
        <v>164</v>
      </c>
      <c r="AM36" s="53"/>
      <c r="AN36" s="53"/>
      <c r="AO36" s="10" t="s">
        <v>5</v>
      </c>
      <c r="AP36" s="56">
        <v>17500</v>
      </c>
      <c r="AQ36" s="53">
        <v>917</v>
      </c>
      <c r="AR36" s="53">
        <v>1037</v>
      </c>
      <c r="AS36" s="53">
        <v>1117</v>
      </c>
      <c r="AT36" s="53">
        <v>1197</v>
      </c>
      <c r="BD36" s="52"/>
      <c r="BK36" s="52">
        <v>18500</v>
      </c>
      <c r="BL36" s="12">
        <f t="shared" si="1"/>
        <v>1850</v>
      </c>
      <c r="BM36" s="12"/>
      <c r="BN36" s="12"/>
    </row>
    <row r="37" spans="2:66" x14ac:dyDescent="0.25">
      <c r="B37" s="23"/>
      <c r="C37" s="21">
        <f>3*G15</f>
        <v>36</v>
      </c>
      <c r="D37" s="21">
        <v>25</v>
      </c>
      <c r="E37" s="21"/>
      <c r="F37" s="24"/>
      <c r="G37" s="27"/>
      <c r="M37" s="99" t="str">
        <f t="shared" ref="M37" si="33">N35 &amp;  " " &amp; O37</f>
        <v>6000 2000</v>
      </c>
      <c r="N37" s="169">
        <v>6000</v>
      </c>
      <c r="O37" s="95">
        <v>2000</v>
      </c>
      <c r="P37" s="97">
        <v>100</v>
      </c>
      <c r="Q37" s="98">
        <v>400</v>
      </c>
      <c r="R37" s="122" t="s">
        <v>102</v>
      </c>
      <c r="S37" s="121" t="s">
        <v>103</v>
      </c>
      <c r="T37" s="121" t="s">
        <v>105</v>
      </c>
      <c r="AF37" s="53"/>
      <c r="AG37" s="10" t="s">
        <v>5</v>
      </c>
      <c r="AH37" s="56">
        <v>18000</v>
      </c>
      <c r="AI37" s="53">
        <v>164</v>
      </c>
      <c r="AJ37" s="53">
        <v>164</v>
      </c>
      <c r="AK37" s="53">
        <v>164</v>
      </c>
      <c r="AL37" s="53">
        <v>164</v>
      </c>
      <c r="AM37" s="53"/>
      <c r="AN37" s="53"/>
      <c r="AO37" s="10" t="s">
        <v>5</v>
      </c>
      <c r="AP37" s="56">
        <v>18000</v>
      </c>
      <c r="AQ37" s="53">
        <v>957</v>
      </c>
      <c r="AR37" s="53">
        <v>1077</v>
      </c>
      <c r="AS37" s="53">
        <v>1157</v>
      </c>
      <c r="AT37" s="53">
        <v>1237</v>
      </c>
      <c r="BD37" s="52"/>
      <c r="BK37" s="52">
        <v>19000</v>
      </c>
      <c r="BL37" s="12">
        <f t="shared" si="1"/>
        <v>1900</v>
      </c>
      <c r="BM37" s="12"/>
      <c r="BN37" s="12"/>
    </row>
    <row r="38" spans="2:66" x14ac:dyDescent="0.25">
      <c r="B38" s="23"/>
      <c r="C38" s="21">
        <f>C32*32</f>
        <v>128</v>
      </c>
      <c r="D38" s="21">
        <v>25</v>
      </c>
      <c r="E38" s="21"/>
      <c r="F38" s="24"/>
      <c r="G38" s="27"/>
      <c r="M38" s="100" t="str">
        <f t="shared" ref="M38" si="34">N35 &amp;  " " &amp; O38</f>
        <v>6000 2500</v>
      </c>
      <c r="N38" s="170">
        <v>6000</v>
      </c>
      <c r="O38" s="101">
        <v>2500</v>
      </c>
      <c r="P38" s="97">
        <v>140</v>
      </c>
      <c r="Q38" s="98">
        <v>360</v>
      </c>
      <c r="R38" s="122" t="s">
        <v>102</v>
      </c>
      <c r="S38" s="121" t="s">
        <v>103</v>
      </c>
      <c r="AF38" s="53"/>
      <c r="AG38" s="10" t="s">
        <v>5</v>
      </c>
      <c r="AH38" s="56">
        <v>18500</v>
      </c>
      <c r="AI38" s="53">
        <v>164</v>
      </c>
      <c r="AJ38" s="53">
        <v>164</v>
      </c>
      <c r="AK38" s="53">
        <v>164</v>
      </c>
      <c r="AL38" s="53">
        <v>164</v>
      </c>
      <c r="AM38" s="53"/>
      <c r="AN38" s="53"/>
      <c r="AO38" s="10" t="s">
        <v>5</v>
      </c>
      <c r="AP38" s="56">
        <v>18500</v>
      </c>
      <c r="AQ38" s="53">
        <v>957</v>
      </c>
      <c r="AR38" s="53">
        <v>1077</v>
      </c>
      <c r="AS38" s="53">
        <v>1157</v>
      </c>
      <c r="AT38" s="53">
        <v>1317</v>
      </c>
      <c r="BD38" s="52"/>
      <c r="BK38" s="52">
        <v>19500</v>
      </c>
      <c r="BL38" s="12">
        <f t="shared" si="1"/>
        <v>1950</v>
      </c>
      <c r="BM38" s="12"/>
      <c r="BN38" s="12"/>
    </row>
    <row r="39" spans="2:66" x14ac:dyDescent="0.25">
      <c r="B39" s="23"/>
      <c r="C39" s="21">
        <f>(G12+G14)*2</f>
        <v>30</v>
      </c>
      <c r="D39" s="21">
        <v>1</v>
      </c>
      <c r="E39" s="21"/>
      <c r="F39" s="24"/>
      <c r="G39" s="27"/>
      <c r="M39" s="102" t="str">
        <f t="shared" ref="M39" si="35">N39 &amp;  " " &amp; O39</f>
        <v>6500 1000</v>
      </c>
      <c r="N39" s="171">
        <v>6500</v>
      </c>
      <c r="O39" s="103">
        <v>1000</v>
      </c>
      <c r="P39" s="103">
        <v>100</v>
      </c>
      <c r="Q39" s="104">
        <v>400</v>
      </c>
      <c r="R39" s="122" t="s">
        <v>102</v>
      </c>
      <c r="S39" s="121" t="s">
        <v>103</v>
      </c>
      <c r="T39" s="120" t="s">
        <v>106</v>
      </c>
      <c r="AF39" s="53"/>
      <c r="AG39" s="10" t="s">
        <v>5</v>
      </c>
      <c r="AH39" s="56">
        <v>19000</v>
      </c>
      <c r="AI39" s="53">
        <v>164</v>
      </c>
      <c r="AJ39" s="53">
        <v>164</v>
      </c>
      <c r="AK39" s="53">
        <v>164</v>
      </c>
      <c r="AL39" s="53">
        <v>164</v>
      </c>
      <c r="AM39" s="53"/>
      <c r="AN39" s="53"/>
      <c r="AO39" s="10" t="s">
        <v>5</v>
      </c>
      <c r="AP39" s="56">
        <v>19000</v>
      </c>
      <c r="AQ39" s="53">
        <v>997</v>
      </c>
      <c r="AR39" s="53">
        <v>1117</v>
      </c>
      <c r="AS39" s="53">
        <v>1197</v>
      </c>
      <c r="AT39" s="53">
        <v>1357</v>
      </c>
      <c r="BK39" s="52">
        <v>20000</v>
      </c>
      <c r="BL39" s="12">
        <f t="shared" si="1"/>
        <v>2000</v>
      </c>
      <c r="BM39" s="12"/>
      <c r="BN39" s="12"/>
    </row>
    <row r="40" spans="2:66" x14ac:dyDescent="0.25">
      <c r="B40" s="23"/>
      <c r="C40" s="21">
        <f>G11*2</f>
        <v>12</v>
      </c>
      <c r="D40" s="21">
        <v>1</v>
      </c>
      <c r="E40" s="21"/>
      <c r="F40" s="24"/>
      <c r="G40" s="27"/>
      <c r="M40" s="105" t="str">
        <f t="shared" ref="M40" si="36">N39 &amp;  " " &amp; O40</f>
        <v>6500 1500</v>
      </c>
      <c r="N40" s="172">
        <v>6500</v>
      </c>
      <c r="O40" s="106">
        <v>1500</v>
      </c>
      <c r="P40" s="103">
        <v>140</v>
      </c>
      <c r="Q40" s="104">
        <v>440</v>
      </c>
      <c r="R40" s="1" t="s">
        <v>88</v>
      </c>
      <c r="T40" s="120" t="s">
        <v>106</v>
      </c>
      <c r="AF40" s="53"/>
      <c r="AG40" s="10" t="s">
        <v>5</v>
      </c>
      <c r="AH40" s="56">
        <v>19500</v>
      </c>
      <c r="AI40" s="53">
        <v>164</v>
      </c>
      <c r="AJ40" s="53">
        <v>164</v>
      </c>
      <c r="AK40" s="53">
        <v>164</v>
      </c>
      <c r="AL40" s="53">
        <v>164</v>
      </c>
      <c r="AM40" s="53"/>
      <c r="AN40" s="53"/>
      <c r="AO40" s="10" t="s">
        <v>5</v>
      </c>
      <c r="AP40" s="56">
        <v>19500</v>
      </c>
      <c r="AQ40" s="53">
        <v>1037</v>
      </c>
      <c r="AR40" s="53">
        <v>1157</v>
      </c>
      <c r="AS40" s="53">
        <v>1277</v>
      </c>
      <c r="AT40" s="53">
        <v>1437</v>
      </c>
    </row>
    <row r="41" spans="2:66" x14ac:dyDescent="0.25">
      <c r="C41" s="52"/>
      <c r="D41" s="52"/>
      <c r="E41" s="52"/>
      <c r="F41" s="52"/>
      <c r="M41" s="105" t="str">
        <f t="shared" ref="M41" si="37">N39 &amp;  " " &amp; O41</f>
        <v>6500 2000</v>
      </c>
      <c r="N41" s="172">
        <v>6500</v>
      </c>
      <c r="O41" s="106">
        <v>2000</v>
      </c>
      <c r="P41" s="103">
        <v>140</v>
      </c>
      <c r="Q41" s="104">
        <v>480</v>
      </c>
      <c r="R41" s="1" t="s">
        <v>88</v>
      </c>
      <c r="T41" s="120" t="s">
        <v>106</v>
      </c>
      <c r="AF41" s="53"/>
      <c r="AG41" s="11" t="s">
        <v>5</v>
      </c>
      <c r="AH41" s="57">
        <v>20000</v>
      </c>
      <c r="AI41" s="53">
        <v>164</v>
      </c>
      <c r="AJ41" s="53">
        <v>164</v>
      </c>
      <c r="AK41" s="53">
        <v>164</v>
      </c>
      <c r="AL41" s="53">
        <v>188</v>
      </c>
      <c r="AM41" s="53"/>
      <c r="AN41" s="53"/>
      <c r="AO41" s="11" t="s">
        <v>5</v>
      </c>
      <c r="AP41" s="57">
        <v>20000</v>
      </c>
      <c r="AQ41" s="53">
        <v>1077</v>
      </c>
      <c r="AR41" s="53">
        <v>1157</v>
      </c>
      <c r="AS41" s="53">
        <v>1317</v>
      </c>
      <c r="AT41" s="53">
        <v>1317</v>
      </c>
    </row>
    <row r="42" spans="2:66" x14ac:dyDescent="0.25">
      <c r="C42" s="52"/>
      <c r="D42" s="52"/>
      <c r="E42" s="52"/>
      <c r="F42" s="52"/>
      <c r="M42" s="107" t="str">
        <f t="shared" ref="M42" si="38">N39 &amp;  " " &amp; O42</f>
        <v>6500 2500</v>
      </c>
      <c r="N42" s="173">
        <v>6500</v>
      </c>
      <c r="O42" s="108">
        <v>2500</v>
      </c>
      <c r="P42" s="103">
        <v>140</v>
      </c>
      <c r="Q42" s="104">
        <v>480</v>
      </c>
      <c r="R42" s="1" t="s">
        <v>88</v>
      </c>
      <c r="T42" s="120" t="s">
        <v>106</v>
      </c>
      <c r="AF42" s="53"/>
      <c r="AG42" s="54"/>
      <c r="AH42" s="54"/>
      <c r="AI42" s="53"/>
      <c r="AJ42" s="53"/>
      <c r="AK42" s="53"/>
      <c r="AL42" s="53"/>
      <c r="AM42" s="53"/>
      <c r="AN42" s="53"/>
      <c r="AO42" s="54"/>
      <c r="AP42" s="54"/>
      <c r="AQ42" s="53"/>
    </row>
    <row r="43" spans="2:66" ht="26.25" x14ac:dyDescent="0.25">
      <c r="B43" s="25" t="s">
        <v>93</v>
      </c>
      <c r="C43" s="26"/>
      <c r="D43" s="52"/>
      <c r="E43" s="52"/>
      <c r="F43" s="52"/>
      <c r="M43" s="96" t="str">
        <f t="shared" ref="M43" si="39">N43 &amp;  " " &amp; O43</f>
        <v>7000 1000</v>
      </c>
      <c r="N43" s="168">
        <v>7000</v>
      </c>
      <c r="O43" s="97">
        <v>1000</v>
      </c>
      <c r="P43" s="97">
        <v>100</v>
      </c>
      <c r="Q43" s="98">
        <v>400</v>
      </c>
      <c r="R43" s="122" t="s">
        <v>102</v>
      </c>
      <c r="S43" s="121" t="s">
        <v>103</v>
      </c>
      <c r="AF43" s="53"/>
      <c r="AG43" s="54"/>
      <c r="AH43" s="54"/>
      <c r="AI43" s="53"/>
      <c r="AJ43" s="53"/>
      <c r="AK43" s="53"/>
      <c r="AL43" s="53"/>
      <c r="AM43" s="53"/>
      <c r="AN43" s="53"/>
      <c r="AO43" s="54"/>
      <c r="AP43" s="54"/>
      <c r="AQ43" s="53"/>
    </row>
    <row r="44" spans="2:66" x14ac:dyDescent="0.25">
      <c r="C44" s="52"/>
      <c r="D44" s="52"/>
      <c r="E44" s="52"/>
      <c r="F44" s="52"/>
      <c r="M44" s="99" t="str">
        <f t="shared" ref="M44" si="40">N43 &amp;  " " &amp; O44</f>
        <v>7000 1500</v>
      </c>
      <c r="N44" s="169">
        <v>7000</v>
      </c>
      <c r="O44" s="95">
        <v>1500</v>
      </c>
      <c r="P44" s="97">
        <v>140</v>
      </c>
      <c r="Q44" s="98">
        <v>440</v>
      </c>
      <c r="R44" s="1" t="s">
        <v>88</v>
      </c>
      <c r="AF44" s="53"/>
      <c r="AG44" s="54"/>
      <c r="AH44" s="54"/>
      <c r="AI44" s="53"/>
      <c r="AJ44" s="53"/>
      <c r="AK44" s="53"/>
      <c r="AL44" s="53"/>
      <c r="AM44" s="53"/>
      <c r="AN44" s="53"/>
      <c r="AO44" s="54"/>
      <c r="AP44" s="54"/>
      <c r="AQ44" s="53"/>
    </row>
    <row r="45" spans="2:66" x14ac:dyDescent="0.25">
      <c r="B45" s="64" t="s">
        <v>11</v>
      </c>
      <c r="C45" s="66"/>
      <c r="D45" s="52"/>
      <c r="E45" s="52"/>
      <c r="F45" s="52"/>
      <c r="M45" s="99" t="str">
        <f t="shared" ref="M45" si="41">N43 &amp;  " " &amp; O45</f>
        <v>7000 2000</v>
      </c>
      <c r="N45" s="169">
        <v>7000</v>
      </c>
      <c r="O45" s="95">
        <v>2000</v>
      </c>
      <c r="P45" s="97">
        <v>140</v>
      </c>
      <c r="Q45" s="98">
        <v>480</v>
      </c>
      <c r="R45" s="1" t="s">
        <v>88</v>
      </c>
      <c r="AF45" s="53"/>
      <c r="AG45" s="54"/>
      <c r="AH45" s="54"/>
      <c r="AI45" s="53"/>
      <c r="AJ45" s="53"/>
      <c r="AK45" s="53"/>
      <c r="AL45" s="53"/>
      <c r="AM45" s="53"/>
      <c r="AN45" s="53"/>
      <c r="AO45" s="54"/>
      <c r="AP45" s="54"/>
      <c r="AQ45" s="53"/>
    </row>
    <row r="46" spans="2:66" x14ac:dyDescent="0.25">
      <c r="B46" s="62" t="s">
        <v>94</v>
      </c>
      <c r="C46" s="28"/>
      <c r="D46" s="52"/>
      <c r="E46" s="52"/>
      <c r="F46" s="52"/>
      <c r="M46" s="100" t="str">
        <f t="shared" ref="M46" si="42">N43 &amp;  " " &amp; O46</f>
        <v>7000 2500</v>
      </c>
      <c r="N46" s="170">
        <v>7000</v>
      </c>
      <c r="O46" s="101">
        <v>2500</v>
      </c>
      <c r="P46" s="97">
        <v>140</v>
      </c>
      <c r="Q46" s="98">
        <v>480</v>
      </c>
      <c r="R46" s="1" t="s">
        <v>88</v>
      </c>
      <c r="AF46" s="53"/>
      <c r="AG46" s="54"/>
      <c r="AH46" s="54"/>
      <c r="AI46" s="53"/>
      <c r="AJ46" s="53"/>
      <c r="AK46" s="53"/>
      <c r="AL46" s="53"/>
      <c r="AM46" s="53"/>
      <c r="AN46" s="53"/>
      <c r="AO46" s="54"/>
      <c r="AP46" s="54"/>
      <c r="AQ46" s="53"/>
    </row>
    <row r="47" spans="2:66" ht="21.75" customHeight="1" x14ac:dyDescent="0.25">
      <c r="B47" s="62" t="s">
        <v>95</v>
      </c>
      <c r="C47" s="28"/>
      <c r="D47" s="52"/>
      <c r="E47" s="52"/>
      <c r="F47" s="52"/>
      <c r="M47" s="102" t="str">
        <f t="shared" ref="M47" si="43">N47 &amp;  " " &amp; O47</f>
        <v>7500 1000</v>
      </c>
      <c r="N47" s="171">
        <v>7500</v>
      </c>
      <c r="O47" s="103">
        <v>1000</v>
      </c>
      <c r="P47" s="103">
        <v>140</v>
      </c>
      <c r="Q47" s="104">
        <v>440</v>
      </c>
      <c r="R47" s="1" t="s">
        <v>88</v>
      </c>
      <c r="T47" s="120" t="s">
        <v>107</v>
      </c>
      <c r="AF47" s="53"/>
      <c r="AG47" s="54"/>
      <c r="AH47" s="54"/>
      <c r="AI47" s="53"/>
      <c r="AJ47" s="53"/>
      <c r="AK47" s="53"/>
      <c r="AL47" s="53"/>
      <c r="AM47" s="53"/>
      <c r="AN47" s="53"/>
      <c r="AO47" s="54"/>
      <c r="AP47" s="54"/>
      <c r="AQ47" s="53"/>
    </row>
    <row r="48" spans="2:66" x14ac:dyDescent="0.25">
      <c r="B48" s="110" t="s">
        <v>96</v>
      </c>
      <c r="C48" s="111"/>
      <c r="D48" s="52"/>
      <c r="M48" s="105" t="str">
        <f t="shared" ref="M48" si="44">N47 &amp;  " " &amp; O48</f>
        <v>7500 1500</v>
      </c>
      <c r="N48" s="172">
        <v>7500</v>
      </c>
      <c r="O48" s="106">
        <v>1500</v>
      </c>
      <c r="P48" s="103">
        <v>140</v>
      </c>
      <c r="Q48" s="104">
        <v>440</v>
      </c>
      <c r="R48" s="1" t="s">
        <v>88</v>
      </c>
      <c r="T48" s="120" t="s">
        <v>107</v>
      </c>
      <c r="AF48" s="53"/>
      <c r="AG48" s="54"/>
      <c r="AH48" s="54"/>
      <c r="AI48" s="53"/>
      <c r="AJ48" s="53"/>
      <c r="AK48" s="53"/>
      <c r="AL48" s="53"/>
      <c r="AM48" s="53"/>
      <c r="AN48" s="53"/>
      <c r="AO48" s="54"/>
      <c r="AP48" s="54"/>
      <c r="AQ48" s="53"/>
    </row>
    <row r="49" spans="2:43" x14ac:dyDescent="0.25">
      <c r="C49" s="52"/>
      <c r="D49" s="52"/>
      <c r="E49" s="52"/>
      <c r="M49" s="105" t="str">
        <f t="shared" ref="M49" si="45">N47 &amp;  " " &amp; O49</f>
        <v>7500 2000</v>
      </c>
      <c r="N49" s="172">
        <v>7500</v>
      </c>
      <c r="O49" s="106">
        <v>2000</v>
      </c>
      <c r="P49" s="103">
        <v>140</v>
      </c>
      <c r="Q49" s="104">
        <v>480</v>
      </c>
      <c r="R49" s="1" t="s">
        <v>88</v>
      </c>
      <c r="S49" s="121" t="s">
        <v>113</v>
      </c>
      <c r="T49" s="120" t="s">
        <v>107</v>
      </c>
      <c r="AF49" s="53"/>
      <c r="AG49" s="54"/>
      <c r="AH49" s="54"/>
      <c r="AI49" s="53"/>
      <c r="AJ49" s="53"/>
      <c r="AK49" s="53"/>
      <c r="AL49" s="53"/>
      <c r="AM49" s="53"/>
      <c r="AN49" s="53"/>
      <c r="AO49" s="54"/>
      <c r="AP49" s="54"/>
      <c r="AQ49" s="53"/>
    </row>
    <row r="50" spans="2:43" x14ac:dyDescent="0.25">
      <c r="C50" s="52"/>
      <c r="D50" s="52"/>
      <c r="M50" s="107" t="str">
        <f t="shared" ref="M50" si="46">N47 &amp;  " " &amp; O50</f>
        <v>7500 2500</v>
      </c>
      <c r="N50" s="173">
        <v>7500</v>
      </c>
      <c r="O50" s="108">
        <v>2500</v>
      </c>
      <c r="P50" s="103">
        <v>140</v>
      </c>
      <c r="Q50" s="104">
        <v>520</v>
      </c>
      <c r="R50" s="122" t="s">
        <v>102</v>
      </c>
      <c r="S50" s="121" t="s">
        <v>103</v>
      </c>
      <c r="T50" s="120" t="s">
        <v>107</v>
      </c>
      <c r="AF50" s="53"/>
      <c r="AG50" s="54"/>
      <c r="AH50" s="54"/>
      <c r="AI50" s="53"/>
      <c r="AJ50" s="53"/>
      <c r="AK50" s="53"/>
      <c r="AL50" s="53"/>
      <c r="AM50" s="53"/>
      <c r="AN50" s="53"/>
      <c r="AO50" s="54"/>
      <c r="AP50" s="54"/>
      <c r="AQ50" s="53"/>
    </row>
    <row r="51" spans="2:43" ht="26.25" x14ac:dyDescent="0.25">
      <c r="B51" s="25" t="s">
        <v>53</v>
      </c>
      <c r="C51" s="26"/>
      <c r="D51" s="52"/>
      <c r="M51" s="96" t="str">
        <f t="shared" ref="M51" si="47">N51 &amp;  " " &amp; O51</f>
        <v>8000 1000</v>
      </c>
      <c r="N51" s="168">
        <v>8000</v>
      </c>
      <c r="O51" s="97">
        <v>1000</v>
      </c>
      <c r="P51" s="97">
        <v>140</v>
      </c>
      <c r="Q51" s="98">
        <v>440</v>
      </c>
      <c r="R51" s="1" t="s">
        <v>88</v>
      </c>
      <c r="AF51" s="53"/>
      <c r="AG51" s="54"/>
      <c r="AH51" s="54"/>
      <c r="AI51" s="53"/>
      <c r="AJ51" s="53"/>
      <c r="AK51" s="53"/>
      <c r="AL51" s="53"/>
      <c r="AM51" s="53"/>
      <c r="AN51" s="53"/>
      <c r="AO51" s="54"/>
      <c r="AP51" s="54"/>
      <c r="AQ51" s="53"/>
    </row>
    <row r="52" spans="2:43" x14ac:dyDescent="0.25">
      <c r="E52" s="52"/>
      <c r="M52" s="99" t="str">
        <f t="shared" ref="M52" si="48">N51 &amp;  " " &amp; O52</f>
        <v>8000 1500</v>
      </c>
      <c r="N52" s="169">
        <v>8000</v>
      </c>
      <c r="O52" s="95">
        <v>1500</v>
      </c>
      <c r="P52" s="97">
        <v>140</v>
      </c>
      <c r="Q52" s="98">
        <v>440</v>
      </c>
      <c r="R52" s="1" t="s">
        <v>88</v>
      </c>
      <c r="AF52" s="53"/>
      <c r="AG52" s="54"/>
      <c r="AH52" s="54"/>
      <c r="AI52" s="53"/>
      <c r="AJ52" s="53"/>
      <c r="AK52" s="53"/>
      <c r="AL52" s="53"/>
      <c r="AM52" s="53"/>
      <c r="AN52" s="53"/>
      <c r="AO52" s="54"/>
      <c r="AP52" s="54"/>
      <c r="AQ52" s="53"/>
    </row>
    <row r="53" spans="2:43" x14ac:dyDescent="0.25">
      <c r="B53" s="64" t="s">
        <v>11</v>
      </c>
      <c r="C53" s="65" t="s">
        <v>48</v>
      </c>
      <c r="D53" s="66" t="s">
        <v>49</v>
      </c>
      <c r="E53" s="66" t="s">
        <v>55</v>
      </c>
      <c r="M53" s="99" t="str">
        <f t="shared" ref="M53" si="49">N51 &amp;  " " &amp; O53</f>
        <v>8000 2000</v>
      </c>
      <c r="N53" s="169">
        <v>8000</v>
      </c>
      <c r="O53" s="95">
        <v>2000</v>
      </c>
      <c r="P53" s="97">
        <v>140</v>
      </c>
      <c r="Q53" s="98">
        <v>480</v>
      </c>
      <c r="R53" s="1" t="s">
        <v>88</v>
      </c>
      <c r="S53" s="121" t="s">
        <v>113</v>
      </c>
      <c r="AF53" s="53"/>
      <c r="AG53" s="54"/>
      <c r="AH53" s="54"/>
      <c r="AI53" s="53"/>
      <c r="AJ53" s="53"/>
      <c r="AK53" s="53"/>
      <c r="AL53" s="53"/>
      <c r="AM53" s="53"/>
      <c r="AN53" s="53"/>
      <c r="AO53" s="54"/>
      <c r="AP53" s="54"/>
      <c r="AQ53" s="53"/>
    </row>
    <row r="54" spans="2:43" x14ac:dyDescent="0.25">
      <c r="B54" s="62"/>
      <c r="C54" s="28"/>
      <c r="D54" s="61" t="s">
        <v>50</v>
      </c>
      <c r="E54" s="63"/>
      <c r="M54" s="100" t="str">
        <f t="shared" ref="M54" si="50">N51 &amp;  " " &amp; O54</f>
        <v>8000 2500</v>
      </c>
      <c r="N54" s="170">
        <v>8000</v>
      </c>
      <c r="O54" s="101">
        <v>2500</v>
      </c>
      <c r="P54" s="97">
        <v>140</v>
      </c>
      <c r="Q54" s="98">
        <v>520</v>
      </c>
      <c r="R54" s="122" t="s">
        <v>102</v>
      </c>
      <c r="S54" s="121" t="s">
        <v>103</v>
      </c>
      <c r="AF54" s="53"/>
      <c r="AG54" s="54"/>
      <c r="AH54" s="54"/>
      <c r="AI54" s="53"/>
      <c r="AJ54" s="53"/>
      <c r="AK54" s="53"/>
      <c r="AL54" s="53"/>
      <c r="AM54" s="53"/>
      <c r="AN54" s="53"/>
      <c r="AO54" s="54"/>
      <c r="AP54" s="54"/>
      <c r="AQ54" s="53"/>
    </row>
    <row r="55" spans="2:43" x14ac:dyDescent="0.25">
      <c r="B55" s="62"/>
      <c r="C55" s="28"/>
      <c r="D55" s="61" t="s">
        <v>50</v>
      </c>
      <c r="E55" s="63"/>
      <c r="M55" s="102" t="str">
        <f t="shared" ref="M55" si="51">N55 &amp;  " " &amp; O55</f>
        <v>8500 1000</v>
      </c>
      <c r="N55" s="171">
        <v>8500</v>
      </c>
      <c r="O55" s="103">
        <v>1000</v>
      </c>
      <c r="P55" s="103">
        <v>140</v>
      </c>
      <c r="Q55" s="104">
        <v>520</v>
      </c>
      <c r="R55" s="122" t="s">
        <v>102</v>
      </c>
      <c r="S55" s="121" t="s">
        <v>103</v>
      </c>
      <c r="T55" s="120" t="s">
        <v>108</v>
      </c>
      <c r="AF55" s="53"/>
      <c r="AG55" s="54"/>
      <c r="AH55" s="54"/>
      <c r="AI55" s="53"/>
      <c r="AJ55" s="53"/>
      <c r="AK55" s="53"/>
      <c r="AL55" s="53"/>
      <c r="AM55" s="53"/>
      <c r="AN55" s="53"/>
      <c r="AO55" s="54"/>
      <c r="AP55" s="54"/>
      <c r="AQ55" s="53"/>
    </row>
    <row r="56" spans="2:43" x14ac:dyDescent="0.25">
      <c r="B56" s="62"/>
      <c r="C56" s="28"/>
      <c r="D56" s="61" t="s">
        <v>50</v>
      </c>
      <c r="E56" s="63"/>
      <c r="M56" s="105" t="str">
        <f t="shared" ref="M56" si="52">N55 &amp;  " " &amp; O56</f>
        <v>8500 1500</v>
      </c>
      <c r="N56" s="172">
        <v>8500</v>
      </c>
      <c r="O56" s="106">
        <v>1500</v>
      </c>
      <c r="P56" s="103">
        <v>140</v>
      </c>
      <c r="Q56" s="104">
        <v>520</v>
      </c>
      <c r="R56" s="122" t="s">
        <v>102</v>
      </c>
      <c r="S56" s="121" t="s">
        <v>103</v>
      </c>
      <c r="T56" s="120" t="s">
        <v>108</v>
      </c>
      <c r="AF56" s="53"/>
      <c r="AG56" s="54"/>
      <c r="AH56" s="54"/>
      <c r="AI56" s="53"/>
      <c r="AJ56" s="53"/>
      <c r="AK56" s="53"/>
      <c r="AL56" s="53"/>
      <c r="AM56" s="53"/>
      <c r="AN56" s="53"/>
      <c r="AO56" s="54"/>
      <c r="AP56" s="54"/>
      <c r="AQ56" s="53"/>
    </row>
    <row r="57" spans="2:43" x14ac:dyDescent="0.25">
      <c r="B57" s="62"/>
      <c r="C57" s="28"/>
      <c r="D57" s="61" t="s">
        <v>50</v>
      </c>
      <c r="E57" s="63"/>
      <c r="M57" s="105" t="str">
        <f t="shared" ref="M57" si="53">N55 &amp;  " " &amp; O57</f>
        <v>8500 2000</v>
      </c>
      <c r="N57" s="172">
        <v>8500</v>
      </c>
      <c r="O57" s="106">
        <v>2000</v>
      </c>
      <c r="P57" s="103">
        <v>140</v>
      </c>
      <c r="Q57" s="104">
        <v>600</v>
      </c>
      <c r="R57" s="1" t="s">
        <v>88</v>
      </c>
      <c r="T57" s="120" t="s">
        <v>108</v>
      </c>
      <c r="AF57" s="53"/>
      <c r="AG57" s="54"/>
      <c r="AH57" s="54"/>
      <c r="AI57" s="53"/>
      <c r="AJ57" s="53"/>
      <c r="AK57" s="53"/>
      <c r="AL57" s="53"/>
      <c r="AM57" s="53"/>
      <c r="AN57" s="53"/>
      <c r="AO57" s="54"/>
      <c r="AP57" s="54"/>
      <c r="AQ57" s="53"/>
    </row>
    <row r="58" spans="2:43" x14ac:dyDescent="0.25">
      <c r="M58" s="107" t="str">
        <f t="shared" ref="M58" si="54">N55 &amp;  " " &amp; O58</f>
        <v>8500 2500</v>
      </c>
      <c r="N58" s="173">
        <v>8500</v>
      </c>
      <c r="O58" s="108">
        <v>2500</v>
      </c>
      <c r="P58" s="103">
        <v>140</v>
      </c>
      <c r="Q58" s="104">
        <v>600</v>
      </c>
      <c r="R58" s="1" t="s">
        <v>88</v>
      </c>
      <c r="T58" s="120" t="s">
        <v>108</v>
      </c>
      <c r="AF58" s="53"/>
      <c r="AG58" s="54"/>
      <c r="AH58" s="54"/>
      <c r="AI58" s="53"/>
      <c r="AJ58" s="53"/>
      <c r="AK58" s="53"/>
      <c r="AL58" s="53"/>
      <c r="AM58" s="53"/>
      <c r="AN58" s="53"/>
      <c r="AO58" s="54"/>
      <c r="AP58" s="54"/>
      <c r="AQ58" s="53"/>
    </row>
    <row r="59" spans="2:43" x14ac:dyDescent="0.25">
      <c r="M59" s="139" t="str">
        <f t="shared" ref="M59" si="55">N59 &amp;  " " &amp; O59</f>
        <v>9000 1000</v>
      </c>
      <c r="N59" s="168">
        <v>9000</v>
      </c>
      <c r="O59" s="97">
        <v>1000</v>
      </c>
      <c r="P59" s="97">
        <v>140</v>
      </c>
      <c r="Q59" s="98">
        <v>520</v>
      </c>
      <c r="R59" s="1" t="s">
        <v>88</v>
      </c>
      <c r="AF59" s="53"/>
      <c r="AG59" s="54"/>
      <c r="AH59" s="54"/>
      <c r="AI59" s="53"/>
      <c r="AJ59" s="53"/>
      <c r="AK59" s="53"/>
      <c r="AL59" s="53"/>
      <c r="AM59" s="53"/>
      <c r="AN59" s="53"/>
      <c r="AO59" s="54"/>
      <c r="AP59" s="54"/>
      <c r="AQ59" s="53"/>
    </row>
    <row r="60" spans="2:43" x14ac:dyDescent="0.25">
      <c r="M60" s="140" t="str">
        <f t="shared" ref="M60" si="56">N59 &amp;  " " &amp; O60</f>
        <v>9000 1500</v>
      </c>
      <c r="N60" s="169">
        <v>9000</v>
      </c>
      <c r="O60" s="95">
        <v>1500</v>
      </c>
      <c r="P60" s="97">
        <v>140</v>
      </c>
      <c r="Q60" s="98">
        <v>520</v>
      </c>
      <c r="R60" s="1" t="s">
        <v>88</v>
      </c>
      <c r="AF60" s="53"/>
      <c r="AG60" s="54"/>
      <c r="AH60" s="54"/>
      <c r="AI60" s="53"/>
      <c r="AJ60" s="53"/>
      <c r="AK60" s="53"/>
      <c r="AL60" s="53"/>
      <c r="AM60" s="53"/>
      <c r="AN60" s="53"/>
      <c r="AO60" s="54"/>
      <c r="AP60" s="54"/>
      <c r="AQ60" s="53"/>
    </row>
    <row r="61" spans="2:43" ht="26.25" x14ac:dyDescent="0.25">
      <c r="B61" s="25" t="s">
        <v>62</v>
      </c>
      <c r="M61" s="140" t="str">
        <f t="shared" ref="M61" si="57">N59 &amp;  " " &amp; O61</f>
        <v>9000 2000</v>
      </c>
      <c r="N61" s="169">
        <v>9000</v>
      </c>
      <c r="O61" s="95">
        <v>2000</v>
      </c>
      <c r="P61" s="97">
        <v>140</v>
      </c>
      <c r="Q61" s="98">
        <v>600</v>
      </c>
      <c r="R61" s="1" t="s">
        <v>88</v>
      </c>
      <c r="AF61" s="53"/>
      <c r="AG61" s="54"/>
      <c r="AH61" s="54"/>
      <c r="AI61" s="53"/>
      <c r="AJ61" s="53"/>
      <c r="AK61" s="53"/>
      <c r="AL61" s="53"/>
      <c r="AM61" s="53"/>
      <c r="AN61" s="53"/>
      <c r="AO61" s="54"/>
      <c r="AP61" s="54"/>
      <c r="AQ61" s="53"/>
    </row>
    <row r="62" spans="2:43" x14ac:dyDescent="0.25">
      <c r="M62" s="141" t="str">
        <f t="shared" ref="M62" si="58">N59 &amp;  " " &amp; O62</f>
        <v>9000 2500</v>
      </c>
      <c r="N62" s="170">
        <v>9000</v>
      </c>
      <c r="O62" s="101">
        <v>2500</v>
      </c>
      <c r="P62" s="97">
        <v>140</v>
      </c>
      <c r="Q62" s="98">
        <v>600</v>
      </c>
      <c r="R62" s="1" t="s">
        <v>88</v>
      </c>
      <c r="AF62" s="53"/>
      <c r="AG62" s="54"/>
      <c r="AH62" s="54"/>
      <c r="AI62" s="53"/>
      <c r="AJ62" s="53"/>
      <c r="AK62" s="53"/>
      <c r="AL62" s="53"/>
      <c r="AM62" s="53"/>
      <c r="AN62" s="53"/>
      <c r="AO62" s="54"/>
      <c r="AP62" s="54"/>
      <c r="AQ62" s="53"/>
    </row>
    <row r="63" spans="2:43" x14ac:dyDescent="0.25">
      <c r="B63" s="14" t="s">
        <v>11</v>
      </c>
      <c r="C63" s="14" t="s">
        <v>63</v>
      </c>
      <c r="M63" s="142" t="str">
        <f t="shared" ref="M63" si="59">N63 &amp;  " " &amp; O63</f>
        <v>9500 1000</v>
      </c>
      <c r="N63" s="171">
        <v>9500</v>
      </c>
      <c r="O63" s="103">
        <v>1000</v>
      </c>
      <c r="P63" s="103">
        <v>140</v>
      </c>
      <c r="Q63" s="104">
        <v>560</v>
      </c>
      <c r="R63" s="1" t="s">
        <v>88</v>
      </c>
      <c r="T63" s="120" t="s">
        <v>109</v>
      </c>
      <c r="AF63" s="53"/>
      <c r="AG63" s="54"/>
      <c r="AH63" s="54"/>
      <c r="AI63" s="53"/>
      <c r="AJ63" s="53"/>
      <c r="AK63" s="53"/>
      <c r="AL63" s="53"/>
      <c r="AM63" s="53"/>
      <c r="AN63" s="53"/>
      <c r="AO63" s="54"/>
      <c r="AP63" s="54"/>
      <c r="AQ63" s="53"/>
    </row>
    <row r="64" spans="2:43" x14ac:dyDescent="0.25">
      <c r="B64" s="23"/>
      <c r="C64" s="21"/>
      <c r="M64" s="143" t="str">
        <f t="shared" ref="M64" si="60">N63 &amp;  " " &amp; O64</f>
        <v>9500 1500</v>
      </c>
      <c r="N64" s="172">
        <v>9500</v>
      </c>
      <c r="O64" s="106">
        <v>1500</v>
      </c>
      <c r="P64" s="103">
        <v>140</v>
      </c>
      <c r="Q64" s="104">
        <v>560</v>
      </c>
      <c r="R64" s="1" t="s">
        <v>88</v>
      </c>
      <c r="T64" s="120" t="s">
        <v>109</v>
      </c>
      <c r="AF64" s="53"/>
      <c r="AG64" s="54"/>
      <c r="AH64" s="54"/>
      <c r="AI64" s="53"/>
      <c r="AJ64" s="53"/>
      <c r="AK64" s="53"/>
      <c r="AL64" s="53"/>
      <c r="AM64" s="53"/>
      <c r="AN64" s="53"/>
      <c r="AO64" s="54"/>
      <c r="AP64" s="54"/>
      <c r="AQ64" s="53"/>
    </row>
    <row r="65" spans="2:43" x14ac:dyDescent="0.25">
      <c r="B65" s="23"/>
      <c r="C65" s="21"/>
      <c r="M65" s="143" t="str">
        <f t="shared" ref="M65" si="61">N63 &amp;  " " &amp; O65</f>
        <v>9500 2000</v>
      </c>
      <c r="N65" s="172">
        <v>9500</v>
      </c>
      <c r="O65" s="106">
        <v>2000</v>
      </c>
      <c r="P65" s="103">
        <v>200</v>
      </c>
      <c r="Q65" s="104">
        <v>600</v>
      </c>
      <c r="R65" s="122" t="s">
        <v>102</v>
      </c>
      <c r="S65" s="121" t="s">
        <v>114</v>
      </c>
      <c r="T65" s="120" t="s">
        <v>109</v>
      </c>
      <c r="AF65" s="53"/>
      <c r="AG65" s="54"/>
      <c r="AH65" s="54"/>
      <c r="AI65" s="53"/>
      <c r="AJ65" s="53"/>
      <c r="AK65" s="53"/>
      <c r="AL65" s="53"/>
      <c r="AM65" s="53"/>
      <c r="AN65" s="53"/>
      <c r="AO65" s="54"/>
      <c r="AP65" s="54"/>
      <c r="AQ65" s="53"/>
    </row>
    <row r="66" spans="2:43" x14ac:dyDescent="0.25">
      <c r="M66" s="144" t="str">
        <f t="shared" ref="M66" si="62">N63 &amp;  " " &amp; O66</f>
        <v>9500 2500</v>
      </c>
      <c r="N66" s="173">
        <v>9500</v>
      </c>
      <c r="O66" s="108">
        <v>2500</v>
      </c>
      <c r="P66" s="103">
        <v>200</v>
      </c>
      <c r="Q66" s="104">
        <v>600</v>
      </c>
      <c r="R66" s="122" t="s">
        <v>102</v>
      </c>
      <c r="S66" s="121" t="s">
        <v>114</v>
      </c>
      <c r="T66" s="120" t="s">
        <v>109</v>
      </c>
      <c r="AF66" s="53"/>
      <c r="AG66" s="54"/>
      <c r="AH66" s="54"/>
      <c r="AI66" s="53"/>
      <c r="AJ66" s="53"/>
      <c r="AK66" s="53"/>
      <c r="AL66" s="53"/>
      <c r="AM66" s="53"/>
      <c r="AN66" s="53"/>
      <c r="AO66" s="54"/>
      <c r="AP66" s="54"/>
      <c r="AQ66" s="53"/>
    </row>
    <row r="67" spans="2:43" x14ac:dyDescent="0.25">
      <c r="M67" s="139" t="str">
        <f t="shared" ref="M67" si="63">N67 &amp;  " " &amp; O67</f>
        <v>10000 1000</v>
      </c>
      <c r="N67" s="168">
        <v>10000</v>
      </c>
      <c r="O67" s="97">
        <v>1000</v>
      </c>
      <c r="P67" s="97">
        <v>140</v>
      </c>
      <c r="Q67" s="98">
        <v>560</v>
      </c>
      <c r="R67" s="1" t="s">
        <v>88</v>
      </c>
      <c r="AF67" s="53"/>
      <c r="AG67" s="54"/>
      <c r="AH67" s="54"/>
      <c r="AI67" s="53"/>
      <c r="AJ67" s="53"/>
      <c r="AK67" s="53"/>
      <c r="AL67" s="53"/>
      <c r="AM67" s="53"/>
      <c r="AN67" s="53"/>
      <c r="AO67" s="54"/>
      <c r="AP67" s="54"/>
      <c r="AQ67" s="53"/>
    </row>
    <row r="68" spans="2:43" ht="26.25" x14ac:dyDescent="0.25">
      <c r="B68" s="25" t="s">
        <v>100</v>
      </c>
      <c r="M68" s="145" t="str">
        <f>10000 &amp;  " " &amp; 1500</f>
        <v>10000 1500</v>
      </c>
      <c r="N68" s="169">
        <v>10000</v>
      </c>
      <c r="O68" s="95">
        <v>1500</v>
      </c>
      <c r="P68" s="137">
        <v>140</v>
      </c>
      <c r="Q68" s="138">
        <v>560</v>
      </c>
      <c r="R68" s="1" t="s">
        <v>88</v>
      </c>
      <c r="AF68" s="53"/>
      <c r="AG68" s="54"/>
      <c r="AH68" s="54"/>
      <c r="AI68" s="53"/>
      <c r="AJ68" s="53"/>
      <c r="AK68" s="53"/>
      <c r="AL68" s="53"/>
      <c r="AM68" s="53"/>
      <c r="AN68" s="53"/>
      <c r="AO68" s="54"/>
      <c r="AP68" s="54"/>
      <c r="AQ68" s="53"/>
    </row>
    <row r="69" spans="2:43" x14ac:dyDescent="0.25">
      <c r="M69" s="140" t="str">
        <f t="shared" ref="M69" si="64">N67 &amp;  " " &amp; O69</f>
        <v>10000 2000</v>
      </c>
      <c r="N69" s="169">
        <v>10000</v>
      </c>
      <c r="O69" s="95">
        <v>2000</v>
      </c>
      <c r="P69" s="97">
        <v>200</v>
      </c>
      <c r="Q69" s="98">
        <v>600</v>
      </c>
      <c r="R69" s="122" t="s">
        <v>102</v>
      </c>
      <c r="S69" s="121" t="s">
        <v>114</v>
      </c>
      <c r="AF69" s="53"/>
      <c r="AG69" s="54"/>
      <c r="AH69" s="54"/>
      <c r="AI69" s="53"/>
      <c r="AJ69" s="53"/>
      <c r="AK69" s="53"/>
      <c r="AL69" s="53"/>
      <c r="AM69" s="53"/>
      <c r="AN69" s="53"/>
      <c r="AO69" s="54"/>
      <c r="AP69" s="54"/>
      <c r="AQ69" s="53"/>
    </row>
    <row r="70" spans="2:43" x14ac:dyDescent="0.25">
      <c r="B70" s="14" t="s">
        <v>11</v>
      </c>
      <c r="C70" s="14" t="s">
        <v>99</v>
      </c>
      <c r="D70" s="14" t="s">
        <v>98</v>
      </c>
      <c r="M70" s="141" t="str">
        <f t="shared" ref="M70" si="65">N67 &amp;  " " &amp; O70</f>
        <v>10000 2500</v>
      </c>
      <c r="N70" s="170">
        <v>10000</v>
      </c>
      <c r="O70" s="101">
        <v>2500</v>
      </c>
      <c r="P70" s="97">
        <v>200</v>
      </c>
      <c r="Q70" s="98">
        <v>600</v>
      </c>
      <c r="R70" s="122" t="s">
        <v>102</v>
      </c>
      <c r="S70" s="121" t="s">
        <v>114</v>
      </c>
      <c r="AF70" s="53"/>
      <c r="AG70" s="54"/>
      <c r="AH70" s="54"/>
      <c r="AI70" s="53"/>
      <c r="AJ70" s="53"/>
      <c r="AK70" s="53"/>
      <c r="AL70" s="53"/>
      <c r="AM70" s="53"/>
      <c r="AN70" s="53"/>
      <c r="AO70" s="54"/>
      <c r="AP70" s="54"/>
      <c r="AQ70" s="53"/>
    </row>
    <row r="71" spans="2:43" x14ac:dyDescent="0.25">
      <c r="B71" s="23"/>
      <c r="C71" s="23"/>
      <c r="D71" s="21"/>
      <c r="M71" s="142" t="str">
        <f t="shared" ref="M71" si="66">N71 &amp;  " " &amp; O71</f>
        <v>10500 1000</v>
      </c>
      <c r="N71" s="171">
        <v>10500</v>
      </c>
      <c r="O71" s="103">
        <v>1000</v>
      </c>
      <c r="P71" s="103">
        <v>200</v>
      </c>
      <c r="Q71" s="104">
        <v>600</v>
      </c>
      <c r="R71" s="122" t="s">
        <v>102</v>
      </c>
      <c r="S71" s="121" t="s">
        <v>114</v>
      </c>
      <c r="T71" s="120" t="s">
        <v>110</v>
      </c>
      <c r="AF71" s="53"/>
      <c r="AG71" s="54"/>
      <c r="AH71" s="54"/>
      <c r="AI71" s="53"/>
      <c r="AJ71" s="53"/>
      <c r="AK71" s="53"/>
      <c r="AL71" s="53"/>
      <c r="AM71" s="53"/>
      <c r="AN71" s="53"/>
      <c r="AO71" s="54"/>
      <c r="AP71" s="54"/>
      <c r="AQ71" s="53"/>
    </row>
    <row r="72" spans="2:43" x14ac:dyDescent="0.25">
      <c r="B72" s="23"/>
      <c r="C72" s="23"/>
      <c r="D72" s="21"/>
      <c r="M72" s="143" t="str">
        <f t="shared" ref="M72" si="67">N71 &amp;  " " &amp; O72</f>
        <v>10500 1500</v>
      </c>
      <c r="N72" s="172">
        <v>10500</v>
      </c>
      <c r="O72" s="106">
        <v>1500</v>
      </c>
      <c r="P72" s="103">
        <v>200</v>
      </c>
      <c r="Q72" s="104">
        <v>600</v>
      </c>
      <c r="R72" s="122" t="s">
        <v>102</v>
      </c>
      <c r="S72" s="121" t="s">
        <v>114</v>
      </c>
      <c r="T72" s="120" t="s">
        <v>110</v>
      </c>
      <c r="AF72" s="53"/>
      <c r="AG72" s="54"/>
      <c r="AH72" s="54"/>
      <c r="AI72" s="53"/>
      <c r="AJ72" s="53"/>
      <c r="AK72" s="53"/>
      <c r="AL72" s="53"/>
      <c r="AM72" s="53"/>
      <c r="AN72" s="53"/>
      <c r="AO72" s="54"/>
      <c r="AP72" s="54"/>
      <c r="AQ72" s="53"/>
    </row>
    <row r="73" spans="2:43" x14ac:dyDescent="0.25">
      <c r="B73" s="23"/>
      <c r="C73" s="23"/>
      <c r="D73" s="21"/>
      <c r="M73" s="143" t="str">
        <f t="shared" ref="M73" si="68">N71 &amp;  " " &amp; O73</f>
        <v>10500 2000</v>
      </c>
      <c r="N73" s="172">
        <v>10500</v>
      </c>
      <c r="O73" s="106">
        <v>2000</v>
      </c>
      <c r="P73" s="103">
        <v>240</v>
      </c>
      <c r="Q73" s="104">
        <v>600</v>
      </c>
      <c r="R73" s="122" t="s">
        <v>102</v>
      </c>
      <c r="S73" s="121" t="s">
        <v>115</v>
      </c>
      <c r="T73" s="120" t="s">
        <v>110</v>
      </c>
      <c r="AF73" s="53"/>
      <c r="AG73" s="54"/>
      <c r="AH73" s="54"/>
      <c r="AI73" s="53"/>
      <c r="AJ73" s="53"/>
      <c r="AK73" s="53"/>
      <c r="AL73" s="53"/>
      <c r="AM73" s="53"/>
      <c r="AN73" s="53"/>
      <c r="AO73" s="54"/>
      <c r="AP73" s="54"/>
      <c r="AQ73" s="53"/>
    </row>
    <row r="74" spans="2:43" x14ac:dyDescent="0.25">
      <c r="B74" s="23"/>
      <c r="C74" s="23"/>
      <c r="D74" s="21"/>
      <c r="M74" s="144" t="str">
        <f t="shared" ref="M74" si="69">N71 &amp;  " " &amp; O74</f>
        <v>10500 2500</v>
      </c>
      <c r="N74" s="173">
        <v>10500</v>
      </c>
      <c r="O74" s="108">
        <v>2500</v>
      </c>
      <c r="P74" s="103">
        <v>240</v>
      </c>
      <c r="Q74" s="104">
        <v>600</v>
      </c>
      <c r="R74" s="122" t="s">
        <v>102</v>
      </c>
      <c r="S74" s="121" t="s">
        <v>116</v>
      </c>
      <c r="T74" s="120" t="s">
        <v>110</v>
      </c>
      <c r="AF74" s="53"/>
      <c r="AG74" s="54"/>
      <c r="AH74" s="54"/>
      <c r="AI74" s="53"/>
      <c r="AJ74" s="53"/>
      <c r="AK74" s="53"/>
      <c r="AL74" s="53"/>
      <c r="AM74" s="53"/>
      <c r="AN74" s="53"/>
      <c r="AO74" s="54"/>
      <c r="AP74" s="54"/>
      <c r="AQ74" s="53"/>
    </row>
    <row r="75" spans="2:43" x14ac:dyDescent="0.25">
      <c r="M75" s="139" t="str">
        <f t="shared" ref="M75" si="70">N75 &amp;  " " &amp; O75</f>
        <v>11000 1000</v>
      </c>
      <c r="N75" s="168">
        <v>11000</v>
      </c>
      <c r="O75" s="97">
        <v>1000</v>
      </c>
      <c r="P75" s="97">
        <v>200</v>
      </c>
      <c r="Q75" s="98">
        <v>600</v>
      </c>
      <c r="R75" s="122" t="s">
        <v>102</v>
      </c>
      <c r="S75" s="121" t="s">
        <v>114</v>
      </c>
      <c r="AF75" s="53"/>
      <c r="AG75" s="54"/>
      <c r="AH75" s="54"/>
      <c r="AI75" s="53"/>
      <c r="AJ75" s="53"/>
      <c r="AK75" s="53"/>
      <c r="AL75" s="53"/>
      <c r="AM75" s="53"/>
      <c r="AN75" s="53"/>
      <c r="AO75" s="54"/>
      <c r="AP75" s="54"/>
      <c r="AQ75" s="53"/>
    </row>
    <row r="76" spans="2:43" x14ac:dyDescent="0.25">
      <c r="M76" s="140" t="str">
        <f t="shared" ref="M76" si="71">N75 &amp;  " " &amp; O76</f>
        <v>11000 1500</v>
      </c>
      <c r="N76" s="169">
        <v>11000</v>
      </c>
      <c r="O76" s="95">
        <v>1500</v>
      </c>
      <c r="P76" s="97">
        <v>200</v>
      </c>
      <c r="Q76" s="98">
        <v>600</v>
      </c>
      <c r="R76" s="122" t="s">
        <v>102</v>
      </c>
      <c r="S76" s="121" t="s">
        <v>114</v>
      </c>
      <c r="AF76" s="53"/>
      <c r="AG76" s="54"/>
      <c r="AH76" s="54"/>
      <c r="AI76" s="53"/>
      <c r="AJ76" s="53"/>
      <c r="AK76" s="53"/>
      <c r="AL76" s="53"/>
      <c r="AM76" s="53"/>
      <c r="AN76" s="53"/>
      <c r="AO76" s="54"/>
      <c r="AP76" s="54"/>
      <c r="AQ76" s="53"/>
    </row>
    <row r="77" spans="2:43" x14ac:dyDescent="0.25">
      <c r="M77" s="140" t="str">
        <f t="shared" ref="M77" si="72">N75 &amp;  " " &amp; O77</f>
        <v>11000 2000</v>
      </c>
      <c r="N77" s="169">
        <v>11000</v>
      </c>
      <c r="O77" s="95">
        <v>2000</v>
      </c>
      <c r="P77" s="97">
        <v>240</v>
      </c>
      <c r="Q77" s="98">
        <v>600</v>
      </c>
      <c r="R77" s="122" t="s">
        <v>102</v>
      </c>
      <c r="S77" s="121" t="s">
        <v>115</v>
      </c>
      <c r="AF77" s="53"/>
      <c r="AG77" s="54"/>
      <c r="AH77" s="54"/>
      <c r="AI77" s="53"/>
      <c r="AJ77" s="53"/>
      <c r="AK77" s="53"/>
      <c r="AL77" s="53"/>
      <c r="AM77" s="53"/>
      <c r="AN77" s="53"/>
      <c r="AO77" s="54"/>
      <c r="AP77" s="54"/>
      <c r="AQ77" s="53"/>
    </row>
    <row r="78" spans="2:43" x14ac:dyDescent="0.25">
      <c r="M78" s="141" t="str">
        <f t="shared" ref="M78" si="73">N75 &amp;  " " &amp; O78</f>
        <v>11000 2500</v>
      </c>
      <c r="N78" s="170">
        <v>11000</v>
      </c>
      <c r="O78" s="101">
        <v>2500</v>
      </c>
      <c r="P78" s="97">
        <v>240</v>
      </c>
      <c r="Q78" s="98">
        <v>600</v>
      </c>
      <c r="R78" s="122" t="s">
        <v>102</v>
      </c>
      <c r="S78" s="121" t="s">
        <v>116</v>
      </c>
      <c r="AF78" s="53"/>
      <c r="AG78" s="54"/>
      <c r="AH78" s="54"/>
      <c r="AI78" s="53"/>
      <c r="AJ78" s="53"/>
      <c r="AK78" s="53"/>
      <c r="AL78" s="53"/>
      <c r="AM78" s="53"/>
      <c r="AN78" s="53"/>
      <c r="AO78" s="54"/>
      <c r="AP78" s="54"/>
      <c r="AQ78" s="53"/>
    </row>
    <row r="79" spans="2:43" x14ac:dyDescent="0.25">
      <c r="M79" s="142" t="str">
        <f t="shared" ref="M79" si="74">N79 &amp;  " " &amp; O79</f>
        <v>11500 1000</v>
      </c>
      <c r="N79" s="171">
        <v>11500</v>
      </c>
      <c r="O79" s="103">
        <v>1000</v>
      </c>
      <c r="P79" s="103">
        <v>200</v>
      </c>
      <c r="Q79" s="104">
        <v>600</v>
      </c>
      <c r="R79" s="52" t="s">
        <v>88</v>
      </c>
      <c r="S79" s="121" t="s">
        <v>118</v>
      </c>
      <c r="T79" s="120" t="s">
        <v>111</v>
      </c>
      <c r="AF79" s="53"/>
      <c r="AG79" s="54"/>
      <c r="AH79" s="54"/>
      <c r="AI79" s="53"/>
      <c r="AJ79" s="53"/>
      <c r="AK79" s="53"/>
      <c r="AL79" s="53"/>
      <c r="AM79" s="53"/>
      <c r="AN79" s="53"/>
      <c r="AO79" s="54"/>
      <c r="AP79" s="54"/>
      <c r="AQ79" s="53"/>
    </row>
    <row r="80" spans="2:43" x14ac:dyDescent="0.25">
      <c r="M80" s="143" t="str">
        <f t="shared" ref="M80" si="75">N79 &amp;  " " &amp; O80</f>
        <v>11500 1500</v>
      </c>
      <c r="N80" s="172">
        <v>11500</v>
      </c>
      <c r="O80" s="106">
        <v>1500</v>
      </c>
      <c r="P80" s="103">
        <v>200</v>
      </c>
      <c r="Q80" s="104">
        <v>600</v>
      </c>
      <c r="R80" s="1" t="s">
        <v>88</v>
      </c>
      <c r="T80" s="120" t="s">
        <v>111</v>
      </c>
      <c r="AF80" s="53"/>
      <c r="AG80" s="54"/>
      <c r="AH80" s="54"/>
      <c r="AI80" s="53"/>
      <c r="AJ80" s="53"/>
      <c r="AK80" s="53"/>
      <c r="AL80" s="53"/>
      <c r="AM80" s="53"/>
      <c r="AN80" s="53"/>
      <c r="AO80" s="54"/>
      <c r="AP80" s="54"/>
      <c r="AQ80" s="53"/>
    </row>
    <row r="81" spans="13:43" x14ac:dyDescent="0.25">
      <c r="M81" s="105" t="str">
        <f t="shared" ref="M81" si="76">N79 &amp;  " " &amp; O81</f>
        <v>11500 2000</v>
      </c>
      <c r="N81" s="172">
        <v>11500</v>
      </c>
      <c r="O81" s="106">
        <v>2000</v>
      </c>
      <c r="P81" s="103">
        <v>200</v>
      </c>
      <c r="Q81" s="104">
        <v>680</v>
      </c>
      <c r="R81" s="125" t="s">
        <v>117</v>
      </c>
      <c r="T81" s="120" t="s">
        <v>111</v>
      </c>
      <c r="AF81" s="53"/>
      <c r="AG81" s="54"/>
      <c r="AH81" s="54"/>
      <c r="AI81" s="53"/>
      <c r="AJ81" s="53"/>
      <c r="AK81" s="53"/>
      <c r="AL81" s="53"/>
      <c r="AM81" s="53"/>
      <c r="AN81" s="53"/>
      <c r="AO81" s="54"/>
      <c r="AP81" s="54"/>
      <c r="AQ81" s="53"/>
    </row>
    <row r="82" spans="13:43" x14ac:dyDescent="0.25">
      <c r="M82" s="107" t="str">
        <f t="shared" ref="M82" si="77">N79 &amp;  " " &amp; O82</f>
        <v>11500 2500</v>
      </c>
      <c r="N82" s="173">
        <v>11500</v>
      </c>
      <c r="O82" s="108">
        <v>2500</v>
      </c>
      <c r="P82" s="103">
        <v>200</v>
      </c>
      <c r="Q82" s="104">
        <v>680</v>
      </c>
      <c r="R82" s="125" t="s">
        <v>117</v>
      </c>
      <c r="T82" s="120" t="s">
        <v>111</v>
      </c>
      <c r="AF82" s="53"/>
      <c r="AG82" s="54"/>
      <c r="AH82" s="54"/>
      <c r="AI82" s="53"/>
      <c r="AJ82" s="53"/>
      <c r="AK82" s="53"/>
      <c r="AL82" s="53"/>
      <c r="AM82" s="53"/>
      <c r="AN82" s="53"/>
      <c r="AO82" s="54"/>
      <c r="AP82" s="54"/>
      <c r="AQ82" s="53"/>
    </row>
    <row r="83" spans="13:43" x14ac:dyDescent="0.25">
      <c r="M83" s="96" t="str">
        <f t="shared" ref="M83" si="78">N83 &amp;  " " &amp; O83</f>
        <v>12000 1000</v>
      </c>
      <c r="N83" s="168">
        <v>12000</v>
      </c>
      <c r="O83" s="97">
        <v>1000</v>
      </c>
      <c r="P83" s="97">
        <v>200</v>
      </c>
      <c r="Q83" s="98">
        <v>600</v>
      </c>
      <c r="R83" s="52" t="s">
        <v>88</v>
      </c>
      <c r="S83" s="121" t="s">
        <v>118</v>
      </c>
      <c r="AF83" s="53"/>
      <c r="AG83" s="54"/>
      <c r="AH83" s="54"/>
      <c r="AI83" s="53"/>
      <c r="AJ83" s="53"/>
      <c r="AK83" s="53"/>
      <c r="AL83" s="53"/>
      <c r="AM83" s="53"/>
      <c r="AN83" s="53"/>
      <c r="AO83" s="54"/>
      <c r="AP83" s="54"/>
      <c r="AQ83" s="53"/>
    </row>
    <row r="84" spans="13:43" x14ac:dyDescent="0.25">
      <c r="M84" s="99" t="str">
        <f t="shared" ref="M84" si="79">N83 &amp;  " " &amp; O84</f>
        <v>12000 1500</v>
      </c>
      <c r="N84" s="169">
        <v>12000</v>
      </c>
      <c r="O84" s="95">
        <v>1500</v>
      </c>
      <c r="P84" s="97">
        <v>200</v>
      </c>
      <c r="Q84" s="98">
        <v>600</v>
      </c>
      <c r="R84" s="1" t="s">
        <v>88</v>
      </c>
      <c r="AF84" s="53"/>
      <c r="AG84" s="54"/>
      <c r="AH84" s="54"/>
      <c r="AI84" s="53"/>
      <c r="AJ84" s="53"/>
      <c r="AK84" s="53"/>
      <c r="AL84" s="53"/>
      <c r="AM84" s="53"/>
      <c r="AN84" s="53"/>
      <c r="AO84" s="54"/>
      <c r="AP84" s="54"/>
      <c r="AQ84" s="53"/>
    </row>
    <row r="85" spans="13:43" x14ac:dyDescent="0.25">
      <c r="M85" s="99" t="str">
        <f t="shared" ref="M85" si="80">N83 &amp;  " " &amp; O85</f>
        <v>12000 2000</v>
      </c>
      <c r="N85" s="169">
        <v>12000</v>
      </c>
      <c r="O85" s="95">
        <v>2000</v>
      </c>
      <c r="P85" s="97">
        <v>200</v>
      </c>
      <c r="Q85" s="98">
        <v>680</v>
      </c>
      <c r="R85" s="125" t="s">
        <v>117</v>
      </c>
      <c r="AF85" s="53"/>
      <c r="AG85" s="54"/>
      <c r="AH85" s="54"/>
      <c r="AI85" s="53"/>
      <c r="AJ85" s="53"/>
      <c r="AK85" s="53"/>
      <c r="AL85" s="53"/>
      <c r="AM85" s="53"/>
      <c r="AN85" s="53"/>
      <c r="AO85" s="54"/>
      <c r="AP85" s="54"/>
      <c r="AQ85" s="53"/>
    </row>
    <row r="86" spans="13:43" x14ac:dyDescent="0.25">
      <c r="M86" s="100" t="str">
        <f t="shared" ref="M86" si="81">N83 &amp;  " " &amp; O86</f>
        <v>12000 2500</v>
      </c>
      <c r="N86" s="170">
        <v>12000</v>
      </c>
      <c r="O86" s="101">
        <v>2500</v>
      </c>
      <c r="P86" s="97">
        <v>200</v>
      </c>
      <c r="Q86" s="98">
        <v>680</v>
      </c>
      <c r="R86" s="125" t="s">
        <v>117</v>
      </c>
      <c r="AF86" s="53"/>
      <c r="AG86" s="54"/>
      <c r="AH86" s="54"/>
      <c r="AI86" s="53"/>
      <c r="AJ86" s="53"/>
      <c r="AK86" s="53"/>
      <c r="AL86" s="53"/>
      <c r="AM86" s="53"/>
      <c r="AN86" s="53"/>
      <c r="AO86" s="54"/>
      <c r="AP86" s="54"/>
      <c r="AQ86" s="53"/>
    </row>
    <row r="87" spans="13:43" x14ac:dyDescent="0.25">
      <c r="M87" s="102" t="str">
        <f t="shared" ref="M87" si="82">N87 &amp;  " " &amp; O87</f>
        <v>12500 1000</v>
      </c>
      <c r="N87" s="171">
        <v>12500</v>
      </c>
      <c r="O87" s="103">
        <v>1000</v>
      </c>
      <c r="P87" s="103">
        <v>160</v>
      </c>
      <c r="Q87" s="104">
        <v>720</v>
      </c>
      <c r="R87" s="125" t="s">
        <v>117</v>
      </c>
      <c r="S87" s="121" t="s">
        <v>119</v>
      </c>
      <c r="T87" s="120" t="s">
        <v>112</v>
      </c>
      <c r="AF87" s="53"/>
      <c r="AG87" s="54"/>
      <c r="AH87" s="54"/>
      <c r="AI87" s="53"/>
      <c r="AJ87" s="53"/>
      <c r="AK87" s="53"/>
      <c r="AL87" s="53"/>
      <c r="AM87" s="53"/>
      <c r="AN87" s="53"/>
      <c r="AO87" s="54"/>
      <c r="AP87" s="54"/>
      <c r="AQ87" s="53"/>
    </row>
    <row r="88" spans="13:43" x14ac:dyDescent="0.25">
      <c r="M88" s="105" t="str">
        <f t="shared" ref="M88" si="83">N87 &amp;  " " &amp; O88</f>
        <v>12500 1500</v>
      </c>
      <c r="N88" s="172">
        <v>12500</v>
      </c>
      <c r="O88" s="106">
        <v>1500</v>
      </c>
      <c r="P88" s="103">
        <v>160</v>
      </c>
      <c r="Q88" s="104">
        <v>720</v>
      </c>
      <c r="R88" s="125" t="s">
        <v>117</v>
      </c>
      <c r="S88" s="126" t="s">
        <v>120</v>
      </c>
      <c r="T88" s="120" t="s">
        <v>112</v>
      </c>
      <c r="AF88" s="53"/>
      <c r="AG88" s="54"/>
      <c r="AH88" s="54"/>
      <c r="AI88" s="53"/>
      <c r="AJ88" s="53"/>
      <c r="AK88" s="53"/>
      <c r="AL88" s="53"/>
      <c r="AM88" s="53"/>
      <c r="AN88" s="53"/>
      <c r="AO88" s="54"/>
      <c r="AP88" s="54"/>
      <c r="AQ88" s="53"/>
    </row>
    <row r="89" spans="13:43" x14ac:dyDescent="0.25">
      <c r="M89" s="105" t="str">
        <f t="shared" ref="M89" si="84">N87 &amp;  " " &amp; O89</f>
        <v>12500 2000</v>
      </c>
      <c r="N89" s="172">
        <v>12500</v>
      </c>
      <c r="O89" s="106">
        <v>2000</v>
      </c>
      <c r="P89" s="103">
        <v>200</v>
      </c>
      <c r="Q89" s="104">
        <v>760</v>
      </c>
      <c r="R89" s="125" t="s">
        <v>117</v>
      </c>
      <c r="T89" s="120" t="s">
        <v>112</v>
      </c>
      <c r="AF89" s="53"/>
      <c r="AG89" s="54"/>
      <c r="AH89" s="54"/>
      <c r="AI89" s="53"/>
      <c r="AJ89" s="53"/>
      <c r="AK89" s="53"/>
      <c r="AL89" s="53"/>
      <c r="AM89" s="53"/>
      <c r="AN89" s="53"/>
      <c r="AO89" s="54"/>
      <c r="AP89" s="54"/>
      <c r="AQ89" s="53"/>
    </row>
    <row r="90" spans="13:43" x14ac:dyDescent="0.25">
      <c r="M90" s="107" t="str">
        <f t="shared" ref="M90" si="85">N87 &amp;  " " &amp; O90</f>
        <v>12500 2500</v>
      </c>
      <c r="N90" s="173">
        <v>12500</v>
      </c>
      <c r="O90" s="108">
        <v>2500</v>
      </c>
      <c r="P90" s="103">
        <v>200</v>
      </c>
      <c r="Q90" s="104">
        <v>760</v>
      </c>
      <c r="R90" s="125" t="s">
        <v>117</v>
      </c>
      <c r="T90" s="120" t="s">
        <v>112</v>
      </c>
      <c r="V90" s="126" t="s">
        <v>121</v>
      </c>
      <c r="AF90" s="53"/>
      <c r="AG90" s="54"/>
      <c r="AH90" s="54"/>
      <c r="AI90" s="53"/>
      <c r="AJ90" s="53"/>
      <c r="AK90" s="53"/>
      <c r="AL90" s="53"/>
      <c r="AM90" s="53"/>
      <c r="AN90" s="53"/>
      <c r="AO90" s="54"/>
      <c r="AP90" s="54"/>
      <c r="AQ90" s="53"/>
    </row>
    <row r="91" spans="13:43" x14ac:dyDescent="0.25">
      <c r="M91" s="96" t="str">
        <f t="shared" ref="M91" si="86">N91 &amp;  " " &amp; O91</f>
        <v>13000 1000</v>
      </c>
      <c r="N91" s="168">
        <v>13000</v>
      </c>
      <c r="O91" s="97">
        <v>1000</v>
      </c>
      <c r="P91" s="97">
        <v>160</v>
      </c>
      <c r="Q91" s="98">
        <v>720</v>
      </c>
      <c r="R91" s="125" t="s">
        <v>117</v>
      </c>
      <c r="S91" s="121" t="s">
        <v>119</v>
      </c>
      <c r="AF91" s="53"/>
      <c r="AG91" s="54"/>
      <c r="AH91" s="54"/>
      <c r="AI91" s="53"/>
      <c r="AJ91" s="53"/>
      <c r="AK91" s="53"/>
      <c r="AL91" s="53"/>
      <c r="AM91" s="53"/>
      <c r="AN91" s="53"/>
      <c r="AO91" s="54"/>
      <c r="AP91" s="54"/>
      <c r="AQ91" s="53"/>
    </row>
    <row r="92" spans="13:43" x14ac:dyDescent="0.25">
      <c r="M92" s="99" t="str">
        <f t="shared" ref="M92" si="87">N91 &amp;  " " &amp; O92</f>
        <v>13000 1500</v>
      </c>
      <c r="N92" s="169">
        <v>13000</v>
      </c>
      <c r="O92" s="95">
        <v>1500</v>
      </c>
      <c r="P92" s="97">
        <v>160</v>
      </c>
      <c r="Q92" s="98">
        <v>720</v>
      </c>
      <c r="R92" s="125" t="s">
        <v>117</v>
      </c>
      <c r="S92" s="126" t="s">
        <v>120</v>
      </c>
      <c r="AF92" s="53"/>
      <c r="AG92" s="54"/>
      <c r="AH92" s="54"/>
      <c r="AI92" s="53"/>
      <c r="AJ92" s="53"/>
      <c r="AK92" s="53"/>
      <c r="AL92" s="53"/>
      <c r="AM92" s="53"/>
      <c r="AN92" s="53"/>
      <c r="AO92" s="54"/>
      <c r="AP92" s="54"/>
      <c r="AQ92" s="53"/>
    </row>
    <row r="93" spans="13:43" x14ac:dyDescent="0.25">
      <c r="M93" s="99" t="str">
        <f t="shared" ref="M93" si="88">N91 &amp;  " " &amp; O93</f>
        <v>13000 2000</v>
      </c>
      <c r="N93" s="169">
        <v>13000</v>
      </c>
      <c r="O93" s="95">
        <v>2000</v>
      </c>
      <c r="P93" s="97">
        <v>200</v>
      </c>
      <c r="Q93" s="98">
        <v>760</v>
      </c>
      <c r="R93" s="125" t="s">
        <v>117</v>
      </c>
      <c r="AF93" s="53"/>
      <c r="AG93" s="54"/>
      <c r="AH93" s="54"/>
      <c r="AI93" s="53"/>
      <c r="AJ93" s="53"/>
      <c r="AK93" s="53"/>
      <c r="AL93" s="53"/>
      <c r="AM93" s="53"/>
      <c r="AN93" s="53"/>
      <c r="AO93" s="54"/>
      <c r="AP93" s="54"/>
      <c r="AQ93" s="53"/>
    </row>
    <row r="94" spans="13:43" x14ac:dyDescent="0.25">
      <c r="M94" s="100" t="str">
        <f t="shared" ref="M94" si="89">N91 &amp;  " " &amp; O94</f>
        <v>13000 2500</v>
      </c>
      <c r="N94" s="170">
        <v>13000</v>
      </c>
      <c r="O94" s="101">
        <v>2500</v>
      </c>
      <c r="P94" s="97">
        <v>200</v>
      </c>
      <c r="Q94" s="98">
        <v>760</v>
      </c>
      <c r="R94" s="125" t="s">
        <v>117</v>
      </c>
      <c r="AF94" s="53"/>
      <c r="AG94" s="54"/>
      <c r="AH94" s="54"/>
      <c r="AI94" s="53"/>
      <c r="AJ94" s="53"/>
      <c r="AK94" s="53"/>
      <c r="AL94" s="53"/>
      <c r="AM94" s="53"/>
      <c r="AN94" s="53"/>
      <c r="AO94" s="54"/>
      <c r="AP94" s="54"/>
      <c r="AQ94" s="53"/>
    </row>
    <row r="95" spans="13:43" x14ac:dyDescent="0.25">
      <c r="M95" s="102" t="str">
        <f t="shared" ref="M95" si="90">N95 &amp;  " " &amp; O95</f>
        <v>13500 1000</v>
      </c>
      <c r="N95" s="171">
        <v>13500</v>
      </c>
      <c r="O95" s="103">
        <v>1000</v>
      </c>
      <c r="P95" s="103">
        <v>200</v>
      </c>
      <c r="Q95" s="104">
        <v>640</v>
      </c>
      <c r="R95" s="124"/>
      <c r="S95" s="123"/>
      <c r="T95" s="123"/>
      <c r="AF95" s="53"/>
      <c r="AG95" s="54"/>
      <c r="AH95" s="54"/>
      <c r="AI95" s="53"/>
      <c r="AJ95" s="53"/>
      <c r="AK95" s="53"/>
      <c r="AL95" s="53"/>
      <c r="AM95" s="53"/>
      <c r="AN95" s="53"/>
      <c r="AO95" s="54"/>
      <c r="AP95" s="54"/>
      <c r="AQ95" s="53"/>
    </row>
    <row r="96" spans="13:43" x14ac:dyDescent="0.25">
      <c r="M96" s="105" t="str">
        <f t="shared" ref="M96" si="91">N95 &amp;  " " &amp; O96</f>
        <v>13500 1500</v>
      </c>
      <c r="N96" s="172">
        <f>N95</f>
        <v>13500</v>
      </c>
      <c r="O96" s="106">
        <v>1500</v>
      </c>
      <c r="P96" s="103">
        <v>200</v>
      </c>
      <c r="Q96" s="104">
        <v>680</v>
      </c>
      <c r="AF96" s="53"/>
      <c r="AG96" s="54"/>
      <c r="AH96" s="54"/>
      <c r="AI96" s="53"/>
      <c r="AJ96" s="53"/>
      <c r="AK96" s="53"/>
      <c r="AL96" s="53"/>
      <c r="AM96" s="53"/>
      <c r="AN96" s="53"/>
      <c r="AO96" s="54"/>
      <c r="AP96" s="54"/>
      <c r="AQ96" s="53"/>
    </row>
    <row r="97" spans="13:43" x14ac:dyDescent="0.25">
      <c r="M97" s="105" t="str">
        <f t="shared" ref="M97" si="92">N95 &amp;  " " &amp; O97</f>
        <v>13500 2000</v>
      </c>
      <c r="N97" s="172">
        <f>N95</f>
        <v>13500</v>
      </c>
      <c r="O97" s="106">
        <v>2000</v>
      </c>
      <c r="P97" s="103">
        <v>200</v>
      </c>
      <c r="Q97" s="104">
        <v>640</v>
      </c>
      <c r="AF97" s="53"/>
      <c r="AG97" s="54"/>
      <c r="AH97" s="54"/>
      <c r="AI97" s="53"/>
      <c r="AJ97" s="53"/>
      <c r="AK97" s="53"/>
      <c r="AL97" s="53"/>
      <c r="AM97" s="53"/>
      <c r="AN97" s="53"/>
      <c r="AO97" s="54"/>
      <c r="AP97" s="54"/>
      <c r="AQ97" s="53"/>
    </row>
    <row r="98" spans="13:43" x14ac:dyDescent="0.25">
      <c r="M98" s="107" t="str">
        <f t="shared" ref="M98" si="93">N95 &amp;  " " &amp; O98</f>
        <v>13500 2500</v>
      </c>
      <c r="N98" s="173">
        <f>N95</f>
        <v>13500</v>
      </c>
      <c r="O98" s="108">
        <v>2500</v>
      </c>
      <c r="P98" s="103">
        <v>200</v>
      </c>
      <c r="Q98" s="104">
        <v>680</v>
      </c>
      <c r="AF98" s="53"/>
      <c r="AG98" s="54"/>
      <c r="AH98" s="54"/>
      <c r="AI98" s="53"/>
      <c r="AJ98" s="53"/>
      <c r="AK98" s="53"/>
      <c r="AL98" s="53"/>
      <c r="AM98" s="53"/>
      <c r="AN98" s="53"/>
      <c r="AO98" s="54"/>
      <c r="AP98" s="54"/>
      <c r="AQ98" s="53"/>
    </row>
    <row r="99" spans="13:43" x14ac:dyDescent="0.25">
      <c r="M99" s="96" t="str">
        <f t="shared" ref="M99" si="94">N99 &amp;  " " &amp; O99</f>
        <v>14000 1000</v>
      </c>
      <c r="N99" s="168">
        <v>14000</v>
      </c>
      <c r="O99" s="97">
        <v>1000</v>
      </c>
      <c r="P99" s="97">
        <v>200</v>
      </c>
      <c r="Q99" s="98">
        <v>680</v>
      </c>
      <c r="AF99" s="53"/>
      <c r="AG99" s="54"/>
      <c r="AH99" s="54"/>
      <c r="AI99" s="53"/>
      <c r="AJ99" s="53"/>
      <c r="AK99" s="53"/>
      <c r="AL99" s="53"/>
      <c r="AM99" s="53"/>
      <c r="AN99" s="53"/>
      <c r="AO99" s="54"/>
      <c r="AP99" s="54"/>
      <c r="AQ99" s="53"/>
    </row>
    <row r="100" spans="13:43" x14ac:dyDescent="0.25">
      <c r="M100" s="99" t="str">
        <f t="shared" ref="M100" si="95">N99 &amp;  " " &amp; O100</f>
        <v>14000 1500</v>
      </c>
      <c r="N100" s="169">
        <f>N99</f>
        <v>14000</v>
      </c>
      <c r="O100" s="95">
        <v>1500</v>
      </c>
      <c r="P100" s="97">
        <v>200</v>
      </c>
      <c r="Q100" s="98">
        <v>720</v>
      </c>
      <c r="AF100" s="53"/>
      <c r="AG100" s="54"/>
      <c r="AH100" s="54"/>
      <c r="AI100" s="53"/>
      <c r="AJ100" s="53"/>
      <c r="AK100" s="53"/>
      <c r="AL100" s="53"/>
      <c r="AM100" s="53"/>
      <c r="AN100" s="53"/>
      <c r="AO100" s="54"/>
      <c r="AP100" s="54"/>
      <c r="AQ100" s="53"/>
    </row>
    <row r="101" spans="13:43" x14ac:dyDescent="0.25">
      <c r="M101" s="99" t="str">
        <f t="shared" ref="M101" si="96">N99 &amp;  " " &amp; O101</f>
        <v>14000 2000</v>
      </c>
      <c r="N101" s="169">
        <f>N99</f>
        <v>14000</v>
      </c>
      <c r="O101" s="95">
        <v>2000</v>
      </c>
      <c r="P101" s="97">
        <v>200</v>
      </c>
      <c r="Q101" s="98">
        <v>840</v>
      </c>
      <c r="AF101" s="53"/>
      <c r="AG101" s="54"/>
      <c r="AH101" s="54"/>
      <c r="AI101" s="53"/>
      <c r="AJ101" s="53"/>
      <c r="AK101" s="53"/>
      <c r="AL101" s="53"/>
      <c r="AM101" s="53"/>
      <c r="AN101" s="53"/>
      <c r="AO101" s="54"/>
      <c r="AP101" s="54"/>
      <c r="AQ101" s="53"/>
    </row>
    <row r="102" spans="13:43" x14ac:dyDescent="0.25">
      <c r="M102" s="100" t="str">
        <f t="shared" ref="M102" si="97">N99 &amp;  " " &amp; O102</f>
        <v>14000 2500</v>
      </c>
      <c r="N102" s="170">
        <f>N99</f>
        <v>14000</v>
      </c>
      <c r="O102" s="101">
        <v>2500</v>
      </c>
      <c r="P102" s="97">
        <v>200</v>
      </c>
      <c r="Q102" s="98">
        <v>880</v>
      </c>
      <c r="AF102" s="53"/>
      <c r="AG102" s="54"/>
      <c r="AH102" s="54"/>
      <c r="AI102" s="53"/>
      <c r="AJ102" s="53"/>
      <c r="AK102" s="53"/>
      <c r="AL102" s="53"/>
      <c r="AM102" s="53"/>
      <c r="AN102" s="53"/>
      <c r="AO102" s="54"/>
      <c r="AP102" s="54"/>
      <c r="AQ102" s="53"/>
    </row>
    <row r="103" spans="13:43" x14ac:dyDescent="0.25">
      <c r="M103" s="102" t="str">
        <f t="shared" ref="M103" si="98">N103 &amp;  " " &amp; O103</f>
        <v>14500 1000</v>
      </c>
      <c r="N103" s="171">
        <v>14500</v>
      </c>
      <c r="O103" s="103">
        <v>1000</v>
      </c>
      <c r="P103" s="103">
        <v>200</v>
      </c>
      <c r="Q103" s="104">
        <v>680</v>
      </c>
      <c r="AF103" s="53"/>
      <c r="AG103" s="54"/>
      <c r="AH103" s="54"/>
      <c r="AI103" s="53"/>
      <c r="AJ103" s="53"/>
      <c r="AK103" s="53"/>
      <c r="AL103" s="53"/>
      <c r="AM103" s="53"/>
      <c r="AN103" s="53"/>
      <c r="AO103" s="54"/>
      <c r="AP103" s="54"/>
      <c r="AQ103" s="53"/>
    </row>
    <row r="104" spans="13:43" x14ac:dyDescent="0.25">
      <c r="M104" s="105" t="str">
        <f t="shared" ref="M104" si="99">N103 &amp;  " " &amp; O104</f>
        <v>14500 1500</v>
      </c>
      <c r="N104" s="172">
        <f>N103</f>
        <v>14500</v>
      </c>
      <c r="O104" s="106">
        <v>1500</v>
      </c>
      <c r="P104" s="103">
        <v>200</v>
      </c>
      <c r="Q104" s="104">
        <v>760</v>
      </c>
      <c r="AF104" s="53"/>
      <c r="AG104" s="54"/>
      <c r="AH104" s="54"/>
      <c r="AI104" s="53"/>
      <c r="AJ104" s="53"/>
      <c r="AK104" s="53"/>
      <c r="AL104" s="53"/>
      <c r="AM104" s="53"/>
      <c r="AN104" s="53"/>
      <c r="AO104" s="54"/>
      <c r="AP104" s="54"/>
      <c r="AQ104" s="53"/>
    </row>
    <row r="105" spans="13:43" x14ac:dyDescent="0.25">
      <c r="M105" s="105" t="str">
        <f t="shared" ref="M105" si="100">N103 &amp;  " " &amp; O105</f>
        <v>14500 2000</v>
      </c>
      <c r="N105" s="172">
        <f>N103</f>
        <v>14500</v>
      </c>
      <c r="O105" s="106">
        <v>2000</v>
      </c>
      <c r="P105" s="103">
        <v>200</v>
      </c>
      <c r="Q105" s="104">
        <v>840</v>
      </c>
      <c r="AF105" s="53"/>
      <c r="AG105" s="54"/>
      <c r="AH105" s="54"/>
      <c r="AI105" s="53"/>
      <c r="AJ105" s="53"/>
      <c r="AK105" s="53"/>
      <c r="AL105" s="53"/>
      <c r="AM105" s="53"/>
      <c r="AN105" s="53"/>
      <c r="AO105" s="54"/>
      <c r="AP105" s="54"/>
      <c r="AQ105" s="53"/>
    </row>
    <row r="106" spans="13:43" x14ac:dyDescent="0.25">
      <c r="M106" s="107" t="str">
        <f t="shared" ref="M106" si="101">N103 &amp;  " " &amp; O106</f>
        <v>14500 2500</v>
      </c>
      <c r="N106" s="173">
        <f>N103</f>
        <v>14500</v>
      </c>
      <c r="O106" s="108">
        <v>2500</v>
      </c>
      <c r="P106" s="103">
        <v>200</v>
      </c>
      <c r="Q106" s="104">
        <v>920</v>
      </c>
      <c r="AF106" s="53"/>
      <c r="AG106" s="54"/>
      <c r="AH106" s="54"/>
      <c r="AI106" s="53"/>
      <c r="AJ106" s="53"/>
      <c r="AK106" s="53"/>
      <c r="AL106" s="53"/>
      <c r="AM106" s="53"/>
      <c r="AN106" s="53"/>
      <c r="AO106" s="54"/>
      <c r="AP106" s="54"/>
      <c r="AQ106" s="53"/>
    </row>
    <row r="107" spans="13:43" x14ac:dyDescent="0.25">
      <c r="M107" s="96" t="str">
        <f t="shared" ref="M107" si="102">N107 &amp;  " " &amp; O107</f>
        <v>15000 1000</v>
      </c>
      <c r="N107" s="168">
        <v>15000</v>
      </c>
      <c r="O107" s="97">
        <v>1000</v>
      </c>
      <c r="P107" s="97">
        <v>200</v>
      </c>
      <c r="Q107" s="98">
        <v>680</v>
      </c>
      <c r="AF107" s="53"/>
      <c r="AG107" s="54"/>
      <c r="AH107" s="54"/>
      <c r="AI107" s="53"/>
      <c r="AJ107" s="53"/>
      <c r="AK107" s="53"/>
      <c r="AL107" s="53"/>
      <c r="AM107" s="53"/>
      <c r="AN107" s="53"/>
      <c r="AO107" s="54"/>
      <c r="AP107" s="54"/>
      <c r="AQ107" s="53"/>
    </row>
    <row r="108" spans="13:43" x14ac:dyDescent="0.25">
      <c r="M108" s="99" t="str">
        <f t="shared" ref="M108" si="103">N107 &amp;  " " &amp; O108</f>
        <v>15000 1500</v>
      </c>
      <c r="N108" s="169">
        <f>N107</f>
        <v>15000</v>
      </c>
      <c r="O108" s="95">
        <v>1500</v>
      </c>
      <c r="P108" s="97">
        <v>200</v>
      </c>
      <c r="Q108" s="98">
        <v>800</v>
      </c>
      <c r="AF108" s="53"/>
      <c r="AG108" s="54"/>
      <c r="AH108" s="54"/>
      <c r="AI108" s="53"/>
      <c r="AJ108" s="53"/>
      <c r="AK108" s="53"/>
      <c r="AL108" s="53"/>
      <c r="AM108" s="53"/>
      <c r="AN108" s="53"/>
      <c r="AO108" s="54"/>
      <c r="AP108" s="54"/>
      <c r="AQ108" s="53"/>
    </row>
    <row r="109" spans="13:43" x14ac:dyDescent="0.25">
      <c r="M109" s="99" t="str">
        <f t="shared" ref="M109" si="104">N107 &amp;  " " &amp; O109</f>
        <v>15000 2000</v>
      </c>
      <c r="N109" s="169">
        <f>N107</f>
        <v>15000</v>
      </c>
      <c r="O109" s="95">
        <v>2000</v>
      </c>
      <c r="P109" s="97">
        <v>200</v>
      </c>
      <c r="Q109" s="98">
        <v>880</v>
      </c>
      <c r="AF109" s="53"/>
      <c r="AG109" s="54"/>
      <c r="AH109" s="54"/>
      <c r="AI109" s="53"/>
      <c r="AJ109" s="53"/>
      <c r="AK109" s="53"/>
      <c r="AL109" s="53"/>
      <c r="AM109" s="53"/>
      <c r="AN109" s="53"/>
      <c r="AO109" s="54"/>
      <c r="AP109" s="54"/>
      <c r="AQ109" s="53"/>
    </row>
    <row r="110" spans="13:43" x14ac:dyDescent="0.25">
      <c r="M110" s="100" t="str">
        <f t="shared" ref="M110" si="105">N107 &amp;  " " &amp; O110</f>
        <v>15000 2500</v>
      </c>
      <c r="N110" s="170">
        <f>N107</f>
        <v>15000</v>
      </c>
      <c r="O110" s="101">
        <v>2500</v>
      </c>
      <c r="P110" s="97">
        <v>200</v>
      </c>
      <c r="Q110" s="98">
        <v>960</v>
      </c>
      <c r="AF110" s="53"/>
      <c r="AG110" s="54"/>
      <c r="AH110" s="54"/>
      <c r="AI110" s="53"/>
      <c r="AJ110" s="53"/>
      <c r="AK110" s="53"/>
      <c r="AL110" s="53"/>
      <c r="AM110" s="53"/>
      <c r="AN110" s="53"/>
      <c r="AO110" s="54"/>
      <c r="AP110" s="54"/>
      <c r="AQ110" s="53"/>
    </row>
    <row r="111" spans="13:43" x14ac:dyDescent="0.25">
      <c r="M111" s="102" t="str">
        <f t="shared" ref="M111" si="106">N111 &amp;  " " &amp; O111</f>
        <v>15500 1000</v>
      </c>
      <c r="N111" s="171">
        <v>15500</v>
      </c>
      <c r="O111" s="103">
        <v>1000</v>
      </c>
      <c r="P111" s="103">
        <v>200</v>
      </c>
      <c r="Q111" s="104">
        <v>720</v>
      </c>
      <c r="AF111" s="53"/>
      <c r="AG111" s="54"/>
      <c r="AH111" s="54"/>
      <c r="AI111" s="53"/>
      <c r="AJ111" s="53"/>
      <c r="AK111" s="53"/>
      <c r="AL111" s="53"/>
      <c r="AM111" s="53"/>
      <c r="AN111" s="53"/>
      <c r="AO111" s="54"/>
      <c r="AP111" s="54"/>
      <c r="AQ111" s="53"/>
    </row>
    <row r="112" spans="13:43" x14ac:dyDescent="0.25">
      <c r="M112" s="105" t="str">
        <f t="shared" ref="M112" si="107">N111 &amp;  " " &amp; O112</f>
        <v>15500 1500</v>
      </c>
      <c r="N112" s="172">
        <f>N111</f>
        <v>15500</v>
      </c>
      <c r="O112" s="106">
        <v>1500</v>
      </c>
      <c r="P112" s="103">
        <v>200</v>
      </c>
      <c r="Q112" s="104">
        <v>840</v>
      </c>
      <c r="AF112" s="53"/>
      <c r="AG112" s="54"/>
      <c r="AH112" s="54"/>
      <c r="AI112" s="53"/>
      <c r="AJ112" s="53"/>
      <c r="AK112" s="53"/>
      <c r="AL112" s="53"/>
      <c r="AM112" s="53"/>
      <c r="AN112" s="53"/>
      <c r="AO112" s="54"/>
      <c r="AP112" s="54"/>
      <c r="AQ112" s="53"/>
    </row>
    <row r="113" spans="13:43" x14ac:dyDescent="0.25">
      <c r="M113" s="105" t="str">
        <f t="shared" ref="M113" si="108">N111 &amp;  " " &amp; O113</f>
        <v>15500 2000</v>
      </c>
      <c r="N113" s="172">
        <f>N111</f>
        <v>15500</v>
      </c>
      <c r="O113" s="106">
        <v>2000</v>
      </c>
      <c r="P113" s="103">
        <v>200</v>
      </c>
      <c r="Q113" s="104">
        <v>880</v>
      </c>
      <c r="AF113" s="53"/>
      <c r="AG113" s="54"/>
      <c r="AH113" s="54"/>
      <c r="AI113" s="53"/>
      <c r="AJ113" s="53"/>
      <c r="AK113" s="53"/>
      <c r="AL113" s="53"/>
      <c r="AM113" s="53"/>
      <c r="AN113" s="53"/>
      <c r="AO113" s="54"/>
      <c r="AP113" s="54"/>
      <c r="AQ113" s="53"/>
    </row>
    <row r="114" spans="13:43" x14ac:dyDescent="0.25">
      <c r="M114" s="107" t="str">
        <f t="shared" ref="M114" si="109">N111 &amp;  " " &amp; O114</f>
        <v>15500 2500</v>
      </c>
      <c r="N114" s="173">
        <f>N111</f>
        <v>15500</v>
      </c>
      <c r="O114" s="108">
        <v>2500</v>
      </c>
      <c r="P114" s="103">
        <v>200</v>
      </c>
      <c r="Q114" s="104">
        <v>1000</v>
      </c>
      <c r="AF114" s="53"/>
      <c r="AG114" s="54"/>
      <c r="AH114" s="54"/>
      <c r="AI114" s="53"/>
      <c r="AJ114" s="53"/>
      <c r="AK114" s="53"/>
      <c r="AL114" s="53"/>
      <c r="AM114" s="53"/>
      <c r="AN114" s="53"/>
      <c r="AO114" s="54"/>
      <c r="AP114" s="54"/>
      <c r="AQ114" s="53"/>
    </row>
    <row r="115" spans="13:43" x14ac:dyDescent="0.25">
      <c r="M115" s="96" t="str">
        <f t="shared" ref="M115" si="110">N115 &amp;  " " &amp; O115</f>
        <v>16000 1000</v>
      </c>
      <c r="N115" s="168">
        <v>16000</v>
      </c>
      <c r="O115" s="97">
        <v>1000</v>
      </c>
      <c r="P115" s="97">
        <v>200</v>
      </c>
      <c r="Q115" s="98">
        <v>760</v>
      </c>
      <c r="AF115" s="53"/>
      <c r="AG115" s="54"/>
      <c r="AH115" s="54"/>
      <c r="AI115" s="53"/>
      <c r="AJ115" s="53"/>
      <c r="AK115" s="53"/>
      <c r="AL115" s="53"/>
      <c r="AM115" s="53"/>
      <c r="AN115" s="53"/>
      <c r="AO115" s="54"/>
      <c r="AP115" s="54"/>
      <c r="AQ115" s="53"/>
    </row>
    <row r="116" spans="13:43" x14ac:dyDescent="0.25">
      <c r="M116" s="99" t="str">
        <f t="shared" ref="M116" si="111">N115 &amp;  " " &amp; O116</f>
        <v>16000 1500</v>
      </c>
      <c r="N116" s="169">
        <f>N115</f>
        <v>16000</v>
      </c>
      <c r="O116" s="95">
        <v>1500</v>
      </c>
      <c r="P116" s="97">
        <v>200</v>
      </c>
      <c r="Q116" s="98">
        <v>880</v>
      </c>
      <c r="AF116" s="53"/>
      <c r="AG116" s="54"/>
      <c r="AH116" s="54"/>
      <c r="AI116" s="53"/>
      <c r="AJ116" s="53"/>
      <c r="AK116" s="53"/>
      <c r="AL116" s="53"/>
      <c r="AM116" s="53"/>
      <c r="AN116" s="53"/>
      <c r="AO116" s="54"/>
      <c r="AP116" s="54"/>
      <c r="AQ116" s="53"/>
    </row>
    <row r="117" spans="13:43" x14ac:dyDescent="0.25">
      <c r="M117" s="99" t="str">
        <f t="shared" ref="M117" si="112">N115 &amp;  " " &amp; O117</f>
        <v>16000 2000</v>
      </c>
      <c r="N117" s="169">
        <f>N115</f>
        <v>16000</v>
      </c>
      <c r="O117" s="95">
        <v>2000</v>
      </c>
      <c r="P117" s="97">
        <v>200</v>
      </c>
      <c r="Q117" s="98">
        <v>960</v>
      </c>
      <c r="AF117" s="53"/>
      <c r="AG117" s="54"/>
      <c r="AH117" s="54"/>
      <c r="AI117" s="53"/>
      <c r="AJ117" s="53"/>
      <c r="AK117" s="53"/>
      <c r="AL117" s="53"/>
      <c r="AM117" s="53"/>
      <c r="AN117" s="53"/>
      <c r="AO117" s="54"/>
      <c r="AP117" s="54"/>
      <c r="AQ117" s="53"/>
    </row>
    <row r="118" spans="13:43" x14ac:dyDescent="0.25">
      <c r="M118" s="100" t="str">
        <f t="shared" ref="M118" si="113">N115 &amp;  " " &amp; O118</f>
        <v>16000 2500</v>
      </c>
      <c r="N118" s="170">
        <f>N115</f>
        <v>16000</v>
      </c>
      <c r="O118" s="101">
        <v>2500</v>
      </c>
      <c r="P118" s="97">
        <v>200</v>
      </c>
      <c r="Q118" s="98">
        <v>1040</v>
      </c>
      <c r="AF118" s="53"/>
      <c r="AG118" s="54"/>
      <c r="AH118" s="54"/>
      <c r="AI118" s="53"/>
      <c r="AJ118" s="53"/>
      <c r="AK118" s="53"/>
      <c r="AL118" s="53"/>
      <c r="AM118" s="53"/>
      <c r="AN118" s="53"/>
      <c r="AO118" s="54"/>
      <c r="AP118" s="54"/>
      <c r="AQ118" s="53"/>
    </row>
    <row r="119" spans="13:43" x14ac:dyDescent="0.25">
      <c r="M119" s="102" t="str">
        <f t="shared" ref="M119" si="114">N119 &amp;  " " &amp; O119</f>
        <v>16500 1000</v>
      </c>
      <c r="N119" s="171">
        <v>16500</v>
      </c>
      <c r="O119" s="103">
        <v>1000</v>
      </c>
      <c r="P119" s="103">
        <v>200</v>
      </c>
      <c r="Q119" s="104">
        <v>800</v>
      </c>
      <c r="AF119" s="53"/>
      <c r="AG119" s="54"/>
      <c r="AH119" s="54"/>
      <c r="AI119" s="53"/>
      <c r="AJ119" s="53"/>
      <c r="AK119" s="53"/>
      <c r="AL119" s="53"/>
      <c r="AM119" s="53"/>
      <c r="AN119" s="53"/>
      <c r="AO119" s="54"/>
      <c r="AP119" s="54"/>
      <c r="AQ119" s="53"/>
    </row>
    <row r="120" spans="13:43" x14ac:dyDescent="0.25">
      <c r="M120" s="105" t="str">
        <f t="shared" ref="M120" si="115">N119 &amp;  " " &amp; O120</f>
        <v>16500 1500</v>
      </c>
      <c r="N120" s="172">
        <f>N119</f>
        <v>16500</v>
      </c>
      <c r="O120" s="106">
        <v>1500</v>
      </c>
      <c r="P120" s="103">
        <v>200</v>
      </c>
      <c r="Q120" s="104">
        <v>880</v>
      </c>
      <c r="AF120" s="53"/>
      <c r="AG120" s="54"/>
      <c r="AH120" s="54"/>
      <c r="AI120" s="53"/>
      <c r="AJ120" s="53"/>
      <c r="AK120" s="53"/>
      <c r="AL120" s="53"/>
      <c r="AM120" s="53"/>
      <c r="AN120" s="53"/>
      <c r="AO120" s="54"/>
      <c r="AP120" s="54"/>
      <c r="AQ120" s="53"/>
    </row>
    <row r="121" spans="13:43" x14ac:dyDescent="0.25">
      <c r="M121" s="105" t="str">
        <f t="shared" ref="M121" si="116">N119 &amp;  " " &amp; O121</f>
        <v>16500 2000</v>
      </c>
      <c r="N121" s="172">
        <f>N119</f>
        <v>16500</v>
      </c>
      <c r="O121" s="106">
        <v>2000</v>
      </c>
      <c r="P121" s="103">
        <v>200</v>
      </c>
      <c r="Q121" s="104">
        <v>960</v>
      </c>
      <c r="AF121" s="53"/>
      <c r="AG121" s="54"/>
      <c r="AH121" s="54"/>
      <c r="AI121" s="53"/>
      <c r="AJ121" s="53"/>
      <c r="AK121" s="53"/>
      <c r="AL121" s="53"/>
      <c r="AM121" s="53"/>
      <c r="AN121" s="53"/>
      <c r="AO121" s="54"/>
      <c r="AP121" s="54"/>
      <c r="AQ121" s="53"/>
    </row>
    <row r="122" spans="13:43" x14ac:dyDescent="0.25">
      <c r="M122" s="107" t="str">
        <f t="shared" ref="M122" si="117">N119 &amp;  " " &amp; O122</f>
        <v>16500 2500</v>
      </c>
      <c r="N122" s="173">
        <f>N119</f>
        <v>16500</v>
      </c>
      <c r="O122" s="108">
        <v>2500</v>
      </c>
      <c r="P122" s="103">
        <v>200</v>
      </c>
      <c r="Q122" s="104">
        <v>1080</v>
      </c>
      <c r="AF122" s="53"/>
      <c r="AG122" s="54"/>
      <c r="AH122" s="54"/>
      <c r="AI122" s="53"/>
      <c r="AJ122" s="53"/>
      <c r="AK122" s="53"/>
      <c r="AL122" s="53"/>
      <c r="AM122" s="53"/>
      <c r="AN122" s="53"/>
      <c r="AO122" s="54"/>
      <c r="AP122" s="54"/>
      <c r="AQ122" s="53"/>
    </row>
    <row r="123" spans="13:43" x14ac:dyDescent="0.25">
      <c r="M123" s="96" t="str">
        <f t="shared" ref="M123" si="118">N123 &amp;  " " &amp; O123</f>
        <v>17000 1000</v>
      </c>
      <c r="N123" s="168">
        <v>17000</v>
      </c>
      <c r="O123" s="97">
        <v>1000</v>
      </c>
      <c r="P123" s="97">
        <v>200</v>
      </c>
      <c r="Q123" s="98">
        <v>800</v>
      </c>
      <c r="AF123" s="53"/>
      <c r="AG123" s="54"/>
      <c r="AH123" s="54"/>
      <c r="AI123" s="53"/>
      <c r="AJ123" s="53"/>
      <c r="AK123" s="53"/>
      <c r="AL123" s="53"/>
      <c r="AM123" s="53"/>
      <c r="AN123" s="53"/>
      <c r="AO123" s="54"/>
      <c r="AP123" s="54"/>
      <c r="AQ123" s="53"/>
    </row>
    <row r="124" spans="13:43" x14ac:dyDescent="0.25">
      <c r="M124" s="99" t="str">
        <f t="shared" ref="M124" si="119">N123 &amp;  " " &amp; O124</f>
        <v>17000 1500</v>
      </c>
      <c r="N124" s="169">
        <f>N123</f>
        <v>17000</v>
      </c>
      <c r="O124" s="95">
        <v>1500</v>
      </c>
      <c r="P124" s="97">
        <v>200</v>
      </c>
      <c r="Q124" s="98">
        <v>920</v>
      </c>
      <c r="AF124" s="53"/>
      <c r="AG124" s="54"/>
      <c r="AH124" s="54"/>
      <c r="AI124" s="53"/>
      <c r="AJ124" s="53"/>
      <c r="AK124" s="53"/>
      <c r="AL124" s="53"/>
      <c r="AM124" s="53"/>
      <c r="AN124" s="53"/>
      <c r="AO124" s="54"/>
      <c r="AP124" s="54"/>
      <c r="AQ124" s="53"/>
    </row>
    <row r="125" spans="13:43" x14ac:dyDescent="0.25">
      <c r="M125" s="99" t="str">
        <f t="shared" ref="M125" si="120">N123 &amp;  " " &amp; O125</f>
        <v>17000 2000</v>
      </c>
      <c r="N125" s="169">
        <f>N123</f>
        <v>17000</v>
      </c>
      <c r="O125" s="95">
        <v>2000</v>
      </c>
      <c r="P125" s="97">
        <v>200</v>
      </c>
      <c r="Q125" s="98">
        <v>1000</v>
      </c>
      <c r="AF125" s="53"/>
      <c r="AG125" s="54"/>
      <c r="AH125" s="54"/>
      <c r="AI125" s="53"/>
      <c r="AJ125" s="53"/>
      <c r="AK125" s="53"/>
      <c r="AL125" s="53"/>
      <c r="AM125" s="53"/>
      <c r="AN125" s="53"/>
      <c r="AO125" s="54"/>
      <c r="AP125" s="54"/>
      <c r="AQ125" s="53"/>
    </row>
    <row r="126" spans="13:43" x14ac:dyDescent="0.25">
      <c r="M126" s="100" t="str">
        <f t="shared" ref="M126" si="121">N123 &amp;  " " &amp; O126</f>
        <v>17000 2500</v>
      </c>
      <c r="N126" s="170">
        <f>N123</f>
        <v>17000</v>
      </c>
      <c r="O126" s="101">
        <v>2500</v>
      </c>
      <c r="P126" s="97">
        <v>200</v>
      </c>
      <c r="Q126" s="98">
        <v>1080</v>
      </c>
      <c r="AF126" s="53"/>
      <c r="AG126" s="54"/>
      <c r="AH126" s="54"/>
      <c r="AI126" s="53"/>
      <c r="AJ126" s="53"/>
      <c r="AK126" s="53"/>
      <c r="AL126" s="53"/>
      <c r="AM126" s="53"/>
      <c r="AN126" s="53"/>
      <c r="AO126" s="54"/>
      <c r="AP126" s="54"/>
      <c r="AQ126" s="53"/>
    </row>
    <row r="127" spans="13:43" x14ac:dyDescent="0.25">
      <c r="M127" s="102" t="str">
        <f t="shared" ref="M127" si="122">N127 &amp;  " " &amp; O127</f>
        <v>17500 1000</v>
      </c>
      <c r="N127" s="171">
        <v>17500</v>
      </c>
      <c r="O127" s="103">
        <v>1000</v>
      </c>
      <c r="P127" s="103">
        <v>200</v>
      </c>
      <c r="Q127" s="104">
        <v>840</v>
      </c>
      <c r="AF127" s="53"/>
      <c r="AG127" s="54"/>
      <c r="AH127" s="54"/>
      <c r="AI127" s="53"/>
      <c r="AJ127" s="53"/>
      <c r="AK127" s="53"/>
      <c r="AL127" s="53"/>
      <c r="AM127" s="53"/>
      <c r="AN127" s="53"/>
      <c r="AO127" s="54"/>
      <c r="AP127" s="54"/>
      <c r="AQ127" s="53"/>
    </row>
    <row r="128" spans="13:43" x14ac:dyDescent="0.25">
      <c r="M128" s="105" t="str">
        <f t="shared" ref="M128" si="123">N127 &amp;  " " &amp; O128</f>
        <v>17500 1500</v>
      </c>
      <c r="N128" s="172">
        <f>N127</f>
        <v>17500</v>
      </c>
      <c r="O128" s="106">
        <v>1500</v>
      </c>
      <c r="P128" s="103">
        <v>200</v>
      </c>
      <c r="Q128" s="104">
        <v>960</v>
      </c>
      <c r="AF128" s="53"/>
      <c r="AG128" s="54"/>
      <c r="AH128" s="54"/>
      <c r="AI128" s="53"/>
      <c r="AJ128" s="53"/>
      <c r="AK128" s="53"/>
      <c r="AL128" s="53"/>
      <c r="AM128" s="53"/>
      <c r="AN128" s="53"/>
      <c r="AO128" s="54"/>
      <c r="AP128" s="54"/>
      <c r="AQ128" s="53"/>
    </row>
    <row r="129" spans="13:43" x14ac:dyDescent="0.25">
      <c r="M129" s="105" t="str">
        <f t="shared" ref="M129" si="124">N127 &amp;  " " &amp; O129</f>
        <v>17500 2000</v>
      </c>
      <c r="N129" s="172">
        <f>N127</f>
        <v>17500</v>
      </c>
      <c r="O129" s="106">
        <v>2000</v>
      </c>
      <c r="P129" s="103">
        <v>200</v>
      </c>
      <c r="Q129" s="104">
        <v>1040</v>
      </c>
      <c r="AF129" s="53"/>
      <c r="AG129" s="54"/>
      <c r="AH129" s="54"/>
      <c r="AI129" s="53"/>
      <c r="AJ129" s="53"/>
      <c r="AK129" s="53"/>
      <c r="AL129" s="53"/>
      <c r="AM129" s="53"/>
      <c r="AN129" s="53"/>
      <c r="AO129" s="54"/>
      <c r="AP129" s="54"/>
      <c r="AQ129" s="53"/>
    </row>
    <row r="130" spans="13:43" x14ac:dyDescent="0.25">
      <c r="M130" s="107" t="str">
        <f t="shared" ref="M130" si="125">N127 &amp;  " " &amp; O130</f>
        <v>17500 2500</v>
      </c>
      <c r="N130" s="173">
        <f>N127</f>
        <v>17500</v>
      </c>
      <c r="O130" s="108">
        <v>2500</v>
      </c>
      <c r="P130" s="103">
        <v>200</v>
      </c>
      <c r="Q130" s="104">
        <v>1120</v>
      </c>
      <c r="AF130" s="53"/>
      <c r="AG130" s="54"/>
      <c r="AH130" s="54"/>
      <c r="AI130" s="53"/>
      <c r="AJ130" s="53"/>
      <c r="AK130" s="53"/>
      <c r="AL130" s="53"/>
      <c r="AM130" s="53"/>
      <c r="AN130" s="53"/>
      <c r="AO130" s="54"/>
      <c r="AP130" s="54"/>
      <c r="AQ130" s="53"/>
    </row>
    <row r="131" spans="13:43" x14ac:dyDescent="0.25">
      <c r="M131" s="96" t="str">
        <f t="shared" ref="M131" si="126">N131 &amp;  " " &amp; O131</f>
        <v>18000 1000</v>
      </c>
      <c r="N131" s="168">
        <v>18000</v>
      </c>
      <c r="O131" s="97">
        <v>1000</v>
      </c>
      <c r="P131" s="97">
        <v>200</v>
      </c>
      <c r="Q131" s="98">
        <v>880</v>
      </c>
      <c r="AF131" s="53"/>
      <c r="AG131" s="54"/>
      <c r="AH131" s="54"/>
      <c r="AI131" s="53"/>
      <c r="AJ131" s="53"/>
      <c r="AK131" s="53"/>
      <c r="AL131" s="53"/>
      <c r="AM131" s="53"/>
      <c r="AN131" s="53"/>
      <c r="AO131" s="54"/>
      <c r="AP131" s="54"/>
      <c r="AQ131" s="53"/>
    </row>
    <row r="132" spans="13:43" x14ac:dyDescent="0.25">
      <c r="M132" s="99" t="str">
        <f t="shared" ref="M132" si="127">N131 &amp;  " " &amp; O132</f>
        <v>18000 1500</v>
      </c>
      <c r="N132" s="169">
        <f>N131</f>
        <v>18000</v>
      </c>
      <c r="O132" s="95">
        <v>1500</v>
      </c>
      <c r="P132" s="97">
        <v>200</v>
      </c>
      <c r="Q132" s="98">
        <v>1000</v>
      </c>
      <c r="AF132" s="53"/>
      <c r="AG132" s="54"/>
      <c r="AH132" s="54"/>
      <c r="AI132" s="53"/>
      <c r="AJ132" s="53"/>
      <c r="AK132" s="53"/>
      <c r="AL132" s="53"/>
      <c r="AM132" s="53"/>
      <c r="AN132" s="53"/>
      <c r="AO132" s="54"/>
      <c r="AP132" s="54"/>
      <c r="AQ132" s="53"/>
    </row>
    <row r="133" spans="13:43" x14ac:dyDescent="0.25">
      <c r="M133" s="99" t="str">
        <f t="shared" ref="M133" si="128">N131 &amp;  " " &amp; O133</f>
        <v>18000 2000</v>
      </c>
      <c r="N133" s="169">
        <f>N131</f>
        <v>18000</v>
      </c>
      <c r="O133" s="95">
        <v>2000</v>
      </c>
      <c r="P133" s="97">
        <v>200</v>
      </c>
      <c r="Q133" s="98">
        <v>1080</v>
      </c>
      <c r="AF133" s="53"/>
      <c r="AG133" s="54"/>
      <c r="AH133" s="54"/>
      <c r="AI133" s="53"/>
      <c r="AJ133" s="53"/>
      <c r="AK133" s="53"/>
      <c r="AL133" s="53"/>
      <c r="AM133" s="53"/>
      <c r="AN133" s="53"/>
      <c r="AO133" s="54"/>
      <c r="AP133" s="54"/>
      <c r="AQ133" s="53"/>
    </row>
    <row r="134" spans="13:43" x14ac:dyDescent="0.25">
      <c r="M134" s="100" t="str">
        <f t="shared" ref="M134" si="129">N131 &amp;  " " &amp; O134</f>
        <v>18000 2500</v>
      </c>
      <c r="N134" s="170">
        <f>N131</f>
        <v>18000</v>
      </c>
      <c r="O134" s="101">
        <v>2500</v>
      </c>
      <c r="P134" s="97">
        <v>200</v>
      </c>
      <c r="Q134" s="98">
        <v>1160</v>
      </c>
      <c r="AF134" s="53"/>
      <c r="AG134" s="54"/>
      <c r="AH134" s="54"/>
      <c r="AI134" s="53"/>
      <c r="AJ134" s="53"/>
      <c r="AK134" s="53"/>
      <c r="AL134" s="53"/>
      <c r="AM134" s="53"/>
      <c r="AN134" s="53"/>
      <c r="AO134" s="54"/>
      <c r="AP134" s="54"/>
      <c r="AQ134" s="53"/>
    </row>
    <row r="135" spans="13:43" x14ac:dyDescent="0.25">
      <c r="M135" s="102" t="str">
        <f t="shared" ref="M135" si="130">N135 &amp;  " " &amp; O135</f>
        <v>18500 1000</v>
      </c>
      <c r="N135" s="171">
        <v>18500</v>
      </c>
      <c r="O135" s="103">
        <v>1000</v>
      </c>
      <c r="P135" s="103">
        <v>200</v>
      </c>
      <c r="Q135" s="104">
        <v>880</v>
      </c>
      <c r="AF135" s="53"/>
      <c r="AG135" s="54"/>
      <c r="AH135" s="54"/>
      <c r="AI135" s="53"/>
      <c r="AJ135" s="53"/>
      <c r="AK135" s="53"/>
      <c r="AL135" s="53"/>
      <c r="AM135" s="53"/>
      <c r="AN135" s="53"/>
      <c r="AO135" s="54"/>
      <c r="AP135" s="54"/>
      <c r="AQ135" s="53"/>
    </row>
    <row r="136" spans="13:43" x14ac:dyDescent="0.25">
      <c r="M136" s="105" t="str">
        <f t="shared" ref="M136" si="131">N135 &amp;  " " &amp; O136</f>
        <v>18500 1500</v>
      </c>
      <c r="N136" s="172">
        <f>N135</f>
        <v>18500</v>
      </c>
      <c r="O136" s="106">
        <v>1500</v>
      </c>
      <c r="P136" s="103">
        <v>200</v>
      </c>
      <c r="Q136" s="104">
        <v>1000</v>
      </c>
      <c r="AF136" s="53"/>
      <c r="AG136" s="54"/>
      <c r="AH136" s="54"/>
      <c r="AI136" s="53"/>
      <c r="AJ136" s="53"/>
      <c r="AK136" s="53"/>
      <c r="AL136" s="53"/>
      <c r="AM136" s="53"/>
      <c r="AN136" s="53"/>
      <c r="AO136" s="54"/>
      <c r="AP136" s="54"/>
      <c r="AQ136" s="53"/>
    </row>
    <row r="137" spans="13:43" x14ac:dyDescent="0.25">
      <c r="M137" s="105" t="str">
        <f t="shared" ref="M137" si="132">N135 &amp;  " " &amp; O137</f>
        <v>18500 2000</v>
      </c>
      <c r="N137" s="172">
        <f>N135</f>
        <v>18500</v>
      </c>
      <c r="O137" s="106">
        <v>2000</v>
      </c>
      <c r="P137" s="103">
        <v>200</v>
      </c>
      <c r="Q137" s="104">
        <v>1080</v>
      </c>
      <c r="AF137" s="53"/>
      <c r="AG137" s="54"/>
      <c r="AH137" s="54"/>
      <c r="AI137" s="53"/>
      <c r="AJ137" s="53"/>
      <c r="AK137" s="53"/>
      <c r="AL137" s="53"/>
      <c r="AM137" s="53"/>
      <c r="AN137" s="53"/>
      <c r="AO137" s="54"/>
      <c r="AP137" s="54"/>
      <c r="AQ137" s="53"/>
    </row>
    <row r="138" spans="13:43" x14ac:dyDescent="0.25">
      <c r="M138" s="107" t="str">
        <f t="shared" ref="M138" si="133">N135 &amp;  " " &amp; O138</f>
        <v>18500 2500</v>
      </c>
      <c r="N138" s="173">
        <f>N135</f>
        <v>18500</v>
      </c>
      <c r="O138" s="108">
        <v>2500</v>
      </c>
      <c r="P138" s="103">
        <v>200</v>
      </c>
      <c r="Q138" s="104">
        <v>1200</v>
      </c>
      <c r="AG138" s="54"/>
      <c r="AH138" s="54"/>
      <c r="AI138" s="53"/>
      <c r="AJ138" s="53"/>
      <c r="AK138" s="53"/>
      <c r="AL138" s="53"/>
      <c r="AM138" s="53"/>
      <c r="AN138" s="53"/>
      <c r="AO138" s="54"/>
      <c r="AP138" s="54"/>
      <c r="AQ138" s="53"/>
    </row>
    <row r="139" spans="13:43" x14ac:dyDescent="0.25">
      <c r="M139" s="96" t="str">
        <f t="shared" ref="M139" si="134">N139 &amp;  " " &amp; O139</f>
        <v>19000 1000</v>
      </c>
      <c r="N139" s="168">
        <v>19000</v>
      </c>
      <c r="O139" s="97">
        <v>1000</v>
      </c>
      <c r="P139" s="97">
        <v>200</v>
      </c>
      <c r="Q139" s="98">
        <v>920</v>
      </c>
      <c r="AG139" s="54"/>
      <c r="AH139" s="54"/>
      <c r="AI139" s="53"/>
      <c r="AJ139" s="53"/>
      <c r="AK139" s="53"/>
      <c r="AL139" s="53"/>
      <c r="AM139" s="53"/>
      <c r="AN139" s="53"/>
      <c r="AO139" s="54"/>
      <c r="AP139" s="54"/>
      <c r="AQ139" s="53"/>
    </row>
    <row r="140" spans="13:43" x14ac:dyDescent="0.25">
      <c r="M140" s="99" t="str">
        <f t="shared" ref="M140" si="135">N139 &amp;  " " &amp; O140</f>
        <v>19000 1500</v>
      </c>
      <c r="N140" s="169">
        <f>N139</f>
        <v>19000</v>
      </c>
      <c r="O140" s="95">
        <v>1500</v>
      </c>
      <c r="P140" s="97">
        <v>200</v>
      </c>
      <c r="Q140" s="98">
        <v>1040</v>
      </c>
      <c r="AG140" s="54"/>
      <c r="AH140" s="54"/>
      <c r="AI140" s="53"/>
      <c r="AJ140" s="53"/>
      <c r="AK140" s="53"/>
      <c r="AL140" s="53"/>
      <c r="AM140" s="53"/>
      <c r="AN140" s="53"/>
      <c r="AO140" s="54"/>
      <c r="AP140" s="54"/>
      <c r="AQ140" s="53"/>
    </row>
    <row r="141" spans="13:43" x14ac:dyDescent="0.25">
      <c r="M141" s="99" t="str">
        <f t="shared" ref="M141" si="136">N139 &amp;  " " &amp; O141</f>
        <v>19000 2000</v>
      </c>
      <c r="N141" s="169">
        <f>N139</f>
        <v>19000</v>
      </c>
      <c r="O141" s="95">
        <v>2000</v>
      </c>
      <c r="P141" s="97">
        <v>200</v>
      </c>
      <c r="Q141" s="98">
        <v>1120</v>
      </c>
      <c r="AG141" s="53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</row>
    <row r="142" spans="13:43" x14ac:dyDescent="0.25">
      <c r="M142" s="100" t="str">
        <f t="shared" ref="M142" si="137">N139 &amp;  " " &amp; O142</f>
        <v>19000 2500</v>
      </c>
      <c r="N142" s="170">
        <f>N139</f>
        <v>19000</v>
      </c>
      <c r="O142" s="101">
        <v>2500</v>
      </c>
      <c r="P142" s="97">
        <v>200</v>
      </c>
      <c r="Q142" s="98">
        <v>1240</v>
      </c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</row>
    <row r="143" spans="13:43" x14ac:dyDescent="0.25">
      <c r="M143" s="102" t="str">
        <f t="shared" ref="M143" si="138">N143 &amp;  " " &amp; O143</f>
        <v>19500 1000</v>
      </c>
      <c r="N143" s="171">
        <v>19500</v>
      </c>
      <c r="O143" s="103">
        <v>1000</v>
      </c>
      <c r="P143" s="103">
        <v>200</v>
      </c>
      <c r="Q143" s="104">
        <v>960</v>
      </c>
      <c r="AG143" s="53"/>
      <c r="AH143" s="53"/>
      <c r="AI143" s="53"/>
      <c r="AJ143" s="53"/>
      <c r="AK143" s="53"/>
      <c r="AL143" s="53"/>
      <c r="AM143" s="53"/>
      <c r="AN143" s="53"/>
      <c r="AO143" s="53"/>
      <c r="AP143" s="53"/>
      <c r="AQ143" s="53"/>
    </row>
    <row r="144" spans="13:43" x14ac:dyDescent="0.25">
      <c r="M144" s="105" t="str">
        <f t="shared" ref="M144" si="139">N143 &amp;  " " &amp; O144</f>
        <v>19500 1500</v>
      </c>
      <c r="N144" s="172">
        <f>N143</f>
        <v>19500</v>
      </c>
      <c r="O144" s="106">
        <v>1500</v>
      </c>
      <c r="P144" s="103">
        <v>200</v>
      </c>
      <c r="Q144" s="104">
        <v>1080</v>
      </c>
      <c r="AG144" s="53"/>
      <c r="AH144" s="53"/>
      <c r="AI144" s="53"/>
      <c r="AJ144" s="53"/>
      <c r="AK144" s="53"/>
      <c r="AL144" s="53"/>
      <c r="AM144" s="53"/>
      <c r="AN144" s="53"/>
      <c r="AO144" s="53"/>
      <c r="AP144" s="53"/>
      <c r="AQ144" s="53"/>
    </row>
    <row r="145" spans="13:43" x14ac:dyDescent="0.25">
      <c r="M145" s="105" t="str">
        <f t="shared" ref="M145" si="140">N143 &amp;  " " &amp; O145</f>
        <v>19500 2000</v>
      </c>
      <c r="N145" s="172">
        <f>N143</f>
        <v>19500</v>
      </c>
      <c r="O145" s="106">
        <v>2000</v>
      </c>
      <c r="P145" s="103">
        <v>200</v>
      </c>
      <c r="Q145" s="104">
        <v>1160</v>
      </c>
      <c r="AG145" s="53"/>
      <c r="AH145" s="53"/>
      <c r="AI145" s="53"/>
      <c r="AJ145" s="53"/>
      <c r="AK145" s="53"/>
      <c r="AL145" s="53"/>
      <c r="AO145" s="53"/>
      <c r="AP145" s="53"/>
      <c r="AQ145" s="53"/>
    </row>
    <row r="146" spans="13:43" x14ac:dyDescent="0.25">
      <c r="M146" s="107" t="str">
        <f t="shared" ref="M146" si="141">N143 &amp;  " " &amp; O146</f>
        <v>19500 2500</v>
      </c>
      <c r="N146" s="173">
        <f>N143</f>
        <v>19500</v>
      </c>
      <c r="O146" s="108">
        <v>2500</v>
      </c>
      <c r="P146" s="103">
        <v>200</v>
      </c>
      <c r="Q146" s="104">
        <v>1280</v>
      </c>
    </row>
    <row r="147" spans="13:43" x14ac:dyDescent="0.25">
      <c r="M147" s="96" t="str">
        <f t="shared" ref="M147" si="142">N147 &amp;  " " &amp; O147</f>
        <v>20000 1000</v>
      </c>
      <c r="N147" s="168">
        <v>20000</v>
      </c>
      <c r="O147" s="97">
        <v>1000</v>
      </c>
      <c r="P147" s="97">
        <v>200</v>
      </c>
      <c r="Q147" s="98">
        <v>1000</v>
      </c>
    </row>
    <row r="148" spans="13:43" x14ac:dyDescent="0.25">
      <c r="M148" s="99" t="str">
        <f t="shared" ref="M148" si="143">N147 &amp;  " " &amp; O148</f>
        <v>20000 1500</v>
      </c>
      <c r="N148" s="169"/>
      <c r="O148" s="95">
        <v>1500</v>
      </c>
      <c r="P148" s="97">
        <v>200</v>
      </c>
      <c r="Q148" s="98">
        <v>1080</v>
      </c>
    </row>
    <row r="149" spans="13:43" x14ac:dyDescent="0.25">
      <c r="M149" s="99" t="str">
        <f t="shared" ref="M149" si="144">N147 &amp;  " " &amp; O149</f>
        <v>20000 2000</v>
      </c>
      <c r="N149" s="169"/>
      <c r="O149" s="95">
        <v>2000</v>
      </c>
      <c r="P149" s="97">
        <v>200</v>
      </c>
      <c r="Q149" s="98">
        <v>1200</v>
      </c>
    </row>
    <row r="150" spans="13:43" x14ac:dyDescent="0.25">
      <c r="M150" s="100" t="str">
        <f t="shared" ref="M150" si="145">N147 &amp;  " " &amp; O150</f>
        <v>20000 2500</v>
      </c>
      <c r="N150" s="170"/>
      <c r="O150" s="101">
        <v>2500</v>
      </c>
      <c r="P150" s="134">
        <v>200</v>
      </c>
      <c r="Q150" s="135">
        <v>1280</v>
      </c>
    </row>
    <row r="151" spans="13:43" x14ac:dyDescent="0.25">
      <c r="Q151" s="12"/>
      <c r="R151" s="12"/>
      <c r="AC151" s="1"/>
      <c r="AD151" s="1"/>
    </row>
  </sheetData>
  <mergeCells count="45">
    <mergeCell ref="N143:N146"/>
    <mergeCell ref="N123:N126"/>
    <mergeCell ref="N127:N130"/>
    <mergeCell ref="N131:N134"/>
    <mergeCell ref="N135:N138"/>
    <mergeCell ref="N139:N142"/>
    <mergeCell ref="N103:N106"/>
    <mergeCell ref="N107:N110"/>
    <mergeCell ref="N111:N114"/>
    <mergeCell ref="N115:N118"/>
    <mergeCell ref="N119:N122"/>
    <mergeCell ref="N83:N86"/>
    <mergeCell ref="N87:N90"/>
    <mergeCell ref="N91:N94"/>
    <mergeCell ref="N95:N98"/>
    <mergeCell ref="N99:N102"/>
    <mergeCell ref="N63:N66"/>
    <mergeCell ref="N67:N70"/>
    <mergeCell ref="N71:N74"/>
    <mergeCell ref="N75:N78"/>
    <mergeCell ref="N79:N82"/>
    <mergeCell ref="N147:N150"/>
    <mergeCell ref="N3:N6"/>
    <mergeCell ref="N7:N10"/>
    <mergeCell ref="N11:N14"/>
    <mergeCell ref="N15:N18"/>
    <mergeCell ref="N19:N22"/>
    <mergeCell ref="N23:N26"/>
    <mergeCell ref="N27:N30"/>
    <mergeCell ref="N31:N34"/>
    <mergeCell ref="N35:N38"/>
    <mergeCell ref="N39:N42"/>
    <mergeCell ref="N43:N46"/>
    <mergeCell ref="N47:N50"/>
    <mergeCell ref="N51:N54"/>
    <mergeCell ref="N55:N58"/>
    <mergeCell ref="N59:N62"/>
    <mergeCell ref="BF2:BH2"/>
    <mergeCell ref="J2:L2"/>
    <mergeCell ref="S1:W1"/>
    <mergeCell ref="M1:Q1"/>
    <mergeCell ref="AQ2:AS2"/>
    <mergeCell ref="AI2:AK2"/>
    <mergeCell ref="AY2:BA2"/>
    <mergeCell ref="Y1:AD1"/>
  </mergeCells>
  <conditionalFormatting sqref="AQ5:AT41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I5:AL4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8"/>
  <sheetViews>
    <sheetView workbookViewId="0">
      <selection activeCell="A18" sqref="A18"/>
    </sheetView>
  </sheetViews>
  <sheetFormatPr baseColWidth="10" defaultColWidth="11.42578125" defaultRowHeight="15" x14ac:dyDescent="0.25"/>
  <cols>
    <col min="1" max="2" width="15.42578125" style="1" customWidth="1"/>
    <col min="3" max="3" width="13.7109375" style="12" customWidth="1"/>
    <col min="4" max="4" width="15" style="12" customWidth="1"/>
    <col min="5" max="5" width="11.42578125" style="12"/>
    <col min="6" max="6" width="13.140625" style="12" customWidth="1"/>
    <col min="7" max="7" width="12.85546875" style="12" customWidth="1"/>
    <col min="8" max="8" width="27.85546875" style="12" customWidth="1"/>
    <col min="9" max="9" width="17" style="12" customWidth="1"/>
    <col min="10" max="16384" width="11.42578125" style="12"/>
  </cols>
  <sheetData>
    <row r="1" spans="1:9" x14ac:dyDescent="0.25">
      <c r="A1" s="1" t="s">
        <v>9</v>
      </c>
      <c r="B1" s="1" t="s">
        <v>10</v>
      </c>
      <c r="C1" s="1" t="s">
        <v>61</v>
      </c>
      <c r="D1" s="1" t="s">
        <v>36</v>
      </c>
      <c r="E1" s="52" t="s">
        <v>46</v>
      </c>
      <c r="F1" s="1" t="s">
        <v>47</v>
      </c>
      <c r="G1" s="52" t="s">
        <v>45</v>
      </c>
      <c r="H1" s="52" t="s">
        <v>60</v>
      </c>
      <c r="I1" s="52" t="s">
        <v>74</v>
      </c>
    </row>
    <row r="2" spans="1:9" x14ac:dyDescent="0.25">
      <c r="A2" s="1">
        <v>2000</v>
      </c>
      <c r="B2" s="1">
        <v>1000</v>
      </c>
      <c r="C2" s="1" t="s">
        <v>32</v>
      </c>
      <c r="D2" s="1" t="s">
        <v>38</v>
      </c>
      <c r="E2" s="52">
        <v>28</v>
      </c>
      <c r="F2" s="1">
        <v>1500</v>
      </c>
      <c r="G2" s="52" t="s">
        <v>77</v>
      </c>
      <c r="H2" s="68">
        <v>50</v>
      </c>
      <c r="I2" s="52" t="s">
        <v>75</v>
      </c>
    </row>
    <row r="3" spans="1:9" x14ac:dyDescent="0.25">
      <c r="A3" s="1">
        <v>2500</v>
      </c>
      <c r="B3" s="1">
        <v>1500</v>
      </c>
      <c r="C3" s="1" t="s">
        <v>33</v>
      </c>
      <c r="D3" s="1" t="s">
        <v>39</v>
      </c>
      <c r="E3" s="52">
        <v>36</v>
      </c>
      <c r="F3" s="1">
        <v>2000</v>
      </c>
      <c r="G3" s="52" t="s">
        <v>78</v>
      </c>
      <c r="H3" s="68">
        <v>55</v>
      </c>
      <c r="I3" s="52" t="s">
        <v>76</v>
      </c>
    </row>
    <row r="4" spans="1:9" x14ac:dyDescent="0.25">
      <c r="A4" s="1">
        <v>3000</v>
      </c>
      <c r="B4" s="1">
        <v>2000</v>
      </c>
      <c r="E4" s="52">
        <v>46</v>
      </c>
      <c r="F4" s="1"/>
      <c r="G4" s="68" t="s">
        <v>51</v>
      </c>
      <c r="H4" s="68">
        <v>60</v>
      </c>
    </row>
    <row r="5" spans="1:9" x14ac:dyDescent="0.25">
      <c r="A5" s="1">
        <v>3500</v>
      </c>
      <c r="B5" s="1">
        <v>2500</v>
      </c>
      <c r="G5" s="68" t="s">
        <v>52</v>
      </c>
      <c r="H5" s="68">
        <v>65</v>
      </c>
    </row>
    <row r="6" spans="1:9" x14ac:dyDescent="0.25">
      <c r="A6" s="1">
        <v>4000</v>
      </c>
      <c r="H6" s="68">
        <v>70</v>
      </c>
    </row>
    <row r="7" spans="1:9" x14ac:dyDescent="0.25">
      <c r="A7" s="1">
        <v>4500</v>
      </c>
      <c r="H7" s="68">
        <v>75</v>
      </c>
    </row>
    <row r="8" spans="1:9" x14ac:dyDescent="0.25">
      <c r="A8" s="1">
        <v>5000</v>
      </c>
      <c r="H8" s="68">
        <v>80</v>
      </c>
    </row>
    <row r="9" spans="1:9" x14ac:dyDescent="0.25">
      <c r="A9" s="1">
        <v>5500</v>
      </c>
      <c r="H9" s="52">
        <v>85</v>
      </c>
    </row>
    <row r="10" spans="1:9" x14ac:dyDescent="0.25">
      <c r="A10" s="1">
        <v>6000</v>
      </c>
      <c r="H10" s="52">
        <v>90</v>
      </c>
    </row>
    <row r="11" spans="1:9" x14ac:dyDescent="0.25">
      <c r="A11" s="1">
        <v>6500</v>
      </c>
      <c r="H11" s="52">
        <v>95</v>
      </c>
    </row>
    <row r="12" spans="1:9" x14ac:dyDescent="0.25">
      <c r="A12" s="1">
        <v>7000</v>
      </c>
      <c r="H12" s="52">
        <v>100</v>
      </c>
    </row>
    <row r="13" spans="1:9" x14ac:dyDescent="0.25">
      <c r="A13" s="1">
        <v>7500</v>
      </c>
    </row>
    <row r="14" spans="1:9" x14ac:dyDescent="0.25">
      <c r="A14" s="1">
        <v>8000</v>
      </c>
    </row>
    <row r="15" spans="1:9" x14ac:dyDescent="0.25">
      <c r="A15" s="1">
        <v>8500</v>
      </c>
    </row>
    <row r="16" spans="1:9" x14ac:dyDescent="0.25">
      <c r="A16" s="1">
        <v>9000</v>
      </c>
    </row>
    <row r="17" spans="1:1" x14ac:dyDescent="0.25">
      <c r="A17" s="1">
        <v>9500</v>
      </c>
    </row>
    <row r="18" spans="1:1" x14ac:dyDescent="0.25">
      <c r="A18" s="1">
        <v>10000</v>
      </c>
    </row>
    <row r="19" spans="1:1" x14ac:dyDescent="0.25">
      <c r="A19" s="1">
        <v>10500</v>
      </c>
    </row>
    <row r="20" spans="1:1" x14ac:dyDescent="0.25">
      <c r="A20" s="1">
        <v>11000</v>
      </c>
    </row>
    <row r="21" spans="1:1" x14ac:dyDescent="0.25">
      <c r="A21" s="1">
        <v>11500</v>
      </c>
    </row>
    <row r="22" spans="1:1" x14ac:dyDescent="0.25">
      <c r="A22" s="1">
        <v>12000</v>
      </c>
    </row>
    <row r="23" spans="1:1" x14ac:dyDescent="0.25">
      <c r="A23" s="1">
        <v>12500</v>
      </c>
    </row>
    <row r="24" spans="1:1" x14ac:dyDescent="0.25">
      <c r="A24" s="1">
        <v>13000</v>
      </c>
    </row>
    <row r="25" spans="1:1" x14ac:dyDescent="0.25">
      <c r="A25" s="136">
        <v>13500</v>
      </c>
    </row>
    <row r="26" spans="1:1" x14ac:dyDescent="0.25">
      <c r="A26" s="136">
        <v>14000</v>
      </c>
    </row>
    <row r="27" spans="1:1" x14ac:dyDescent="0.25">
      <c r="A27" s="136">
        <v>14500</v>
      </c>
    </row>
    <row r="28" spans="1:1" x14ac:dyDescent="0.25">
      <c r="A28" s="136">
        <v>15000</v>
      </c>
    </row>
    <row r="29" spans="1:1" x14ac:dyDescent="0.25">
      <c r="A29" s="136">
        <v>15500</v>
      </c>
    </row>
    <row r="30" spans="1:1" x14ac:dyDescent="0.25">
      <c r="A30" s="136">
        <v>16000</v>
      </c>
    </row>
    <row r="31" spans="1:1" x14ac:dyDescent="0.25">
      <c r="A31" s="136">
        <v>16500</v>
      </c>
    </row>
    <row r="32" spans="1:1" x14ac:dyDescent="0.25">
      <c r="A32" s="136">
        <v>17000</v>
      </c>
    </row>
    <row r="33" spans="1:1" x14ac:dyDescent="0.25">
      <c r="A33" s="136">
        <v>17500</v>
      </c>
    </row>
    <row r="34" spans="1:1" x14ac:dyDescent="0.25">
      <c r="A34" s="136">
        <v>18000</v>
      </c>
    </row>
    <row r="35" spans="1:1" x14ac:dyDescent="0.25">
      <c r="A35" s="136">
        <v>18500</v>
      </c>
    </row>
    <row r="36" spans="1:1" x14ac:dyDescent="0.25">
      <c r="A36" s="136">
        <v>19000</v>
      </c>
    </row>
    <row r="37" spans="1:1" x14ac:dyDescent="0.25">
      <c r="A37" s="136">
        <v>19500</v>
      </c>
    </row>
    <row r="38" spans="1:1" x14ac:dyDescent="0.25">
      <c r="A38" s="136">
        <v>20000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Calcul prix passerelle</vt:lpstr>
      <vt:lpstr>Structure porteuse</vt:lpstr>
      <vt:lpstr>Données listes</vt:lpstr>
      <vt:lpstr>entraxe_solive</vt:lpstr>
      <vt:lpstr>entraxe_solive2</vt:lpstr>
      <vt:lpstr>L.longerons</vt:lpstr>
      <vt:lpstr>Largeur</vt:lpstr>
      <vt:lpstr>Longeur_longerons</vt:lpstr>
      <vt:lpstr>Longueur</vt:lpstr>
      <vt:lpstr>Longueur_longerons</vt:lpstr>
      <vt:lpstr>longueur_longerons2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2024-07-16T09:04:28Z</dcterms:modified>
</cp:coreProperties>
</file>