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 tabRatio="493" activeTab="4"/>
  </bookViews>
  <sheets>
    <sheet name="1" sheetId="2" r:id="rId1"/>
    <sheet name="2" sheetId="1" r:id="rId2"/>
    <sheet name="1 - Mensuel" sheetId="4" r:id="rId3"/>
    <sheet name="2 - Mensuel" sheetId="5" r:id="rId4"/>
    <sheet name="Total mensuel" sheetId="3" r:id="rId5"/>
  </sheets>
  <calcPr calcId="152511" calcMode="manual"/>
</workbook>
</file>

<file path=xl/calcChain.xml><?xml version="1.0" encoding="utf-8"?>
<calcChain xmlns="http://schemas.openxmlformats.org/spreadsheetml/2006/main">
  <c r="F15" i="3" l="1"/>
  <c r="G16" i="2" l="1"/>
  <c r="C16" i="4" s="1"/>
  <c r="G15" i="2"/>
  <c r="C15" i="4" s="1"/>
  <c r="BN15" i="2"/>
  <c r="N15" i="4" s="1"/>
  <c r="BI15" i="2"/>
  <c r="M15" i="4" s="1"/>
  <c r="BC15" i="2"/>
  <c r="L15" i="4" s="1"/>
  <c r="AX15" i="2"/>
  <c r="K15" i="4" s="1"/>
  <c r="AS15" i="2"/>
  <c r="J15" i="4" s="1"/>
  <c r="AM15" i="2"/>
  <c r="I15" i="4" s="1"/>
  <c r="AH15" i="2"/>
  <c r="H15" i="4" s="1"/>
  <c r="AB15" i="2"/>
  <c r="G15" i="4" s="1"/>
  <c r="W15" i="2"/>
  <c r="F15" i="4" s="1"/>
  <c r="R15" i="2"/>
  <c r="E15" i="4" s="1"/>
  <c r="L15" i="2"/>
  <c r="D15" i="4" s="1"/>
  <c r="G41" i="1"/>
  <c r="C41" i="5" s="1"/>
  <c r="L41" i="1"/>
  <c r="D41" i="5" s="1"/>
  <c r="O41" i="1"/>
  <c r="R41" i="1" s="1"/>
  <c r="E41" i="5" s="1"/>
  <c r="W41" i="1"/>
  <c r="X41" i="1"/>
  <c r="AB41" i="1" s="1"/>
  <c r="G41" i="5" s="1"/>
  <c r="AH41" i="1"/>
  <c r="H41" i="5" s="1"/>
  <c r="AM41" i="1"/>
  <c r="I41" i="5" s="1"/>
  <c r="AS41" i="1"/>
  <c r="J41" i="5" s="1"/>
  <c r="AX41" i="1"/>
  <c r="K41" i="5" s="1"/>
  <c r="BC41" i="1"/>
  <c r="L41" i="5" s="1"/>
  <c r="BI41" i="1"/>
  <c r="M41" i="5" s="1"/>
  <c r="BN41" i="1"/>
  <c r="N41" i="5" s="1"/>
  <c r="O15" i="4" l="1"/>
  <c r="F41" i="5"/>
  <c r="O41" i="5"/>
  <c r="P41" i="5" s="1"/>
  <c r="BO15" i="2"/>
  <c r="BO41" i="1"/>
  <c r="BP41" i="1" s="1"/>
  <c r="BH9" i="2"/>
  <c r="BN16" i="2"/>
  <c r="N16" i="4" s="1"/>
  <c r="BI16" i="2"/>
  <c r="M16" i="4" s="1"/>
  <c r="BC16" i="2"/>
  <c r="L16" i="4" s="1"/>
  <c r="AX16" i="2"/>
  <c r="K16" i="4" s="1"/>
  <c r="AS16" i="2"/>
  <c r="J16" i="4" s="1"/>
  <c r="AM16" i="2"/>
  <c r="I16" i="4" s="1"/>
  <c r="AH16" i="2"/>
  <c r="H16" i="4" s="1"/>
  <c r="AB16" i="2"/>
  <c r="G16" i="4" s="1"/>
  <c r="W16" i="2"/>
  <c r="F16" i="4" s="1"/>
  <c r="R16" i="2"/>
  <c r="E16" i="4" s="1"/>
  <c r="L16" i="2"/>
  <c r="D16" i="4" s="1"/>
  <c r="O16" i="4" s="1"/>
  <c r="BM11" i="2"/>
  <c r="BL11" i="2"/>
  <c r="BG11" i="2"/>
  <c r="BF11" i="2"/>
  <c r="AY11" i="2"/>
  <c r="AU11" i="2"/>
  <c r="AX11" i="2" s="1"/>
  <c r="AP11" i="2"/>
  <c r="AO11" i="2"/>
  <c r="AM11" i="2"/>
  <c r="I11" i="4" s="1"/>
  <c r="AH11" i="2"/>
  <c r="H11" i="4" s="1"/>
  <c r="X11" i="2"/>
  <c r="V11" i="2"/>
  <c r="T11" i="2"/>
  <c r="S11" i="2"/>
  <c r="E11" i="4" s="1"/>
  <c r="Q11" i="2"/>
  <c r="R11" i="2" s="1"/>
  <c r="L11" i="2"/>
  <c r="D11" i="4" s="1"/>
  <c r="F11" i="2"/>
  <c r="G11" i="2" s="1"/>
  <c r="C11" i="4" s="1"/>
  <c r="BN13" i="2"/>
  <c r="N13" i="4" s="1"/>
  <c r="BG13" i="2"/>
  <c r="BI13" i="2" s="1"/>
  <c r="M13" i="4" s="1"/>
  <c r="BC13" i="2"/>
  <c r="L13" i="4" s="1"/>
  <c r="AW13" i="2"/>
  <c r="AT13" i="2"/>
  <c r="J13" i="4" s="1"/>
  <c r="AS13" i="2"/>
  <c r="AM13" i="2"/>
  <c r="I13" i="4" s="1"/>
  <c r="AH13" i="2"/>
  <c r="H13" i="4" s="1"/>
  <c r="AB13" i="2"/>
  <c r="G13" i="4" s="1"/>
  <c r="W13" i="2"/>
  <c r="F13" i="4" s="1"/>
  <c r="R13" i="2"/>
  <c r="E13" i="4" s="1"/>
  <c r="L13" i="2"/>
  <c r="D13" i="4" s="1"/>
  <c r="D13" i="2"/>
  <c r="G13" i="2" s="1"/>
  <c r="C13" i="4" s="1"/>
  <c r="BK12" i="2"/>
  <c r="BN12" i="2" s="1"/>
  <c r="N12" i="4" s="1"/>
  <c r="BG12" i="2"/>
  <c r="BI12" i="2" s="1"/>
  <c r="M12" i="4" s="1"/>
  <c r="BC12" i="2"/>
  <c r="L12" i="4" s="1"/>
  <c r="AV12" i="2"/>
  <c r="AU12" i="2"/>
  <c r="AT12" i="2"/>
  <c r="J12" i="4" s="1"/>
  <c r="AO12" i="2"/>
  <c r="AS12" i="2" s="1"/>
  <c r="AI12" i="2"/>
  <c r="AH12" i="2"/>
  <c r="AB12" i="2"/>
  <c r="G12" i="4" s="1"/>
  <c r="U12" i="2"/>
  <c r="W12" i="2" s="1"/>
  <c r="F12" i="4" s="1"/>
  <c r="R12" i="2"/>
  <c r="E12" i="4" s="1"/>
  <c r="L12" i="2"/>
  <c r="D12" i="4" s="1"/>
  <c r="G12" i="2"/>
  <c r="C12" i="4" s="1"/>
  <c r="BM14" i="2"/>
  <c r="BK14" i="2"/>
  <c r="BJ14" i="2"/>
  <c r="BH14" i="2"/>
  <c r="BG14" i="2"/>
  <c r="BF14" i="2"/>
  <c r="BE14" i="2"/>
  <c r="BB14" i="2"/>
  <c r="BA14" i="2"/>
  <c r="AY14" i="2"/>
  <c r="AV14" i="2"/>
  <c r="AT14" i="2"/>
  <c r="J14" i="4" s="1"/>
  <c r="AS14" i="2"/>
  <c r="AJ14" i="2"/>
  <c r="AM14" i="2" s="1"/>
  <c r="I14" i="4" s="1"/>
  <c r="AH14" i="2"/>
  <c r="H14" i="4" s="1"/>
  <c r="Z14" i="2"/>
  <c r="AB14" i="2" s="1"/>
  <c r="G14" i="4" s="1"/>
  <c r="W14" i="2"/>
  <c r="F14" i="4" s="1"/>
  <c r="P14" i="2"/>
  <c r="R14" i="2" s="1"/>
  <c r="E14" i="4" s="1"/>
  <c r="I14" i="2"/>
  <c r="L14" i="2" s="1"/>
  <c r="D14" i="4" s="1"/>
  <c r="G14" i="2"/>
  <c r="C14" i="4" s="1"/>
  <c r="BM10" i="2"/>
  <c r="BK10" i="2"/>
  <c r="BJ10" i="2"/>
  <c r="BH10" i="2"/>
  <c r="BF10" i="2"/>
  <c r="BD10" i="2"/>
  <c r="AZ10" i="2"/>
  <c r="AY10" i="2"/>
  <c r="AW10" i="2"/>
  <c r="AV10" i="2"/>
  <c r="AU10" i="2"/>
  <c r="AT10" i="2"/>
  <c r="AR10" i="2"/>
  <c r="AQ10" i="2"/>
  <c r="AP10" i="2"/>
  <c r="AN10" i="2"/>
  <c r="AL10" i="2"/>
  <c r="AJ10" i="2"/>
  <c r="AG10" i="2"/>
  <c r="AF10" i="2"/>
  <c r="AE10" i="2"/>
  <c r="AC10" i="2"/>
  <c r="Y10" i="2"/>
  <c r="X10" i="2"/>
  <c r="F10" i="4" s="1"/>
  <c r="U10" i="2"/>
  <c r="W10" i="2" s="1"/>
  <c r="Q10" i="2"/>
  <c r="N10" i="2"/>
  <c r="J10" i="2"/>
  <c r="L10" i="2" s="1"/>
  <c r="D10" i="4" s="1"/>
  <c r="E10" i="2"/>
  <c r="G10" i="2" s="1"/>
  <c r="C10" i="4" s="1"/>
  <c r="BM9" i="2"/>
  <c r="BL9" i="2"/>
  <c r="BK9" i="2"/>
  <c r="BF9" i="2"/>
  <c r="BE9" i="2"/>
  <c r="BD9" i="2"/>
  <c r="AZ9" i="2"/>
  <c r="BC9" i="2" s="1"/>
  <c r="AW9" i="2"/>
  <c r="AU9" i="2"/>
  <c r="AT9" i="2"/>
  <c r="AO9" i="2"/>
  <c r="AS9" i="2" s="1"/>
  <c r="AL9" i="2"/>
  <c r="AJ9" i="2"/>
  <c r="AG9" i="2"/>
  <c r="AF9" i="2"/>
  <c r="Z9" i="2"/>
  <c r="Y9" i="2"/>
  <c r="X9" i="2"/>
  <c r="U9" i="2"/>
  <c r="S9" i="2"/>
  <c r="P9" i="2"/>
  <c r="N9" i="2"/>
  <c r="J9" i="2"/>
  <c r="L9" i="2" s="1"/>
  <c r="D9" i="4" s="1"/>
  <c r="F9" i="2"/>
  <c r="G9" i="2" s="1"/>
  <c r="C9" i="4" s="1"/>
  <c r="BM8" i="2"/>
  <c r="BL8" i="2"/>
  <c r="BH8" i="2"/>
  <c r="BE8" i="2"/>
  <c r="BD8" i="2"/>
  <c r="AZ8" i="2"/>
  <c r="AY8" i="2"/>
  <c r="AW8" i="2"/>
  <c r="AV8" i="2"/>
  <c r="AT8" i="2"/>
  <c r="AN8" i="2"/>
  <c r="AL8" i="2"/>
  <c r="AJ8" i="2"/>
  <c r="AG8" i="2"/>
  <c r="AE8" i="2"/>
  <c r="AD8" i="2"/>
  <c r="Z8" i="2"/>
  <c r="X8" i="2"/>
  <c r="T8" i="2"/>
  <c r="S8" i="2"/>
  <c r="R8" i="2"/>
  <c r="J8" i="2"/>
  <c r="L8" i="2" s="1"/>
  <c r="D8" i="4" s="1"/>
  <c r="G8" i="2"/>
  <c r="C8" i="4" s="1"/>
  <c r="BN7" i="2"/>
  <c r="N7" i="4" s="1"/>
  <c r="BH7" i="2"/>
  <c r="BD7" i="2"/>
  <c r="BB7" i="2"/>
  <c r="BC7" i="2" s="1"/>
  <c r="AX7" i="2"/>
  <c r="K7" i="4" s="1"/>
  <c r="AO7" i="2"/>
  <c r="AN7" i="2"/>
  <c r="AL7" i="2"/>
  <c r="AJ7" i="2"/>
  <c r="AC7" i="2"/>
  <c r="AA7" i="2"/>
  <c r="X7" i="2"/>
  <c r="F7" i="4" s="1"/>
  <c r="V7" i="2"/>
  <c r="W7" i="2" s="1"/>
  <c r="P7" i="2"/>
  <c r="R7" i="2" s="1"/>
  <c r="E7" i="4" s="1"/>
  <c r="L7" i="2"/>
  <c r="D7" i="4" s="1"/>
  <c r="E7" i="2"/>
  <c r="G7" i="2" s="1"/>
  <c r="C7" i="4" s="1"/>
  <c r="BM6" i="2"/>
  <c r="BK6" i="2"/>
  <c r="BH6" i="2"/>
  <c r="BI6" i="2" s="1"/>
  <c r="M6" i="4" s="1"/>
  <c r="BB6" i="2"/>
  <c r="BC6" i="2" s="1"/>
  <c r="L6" i="4" s="1"/>
  <c r="AW6" i="2"/>
  <c r="AX6" i="2" s="1"/>
  <c r="K6" i="4" s="1"/>
  <c r="AR6" i="2"/>
  <c r="AS6" i="2" s="1"/>
  <c r="J6" i="4" s="1"/>
  <c r="AL6" i="2"/>
  <c r="AJ6" i="2"/>
  <c r="AI6" i="2"/>
  <c r="AG6" i="2"/>
  <c r="AH6" i="2" s="1"/>
  <c r="AB6" i="2"/>
  <c r="G6" i="4" s="1"/>
  <c r="V6" i="2"/>
  <c r="W6" i="2" s="1"/>
  <c r="F6" i="4" s="1"/>
  <c r="Q6" i="2"/>
  <c r="R6" i="2" s="1"/>
  <c r="E6" i="4" s="1"/>
  <c r="K6" i="2"/>
  <c r="L6" i="2" s="1"/>
  <c r="D6" i="4" s="1"/>
  <c r="F6" i="2"/>
  <c r="E6" i="2"/>
  <c r="BM5" i="2"/>
  <c r="BL5" i="2"/>
  <c r="BK5" i="2"/>
  <c r="BH5" i="2"/>
  <c r="BE5" i="2"/>
  <c r="BD5" i="2"/>
  <c r="BB5" i="2"/>
  <c r="AZ5" i="2"/>
  <c r="AV5" i="2"/>
  <c r="AT5" i="2"/>
  <c r="AQ5" i="2"/>
  <c r="AO5" i="2"/>
  <c r="AL5" i="2"/>
  <c r="AK5" i="2"/>
  <c r="AJ5" i="2"/>
  <c r="AF5" i="2"/>
  <c r="AE5" i="2"/>
  <c r="Y5" i="2"/>
  <c r="AB5" i="2" s="1"/>
  <c r="G5" i="4" s="1"/>
  <c r="V5" i="2"/>
  <c r="U5" i="2"/>
  <c r="T5" i="2"/>
  <c r="N5" i="2"/>
  <c r="R5" i="2" s="1"/>
  <c r="E5" i="4" s="1"/>
  <c r="H5" i="2"/>
  <c r="F5" i="2"/>
  <c r="D5" i="2"/>
  <c r="BM4" i="2"/>
  <c r="BL4" i="2"/>
  <c r="BK4" i="2"/>
  <c r="BH4" i="2"/>
  <c r="BG4" i="2"/>
  <c r="AZ4" i="2"/>
  <c r="BC4" i="2" s="1"/>
  <c r="L4" i="4" s="1"/>
  <c r="AW4" i="2"/>
  <c r="AV4" i="2"/>
  <c r="AT4" i="2"/>
  <c r="J4" i="4" s="1"/>
  <c r="AS4" i="2"/>
  <c r="AL4" i="2"/>
  <c r="AJ4" i="2"/>
  <c r="AG4" i="2"/>
  <c r="AF4" i="2"/>
  <c r="AB4" i="2"/>
  <c r="G4" i="4" s="1"/>
  <c r="V4" i="2"/>
  <c r="U4" i="2"/>
  <c r="R4" i="2"/>
  <c r="E4" i="4" s="1"/>
  <c r="L4" i="2"/>
  <c r="D4" i="4" s="1"/>
  <c r="F4" i="2"/>
  <c r="G4" i="2" s="1"/>
  <c r="C4" i="4" s="1"/>
  <c r="BK72" i="1"/>
  <c r="BN72" i="1" s="1"/>
  <c r="N72" i="5" s="1"/>
  <c r="BI72" i="1"/>
  <c r="M72" i="5" s="1"/>
  <c r="AY72" i="1"/>
  <c r="BC72" i="1" s="1"/>
  <c r="L72" i="5" s="1"/>
  <c r="AX72" i="1"/>
  <c r="K72" i="5" s="1"/>
  <c r="AS72" i="1"/>
  <c r="J72" i="5" s="1"/>
  <c r="AM72" i="1"/>
  <c r="I72" i="5" s="1"/>
  <c r="AH72" i="1"/>
  <c r="H72" i="5" s="1"/>
  <c r="AB72" i="1"/>
  <c r="G72" i="5" s="1"/>
  <c r="W72" i="1"/>
  <c r="F72" i="5" s="1"/>
  <c r="R72" i="1"/>
  <c r="E72" i="5" s="1"/>
  <c r="L72" i="1"/>
  <c r="D72" i="5" s="1"/>
  <c r="G72" i="1"/>
  <c r="C72" i="5" s="1"/>
  <c r="BK25" i="1"/>
  <c r="BN25" i="1" s="1"/>
  <c r="N25" i="5" s="1"/>
  <c r="BI25" i="1"/>
  <c r="M25" i="5" s="1"/>
  <c r="BA25" i="1"/>
  <c r="AY25" i="1"/>
  <c r="AU25" i="1"/>
  <c r="AX25" i="1" s="1"/>
  <c r="AS25" i="1"/>
  <c r="J25" i="5" s="1"/>
  <c r="AM25" i="1"/>
  <c r="I25" i="5" s="1"/>
  <c r="AH25" i="1"/>
  <c r="H25" i="5" s="1"/>
  <c r="AB25" i="1"/>
  <c r="G25" i="5" s="1"/>
  <c r="W25" i="1"/>
  <c r="F25" i="5" s="1"/>
  <c r="R25" i="1"/>
  <c r="E25" i="5" s="1"/>
  <c r="L25" i="1"/>
  <c r="D25" i="5" s="1"/>
  <c r="G25" i="1"/>
  <c r="C25" i="5" s="1"/>
  <c r="BN62" i="1"/>
  <c r="N62" i="5" s="1"/>
  <c r="BI62" i="1"/>
  <c r="M62" i="5" s="1"/>
  <c r="BC62" i="1"/>
  <c r="L62" i="5" s="1"/>
  <c r="AX62" i="1"/>
  <c r="K62" i="5" s="1"/>
  <c r="AS62" i="1"/>
  <c r="J62" i="5" s="1"/>
  <c r="AM62" i="1"/>
  <c r="I62" i="5" s="1"/>
  <c r="AH62" i="1"/>
  <c r="H62" i="5" s="1"/>
  <c r="AB62" i="1"/>
  <c r="G62" i="5" s="1"/>
  <c r="W62" i="1"/>
  <c r="F62" i="5" s="1"/>
  <c r="R62" i="1"/>
  <c r="E62" i="5" s="1"/>
  <c r="I62" i="1"/>
  <c r="L62" i="1" s="1"/>
  <c r="D62" i="5" s="1"/>
  <c r="F62" i="1"/>
  <c r="G62" i="1" s="1"/>
  <c r="C62" i="5" s="1"/>
  <c r="BN61" i="1"/>
  <c r="N61" i="5" s="1"/>
  <c r="BI61" i="1"/>
  <c r="M61" i="5" s="1"/>
  <c r="BC61" i="1"/>
  <c r="L61" i="5" s="1"/>
  <c r="AX61" i="1"/>
  <c r="K61" i="5" s="1"/>
  <c r="AS61" i="1"/>
  <c r="J61" i="5" s="1"/>
  <c r="AM61" i="1"/>
  <c r="I61" i="5" s="1"/>
  <c r="AH61" i="1"/>
  <c r="H61" i="5" s="1"/>
  <c r="AB61" i="1"/>
  <c r="G61" i="5" s="1"/>
  <c r="W61" i="1"/>
  <c r="F61" i="5" s="1"/>
  <c r="R61" i="1"/>
  <c r="E61" i="5" s="1"/>
  <c r="L61" i="1"/>
  <c r="D61" i="5" s="1"/>
  <c r="F61" i="1"/>
  <c r="G61" i="1" s="1"/>
  <c r="C61" i="5" s="1"/>
  <c r="BN21" i="1"/>
  <c r="N21" i="5" s="1"/>
  <c r="BI21" i="1"/>
  <c r="M21" i="5" s="1"/>
  <c r="BC21" i="1"/>
  <c r="L21" i="5" s="1"/>
  <c r="AX21" i="1"/>
  <c r="K21" i="5" s="1"/>
  <c r="AS21" i="1"/>
  <c r="J21" i="5" s="1"/>
  <c r="AM21" i="1"/>
  <c r="I21" i="5" s="1"/>
  <c r="AH21" i="1"/>
  <c r="H21" i="5" s="1"/>
  <c r="AB21" i="1"/>
  <c r="G21" i="5" s="1"/>
  <c r="W21" i="1"/>
  <c r="F21" i="5" s="1"/>
  <c r="R21" i="1"/>
  <c r="E21" i="5" s="1"/>
  <c r="L21" i="1"/>
  <c r="D21" i="5" s="1"/>
  <c r="G21" i="1"/>
  <c r="C21" i="5" s="1"/>
  <c r="BN20" i="1"/>
  <c r="N20" i="5" s="1"/>
  <c r="BI20" i="1"/>
  <c r="M20" i="5" s="1"/>
  <c r="BC20" i="1"/>
  <c r="L20" i="5" s="1"/>
  <c r="AX20" i="1"/>
  <c r="K20" i="5" s="1"/>
  <c r="AS20" i="1"/>
  <c r="J20" i="5" s="1"/>
  <c r="AM20" i="1"/>
  <c r="I20" i="5" s="1"/>
  <c r="AH20" i="1"/>
  <c r="H20" i="5" s="1"/>
  <c r="AB20" i="1"/>
  <c r="G20" i="5" s="1"/>
  <c r="W20" i="1"/>
  <c r="F20" i="5" s="1"/>
  <c r="R20" i="1"/>
  <c r="E20" i="5" s="1"/>
  <c r="L20" i="1"/>
  <c r="D20" i="5" s="1"/>
  <c r="G20" i="1"/>
  <c r="C20" i="5" s="1"/>
  <c r="BN73" i="1"/>
  <c r="BI73" i="1"/>
  <c r="M73" i="5" s="1"/>
  <c r="BC73" i="1"/>
  <c r="L73" i="5" s="1"/>
  <c r="AX73" i="1"/>
  <c r="K73" i="5" s="1"/>
  <c r="AS73" i="1"/>
  <c r="J73" i="5" s="1"/>
  <c r="AM73" i="1"/>
  <c r="I73" i="5" s="1"/>
  <c r="AH73" i="1"/>
  <c r="H73" i="5" s="1"/>
  <c r="AB73" i="1"/>
  <c r="G73" i="5" s="1"/>
  <c r="W73" i="1"/>
  <c r="F73" i="5" s="1"/>
  <c r="R73" i="1"/>
  <c r="E73" i="5" s="1"/>
  <c r="L73" i="1"/>
  <c r="D73" i="5" s="1"/>
  <c r="G73" i="1"/>
  <c r="C73" i="5" s="1"/>
  <c r="BN71" i="1"/>
  <c r="N71" i="5" s="1"/>
  <c r="BI71" i="1"/>
  <c r="M71" i="5" s="1"/>
  <c r="BC71" i="1"/>
  <c r="L71" i="5" s="1"/>
  <c r="AX71" i="1"/>
  <c r="K71" i="5" s="1"/>
  <c r="AS71" i="1"/>
  <c r="J71" i="5" s="1"/>
  <c r="AM71" i="1"/>
  <c r="I71" i="5" s="1"/>
  <c r="AH71" i="1"/>
  <c r="H71" i="5" s="1"/>
  <c r="AB71" i="1"/>
  <c r="G71" i="5" s="1"/>
  <c r="W71" i="1"/>
  <c r="F71" i="5" s="1"/>
  <c r="R71" i="1"/>
  <c r="E71" i="5" s="1"/>
  <c r="L71" i="1"/>
  <c r="D71" i="5" s="1"/>
  <c r="G71" i="1"/>
  <c r="C71" i="5" s="1"/>
  <c r="BN70" i="1"/>
  <c r="N70" i="5" s="1"/>
  <c r="BI70" i="1"/>
  <c r="M70" i="5" s="1"/>
  <c r="BC70" i="1"/>
  <c r="L70" i="5" s="1"/>
  <c r="AX70" i="1"/>
  <c r="K70" i="5" s="1"/>
  <c r="AS70" i="1"/>
  <c r="J70" i="5" s="1"/>
  <c r="AM70" i="1"/>
  <c r="I70" i="5" s="1"/>
  <c r="AH70" i="1"/>
  <c r="H70" i="5" s="1"/>
  <c r="AB70" i="1"/>
  <c r="G70" i="5" s="1"/>
  <c r="W70" i="1"/>
  <c r="F70" i="5" s="1"/>
  <c r="R70" i="1"/>
  <c r="E70" i="5" s="1"/>
  <c r="L70" i="1"/>
  <c r="D70" i="5" s="1"/>
  <c r="G70" i="1"/>
  <c r="C70" i="5" s="1"/>
  <c r="BN69" i="1"/>
  <c r="N69" i="5" s="1"/>
  <c r="BE69" i="1"/>
  <c r="BI69" i="1" s="1"/>
  <c r="M69" i="5" s="1"/>
  <c r="BC69" i="1"/>
  <c r="L69" i="5" s="1"/>
  <c r="AX69" i="1"/>
  <c r="K69" i="5" s="1"/>
  <c r="AS69" i="1"/>
  <c r="J69" i="5" s="1"/>
  <c r="AM69" i="1"/>
  <c r="I69" i="5" s="1"/>
  <c r="AH69" i="1"/>
  <c r="H69" i="5" s="1"/>
  <c r="AB69" i="1"/>
  <c r="G69" i="5" s="1"/>
  <c r="W69" i="1"/>
  <c r="F69" i="5" s="1"/>
  <c r="R69" i="1"/>
  <c r="E69" i="5" s="1"/>
  <c r="L69" i="1"/>
  <c r="D69" i="5" s="1"/>
  <c r="G69" i="1"/>
  <c r="C69" i="5" s="1"/>
  <c r="BN27" i="1"/>
  <c r="N27" i="5" s="1"/>
  <c r="BI27" i="1"/>
  <c r="M27" i="5" s="1"/>
  <c r="BC27" i="1"/>
  <c r="L27" i="5" s="1"/>
  <c r="AX27" i="1"/>
  <c r="K27" i="5" s="1"/>
  <c r="AS27" i="1"/>
  <c r="J27" i="5" s="1"/>
  <c r="AM27" i="1"/>
  <c r="I27" i="5" s="1"/>
  <c r="AH27" i="1"/>
  <c r="H27" i="5" s="1"/>
  <c r="AB27" i="1"/>
  <c r="G27" i="5" s="1"/>
  <c r="W27" i="1"/>
  <c r="F27" i="5" s="1"/>
  <c r="R27" i="1"/>
  <c r="E27" i="5" s="1"/>
  <c r="L27" i="1"/>
  <c r="D27" i="5" s="1"/>
  <c r="G27" i="1"/>
  <c r="C27" i="5" s="1"/>
  <c r="BN68" i="1"/>
  <c r="N68" i="5" s="1"/>
  <c r="BI68" i="1"/>
  <c r="M68" i="5" s="1"/>
  <c r="BC68" i="1"/>
  <c r="L68" i="5" s="1"/>
  <c r="AX68" i="1"/>
  <c r="K68" i="5" s="1"/>
  <c r="AS68" i="1"/>
  <c r="J68" i="5" s="1"/>
  <c r="AM68" i="1"/>
  <c r="I68" i="5" s="1"/>
  <c r="AH68" i="1"/>
  <c r="H68" i="5" s="1"/>
  <c r="AB68" i="1"/>
  <c r="G68" i="5" s="1"/>
  <c r="W68" i="1"/>
  <c r="F68" i="5" s="1"/>
  <c r="R68" i="1"/>
  <c r="E68" i="5" s="1"/>
  <c r="L68" i="1"/>
  <c r="D68" i="5" s="1"/>
  <c r="G68" i="1"/>
  <c r="C68" i="5" s="1"/>
  <c r="BN67" i="1"/>
  <c r="N67" i="5" s="1"/>
  <c r="BI67" i="1"/>
  <c r="M67" i="5" s="1"/>
  <c r="BC67" i="1"/>
  <c r="L67" i="5" s="1"/>
  <c r="AX67" i="1"/>
  <c r="K67" i="5" s="1"/>
  <c r="AS67" i="1"/>
  <c r="J67" i="5" s="1"/>
  <c r="AM67" i="1"/>
  <c r="I67" i="5" s="1"/>
  <c r="AH67" i="1"/>
  <c r="H67" i="5" s="1"/>
  <c r="AB67" i="1"/>
  <c r="G67" i="5" s="1"/>
  <c r="W67" i="1"/>
  <c r="F67" i="5" s="1"/>
  <c r="R67" i="1"/>
  <c r="E67" i="5" s="1"/>
  <c r="L67" i="1"/>
  <c r="D67" i="5" s="1"/>
  <c r="G67" i="1"/>
  <c r="C67" i="5" s="1"/>
  <c r="BN24" i="1"/>
  <c r="N24" i="5" s="1"/>
  <c r="BI24" i="1"/>
  <c r="M24" i="5" s="1"/>
  <c r="BC24" i="1"/>
  <c r="L24" i="5" s="1"/>
  <c r="AX24" i="1"/>
  <c r="K24" i="5" s="1"/>
  <c r="AS24" i="1"/>
  <c r="J24" i="5" s="1"/>
  <c r="AM24" i="1"/>
  <c r="I24" i="5" s="1"/>
  <c r="AH24" i="1"/>
  <c r="H24" i="5" s="1"/>
  <c r="AB24" i="1"/>
  <c r="G24" i="5" s="1"/>
  <c r="W24" i="1"/>
  <c r="F24" i="5" s="1"/>
  <c r="R24" i="1"/>
  <c r="E24" i="5" s="1"/>
  <c r="L24" i="1"/>
  <c r="D24" i="5" s="1"/>
  <c r="G24" i="1"/>
  <c r="C24" i="5" s="1"/>
  <c r="BN36" i="1"/>
  <c r="N36" i="5" s="1"/>
  <c r="BI36" i="1"/>
  <c r="M36" i="5" s="1"/>
  <c r="BC36" i="1"/>
  <c r="L36" i="5" s="1"/>
  <c r="AX36" i="1"/>
  <c r="K36" i="5" s="1"/>
  <c r="AS36" i="1"/>
  <c r="J36" i="5" s="1"/>
  <c r="AM36" i="1"/>
  <c r="I36" i="5" s="1"/>
  <c r="AE36" i="1"/>
  <c r="AH36" i="1" s="1"/>
  <c r="H36" i="5" s="1"/>
  <c r="AB36" i="1"/>
  <c r="G36" i="5" s="1"/>
  <c r="W36" i="1"/>
  <c r="F36" i="5" s="1"/>
  <c r="R36" i="1"/>
  <c r="E36" i="5" s="1"/>
  <c r="L36" i="1"/>
  <c r="D36" i="5" s="1"/>
  <c r="G36" i="1"/>
  <c r="C36" i="5" s="1"/>
  <c r="BN51" i="1"/>
  <c r="N51" i="5" s="1"/>
  <c r="BF51" i="1"/>
  <c r="BI51" i="1" s="1"/>
  <c r="M51" i="5" s="1"/>
  <c r="BB51" i="1"/>
  <c r="BC51" i="1" s="1"/>
  <c r="L51" i="5" s="1"/>
  <c r="AX51" i="1"/>
  <c r="K51" i="5" s="1"/>
  <c r="AS51" i="1"/>
  <c r="J51" i="5" s="1"/>
  <c r="AM51" i="1"/>
  <c r="I51" i="5" s="1"/>
  <c r="AH51" i="1"/>
  <c r="H51" i="5" s="1"/>
  <c r="AB51" i="1"/>
  <c r="G51" i="5" s="1"/>
  <c r="W51" i="1"/>
  <c r="F51" i="5" s="1"/>
  <c r="R51" i="1"/>
  <c r="E51" i="5" s="1"/>
  <c r="L51" i="1"/>
  <c r="D51" i="5" s="1"/>
  <c r="G51" i="1"/>
  <c r="C51" i="5" s="1"/>
  <c r="BM66" i="1"/>
  <c r="BL66" i="1"/>
  <c r="BH66" i="1"/>
  <c r="BF66" i="1"/>
  <c r="BB66" i="1"/>
  <c r="BC66" i="1" s="1"/>
  <c r="L66" i="5" s="1"/>
  <c r="AW66" i="1"/>
  <c r="AU66" i="1"/>
  <c r="AP66" i="1"/>
  <c r="AS66" i="1" s="1"/>
  <c r="J66" i="5" s="1"/>
  <c r="AL66" i="1"/>
  <c r="AM66" i="1" s="1"/>
  <c r="I66" i="5" s="1"/>
  <c r="AG66" i="1"/>
  <c r="AH66" i="1" s="1"/>
  <c r="H66" i="5" s="1"/>
  <c r="AA66" i="1"/>
  <c r="AB66" i="1" s="1"/>
  <c r="G66" i="5" s="1"/>
  <c r="V66" i="1"/>
  <c r="S66" i="1"/>
  <c r="Q66" i="1"/>
  <c r="R66" i="1" s="1"/>
  <c r="K66" i="1"/>
  <c r="L66" i="1" s="1"/>
  <c r="D66" i="5" s="1"/>
  <c r="F66" i="1"/>
  <c r="E66" i="1"/>
  <c r="BN58" i="1"/>
  <c r="N58" i="5" s="1"/>
  <c r="BI58" i="1"/>
  <c r="M58" i="5" s="1"/>
  <c r="BC58" i="1"/>
  <c r="L58" i="5" s="1"/>
  <c r="AX58" i="1"/>
  <c r="K58" i="5" s="1"/>
  <c r="AS58" i="1"/>
  <c r="J58" i="5" s="1"/>
  <c r="AM58" i="1"/>
  <c r="I58" i="5" s="1"/>
  <c r="AH58" i="1"/>
  <c r="H58" i="5" s="1"/>
  <c r="AB58" i="1"/>
  <c r="G58" i="5" s="1"/>
  <c r="W58" i="1"/>
  <c r="F58" i="5" s="1"/>
  <c r="R58" i="1"/>
  <c r="E58" i="5" s="1"/>
  <c r="L58" i="1"/>
  <c r="D58" i="5" s="1"/>
  <c r="G58" i="1"/>
  <c r="C58" i="5" s="1"/>
  <c r="BN65" i="1"/>
  <c r="N65" i="5" s="1"/>
  <c r="BI65" i="1"/>
  <c r="M65" i="5" s="1"/>
  <c r="BC65" i="1"/>
  <c r="L65" i="5" s="1"/>
  <c r="AX65" i="1"/>
  <c r="K65" i="5" s="1"/>
  <c r="AS65" i="1"/>
  <c r="J65" i="5" s="1"/>
  <c r="AM65" i="1"/>
  <c r="I65" i="5" s="1"/>
  <c r="AH65" i="1"/>
  <c r="H65" i="5" s="1"/>
  <c r="AB65" i="1"/>
  <c r="G65" i="5" s="1"/>
  <c r="W65" i="1"/>
  <c r="F65" i="5" s="1"/>
  <c r="R65" i="1"/>
  <c r="E65" i="5" s="1"/>
  <c r="L65" i="1"/>
  <c r="D65" i="5" s="1"/>
  <c r="G65" i="1"/>
  <c r="C65" i="5" s="1"/>
  <c r="BN64" i="1"/>
  <c r="N64" i="5" s="1"/>
  <c r="BI64" i="1"/>
  <c r="M64" i="5" s="1"/>
  <c r="BC64" i="1"/>
  <c r="L64" i="5" s="1"/>
  <c r="AX64" i="1"/>
  <c r="K64" i="5" s="1"/>
  <c r="AS64" i="1"/>
  <c r="J64" i="5" s="1"/>
  <c r="AM64" i="1"/>
  <c r="I64" i="5" s="1"/>
  <c r="AH64" i="1"/>
  <c r="H64" i="5" s="1"/>
  <c r="AB64" i="1"/>
  <c r="G64" i="5" s="1"/>
  <c r="W64" i="1"/>
  <c r="F64" i="5" s="1"/>
  <c r="R64" i="1"/>
  <c r="E64" i="5" s="1"/>
  <c r="L64" i="1"/>
  <c r="D64" i="5" s="1"/>
  <c r="G64" i="1"/>
  <c r="C64" i="5" s="1"/>
  <c r="BN63" i="1"/>
  <c r="N63" i="5" s="1"/>
  <c r="BI63" i="1"/>
  <c r="M63" i="5" s="1"/>
  <c r="BC63" i="1"/>
  <c r="L63" i="5" s="1"/>
  <c r="AX63" i="1"/>
  <c r="K63" i="5" s="1"/>
  <c r="AS63" i="1"/>
  <c r="J63" i="5" s="1"/>
  <c r="AM63" i="1"/>
  <c r="I63" i="5" s="1"/>
  <c r="AH63" i="1"/>
  <c r="H63" i="5" s="1"/>
  <c r="AA63" i="1"/>
  <c r="AB63" i="1" s="1"/>
  <c r="G63" i="5" s="1"/>
  <c r="W63" i="1"/>
  <c r="F63" i="5" s="1"/>
  <c r="P63" i="1"/>
  <c r="R63" i="1" s="1"/>
  <c r="E63" i="5" s="1"/>
  <c r="K63" i="1"/>
  <c r="L63" i="1" s="1"/>
  <c r="D63" i="5" s="1"/>
  <c r="G63" i="1"/>
  <c r="C63" i="5" s="1"/>
  <c r="BN35" i="1"/>
  <c r="N35" i="5" s="1"/>
  <c r="BI35" i="1"/>
  <c r="M35" i="5" s="1"/>
  <c r="BC35" i="1"/>
  <c r="L35" i="5" s="1"/>
  <c r="AX35" i="1"/>
  <c r="K35" i="5" s="1"/>
  <c r="AS35" i="1"/>
  <c r="J35" i="5" s="1"/>
  <c r="AM35" i="1"/>
  <c r="I35" i="5" s="1"/>
  <c r="AH35" i="1"/>
  <c r="H35" i="5" s="1"/>
  <c r="AB35" i="1"/>
  <c r="G35" i="5" s="1"/>
  <c r="W35" i="1"/>
  <c r="F35" i="5" s="1"/>
  <c r="R35" i="1"/>
  <c r="E35" i="5" s="1"/>
  <c r="I35" i="1"/>
  <c r="L35" i="1" s="1"/>
  <c r="D35" i="5" s="1"/>
  <c r="G35" i="1"/>
  <c r="C35" i="5" s="1"/>
  <c r="BN34" i="1"/>
  <c r="N34" i="5" s="1"/>
  <c r="BI34" i="1"/>
  <c r="M34" i="5" s="1"/>
  <c r="BC34" i="1"/>
  <c r="L34" i="5" s="1"/>
  <c r="AU34" i="1"/>
  <c r="AX34" i="1" s="1"/>
  <c r="K34" i="5" s="1"/>
  <c r="AS34" i="1"/>
  <c r="J34" i="5" s="1"/>
  <c r="AM34" i="1"/>
  <c r="I34" i="5" s="1"/>
  <c r="AG34" i="1"/>
  <c r="AH34" i="1" s="1"/>
  <c r="H34" i="5" s="1"/>
  <c r="AB34" i="1"/>
  <c r="G34" i="5" s="1"/>
  <c r="S34" i="1"/>
  <c r="W34" i="1" s="1"/>
  <c r="F34" i="5" s="1"/>
  <c r="M34" i="1"/>
  <c r="R34" i="1" s="1"/>
  <c r="E34" i="5" s="1"/>
  <c r="L34" i="1"/>
  <c r="G34" i="1"/>
  <c r="C34" i="5" s="1"/>
  <c r="BN26" i="1"/>
  <c r="N26" i="5" s="1"/>
  <c r="BI26" i="1"/>
  <c r="M26" i="5" s="1"/>
  <c r="BC26" i="1"/>
  <c r="L26" i="5" s="1"/>
  <c r="AX26" i="1"/>
  <c r="K26" i="5" s="1"/>
  <c r="AS26" i="1"/>
  <c r="J26" i="5" s="1"/>
  <c r="AM26" i="1"/>
  <c r="I26" i="5" s="1"/>
  <c r="AH26" i="1"/>
  <c r="H26" i="5" s="1"/>
  <c r="AB26" i="1"/>
  <c r="G26" i="5" s="1"/>
  <c r="W26" i="1"/>
  <c r="F26" i="5" s="1"/>
  <c r="Q26" i="1"/>
  <c r="R26" i="1" s="1"/>
  <c r="E26" i="5" s="1"/>
  <c r="L26" i="1"/>
  <c r="D26" i="5" s="1"/>
  <c r="G26" i="1"/>
  <c r="C26" i="5" s="1"/>
  <c r="BN60" i="1"/>
  <c r="N60" i="5" s="1"/>
  <c r="BF60" i="1"/>
  <c r="BI60" i="1" s="1"/>
  <c r="M60" i="5" s="1"/>
  <c r="BC60" i="1"/>
  <c r="AX60" i="1"/>
  <c r="K60" i="5" s="1"/>
  <c r="AO60" i="1"/>
  <c r="AS60" i="1" s="1"/>
  <c r="J60" i="5" s="1"/>
  <c r="AM60" i="1"/>
  <c r="AH60" i="1"/>
  <c r="AB60" i="1"/>
  <c r="G60" i="5" s="1"/>
  <c r="W60" i="1"/>
  <c r="F60" i="5" s="1"/>
  <c r="Q60" i="1"/>
  <c r="R60" i="1" s="1"/>
  <c r="L60" i="1"/>
  <c r="G60" i="1"/>
  <c r="C60" i="5" s="1"/>
  <c r="BM23" i="1"/>
  <c r="BN23" i="1" s="1"/>
  <c r="N23" i="5" s="1"/>
  <c r="BH23" i="1"/>
  <c r="BI23" i="1" s="1"/>
  <c r="M23" i="5" s="1"/>
  <c r="BB23" i="1"/>
  <c r="BA23" i="1"/>
  <c r="AZ23" i="1"/>
  <c r="AV23" i="1"/>
  <c r="AX23" i="1" s="1"/>
  <c r="K23" i="5" s="1"/>
  <c r="AR23" i="1"/>
  <c r="AS23" i="1" s="1"/>
  <c r="J23" i="5" s="1"/>
  <c r="AL23" i="1"/>
  <c r="AI23" i="1"/>
  <c r="AG23" i="1"/>
  <c r="AH23" i="1" s="1"/>
  <c r="H23" i="5" s="1"/>
  <c r="AA23" i="1"/>
  <c r="AB23" i="1" s="1"/>
  <c r="G23" i="5" s="1"/>
  <c r="V23" i="1"/>
  <c r="S23" i="1"/>
  <c r="Q23" i="1"/>
  <c r="O23" i="1"/>
  <c r="K23" i="1"/>
  <c r="J23" i="1"/>
  <c r="I23" i="1"/>
  <c r="F23" i="1"/>
  <c r="G23" i="1" s="1"/>
  <c r="C23" i="5" s="1"/>
  <c r="BN44" i="1"/>
  <c r="N44" i="5" s="1"/>
  <c r="BI44" i="1"/>
  <c r="M44" i="5" s="1"/>
  <c r="BC44" i="1"/>
  <c r="L44" i="5" s="1"/>
  <c r="AX44" i="1"/>
  <c r="K44" i="5" s="1"/>
  <c r="AS44" i="1"/>
  <c r="J44" i="5" s="1"/>
  <c r="AM44" i="1"/>
  <c r="I44" i="5" s="1"/>
  <c r="AH44" i="1"/>
  <c r="H44" i="5" s="1"/>
  <c r="AB44" i="1"/>
  <c r="G44" i="5" s="1"/>
  <c r="W44" i="1"/>
  <c r="F44" i="5" s="1"/>
  <c r="R44" i="1"/>
  <c r="E44" i="5" s="1"/>
  <c r="L44" i="1"/>
  <c r="D44" i="5" s="1"/>
  <c r="G44" i="1"/>
  <c r="C44" i="5" s="1"/>
  <c r="BN43" i="1"/>
  <c r="N43" i="5" s="1"/>
  <c r="BE43" i="1"/>
  <c r="BI43" i="1" s="1"/>
  <c r="M43" i="5" s="1"/>
  <c r="BC43" i="1"/>
  <c r="L43" i="5" s="1"/>
  <c r="AX43" i="1"/>
  <c r="K43" i="5" s="1"/>
  <c r="AO43" i="1"/>
  <c r="AS43" i="1" s="1"/>
  <c r="J43" i="5" s="1"/>
  <c r="AJ43" i="1"/>
  <c r="AM43" i="1" s="1"/>
  <c r="I43" i="5" s="1"/>
  <c r="AH43" i="1"/>
  <c r="H43" i="5" s="1"/>
  <c r="AB43" i="1"/>
  <c r="G43" i="5" s="1"/>
  <c r="U43" i="1"/>
  <c r="W43" i="1" s="1"/>
  <c r="F43" i="5" s="1"/>
  <c r="O43" i="1"/>
  <c r="R43" i="1" s="1"/>
  <c r="E43" i="5" s="1"/>
  <c r="L43" i="1"/>
  <c r="D43" i="5" s="1"/>
  <c r="G43" i="1"/>
  <c r="C43" i="5" s="1"/>
  <c r="BN42" i="1"/>
  <c r="N42" i="5" s="1"/>
  <c r="BI42" i="1"/>
  <c r="M42" i="5" s="1"/>
  <c r="BC42" i="1"/>
  <c r="L42" i="5" s="1"/>
  <c r="AX42" i="1"/>
  <c r="K42" i="5" s="1"/>
  <c r="AS42" i="1"/>
  <c r="J42" i="5" s="1"/>
  <c r="AM42" i="1"/>
  <c r="I42" i="5" s="1"/>
  <c r="AH42" i="1"/>
  <c r="H42" i="5" s="1"/>
  <c r="AB42" i="1"/>
  <c r="G42" i="5" s="1"/>
  <c r="W42" i="1"/>
  <c r="F42" i="5" s="1"/>
  <c r="R42" i="1"/>
  <c r="E42" i="5" s="1"/>
  <c r="L42" i="1"/>
  <c r="D42" i="5" s="1"/>
  <c r="G42" i="1"/>
  <c r="C42" i="5" s="1"/>
  <c r="BM40" i="1"/>
  <c r="BN40" i="1" s="1"/>
  <c r="N40" i="5" s="1"/>
  <c r="BH40" i="1"/>
  <c r="BG40" i="1"/>
  <c r="BF40" i="1"/>
  <c r="BB40" i="1"/>
  <c r="BC40" i="1" s="1"/>
  <c r="L40" i="5" s="1"/>
  <c r="AW40" i="1"/>
  <c r="AX40" i="1" s="1"/>
  <c r="K40" i="5" s="1"/>
  <c r="AR40" i="1"/>
  <c r="AS40" i="1" s="1"/>
  <c r="J40" i="5" s="1"/>
  <c r="AL40" i="1"/>
  <c r="AJ40" i="1"/>
  <c r="AG40" i="1"/>
  <c r="AH40" i="1" s="1"/>
  <c r="H40" i="5" s="1"/>
  <c r="AA40" i="1"/>
  <c r="Y40" i="1"/>
  <c r="X40" i="1"/>
  <c r="V40" i="1"/>
  <c r="U40" i="1"/>
  <c r="Q40" i="1"/>
  <c r="N40" i="1"/>
  <c r="K40" i="1"/>
  <c r="J40" i="1"/>
  <c r="F40" i="1"/>
  <c r="G40" i="1" s="1"/>
  <c r="C40" i="5" s="1"/>
  <c r="BM39" i="1"/>
  <c r="BK39" i="1"/>
  <c r="BJ39" i="1"/>
  <c r="BH39" i="1"/>
  <c r="BG39" i="1"/>
  <c r="BF39" i="1"/>
  <c r="BB39" i="1"/>
  <c r="BC39" i="1" s="1"/>
  <c r="L39" i="5" s="1"/>
  <c r="AW39" i="1"/>
  <c r="AV39" i="1"/>
  <c r="AS39" i="1"/>
  <c r="J39" i="5" s="1"/>
  <c r="AM39" i="1"/>
  <c r="I39" i="5" s="1"/>
  <c r="AG39" i="1"/>
  <c r="AD39" i="1"/>
  <c r="AA39" i="1"/>
  <c r="AB39" i="1" s="1"/>
  <c r="G39" i="5" s="1"/>
  <c r="V39" i="1"/>
  <c r="U39" i="1"/>
  <c r="Q39" i="1"/>
  <c r="N39" i="1"/>
  <c r="K39" i="1"/>
  <c r="L39" i="1" s="1"/>
  <c r="D39" i="5" s="1"/>
  <c r="F39" i="1"/>
  <c r="G39" i="1" s="1"/>
  <c r="C39" i="5" s="1"/>
  <c r="BM38" i="1"/>
  <c r="BK38" i="1"/>
  <c r="BH38" i="1"/>
  <c r="BG38" i="1"/>
  <c r="BE38" i="1"/>
  <c r="BD38" i="1"/>
  <c r="BB38" i="1"/>
  <c r="AZ38" i="1"/>
  <c r="AW38" i="1"/>
  <c r="AV38" i="1"/>
  <c r="AU38" i="1"/>
  <c r="AR38" i="1"/>
  <c r="AO38" i="1"/>
  <c r="AL38" i="1"/>
  <c r="AM38" i="1" s="1"/>
  <c r="I38" i="5" s="1"/>
  <c r="AG38" i="1"/>
  <c r="AH38" i="1" s="1"/>
  <c r="H38" i="5" s="1"/>
  <c r="AA38" i="1"/>
  <c r="AB38" i="1" s="1"/>
  <c r="G38" i="5" s="1"/>
  <c r="V38" i="1"/>
  <c r="U38" i="1"/>
  <c r="S38" i="1"/>
  <c r="Q38" i="1"/>
  <c r="R38" i="1" s="1"/>
  <c r="K38" i="1"/>
  <c r="H38" i="1"/>
  <c r="F38" i="1"/>
  <c r="G38" i="1" s="1"/>
  <c r="C38" i="5" s="1"/>
  <c r="BM48" i="1"/>
  <c r="BN48" i="1" s="1"/>
  <c r="N48" i="5" s="1"/>
  <c r="BH48" i="1"/>
  <c r="BD48" i="1"/>
  <c r="BB48" i="1"/>
  <c r="BC48" i="1" s="1"/>
  <c r="L48" i="5" s="1"/>
  <c r="AW48" i="1"/>
  <c r="AX48" i="1" s="1"/>
  <c r="K48" i="5" s="1"/>
  <c r="AR48" i="1"/>
  <c r="AS48" i="1" s="1"/>
  <c r="J48" i="5" s="1"/>
  <c r="AL48" i="1"/>
  <c r="AM48" i="1" s="1"/>
  <c r="I48" i="5" s="1"/>
  <c r="AG48" i="1"/>
  <c r="AH48" i="1" s="1"/>
  <c r="H48" i="5" s="1"/>
  <c r="AA48" i="1"/>
  <c r="Z48" i="1"/>
  <c r="V48" i="1"/>
  <c r="W48" i="1" s="1"/>
  <c r="F48" i="5" s="1"/>
  <c r="Q48" i="1"/>
  <c r="N48" i="1"/>
  <c r="K48" i="1"/>
  <c r="L48" i="1" s="1"/>
  <c r="D48" i="5" s="1"/>
  <c r="F48" i="1"/>
  <c r="G48" i="1" s="1"/>
  <c r="C48" i="5" s="1"/>
  <c r="BM47" i="1"/>
  <c r="BN47" i="1" s="1"/>
  <c r="N47" i="5" s="1"/>
  <c r="BH47" i="1"/>
  <c r="BF47" i="1"/>
  <c r="BD47" i="1"/>
  <c r="BB47" i="1"/>
  <c r="BA47" i="1"/>
  <c r="AZ47" i="1"/>
  <c r="AY47" i="1"/>
  <c r="AW47" i="1"/>
  <c r="AX47" i="1" s="1"/>
  <c r="K47" i="5" s="1"/>
  <c r="AR47" i="1"/>
  <c r="AO47" i="1"/>
  <c r="AL47" i="1"/>
  <c r="AM47" i="1" s="1"/>
  <c r="I47" i="5" s="1"/>
  <c r="AG47" i="1"/>
  <c r="AH47" i="1" s="1"/>
  <c r="H47" i="5" s="1"/>
  <c r="AA47" i="1"/>
  <c r="AB47" i="1" s="1"/>
  <c r="G47" i="5" s="1"/>
  <c r="V47" i="1"/>
  <c r="U47" i="1"/>
  <c r="S47" i="1"/>
  <c r="Q47" i="1"/>
  <c r="R47" i="1" s="1"/>
  <c r="K47" i="1"/>
  <c r="L47" i="1" s="1"/>
  <c r="D47" i="5" s="1"/>
  <c r="F47" i="1"/>
  <c r="G47" i="1" s="1"/>
  <c r="C47" i="5" s="1"/>
  <c r="BM46" i="1"/>
  <c r="BN46" i="1" s="1"/>
  <c r="N46" i="5" s="1"/>
  <c r="BH46" i="1"/>
  <c r="BF46" i="1"/>
  <c r="BD46" i="1"/>
  <c r="BB46" i="1"/>
  <c r="AZ46" i="1"/>
  <c r="AY46" i="1"/>
  <c r="AW46" i="1"/>
  <c r="AX46" i="1" s="1"/>
  <c r="AR46" i="1"/>
  <c r="AO46" i="1"/>
  <c r="AN46" i="1"/>
  <c r="AL46" i="1"/>
  <c r="AK46" i="1"/>
  <c r="AI46" i="1"/>
  <c r="AG46" i="1"/>
  <c r="AH46" i="1" s="1"/>
  <c r="H46" i="5" s="1"/>
  <c r="AA46" i="1"/>
  <c r="Z46" i="1"/>
  <c r="V46" i="1"/>
  <c r="T46" i="1"/>
  <c r="Q46" i="1"/>
  <c r="O46" i="1"/>
  <c r="K46" i="1"/>
  <c r="I46" i="1"/>
  <c r="H46" i="1"/>
  <c r="F46" i="1"/>
  <c r="C46" i="1"/>
  <c r="BK57" i="1"/>
  <c r="BN57" i="1" s="1"/>
  <c r="N57" i="5" s="1"/>
  <c r="BI57" i="1"/>
  <c r="M57" i="5" s="1"/>
  <c r="BC57" i="1"/>
  <c r="L57" i="5" s="1"/>
  <c r="AX57" i="1"/>
  <c r="K57" i="5" s="1"/>
  <c r="AS57" i="1"/>
  <c r="J57" i="5" s="1"/>
  <c r="AK57" i="1"/>
  <c r="AM57" i="1" s="1"/>
  <c r="I57" i="5" s="1"/>
  <c r="AH57" i="1"/>
  <c r="H57" i="5" s="1"/>
  <c r="AB57" i="1"/>
  <c r="G57" i="5" s="1"/>
  <c r="W57" i="1"/>
  <c r="F57" i="5" s="1"/>
  <c r="R57" i="1"/>
  <c r="E57" i="5" s="1"/>
  <c r="L57" i="1"/>
  <c r="D57" i="5" s="1"/>
  <c r="G57" i="1"/>
  <c r="C57" i="5" s="1"/>
  <c r="BM56" i="1"/>
  <c r="BK56" i="1"/>
  <c r="BH56" i="1"/>
  <c r="BF56" i="1"/>
  <c r="BB56" i="1"/>
  <c r="AZ56" i="1"/>
  <c r="AY56" i="1"/>
  <c r="AW56" i="1"/>
  <c r="AV56" i="1"/>
  <c r="AR56" i="1"/>
  <c r="AP56" i="1"/>
  <c r="AL56" i="1"/>
  <c r="AM56" i="1" s="1"/>
  <c r="I56" i="5" s="1"/>
  <c r="AG56" i="1"/>
  <c r="AH56" i="1" s="1"/>
  <c r="H56" i="5" s="1"/>
  <c r="AA56" i="1"/>
  <c r="X56" i="1"/>
  <c r="V56" i="1"/>
  <c r="S56" i="1"/>
  <c r="Q56" i="1"/>
  <c r="M56" i="1"/>
  <c r="K56" i="1"/>
  <c r="L56" i="1" s="1"/>
  <c r="F56" i="1"/>
  <c r="E56" i="1"/>
  <c r="BM55" i="1"/>
  <c r="BL55" i="1"/>
  <c r="BH55" i="1"/>
  <c r="BG55" i="1"/>
  <c r="BE55" i="1"/>
  <c r="BB55" i="1"/>
  <c r="BC55" i="1" s="1"/>
  <c r="L55" i="5" s="1"/>
  <c r="AW55" i="1"/>
  <c r="AV55" i="1"/>
  <c r="AU55" i="1"/>
  <c r="AT55" i="1"/>
  <c r="AR55" i="1"/>
  <c r="AO55" i="1"/>
  <c r="AN55" i="1"/>
  <c r="AJ55" i="1"/>
  <c r="AM55" i="1" s="1"/>
  <c r="AG55" i="1"/>
  <c r="AH55" i="1" s="1"/>
  <c r="H55" i="5" s="1"/>
  <c r="AA55" i="1"/>
  <c r="X55" i="1"/>
  <c r="V55" i="1"/>
  <c r="U55" i="1"/>
  <c r="T55" i="1"/>
  <c r="S55" i="1"/>
  <c r="Q55" i="1"/>
  <c r="O55" i="1"/>
  <c r="M55" i="1"/>
  <c r="K55" i="1"/>
  <c r="H55" i="1"/>
  <c r="F55" i="1"/>
  <c r="D55" i="1"/>
  <c r="BN54" i="1"/>
  <c r="N54" i="5" s="1"/>
  <c r="BF54" i="1"/>
  <c r="BI54" i="1" s="1"/>
  <c r="M54" i="5" s="1"/>
  <c r="BB54" i="1"/>
  <c r="BC54" i="1" s="1"/>
  <c r="L54" i="5" s="1"/>
  <c r="AX54" i="1"/>
  <c r="K54" i="5" s="1"/>
  <c r="AN54" i="1"/>
  <c r="AS54" i="1" s="1"/>
  <c r="J54" i="5" s="1"/>
  <c r="AM54" i="1"/>
  <c r="AH54" i="1"/>
  <c r="H54" i="5" s="1"/>
  <c r="AB54" i="1"/>
  <c r="G54" i="5" s="1"/>
  <c r="W54" i="1"/>
  <c r="F54" i="5" s="1"/>
  <c r="Q54" i="1"/>
  <c r="R54" i="1" s="1"/>
  <c r="E54" i="5" s="1"/>
  <c r="L54" i="1"/>
  <c r="D54" i="5" s="1"/>
  <c r="G54" i="1"/>
  <c r="C54" i="5" s="1"/>
  <c r="BN53" i="1"/>
  <c r="N53" i="5" s="1"/>
  <c r="BD53" i="1"/>
  <c r="BI53" i="1" s="1"/>
  <c r="M53" i="5" s="1"/>
  <c r="BC53" i="1"/>
  <c r="L53" i="5" s="1"/>
  <c r="AV53" i="1"/>
  <c r="AX53" i="1" s="1"/>
  <c r="K53" i="5" s="1"/>
  <c r="AS53" i="1"/>
  <c r="J53" i="5" s="1"/>
  <c r="AM53" i="1"/>
  <c r="I53" i="5" s="1"/>
  <c r="AH53" i="1"/>
  <c r="H53" i="5" s="1"/>
  <c r="AB53" i="1"/>
  <c r="G53" i="5" s="1"/>
  <c r="W53" i="1"/>
  <c r="F53" i="5" s="1"/>
  <c r="R53" i="1"/>
  <c r="E53" i="5" s="1"/>
  <c r="L53" i="1"/>
  <c r="D53" i="5" s="1"/>
  <c r="G53" i="1"/>
  <c r="C53" i="5" s="1"/>
  <c r="BM52" i="1"/>
  <c r="BN52" i="1" s="1"/>
  <c r="N52" i="5" s="1"/>
  <c r="BI52" i="1"/>
  <c r="M52" i="5" s="1"/>
  <c r="AZ52" i="1"/>
  <c r="BC52" i="1" s="1"/>
  <c r="L52" i="5" s="1"/>
  <c r="AW52" i="1"/>
  <c r="AV52" i="1"/>
  <c r="AU52" i="1"/>
  <c r="AS52" i="1"/>
  <c r="J52" i="5" s="1"/>
  <c r="AM52" i="1"/>
  <c r="I52" i="5" s="1"/>
  <c r="AH52" i="1"/>
  <c r="H52" i="5" s="1"/>
  <c r="AA52" i="1"/>
  <c r="AB52" i="1" s="1"/>
  <c r="G52" i="5" s="1"/>
  <c r="V52" i="1"/>
  <c r="W52" i="1" s="1"/>
  <c r="F52" i="5" s="1"/>
  <c r="Q52" i="1"/>
  <c r="O52" i="1"/>
  <c r="K52" i="1"/>
  <c r="L52" i="1" s="1"/>
  <c r="D52" i="5" s="1"/>
  <c r="G52" i="1"/>
  <c r="C52" i="5" s="1"/>
  <c r="BN50" i="1"/>
  <c r="N50" i="5" s="1"/>
  <c r="BI50" i="1"/>
  <c r="M50" i="5" s="1"/>
  <c r="BC50" i="1"/>
  <c r="L50" i="5" s="1"/>
  <c r="AX50" i="1"/>
  <c r="K50" i="5" s="1"/>
  <c r="AS50" i="1"/>
  <c r="J50" i="5" s="1"/>
  <c r="AM50" i="1"/>
  <c r="I50" i="5" s="1"/>
  <c r="AH50" i="1"/>
  <c r="H50" i="5" s="1"/>
  <c r="AB50" i="1"/>
  <c r="G50" i="5" s="1"/>
  <c r="W50" i="1"/>
  <c r="F50" i="5" s="1"/>
  <c r="R50" i="1"/>
  <c r="E50" i="5" s="1"/>
  <c r="L50" i="1"/>
  <c r="D50" i="5" s="1"/>
  <c r="G50" i="1"/>
  <c r="C50" i="5" s="1"/>
  <c r="BM6" i="1"/>
  <c r="BL6" i="1"/>
  <c r="BH6" i="1"/>
  <c r="BD6" i="1"/>
  <c r="BB6" i="1"/>
  <c r="BC6" i="1" s="1"/>
  <c r="AW6" i="1"/>
  <c r="AV6" i="1"/>
  <c r="AS6" i="1"/>
  <c r="J6" i="5" s="1"/>
  <c r="AL6" i="1"/>
  <c r="AM6" i="1" s="1"/>
  <c r="I6" i="5" s="1"/>
  <c r="AG6" i="1"/>
  <c r="AH6" i="1" s="1"/>
  <c r="H6" i="5" s="1"/>
  <c r="AA6" i="1"/>
  <c r="Y6" i="1"/>
  <c r="V6" i="1"/>
  <c r="S6" i="1"/>
  <c r="Q6" i="1"/>
  <c r="R6" i="1" s="1"/>
  <c r="K6" i="1"/>
  <c r="L6" i="1" s="1"/>
  <c r="D6" i="5" s="1"/>
  <c r="F6" i="1"/>
  <c r="E6" i="1"/>
  <c r="D6" i="1"/>
  <c r="BM5" i="1"/>
  <c r="BN5" i="1" s="1"/>
  <c r="N5" i="5" s="1"/>
  <c r="BH5" i="1"/>
  <c r="BI5" i="1" s="1"/>
  <c r="M5" i="5" s="1"/>
  <c r="BB5" i="1"/>
  <c r="BC5" i="1" s="1"/>
  <c r="L5" i="5" s="1"/>
  <c r="AU5" i="1"/>
  <c r="AX5" i="1" s="1"/>
  <c r="K5" i="5" s="1"/>
  <c r="AR5" i="1"/>
  <c r="AN5" i="1"/>
  <c r="AL5" i="1"/>
  <c r="AM5" i="1" s="1"/>
  <c r="I5" i="5" s="1"/>
  <c r="AG5" i="1"/>
  <c r="AH5" i="1" s="1"/>
  <c r="H5" i="5" s="1"/>
  <c r="AA5" i="1"/>
  <c r="AB5" i="1" s="1"/>
  <c r="G5" i="5" s="1"/>
  <c r="V5" i="1"/>
  <c r="S5" i="1"/>
  <c r="Q5" i="1"/>
  <c r="R5" i="1" s="1"/>
  <c r="K5" i="1"/>
  <c r="L5" i="1" s="1"/>
  <c r="D5" i="5" s="1"/>
  <c r="F5" i="1"/>
  <c r="G5" i="1" s="1"/>
  <c r="C5" i="5" s="1"/>
  <c r="BM4" i="1"/>
  <c r="BL4" i="1"/>
  <c r="BH4" i="1"/>
  <c r="BI4" i="1" s="1"/>
  <c r="M4" i="5" s="1"/>
  <c r="BB4" i="1"/>
  <c r="BC4" i="1" s="1"/>
  <c r="L4" i="5" s="1"/>
  <c r="AW4" i="1"/>
  <c r="AV4" i="1"/>
  <c r="AR4" i="1"/>
  <c r="AO4" i="1"/>
  <c r="AN4" i="1"/>
  <c r="AL4" i="1"/>
  <c r="AM4" i="1" s="1"/>
  <c r="AG4" i="1"/>
  <c r="AH4" i="1" s="1"/>
  <c r="H4" i="5" s="1"/>
  <c r="AA4" i="1"/>
  <c r="AB4" i="1" s="1"/>
  <c r="G4" i="5" s="1"/>
  <c r="V4" i="1"/>
  <c r="W4" i="1" s="1"/>
  <c r="F4" i="5" s="1"/>
  <c r="Q4" i="1"/>
  <c r="R4" i="1" s="1"/>
  <c r="K4" i="1"/>
  <c r="L4" i="1" s="1"/>
  <c r="F4" i="1"/>
  <c r="G4" i="1" s="1"/>
  <c r="C4" i="5" s="1"/>
  <c r="BN19" i="1"/>
  <c r="N19" i="5" s="1"/>
  <c r="BI19" i="1"/>
  <c r="M19" i="5" s="1"/>
  <c r="BC19" i="1"/>
  <c r="L19" i="5" s="1"/>
  <c r="AX19" i="1"/>
  <c r="K19" i="5" s="1"/>
  <c r="AS19" i="1"/>
  <c r="J19" i="5" s="1"/>
  <c r="AM19" i="1"/>
  <c r="I19" i="5" s="1"/>
  <c r="AH19" i="1"/>
  <c r="H19" i="5" s="1"/>
  <c r="AB19" i="1"/>
  <c r="G19" i="5" s="1"/>
  <c r="W19" i="1"/>
  <c r="F19" i="5" s="1"/>
  <c r="R19" i="1"/>
  <c r="E19" i="5" s="1"/>
  <c r="L19" i="1"/>
  <c r="D19" i="5" s="1"/>
  <c r="G19" i="1"/>
  <c r="C19" i="5" s="1"/>
  <c r="BN18" i="1"/>
  <c r="N18" i="5" s="1"/>
  <c r="BI18" i="1"/>
  <c r="M18" i="5" s="1"/>
  <c r="BC18" i="1"/>
  <c r="L18" i="5" s="1"/>
  <c r="AX18" i="1"/>
  <c r="K18" i="5" s="1"/>
  <c r="AS18" i="1"/>
  <c r="J18" i="5" s="1"/>
  <c r="AM18" i="1"/>
  <c r="I18" i="5" s="1"/>
  <c r="AH18" i="1"/>
  <c r="H18" i="5" s="1"/>
  <c r="AB18" i="1"/>
  <c r="G18" i="5" s="1"/>
  <c r="W18" i="1"/>
  <c r="F18" i="5" s="1"/>
  <c r="R18" i="1"/>
  <c r="E18" i="5" s="1"/>
  <c r="L18" i="1"/>
  <c r="D18" i="5" s="1"/>
  <c r="G18" i="1"/>
  <c r="C18" i="5" s="1"/>
  <c r="BM17" i="1"/>
  <c r="BL17" i="1"/>
  <c r="BK17" i="1"/>
  <c r="BJ17" i="1"/>
  <c r="BH17" i="1"/>
  <c r="BG17" i="1"/>
  <c r="BF17" i="1"/>
  <c r="BE17" i="1"/>
  <c r="BD17" i="1"/>
  <c r="BB17" i="1"/>
  <c r="BA17" i="1"/>
  <c r="AZ17" i="1"/>
  <c r="AY17" i="1"/>
  <c r="AW17" i="1"/>
  <c r="AV17" i="1"/>
  <c r="AU17" i="1"/>
  <c r="AT17" i="1"/>
  <c r="AR17" i="1"/>
  <c r="AQ17" i="1"/>
  <c r="AP17" i="1"/>
  <c r="AO17" i="1"/>
  <c r="AN17" i="1"/>
  <c r="AL17" i="1"/>
  <c r="AK17" i="1"/>
  <c r="AJ17" i="1"/>
  <c r="AI17" i="1"/>
  <c r="AG17" i="1"/>
  <c r="AF17" i="1"/>
  <c r="AE17" i="1"/>
  <c r="AD17" i="1"/>
  <c r="AC17" i="1"/>
  <c r="AA17" i="1"/>
  <c r="Z17" i="1"/>
  <c r="Y17" i="1"/>
  <c r="X17" i="1"/>
  <c r="V17" i="1"/>
  <c r="U17" i="1"/>
  <c r="T17" i="1"/>
  <c r="S17" i="1"/>
  <c r="Q17" i="1"/>
  <c r="P17" i="1"/>
  <c r="O17" i="1"/>
  <c r="N17" i="1"/>
  <c r="M17" i="1"/>
  <c r="K17" i="1"/>
  <c r="J17" i="1"/>
  <c r="I17" i="1"/>
  <c r="H17" i="1"/>
  <c r="F17" i="1"/>
  <c r="E17" i="1"/>
  <c r="D17" i="1"/>
  <c r="C17" i="1"/>
  <c r="BN16" i="1"/>
  <c r="N16" i="5" s="1"/>
  <c r="BI16" i="1"/>
  <c r="M16" i="5" s="1"/>
  <c r="BC16" i="1"/>
  <c r="L16" i="5" s="1"/>
  <c r="AX16" i="1"/>
  <c r="K16" i="5" s="1"/>
  <c r="AS16" i="1"/>
  <c r="J16" i="5" s="1"/>
  <c r="AM16" i="1"/>
  <c r="I16" i="5" s="1"/>
  <c r="AH16" i="1"/>
  <c r="H16" i="5" s="1"/>
  <c r="AB16" i="1"/>
  <c r="G16" i="5" s="1"/>
  <c r="W16" i="1"/>
  <c r="F16" i="5" s="1"/>
  <c r="R16" i="1"/>
  <c r="E16" i="5" s="1"/>
  <c r="L16" i="1"/>
  <c r="D16" i="5" s="1"/>
  <c r="G16" i="1"/>
  <c r="C16" i="5" s="1"/>
  <c r="BM15" i="1"/>
  <c r="BK15" i="1"/>
  <c r="BH15" i="1"/>
  <c r="BG15" i="1"/>
  <c r="BF15" i="1"/>
  <c r="BE15" i="1"/>
  <c r="BD15" i="1"/>
  <c r="BB15" i="1"/>
  <c r="BC15" i="1" s="1"/>
  <c r="AW15" i="1"/>
  <c r="AU15" i="1"/>
  <c r="AR15" i="1"/>
  <c r="AP15" i="1"/>
  <c r="AL15" i="1"/>
  <c r="AK15" i="1"/>
  <c r="AJ15" i="1"/>
  <c r="AG15" i="1"/>
  <c r="AE15" i="1"/>
  <c r="AA15" i="1"/>
  <c r="Y15" i="1"/>
  <c r="V15" i="1"/>
  <c r="W15" i="1" s="1"/>
  <c r="F15" i="5" s="1"/>
  <c r="Q15" i="1"/>
  <c r="R15" i="1" s="1"/>
  <c r="E15" i="5" s="1"/>
  <c r="K15" i="1"/>
  <c r="J15" i="1"/>
  <c r="I15" i="1"/>
  <c r="F15" i="1"/>
  <c r="D15" i="1"/>
  <c r="BN14" i="1"/>
  <c r="N14" i="5" s="1"/>
  <c r="BI14" i="1"/>
  <c r="M14" i="5" s="1"/>
  <c r="BC14" i="1"/>
  <c r="L14" i="5" s="1"/>
  <c r="AX14" i="1"/>
  <c r="K14" i="5" s="1"/>
  <c r="AS14" i="1"/>
  <c r="J14" i="5" s="1"/>
  <c r="AM14" i="1"/>
  <c r="I14" i="5" s="1"/>
  <c r="AH14" i="1"/>
  <c r="H14" i="5" s="1"/>
  <c r="AB14" i="1"/>
  <c r="G14" i="5" s="1"/>
  <c r="W14" i="1"/>
  <c r="F14" i="5" s="1"/>
  <c r="R14" i="1"/>
  <c r="E14" i="5" s="1"/>
  <c r="L14" i="1"/>
  <c r="D14" i="5" s="1"/>
  <c r="G14" i="1"/>
  <c r="C14" i="5" s="1"/>
  <c r="BM13" i="1"/>
  <c r="BJ13" i="1"/>
  <c r="BH13" i="1"/>
  <c r="BG13" i="1"/>
  <c r="BB13" i="1"/>
  <c r="BC13" i="1" s="1"/>
  <c r="L13" i="5" s="1"/>
  <c r="AW13" i="1"/>
  <c r="AU13" i="1"/>
  <c r="AR13" i="1"/>
  <c r="AO13" i="1"/>
  <c r="AL13" i="1"/>
  <c r="AM13" i="1" s="1"/>
  <c r="I13" i="5" s="1"/>
  <c r="AG13" i="1"/>
  <c r="AE13" i="1"/>
  <c r="AD13" i="1"/>
  <c r="AA13" i="1"/>
  <c r="AB13" i="1" s="1"/>
  <c r="G13" i="5" s="1"/>
  <c r="V13" i="1"/>
  <c r="W13" i="1" s="1"/>
  <c r="F13" i="5" s="1"/>
  <c r="Q13" i="1"/>
  <c r="R13" i="1" s="1"/>
  <c r="E13" i="5" s="1"/>
  <c r="K13" i="1"/>
  <c r="L13" i="1" s="1"/>
  <c r="D13" i="5" s="1"/>
  <c r="F13" i="1"/>
  <c r="G13" i="1" s="1"/>
  <c r="C13" i="5" s="1"/>
  <c r="BM12" i="1"/>
  <c r="BK12" i="1"/>
  <c r="BH12" i="1"/>
  <c r="BI12" i="1" s="1"/>
  <c r="M12" i="5" s="1"/>
  <c r="BB12" i="1"/>
  <c r="BC12" i="1" s="1"/>
  <c r="L12" i="5" s="1"/>
  <c r="AW12" i="1"/>
  <c r="AX12" i="1" s="1"/>
  <c r="K12" i="5" s="1"/>
  <c r="AR12" i="1"/>
  <c r="AS12" i="1" s="1"/>
  <c r="J12" i="5" s="1"/>
  <c r="AL12" i="1"/>
  <c r="AM12" i="1" s="1"/>
  <c r="I12" i="5" s="1"/>
  <c r="AG12" i="1"/>
  <c r="AH12" i="1" s="1"/>
  <c r="H12" i="5" s="1"/>
  <c r="AA12" i="1"/>
  <c r="Z12" i="1"/>
  <c r="V12" i="1"/>
  <c r="W12" i="1" s="1"/>
  <c r="F12" i="5" s="1"/>
  <c r="Q12" i="1"/>
  <c r="M12" i="1"/>
  <c r="K12" i="1"/>
  <c r="L12" i="1" s="1"/>
  <c r="F12" i="1"/>
  <c r="G12" i="1" s="1"/>
  <c r="C12" i="5" s="1"/>
  <c r="BN10" i="1"/>
  <c r="N10" i="5" s="1"/>
  <c r="BI10" i="1"/>
  <c r="M10" i="5" s="1"/>
  <c r="BC10" i="1"/>
  <c r="L10" i="5" s="1"/>
  <c r="AV10" i="1"/>
  <c r="AX10" i="1" s="1"/>
  <c r="K10" i="5" s="1"/>
  <c r="AS10" i="1"/>
  <c r="J10" i="5" s="1"/>
  <c r="AM10" i="1"/>
  <c r="I10" i="5" s="1"/>
  <c r="AH10" i="1"/>
  <c r="H10" i="5" s="1"/>
  <c r="AB10" i="1"/>
  <c r="G10" i="5" s="1"/>
  <c r="W10" i="1"/>
  <c r="F10" i="5" s="1"/>
  <c r="R10" i="1"/>
  <c r="E10" i="5" s="1"/>
  <c r="L10" i="1"/>
  <c r="D10" i="5" s="1"/>
  <c r="G10" i="1"/>
  <c r="C10" i="5" s="1"/>
  <c r="BM33" i="1"/>
  <c r="BN33" i="1" s="1"/>
  <c r="N33" i="5" s="1"/>
  <c r="BH33" i="1"/>
  <c r="BG33" i="1"/>
  <c r="BF33" i="1"/>
  <c r="BD33" i="1"/>
  <c r="BB33" i="1"/>
  <c r="AZ33" i="1"/>
  <c r="AW33" i="1"/>
  <c r="AV33" i="1"/>
  <c r="AU33" i="1"/>
  <c r="AR33" i="1"/>
  <c r="AP33" i="1"/>
  <c r="AO33" i="1"/>
  <c r="AL33" i="1"/>
  <c r="AK33" i="1"/>
  <c r="AG33" i="1"/>
  <c r="AD33" i="1"/>
  <c r="AA33" i="1"/>
  <c r="Z33" i="1"/>
  <c r="Y33" i="1"/>
  <c r="X33" i="1"/>
  <c r="V33" i="1"/>
  <c r="T33" i="1"/>
  <c r="Q33" i="1"/>
  <c r="O33" i="1"/>
  <c r="M33" i="1"/>
  <c r="K33" i="1"/>
  <c r="L33" i="1" s="1"/>
  <c r="F33" i="1"/>
  <c r="G33" i="1" s="1"/>
  <c r="C33" i="5" s="1"/>
  <c r="BM32" i="1"/>
  <c r="BJ32" i="1"/>
  <c r="BH32" i="1"/>
  <c r="BG32" i="1"/>
  <c r="BF32" i="1"/>
  <c r="BB32" i="1"/>
  <c r="AZ32" i="1"/>
  <c r="AW32" i="1"/>
  <c r="AV32" i="1"/>
  <c r="AU32" i="1"/>
  <c r="AR32" i="1"/>
  <c r="AP32" i="1"/>
  <c r="AO32" i="1"/>
  <c r="AN32" i="1"/>
  <c r="AL32" i="1"/>
  <c r="AJ32" i="1"/>
  <c r="AG32" i="1"/>
  <c r="AD32" i="1"/>
  <c r="AA32" i="1"/>
  <c r="Y32" i="1"/>
  <c r="X32" i="1"/>
  <c r="V32" i="1"/>
  <c r="T32" i="1"/>
  <c r="Q32" i="1"/>
  <c r="M32" i="1"/>
  <c r="K32" i="1"/>
  <c r="L32" i="1" s="1"/>
  <c r="D32" i="5" s="1"/>
  <c r="F32" i="1"/>
  <c r="G32" i="1" s="1"/>
  <c r="C32" i="5" s="1"/>
  <c r="BM31" i="1"/>
  <c r="BN31" i="1" s="1"/>
  <c r="N31" i="5" s="1"/>
  <c r="BH31" i="1"/>
  <c r="BG31" i="1"/>
  <c r="BD31" i="1"/>
  <c r="BB31" i="1"/>
  <c r="BC31" i="1" s="1"/>
  <c r="L31" i="5" s="1"/>
  <c r="AW31" i="1"/>
  <c r="AV31" i="1"/>
  <c r="AU31" i="1"/>
  <c r="AR31" i="1"/>
  <c r="AP31" i="1"/>
  <c r="AO31" i="1"/>
  <c r="AL31" i="1"/>
  <c r="AM31" i="1" s="1"/>
  <c r="I31" i="5" s="1"/>
  <c r="AG31" i="1"/>
  <c r="AC31" i="1"/>
  <c r="AA31" i="1"/>
  <c r="Y31" i="1"/>
  <c r="V31" i="1"/>
  <c r="T31" i="1"/>
  <c r="Q31" i="1"/>
  <c r="P31" i="1"/>
  <c r="O31" i="1"/>
  <c r="N31" i="1"/>
  <c r="M31" i="1"/>
  <c r="K31" i="1"/>
  <c r="L31" i="1" s="1"/>
  <c r="F31" i="1"/>
  <c r="G31" i="1" s="1"/>
  <c r="C31" i="5" s="1"/>
  <c r="BM9" i="1"/>
  <c r="BN9" i="1" s="1"/>
  <c r="N9" i="5" s="1"/>
  <c r="BH9" i="1"/>
  <c r="BF9" i="1"/>
  <c r="BE9" i="1"/>
  <c r="BB9" i="1"/>
  <c r="BA9" i="1"/>
  <c r="AZ9" i="1"/>
  <c r="AW9" i="1"/>
  <c r="AV9" i="1"/>
  <c r="AU9" i="1"/>
  <c r="AR9" i="1"/>
  <c r="AQ9" i="1"/>
  <c r="AO9" i="1"/>
  <c r="AN9" i="1"/>
  <c r="AL9" i="1"/>
  <c r="AJ9" i="1"/>
  <c r="AG9" i="1"/>
  <c r="AD9" i="1"/>
  <c r="AA9" i="1"/>
  <c r="Y9" i="1"/>
  <c r="X9" i="1"/>
  <c r="V9" i="1"/>
  <c r="U9" i="1"/>
  <c r="Q9" i="1"/>
  <c r="N9" i="1"/>
  <c r="M9" i="1"/>
  <c r="K9" i="1"/>
  <c r="J9" i="1"/>
  <c r="F9" i="1"/>
  <c r="C9" i="1"/>
  <c r="BM8" i="1"/>
  <c r="BN8" i="1" s="1"/>
  <c r="BH8" i="1"/>
  <c r="BG8" i="1"/>
  <c r="BF8" i="1"/>
  <c r="BB8" i="1"/>
  <c r="BA8" i="1"/>
  <c r="AZ8" i="1"/>
  <c r="AW8" i="1"/>
  <c r="AX8" i="1" s="1"/>
  <c r="AR8" i="1"/>
  <c r="AO8" i="1"/>
  <c r="AL8" i="1"/>
  <c r="AM8" i="1" s="1"/>
  <c r="AG8" i="1"/>
  <c r="AH8" i="1" s="1"/>
  <c r="AA8" i="1"/>
  <c r="AB8" i="1" s="1"/>
  <c r="V8" i="1"/>
  <c r="T8" i="1"/>
  <c r="Q8" i="1"/>
  <c r="P8" i="1"/>
  <c r="O8" i="1"/>
  <c r="N8" i="1"/>
  <c r="M8" i="1"/>
  <c r="K8" i="1"/>
  <c r="I8" i="1"/>
  <c r="F8" i="1"/>
  <c r="D8" i="1"/>
  <c r="BN30" i="1"/>
  <c r="N30" i="5" s="1"/>
  <c r="BI30" i="1"/>
  <c r="M30" i="5" s="1"/>
  <c r="BC30" i="1"/>
  <c r="L30" i="5" s="1"/>
  <c r="AX30" i="1"/>
  <c r="K30" i="5" s="1"/>
  <c r="AS30" i="1"/>
  <c r="J30" i="5" s="1"/>
  <c r="AM30" i="1"/>
  <c r="I30" i="5" s="1"/>
  <c r="AH30" i="1"/>
  <c r="H30" i="5" s="1"/>
  <c r="AB30" i="1"/>
  <c r="G30" i="5" s="1"/>
  <c r="W30" i="1"/>
  <c r="F30" i="5" s="1"/>
  <c r="R30" i="1"/>
  <c r="E30" i="5" s="1"/>
  <c r="L30" i="1"/>
  <c r="D30" i="5" s="1"/>
  <c r="G30" i="1"/>
  <c r="C30" i="5" s="1"/>
  <c r="BN29" i="1"/>
  <c r="N29" i="5" s="1"/>
  <c r="BF29" i="1"/>
  <c r="BE29" i="1"/>
  <c r="BC29" i="1"/>
  <c r="L29" i="5" s="1"/>
  <c r="AX29" i="1"/>
  <c r="K29" i="5" s="1"/>
  <c r="AQ29" i="1"/>
  <c r="AN29" i="1"/>
  <c r="AK29" i="1"/>
  <c r="AI29" i="1"/>
  <c r="AG29" i="1"/>
  <c r="AH29" i="1" s="1"/>
  <c r="H29" i="5" s="1"/>
  <c r="AB29" i="1"/>
  <c r="G29" i="5" s="1"/>
  <c r="U29" i="1"/>
  <c r="W29" i="1" s="1"/>
  <c r="F29" i="5" s="1"/>
  <c r="M29" i="1"/>
  <c r="R29" i="1" s="1"/>
  <c r="E29" i="5" s="1"/>
  <c r="L29" i="1"/>
  <c r="D29" i="5" s="1"/>
  <c r="D29" i="1"/>
  <c r="G29" i="1" s="1"/>
  <c r="C29" i="5" s="1"/>
  <c r="BM22" i="1"/>
  <c r="BN22" i="1" s="1"/>
  <c r="N22" i="5" s="1"/>
  <c r="BH22" i="1"/>
  <c r="BI22" i="1" s="1"/>
  <c r="M22" i="5" s="1"/>
  <c r="BB22" i="1"/>
  <c r="BC22" i="1" s="1"/>
  <c r="L22" i="5" s="1"/>
  <c r="AW22" i="1"/>
  <c r="AU22" i="1"/>
  <c r="AR22" i="1"/>
  <c r="AO22" i="1"/>
  <c r="AL22" i="1"/>
  <c r="AM22" i="1" s="1"/>
  <c r="I22" i="5" s="1"/>
  <c r="AG22" i="1"/>
  <c r="AH22" i="1" s="1"/>
  <c r="H22" i="5" s="1"/>
  <c r="AA22" i="1"/>
  <c r="AB22" i="1" s="1"/>
  <c r="G22" i="5" s="1"/>
  <c r="V22" i="1"/>
  <c r="W22" i="1" s="1"/>
  <c r="F22" i="5" s="1"/>
  <c r="M22" i="1"/>
  <c r="R22" i="1" s="1"/>
  <c r="E22" i="5" s="1"/>
  <c r="L22" i="1"/>
  <c r="D22" i="5" s="1"/>
  <c r="G22" i="1"/>
  <c r="C22" i="5" s="1"/>
  <c r="BN11" i="1"/>
  <c r="N11" i="5" s="1"/>
  <c r="BI11" i="1"/>
  <c r="M11" i="5" s="1"/>
  <c r="BC11" i="1"/>
  <c r="L11" i="5" s="1"/>
  <c r="AX11" i="1"/>
  <c r="K11" i="5" s="1"/>
  <c r="AS11" i="1"/>
  <c r="J11" i="5" s="1"/>
  <c r="AM11" i="1"/>
  <c r="I11" i="5" s="1"/>
  <c r="AH11" i="1"/>
  <c r="H11" i="5" s="1"/>
  <c r="AB11" i="1"/>
  <c r="G11" i="5" s="1"/>
  <c r="W11" i="1"/>
  <c r="F11" i="5" s="1"/>
  <c r="R11" i="1"/>
  <c r="E11" i="5" s="1"/>
  <c r="L11" i="1"/>
  <c r="D11" i="5" s="1"/>
  <c r="G11" i="1"/>
  <c r="C11" i="5" s="1"/>
  <c r="G10" i="4" l="1"/>
  <c r="H6" i="4"/>
  <c r="E8" i="4"/>
  <c r="K8" i="4"/>
  <c r="L7" i="4"/>
  <c r="J9" i="4"/>
  <c r="L9" i="4"/>
  <c r="M14" i="4"/>
  <c r="L5" i="2"/>
  <c r="D5" i="4" s="1"/>
  <c r="D17" i="4" s="1"/>
  <c r="AB11" i="2"/>
  <c r="G11" i="4" s="1"/>
  <c r="D31" i="5"/>
  <c r="D33" i="5"/>
  <c r="D12" i="5"/>
  <c r="E5" i="5"/>
  <c r="E6" i="5"/>
  <c r="I54" i="5"/>
  <c r="I55" i="5"/>
  <c r="D56" i="5"/>
  <c r="E47" i="5"/>
  <c r="E38" i="5"/>
  <c r="D34" i="5"/>
  <c r="O34" i="5" s="1"/>
  <c r="P34" i="5" s="1"/>
  <c r="K25" i="5"/>
  <c r="AH7" i="2"/>
  <c r="H7" i="4" s="1"/>
  <c r="AM12" i="2"/>
  <c r="I12" i="4" s="1"/>
  <c r="H12" i="4"/>
  <c r="BC11" i="2"/>
  <c r="L11" i="4" s="1"/>
  <c r="K11" i="4"/>
  <c r="L15" i="5"/>
  <c r="L6" i="5"/>
  <c r="K46" i="5"/>
  <c r="E66" i="5"/>
  <c r="AS8" i="2"/>
  <c r="J8" i="4" s="1"/>
  <c r="I8" i="4"/>
  <c r="N73" i="5"/>
  <c r="O73" i="5" s="1"/>
  <c r="P73" i="5" s="1"/>
  <c r="G74" i="5"/>
  <c r="N49" i="5"/>
  <c r="O10" i="5"/>
  <c r="P10" i="5" s="1"/>
  <c r="H7" i="5"/>
  <c r="H49" i="5"/>
  <c r="O35" i="5"/>
  <c r="P35" i="5" s="1"/>
  <c r="O64" i="5"/>
  <c r="P64" i="5" s="1"/>
  <c r="O65" i="5"/>
  <c r="P65" i="5" s="1"/>
  <c r="O58" i="5"/>
  <c r="P58" i="5" s="1"/>
  <c r="L7" i="1"/>
  <c r="D4" i="5"/>
  <c r="D7" i="5" s="1"/>
  <c r="O50" i="5"/>
  <c r="O14" i="5"/>
  <c r="P14" i="5" s="1"/>
  <c r="O57" i="5"/>
  <c r="P57" i="5" s="1"/>
  <c r="O42" i="5"/>
  <c r="P42" i="5" s="1"/>
  <c r="O43" i="5"/>
  <c r="P43" i="5" s="1"/>
  <c r="O44" i="5"/>
  <c r="P44" i="5" s="1"/>
  <c r="L74" i="1"/>
  <c r="D60" i="5"/>
  <c r="D74" i="5" s="1"/>
  <c r="AH74" i="1"/>
  <c r="H60" i="5"/>
  <c r="H74" i="5" s="1"/>
  <c r="BC74" i="1"/>
  <c r="L60" i="5"/>
  <c r="L74" i="5" s="1"/>
  <c r="O51" i="5"/>
  <c r="P51" i="5" s="1"/>
  <c r="O36" i="5"/>
  <c r="P36" i="5" s="1"/>
  <c r="O24" i="5"/>
  <c r="P24" i="5" s="1"/>
  <c r="O67" i="5"/>
  <c r="P67" i="5" s="1"/>
  <c r="O68" i="5"/>
  <c r="P68" i="5" s="1"/>
  <c r="O27" i="5"/>
  <c r="P27" i="5" s="1"/>
  <c r="O69" i="5"/>
  <c r="P69" i="5" s="1"/>
  <c r="O70" i="5"/>
  <c r="P70" i="5" s="1"/>
  <c r="O71" i="5"/>
  <c r="P71" i="5" s="1"/>
  <c r="O20" i="5"/>
  <c r="P20" i="5" s="1"/>
  <c r="O21" i="5"/>
  <c r="P21" i="5" s="1"/>
  <c r="O61" i="5"/>
  <c r="P61" i="5" s="1"/>
  <c r="O62" i="5"/>
  <c r="P62" i="5" s="1"/>
  <c r="O11" i="5"/>
  <c r="P11" i="5" s="1"/>
  <c r="R7" i="1"/>
  <c r="E4" i="5"/>
  <c r="AM7" i="1"/>
  <c r="I4" i="5"/>
  <c r="I7" i="5" s="1"/>
  <c r="C45" i="5"/>
  <c r="R74" i="1"/>
  <c r="E60" i="5"/>
  <c r="AM74" i="1"/>
  <c r="I60" i="5"/>
  <c r="I74" i="5" s="1"/>
  <c r="O72" i="5"/>
  <c r="P72" i="5" s="1"/>
  <c r="O26" i="5"/>
  <c r="P26" i="5" s="1"/>
  <c r="O63" i="5"/>
  <c r="P63" i="5" s="1"/>
  <c r="G8" i="5"/>
  <c r="N8" i="5"/>
  <c r="H59" i="5"/>
  <c r="O30" i="5"/>
  <c r="P30" i="5" s="1"/>
  <c r="H8" i="5"/>
  <c r="K8" i="5"/>
  <c r="C37" i="5"/>
  <c r="I8" i="5"/>
  <c r="O16" i="5"/>
  <c r="P16" i="5" s="1"/>
  <c r="O18" i="5"/>
  <c r="P18" i="5" s="1"/>
  <c r="O19" i="5"/>
  <c r="P19" i="5" s="1"/>
  <c r="L7" i="5"/>
  <c r="O53" i="5"/>
  <c r="P53" i="5" s="1"/>
  <c r="O54" i="5"/>
  <c r="P54" i="5" s="1"/>
  <c r="K49" i="5"/>
  <c r="J74" i="5"/>
  <c r="AH59" i="1"/>
  <c r="BN49" i="1"/>
  <c r="G45" i="1"/>
  <c r="G37" i="1"/>
  <c r="BC7" i="1"/>
  <c r="AX49" i="1"/>
  <c r="AS74" i="1"/>
  <c r="AM59" i="1"/>
  <c r="L37" i="1"/>
  <c r="AH7" i="1"/>
  <c r="AH49" i="1"/>
  <c r="AB74" i="1"/>
  <c r="W32" i="1"/>
  <c r="F32" i="5" s="1"/>
  <c r="W33" i="1"/>
  <c r="F33" i="5" s="1"/>
  <c r="W46" i="1"/>
  <c r="F46" i="5" s="1"/>
  <c r="W23" i="1"/>
  <c r="F23" i="5" s="1"/>
  <c r="AB46" i="1"/>
  <c r="G46" i="5" s="1"/>
  <c r="AM29" i="1"/>
  <c r="I29" i="5" s="1"/>
  <c r="AB12" i="1"/>
  <c r="G12" i="5" s="1"/>
  <c r="BI13" i="1"/>
  <c r="M13" i="5" s="1"/>
  <c r="AX15" i="1"/>
  <c r="K15" i="5" s="1"/>
  <c r="BN15" i="1"/>
  <c r="N15" i="5" s="1"/>
  <c r="L55" i="1"/>
  <c r="BN55" i="1"/>
  <c r="W38" i="1"/>
  <c r="F38" i="5" s="1"/>
  <c r="AX38" i="1"/>
  <c r="K38" i="5" s="1"/>
  <c r="AX66" i="1"/>
  <c r="AM9" i="1"/>
  <c r="I9" i="5" s="1"/>
  <c r="AS13" i="1"/>
  <c r="J13" i="5" s="1"/>
  <c r="W6" i="1"/>
  <c r="F6" i="5" s="1"/>
  <c r="R46" i="1"/>
  <c r="E46" i="5" s="1"/>
  <c r="AX39" i="1"/>
  <c r="K39" i="5" s="1"/>
  <c r="BI40" i="1"/>
  <c r="M40" i="5" s="1"/>
  <c r="R23" i="1"/>
  <c r="E23" i="5" s="1"/>
  <c r="BN56" i="1"/>
  <c r="N56" i="5" s="1"/>
  <c r="W56" i="1"/>
  <c r="F56" i="5" s="1"/>
  <c r="BO42" i="1"/>
  <c r="BP42" i="1" s="1"/>
  <c r="AX22" i="1"/>
  <c r="K22" i="5" s="1"/>
  <c r="R52" i="1"/>
  <c r="E52" i="5" s="1"/>
  <c r="G56" i="1"/>
  <c r="C56" i="5" s="1"/>
  <c r="AB56" i="1"/>
  <c r="G56" i="5" s="1"/>
  <c r="AS56" i="1"/>
  <c r="J56" i="5" s="1"/>
  <c r="BC56" i="1"/>
  <c r="L38" i="1"/>
  <c r="D38" i="5" s="1"/>
  <c r="R39" i="1"/>
  <c r="E39" i="5" s="1"/>
  <c r="L40" i="1"/>
  <c r="D40" i="5" s="1"/>
  <c r="BI29" i="1"/>
  <c r="M29" i="5" s="1"/>
  <c r="W8" i="1"/>
  <c r="W31" i="1"/>
  <c r="R32" i="1"/>
  <c r="E32" i="5" s="1"/>
  <c r="AB32" i="1"/>
  <c r="G32" i="5" s="1"/>
  <c r="AX32" i="1"/>
  <c r="K32" i="5" s="1"/>
  <c r="AB33" i="1"/>
  <c r="G33" i="5" s="1"/>
  <c r="AH33" i="1"/>
  <c r="H33" i="5" s="1"/>
  <c r="L15" i="1"/>
  <c r="D15" i="5" s="1"/>
  <c r="AS15" i="1"/>
  <c r="J15" i="5" s="1"/>
  <c r="BO16" i="1"/>
  <c r="BP16" i="1" s="1"/>
  <c r="G17" i="1"/>
  <c r="C17" i="5" s="1"/>
  <c r="L17" i="1"/>
  <c r="D17" i="5" s="1"/>
  <c r="BN17" i="1"/>
  <c r="N17" i="5" s="1"/>
  <c r="BO18" i="1"/>
  <c r="BP18" i="1" s="1"/>
  <c r="W5" i="1"/>
  <c r="AB6" i="1"/>
  <c r="AS47" i="1"/>
  <c r="J47" i="5" s="1"/>
  <c r="AB48" i="1"/>
  <c r="G48" i="5" s="1"/>
  <c r="AH39" i="1"/>
  <c r="R9" i="1"/>
  <c r="E9" i="5" s="1"/>
  <c r="AH9" i="1"/>
  <c r="H9" i="5" s="1"/>
  <c r="R33" i="1"/>
  <c r="E33" i="5" s="1"/>
  <c r="BI56" i="1"/>
  <c r="M56" i="5" s="1"/>
  <c r="L8" i="1"/>
  <c r="BI9" i="1"/>
  <c r="M9" i="5" s="1"/>
  <c r="AX31" i="1"/>
  <c r="AM32" i="1"/>
  <c r="I32" i="5" s="1"/>
  <c r="AH13" i="1"/>
  <c r="H13" i="5" s="1"/>
  <c r="AB15" i="1"/>
  <c r="G15" i="5" s="1"/>
  <c r="BI6" i="1"/>
  <c r="BN66" i="1"/>
  <c r="BC8" i="1"/>
  <c r="AB9" i="1"/>
  <c r="G9" i="5" s="1"/>
  <c r="BC9" i="1"/>
  <c r="L9" i="5" s="1"/>
  <c r="AS31" i="1"/>
  <c r="J31" i="5" s="1"/>
  <c r="AX33" i="1"/>
  <c r="K33" i="5" s="1"/>
  <c r="BO10" i="1"/>
  <c r="BP10" i="1" s="1"/>
  <c r="AX13" i="1"/>
  <c r="K13" i="5" s="1"/>
  <c r="AH15" i="1"/>
  <c r="H15" i="5" s="1"/>
  <c r="AX4" i="1"/>
  <c r="K4" i="5" s="1"/>
  <c r="BN4" i="1"/>
  <c r="AS5" i="1"/>
  <c r="J5" i="5" s="1"/>
  <c r="AX6" i="1"/>
  <c r="K6" i="5" s="1"/>
  <c r="BN6" i="1"/>
  <c r="N6" i="5" s="1"/>
  <c r="G55" i="1"/>
  <c r="BI48" i="1"/>
  <c r="M48" i="5" s="1"/>
  <c r="AS38" i="1"/>
  <c r="W39" i="1"/>
  <c r="F39" i="5" s="1"/>
  <c r="AM40" i="1"/>
  <c r="AM23" i="1"/>
  <c r="I23" i="5" s="1"/>
  <c r="BC23" i="1"/>
  <c r="L23" i="5" s="1"/>
  <c r="BO26" i="1"/>
  <c r="BP26" i="1" s="1"/>
  <c r="BO64" i="1"/>
  <c r="BP64" i="1" s="1"/>
  <c r="BO65" i="1"/>
  <c r="BP65" i="1" s="1"/>
  <c r="BO58" i="1"/>
  <c r="BP58" i="1" s="1"/>
  <c r="G66" i="1"/>
  <c r="C66" i="5" s="1"/>
  <c r="W66" i="1"/>
  <c r="BO21" i="1"/>
  <c r="BP21" i="1" s="1"/>
  <c r="BO61" i="1"/>
  <c r="BP61" i="1" s="1"/>
  <c r="BN4" i="2"/>
  <c r="N4" i="4" s="1"/>
  <c r="BI11" i="2"/>
  <c r="M11" i="4" s="1"/>
  <c r="BO43" i="1"/>
  <c r="BP43" i="1" s="1"/>
  <c r="AX9" i="1"/>
  <c r="K9" i="5" s="1"/>
  <c r="BI32" i="1"/>
  <c r="M32" i="5" s="1"/>
  <c r="AM15" i="1"/>
  <c r="I15" i="5" s="1"/>
  <c r="W47" i="1"/>
  <c r="F47" i="5" s="1"/>
  <c r="BI39" i="1"/>
  <c r="M39" i="5" s="1"/>
  <c r="BO35" i="1"/>
  <c r="BP35" i="1" s="1"/>
  <c r="BO51" i="1"/>
  <c r="BP51" i="1" s="1"/>
  <c r="AS9" i="1"/>
  <c r="J9" i="5" s="1"/>
  <c r="BO11" i="1"/>
  <c r="BP11" i="1" s="1"/>
  <c r="BN32" i="1"/>
  <c r="BO14" i="1"/>
  <c r="BP14" i="1" s="1"/>
  <c r="AS17" i="1"/>
  <c r="J17" i="5" s="1"/>
  <c r="BO54" i="1"/>
  <c r="BP54" i="1" s="1"/>
  <c r="BI46" i="1"/>
  <c r="M46" i="5" s="1"/>
  <c r="BC47" i="1"/>
  <c r="L47" i="5" s="1"/>
  <c r="BI47" i="1"/>
  <c r="M47" i="5" s="1"/>
  <c r="AS29" i="1"/>
  <c r="J29" i="5" s="1"/>
  <c r="BO30" i="1"/>
  <c r="BP30" i="1" s="1"/>
  <c r="G8" i="1"/>
  <c r="R8" i="1"/>
  <c r="AS8" i="1"/>
  <c r="BI8" i="1"/>
  <c r="L9" i="1"/>
  <c r="D9" i="5" s="1"/>
  <c r="AH31" i="1"/>
  <c r="H31" i="5" s="1"/>
  <c r="AH32" i="1"/>
  <c r="H32" i="5" s="1"/>
  <c r="AS32" i="1"/>
  <c r="J32" i="5" s="1"/>
  <c r="BC32" i="1"/>
  <c r="L32" i="5" s="1"/>
  <c r="AS33" i="1"/>
  <c r="J33" i="5" s="1"/>
  <c r="BI15" i="1"/>
  <c r="M15" i="5" s="1"/>
  <c r="R17" i="1"/>
  <c r="E17" i="5" s="1"/>
  <c r="W17" i="1"/>
  <c r="F17" i="5" s="1"/>
  <c r="AB17" i="1"/>
  <c r="G17" i="5" s="1"/>
  <c r="AS4" i="1"/>
  <c r="BO50" i="1"/>
  <c r="AX52" i="1"/>
  <c r="W55" i="1"/>
  <c r="F55" i="5" s="1"/>
  <c r="AB55" i="1"/>
  <c r="AX55" i="1"/>
  <c r="K55" i="5" s="1"/>
  <c r="R56" i="1"/>
  <c r="E56" i="5" s="1"/>
  <c r="BC46" i="1"/>
  <c r="L46" i="5" s="1"/>
  <c r="R48" i="1"/>
  <c r="E48" i="5" s="1"/>
  <c r="BC38" i="1"/>
  <c r="BN39" i="1"/>
  <c r="N39" i="5" s="1"/>
  <c r="R40" i="1"/>
  <c r="E40" i="5" s="1"/>
  <c r="AB40" i="1"/>
  <c r="BO44" i="1"/>
  <c r="BP44" i="1" s="1"/>
  <c r="BO34" i="1"/>
  <c r="BP34" i="1" s="1"/>
  <c r="BO24" i="1"/>
  <c r="BP24" i="1" s="1"/>
  <c r="BO68" i="1"/>
  <c r="BP68" i="1" s="1"/>
  <c r="BO27" i="1"/>
  <c r="BP27" i="1" s="1"/>
  <c r="BC25" i="1"/>
  <c r="BO72" i="1"/>
  <c r="BP72" i="1" s="1"/>
  <c r="AM8" i="2"/>
  <c r="BN11" i="2"/>
  <c r="N11" i="4" s="1"/>
  <c r="BO70" i="1"/>
  <c r="BP70" i="1" s="1"/>
  <c r="BO71" i="1"/>
  <c r="BP71" i="1" s="1"/>
  <c r="BO62" i="1"/>
  <c r="BP62" i="1" s="1"/>
  <c r="AS22" i="1"/>
  <c r="J22" i="5" s="1"/>
  <c r="O22" i="5" s="1"/>
  <c r="P22" i="5" s="1"/>
  <c r="G9" i="1"/>
  <c r="C9" i="5" s="1"/>
  <c r="W9" i="1"/>
  <c r="F9" i="5" s="1"/>
  <c r="R31" i="1"/>
  <c r="AB31" i="1"/>
  <c r="G31" i="5" s="1"/>
  <c r="BI31" i="1"/>
  <c r="M31" i="5" s="1"/>
  <c r="AM33" i="1"/>
  <c r="I33" i="5" s="1"/>
  <c r="BC33" i="1"/>
  <c r="L33" i="5" s="1"/>
  <c r="R12" i="1"/>
  <c r="E12" i="5" s="1"/>
  <c r="BN13" i="1"/>
  <c r="N13" i="5" s="1"/>
  <c r="AX17" i="1"/>
  <c r="K17" i="5" s="1"/>
  <c r="BC17" i="1"/>
  <c r="L17" i="5" s="1"/>
  <c r="BI17" i="1"/>
  <c r="M17" i="5" s="1"/>
  <c r="G6" i="1"/>
  <c r="BO57" i="1"/>
  <c r="BP57" i="1" s="1"/>
  <c r="G46" i="1"/>
  <c r="BI38" i="1"/>
  <c r="BN38" i="1"/>
  <c r="N38" i="5" s="1"/>
  <c r="W40" i="1"/>
  <c r="F40" i="5" s="1"/>
  <c r="BO63" i="1"/>
  <c r="BP63" i="1" s="1"/>
  <c r="BC8" i="2"/>
  <c r="L8" i="4" s="1"/>
  <c r="AM6" i="2"/>
  <c r="I6" i="4" s="1"/>
  <c r="AB8" i="2"/>
  <c r="G8" i="4" s="1"/>
  <c r="AS5" i="2"/>
  <c r="J5" i="4" s="1"/>
  <c r="AM10" i="2"/>
  <c r="I10" i="4" s="1"/>
  <c r="AS11" i="2"/>
  <c r="J11" i="4" s="1"/>
  <c r="W5" i="2"/>
  <c r="F5" i="4" s="1"/>
  <c r="AH10" i="2"/>
  <c r="H10" i="4" s="1"/>
  <c r="AH9" i="2"/>
  <c r="H9" i="4" s="1"/>
  <c r="W4" i="2"/>
  <c r="F4" i="4" s="1"/>
  <c r="BI4" i="2"/>
  <c r="M4" i="4" s="1"/>
  <c r="AX5" i="2"/>
  <c r="K5" i="4" s="1"/>
  <c r="AX8" i="2"/>
  <c r="BN5" i="2"/>
  <c r="N5" i="4" s="1"/>
  <c r="AB7" i="2"/>
  <c r="G7" i="4" s="1"/>
  <c r="AM7" i="2"/>
  <c r="I7" i="4" s="1"/>
  <c r="W8" i="2"/>
  <c r="F8" i="4" s="1"/>
  <c r="BN8" i="2"/>
  <c r="N8" i="4" s="1"/>
  <c r="BI5" i="2"/>
  <c r="M5" i="4" s="1"/>
  <c r="BN9" i="2"/>
  <c r="N9" i="4" s="1"/>
  <c r="AB10" i="2"/>
  <c r="AX14" i="2"/>
  <c r="K14" i="4" s="1"/>
  <c r="O14" i="4" s="1"/>
  <c r="BO16" i="2"/>
  <c r="AH4" i="2"/>
  <c r="H4" i="4" s="1"/>
  <c r="G5" i="2"/>
  <c r="AH5" i="2"/>
  <c r="H5" i="4" s="1"/>
  <c r="BN6" i="2"/>
  <c r="N6" i="4" s="1"/>
  <c r="BI7" i="2"/>
  <c r="M7" i="4" s="1"/>
  <c r="AM9" i="2"/>
  <c r="I9" i="4" s="1"/>
  <c r="BI9" i="2"/>
  <c r="M9" i="4" s="1"/>
  <c r="R10" i="2"/>
  <c r="E10" i="4" s="1"/>
  <c r="BN14" i="2"/>
  <c r="N14" i="4" s="1"/>
  <c r="AX13" i="2"/>
  <c r="W11" i="2"/>
  <c r="F11" i="4" s="1"/>
  <c r="AB9" i="2"/>
  <c r="G9" i="4" s="1"/>
  <c r="BN10" i="2"/>
  <c r="N10" i="4" s="1"/>
  <c r="BI14" i="2"/>
  <c r="AX4" i="2"/>
  <c r="K4" i="4" s="1"/>
  <c r="AH8" i="2"/>
  <c r="H8" i="4" s="1"/>
  <c r="W9" i="2"/>
  <c r="F9" i="4" s="1"/>
  <c r="AX9" i="2"/>
  <c r="K9" i="4" s="1"/>
  <c r="BI10" i="2"/>
  <c r="M10" i="4" s="1"/>
  <c r="M17" i="4" s="1"/>
  <c r="AX12" i="2"/>
  <c r="L17" i="2"/>
  <c r="AM4" i="2"/>
  <c r="I4" i="4" s="1"/>
  <c r="AM5" i="2"/>
  <c r="I5" i="4" s="1"/>
  <c r="BC5" i="2"/>
  <c r="L5" i="4" s="1"/>
  <c r="G6" i="2"/>
  <c r="C6" i="4" s="1"/>
  <c r="O6" i="4" s="1"/>
  <c r="AS7" i="2"/>
  <c r="J7" i="4" s="1"/>
  <c r="BI8" i="2"/>
  <c r="M8" i="4" s="1"/>
  <c r="R9" i="2"/>
  <c r="R17" i="2" s="1"/>
  <c r="AS10" i="2"/>
  <c r="J10" i="4" s="1"/>
  <c r="AX10" i="2"/>
  <c r="K10" i="4" s="1"/>
  <c r="BC10" i="2"/>
  <c r="L10" i="4" s="1"/>
  <c r="BC14" i="2"/>
  <c r="L14" i="4" s="1"/>
  <c r="BO67" i="1"/>
  <c r="BP67" i="1" s="1"/>
  <c r="BO19" i="1"/>
  <c r="BP19" i="1" s="1"/>
  <c r="AS46" i="1"/>
  <c r="J46" i="5" s="1"/>
  <c r="L23" i="1"/>
  <c r="D23" i="5" s="1"/>
  <c r="BO69" i="1"/>
  <c r="BP69" i="1" s="1"/>
  <c r="BI33" i="1"/>
  <c r="M33" i="5" s="1"/>
  <c r="BN12" i="1"/>
  <c r="N12" i="5" s="1"/>
  <c r="G15" i="1"/>
  <c r="C15" i="5" s="1"/>
  <c r="AH17" i="1"/>
  <c r="H17" i="5" s="1"/>
  <c r="AM17" i="1"/>
  <c r="I17" i="5" s="1"/>
  <c r="BO53" i="1"/>
  <c r="BP53" i="1" s="1"/>
  <c r="R55" i="1"/>
  <c r="E55" i="5" s="1"/>
  <c r="AS55" i="1"/>
  <c r="J55" i="5" s="1"/>
  <c r="J59" i="5" s="1"/>
  <c r="BI55" i="1"/>
  <c r="AX56" i="1"/>
  <c r="K56" i="5" s="1"/>
  <c r="L46" i="1"/>
  <c r="AM46" i="1"/>
  <c r="BO60" i="1"/>
  <c r="BI66" i="1"/>
  <c r="BO36" i="1"/>
  <c r="BP36" i="1" s="1"/>
  <c r="BO73" i="1"/>
  <c r="BP73" i="1" s="1"/>
  <c r="BO20" i="1"/>
  <c r="BP20" i="1" s="1"/>
  <c r="J17" i="4" l="1"/>
  <c r="L17" i="4"/>
  <c r="O10" i="4"/>
  <c r="G17" i="4"/>
  <c r="O7" i="4"/>
  <c r="F17" i="4"/>
  <c r="O8" i="4"/>
  <c r="O11" i="4"/>
  <c r="BO13" i="2"/>
  <c r="K13" i="4"/>
  <c r="O13" i="4" s="1"/>
  <c r="G17" i="2"/>
  <c r="N17" i="4"/>
  <c r="E74" i="5"/>
  <c r="O12" i="4"/>
  <c r="I59" i="5"/>
  <c r="E7" i="5"/>
  <c r="O4" i="4"/>
  <c r="C5" i="4"/>
  <c r="C17" i="4" s="1"/>
  <c r="E9" i="4"/>
  <c r="BO12" i="2"/>
  <c r="K12" i="4"/>
  <c r="K17" i="4" s="1"/>
  <c r="D37" i="5"/>
  <c r="I17" i="4"/>
  <c r="H17" i="4"/>
  <c r="O5" i="4"/>
  <c r="N45" i="5"/>
  <c r="L37" i="5"/>
  <c r="O29" i="5"/>
  <c r="P29" i="5" s="1"/>
  <c r="G37" i="5"/>
  <c r="O48" i="5"/>
  <c r="P48" i="5" s="1"/>
  <c r="H37" i="5"/>
  <c r="O12" i="5"/>
  <c r="P12" i="5" s="1"/>
  <c r="M49" i="5"/>
  <c r="K7" i="5"/>
  <c r="O13" i="5"/>
  <c r="P13" i="5" s="1"/>
  <c r="E59" i="5"/>
  <c r="O23" i="5"/>
  <c r="P23" i="5" s="1"/>
  <c r="K45" i="5"/>
  <c r="O60" i="5"/>
  <c r="P60" i="5" s="1"/>
  <c r="J49" i="5"/>
  <c r="L49" i="5"/>
  <c r="F59" i="5"/>
  <c r="O47" i="5"/>
  <c r="P47" i="5" s="1"/>
  <c r="O33" i="5"/>
  <c r="P33" i="5" s="1"/>
  <c r="E45" i="5"/>
  <c r="AM49" i="1"/>
  <c r="I46" i="5"/>
  <c r="I49" i="5" s="1"/>
  <c r="BI45" i="1"/>
  <c r="M38" i="5"/>
  <c r="M45" i="5" s="1"/>
  <c r="L28" i="1"/>
  <c r="D8" i="5"/>
  <c r="D28" i="5" s="1"/>
  <c r="AB7" i="1"/>
  <c r="G6" i="5"/>
  <c r="G7" i="5" s="1"/>
  <c r="E49" i="5"/>
  <c r="AX74" i="1"/>
  <c r="K66" i="5"/>
  <c r="K74" i="5" s="1"/>
  <c r="L59" i="1"/>
  <c r="D55" i="5"/>
  <c r="D59" i="5" s="1"/>
  <c r="F49" i="5"/>
  <c r="G74" i="1"/>
  <c r="AH28" i="1"/>
  <c r="N28" i="5"/>
  <c r="BI28" i="1"/>
  <c r="M8" i="5"/>
  <c r="M28" i="5" s="1"/>
  <c r="M37" i="5"/>
  <c r="L49" i="1"/>
  <c r="D46" i="5"/>
  <c r="D49" i="5" s="1"/>
  <c r="G49" i="1"/>
  <c r="C46" i="5"/>
  <c r="R37" i="1"/>
  <c r="E31" i="5"/>
  <c r="AB45" i="1"/>
  <c r="G40" i="5"/>
  <c r="G45" i="5" s="1"/>
  <c r="AB59" i="1"/>
  <c r="G55" i="5"/>
  <c r="G59" i="5" s="1"/>
  <c r="AS7" i="1"/>
  <c r="J4" i="5"/>
  <c r="J7" i="5" s="1"/>
  <c r="AS28" i="1"/>
  <c r="J8" i="5"/>
  <c r="J28" i="5" s="1"/>
  <c r="J37" i="5"/>
  <c r="AS45" i="1"/>
  <c r="J38" i="5"/>
  <c r="J45" i="5" s="1"/>
  <c r="BN74" i="1"/>
  <c r="N66" i="5"/>
  <c r="N74" i="5" s="1"/>
  <c r="AH45" i="1"/>
  <c r="H39" i="5"/>
  <c r="H45" i="5" s="1"/>
  <c r="W7" i="1"/>
  <c r="F5" i="5"/>
  <c r="O17" i="5"/>
  <c r="P17" i="5" s="1"/>
  <c r="I37" i="5"/>
  <c r="I28" i="5"/>
  <c r="K28" i="5"/>
  <c r="BN28" i="1"/>
  <c r="C74" i="5"/>
  <c r="BC28" i="1"/>
  <c r="L8" i="5"/>
  <c r="BC59" i="1"/>
  <c r="L56" i="5"/>
  <c r="L59" i="5" s="1"/>
  <c r="O15" i="5"/>
  <c r="P15" i="5" s="1"/>
  <c r="BI74" i="1"/>
  <c r="M66" i="5"/>
  <c r="M74" i="5" s="1"/>
  <c r="R28" i="1"/>
  <c r="E8" i="5"/>
  <c r="E28" i="5" s="1"/>
  <c r="BI7" i="1"/>
  <c r="M6" i="5"/>
  <c r="M7" i="5" s="1"/>
  <c r="AX37" i="1"/>
  <c r="K31" i="5"/>
  <c r="K37" i="5" s="1"/>
  <c r="W37" i="1"/>
  <c r="F31" i="5"/>
  <c r="F37" i="5" s="1"/>
  <c r="F45" i="5"/>
  <c r="G49" i="5"/>
  <c r="AM28" i="1"/>
  <c r="AX28" i="1"/>
  <c r="G28" i="5"/>
  <c r="P50" i="5"/>
  <c r="BC45" i="1"/>
  <c r="L38" i="5"/>
  <c r="L45" i="5" s="1"/>
  <c r="BN37" i="1"/>
  <c r="N32" i="5"/>
  <c r="N37" i="5" s="1"/>
  <c r="BI59" i="1"/>
  <c r="M55" i="5"/>
  <c r="M59" i="5" s="1"/>
  <c r="G7" i="1"/>
  <c r="C6" i="5"/>
  <c r="O9" i="5"/>
  <c r="P9" i="5" s="1"/>
  <c r="BO25" i="1"/>
  <c r="BP25" i="1" s="1"/>
  <c r="L25" i="5"/>
  <c r="O25" i="5" s="1"/>
  <c r="P25" i="5" s="1"/>
  <c r="AX59" i="1"/>
  <c r="K52" i="5"/>
  <c r="K59" i="5" s="1"/>
  <c r="G28" i="1"/>
  <c r="C8" i="5"/>
  <c r="W74" i="1"/>
  <c r="F66" i="5"/>
  <c r="F74" i="5" s="1"/>
  <c r="AM45" i="1"/>
  <c r="I40" i="5"/>
  <c r="I45" i="5" s="1"/>
  <c r="G59" i="1"/>
  <c r="C55" i="5"/>
  <c r="BN7" i="1"/>
  <c r="N4" i="5"/>
  <c r="N7" i="5" s="1"/>
  <c r="W28" i="1"/>
  <c r="F8" i="5"/>
  <c r="F28" i="5" s="1"/>
  <c r="D45" i="5"/>
  <c r="BN59" i="1"/>
  <c r="N55" i="5"/>
  <c r="N59" i="5" s="1"/>
  <c r="H28" i="5"/>
  <c r="AB28" i="1"/>
  <c r="BN45" i="1"/>
  <c r="AS49" i="1"/>
  <c r="AB37" i="1"/>
  <c r="AS37" i="1"/>
  <c r="AS59" i="1"/>
  <c r="AX45" i="1"/>
  <c r="R59" i="1"/>
  <c r="BC37" i="1"/>
  <c r="BC49" i="1"/>
  <c r="W59" i="1"/>
  <c r="AH37" i="1"/>
  <c r="AH75" i="1" s="1"/>
  <c r="R45" i="1"/>
  <c r="W45" i="1"/>
  <c r="BP60" i="1"/>
  <c r="AB49" i="1"/>
  <c r="L45" i="1"/>
  <c r="AM37" i="1"/>
  <c r="BP50" i="1"/>
  <c r="BI49" i="1"/>
  <c r="AX7" i="1"/>
  <c r="BI37" i="1"/>
  <c r="R49" i="1"/>
  <c r="W49" i="1"/>
  <c r="BO11" i="2"/>
  <c r="BO22" i="1"/>
  <c r="BP22" i="1" s="1"/>
  <c r="BO4" i="1"/>
  <c r="BP4" i="1" s="1"/>
  <c r="BO29" i="1"/>
  <c r="BO47" i="1"/>
  <c r="BP47" i="1" s="1"/>
  <c r="BO5" i="1"/>
  <c r="BP5" i="1" s="1"/>
  <c r="BO48" i="1"/>
  <c r="BP48" i="1" s="1"/>
  <c r="BO13" i="1"/>
  <c r="BP13" i="1" s="1"/>
  <c r="BO12" i="1"/>
  <c r="BP12" i="1" s="1"/>
  <c r="BO23" i="1"/>
  <c r="BP23" i="1" s="1"/>
  <c r="BO33" i="1"/>
  <c r="BP33" i="1" s="1"/>
  <c r="BO39" i="1"/>
  <c r="BP39" i="1" s="1"/>
  <c r="BO52" i="1"/>
  <c r="BP52" i="1" s="1"/>
  <c r="BO9" i="1"/>
  <c r="BP9" i="1" s="1"/>
  <c r="BO8" i="1"/>
  <c r="BO38" i="1"/>
  <c r="BO55" i="1"/>
  <c r="BP55" i="1" s="1"/>
  <c r="BO32" i="1"/>
  <c r="BP32" i="1" s="1"/>
  <c r="BO66" i="1"/>
  <c r="BP66" i="1" s="1"/>
  <c r="BO15" i="1"/>
  <c r="BP15" i="1" s="1"/>
  <c r="BO6" i="1"/>
  <c r="BP6" i="1" s="1"/>
  <c r="BO31" i="1"/>
  <c r="BP31" i="1" s="1"/>
  <c r="BO40" i="1"/>
  <c r="BP40" i="1" s="1"/>
  <c r="BC17" i="2"/>
  <c r="BO46" i="1"/>
  <c r="AB17" i="2"/>
  <c r="BO8" i="2"/>
  <c r="BO17" i="1"/>
  <c r="BP17" i="1" s="1"/>
  <c r="BO6" i="2"/>
  <c r="BO14" i="2"/>
  <c r="AS17" i="2"/>
  <c r="BO4" i="2"/>
  <c r="AH17" i="2"/>
  <c r="BN17" i="2"/>
  <c r="BO10" i="2"/>
  <c r="W17" i="2"/>
  <c r="BI17" i="2"/>
  <c r="AX17" i="2"/>
  <c r="BO7" i="2"/>
  <c r="BO5" i="2"/>
  <c r="BO9" i="2"/>
  <c r="AM17" i="2"/>
  <c r="BO56" i="1"/>
  <c r="BP56" i="1" s="1"/>
  <c r="P17" i="4" l="1"/>
  <c r="L75" i="1"/>
  <c r="B5" i="3" s="1"/>
  <c r="BC75" i="1"/>
  <c r="E17" i="4"/>
  <c r="O9" i="4"/>
  <c r="O17" i="4" s="1"/>
  <c r="BP17" i="2"/>
  <c r="BO17" i="2"/>
  <c r="R75" i="1"/>
  <c r="B9" i="3"/>
  <c r="AM75" i="1"/>
  <c r="O56" i="5"/>
  <c r="P56" i="5" s="1"/>
  <c r="H75" i="5"/>
  <c r="C9" i="3" s="1"/>
  <c r="I75" i="5"/>
  <c r="C10" i="3" s="1"/>
  <c r="O4" i="5"/>
  <c r="P4" i="5" s="1"/>
  <c r="D75" i="5"/>
  <c r="C5" i="3" s="1"/>
  <c r="AX75" i="1"/>
  <c r="E10" i="3"/>
  <c r="E9" i="3"/>
  <c r="B13" i="3"/>
  <c r="E11" i="3"/>
  <c r="BN75" i="1"/>
  <c r="E14" i="3"/>
  <c r="E12" i="3"/>
  <c r="E5" i="3"/>
  <c r="E8" i="3"/>
  <c r="E15" i="3"/>
  <c r="K75" i="5"/>
  <c r="C12" i="3" s="1"/>
  <c r="N75" i="5"/>
  <c r="C15" i="3" s="1"/>
  <c r="C28" i="5"/>
  <c r="O8" i="5"/>
  <c r="G75" i="1"/>
  <c r="W75" i="1"/>
  <c r="O31" i="5"/>
  <c r="E37" i="5"/>
  <c r="E75" i="5" s="1"/>
  <c r="C6" i="3" s="1"/>
  <c r="M75" i="5"/>
  <c r="C14" i="3" s="1"/>
  <c r="O52" i="5"/>
  <c r="BI75" i="1"/>
  <c r="L28" i="5"/>
  <c r="O39" i="5"/>
  <c r="P39" i="5" s="1"/>
  <c r="J75" i="5"/>
  <c r="C11" i="3" s="1"/>
  <c r="C49" i="5"/>
  <c r="O46" i="5"/>
  <c r="G75" i="5"/>
  <c r="C8" i="3" s="1"/>
  <c r="O66" i="5"/>
  <c r="O40" i="5"/>
  <c r="P40" i="5" s="1"/>
  <c r="O55" i="5"/>
  <c r="P55" i="5" s="1"/>
  <c r="C59" i="5"/>
  <c r="BO28" i="1"/>
  <c r="O6" i="5"/>
  <c r="P6" i="5" s="1"/>
  <c r="C7" i="5"/>
  <c r="F7" i="5"/>
  <c r="O5" i="5"/>
  <c r="P5" i="5" s="1"/>
  <c r="AS75" i="1"/>
  <c r="AB75" i="1"/>
  <c r="O32" i="5"/>
  <c r="P32" i="5" s="1"/>
  <c r="O38" i="5"/>
  <c r="BP8" i="1"/>
  <c r="BO7" i="1"/>
  <c r="BO59" i="1"/>
  <c r="BO49" i="1"/>
  <c r="BP46" i="1"/>
  <c r="BP29" i="1"/>
  <c r="BO37" i="1"/>
  <c r="BP38" i="1"/>
  <c r="BO45" i="1"/>
  <c r="BO74" i="1"/>
  <c r="P18" i="4" l="1"/>
  <c r="BP18" i="2"/>
  <c r="B6" i="3"/>
  <c r="B7" i="3"/>
  <c r="B8" i="3"/>
  <c r="B10" i="3"/>
  <c r="B14" i="3"/>
  <c r="B11" i="3"/>
  <c r="B12" i="3"/>
  <c r="E6" i="3"/>
  <c r="BP75" i="1"/>
  <c r="F75" i="5"/>
  <c r="C7" i="3" s="1"/>
  <c r="E7" i="3"/>
  <c r="E4" i="3"/>
  <c r="L75" i="5"/>
  <c r="C13" i="3" s="1"/>
  <c r="E13" i="3"/>
  <c r="B15" i="3"/>
  <c r="C75" i="5"/>
  <c r="C4" i="3" s="1"/>
  <c r="BO75" i="1"/>
  <c r="P66" i="5"/>
  <c r="O74" i="5"/>
  <c r="P52" i="5"/>
  <c r="O59" i="5"/>
  <c r="B4" i="3"/>
  <c r="BO76" i="1"/>
  <c r="O7" i="5"/>
  <c r="P8" i="5"/>
  <c r="O28" i="5"/>
  <c r="P46" i="5"/>
  <c r="O49" i="5"/>
  <c r="P38" i="5"/>
  <c r="O45" i="5"/>
  <c r="P31" i="5"/>
  <c r="O37" i="5"/>
  <c r="O76" i="5" l="1"/>
  <c r="C16" i="3"/>
  <c r="B16" i="3"/>
  <c r="P75" i="5"/>
  <c r="E16" i="3"/>
  <c r="O75" i="5"/>
  <c r="C17" i="3" l="1"/>
  <c r="F16" i="3"/>
  <c r="F17" i="3" l="1"/>
</calcChain>
</file>

<file path=xl/sharedStrings.xml><?xml version="1.0" encoding="utf-8"?>
<sst xmlns="http://schemas.openxmlformats.org/spreadsheetml/2006/main" count="224" uniqueCount="91">
  <si>
    <t>SERVICE</t>
  </si>
  <si>
    <t>TOTAL ANNUEL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</si>
  <si>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</si>
  <si>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</si>
  <si>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</si>
  <si>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</si>
  <si>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</si>
  <si>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</si>
  <si>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</si>
  <si>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</si>
  <si>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</si>
  <si>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</si>
  <si>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</si>
  <si>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</si>
  <si>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MENSUEL</t>
  </si>
  <si>
    <t>MOIS</t>
  </si>
  <si>
    <t>MONTANT T.T.C.</t>
  </si>
  <si>
    <t>Contrôle</t>
  </si>
  <si>
    <t>A1</t>
  </si>
  <si>
    <t>A2</t>
  </si>
  <si>
    <t>A3</t>
  </si>
  <si>
    <t>Total A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</si>
  <si>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</si>
  <si>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</si>
  <si>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</si>
  <si>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</si>
  <si>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</si>
  <si>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</si>
  <si>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</si>
  <si>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</si>
  <si>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</si>
  <si>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</si>
  <si>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</si>
  <si>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</si>
  <si>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</si>
  <si>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</si>
  <si>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</si>
  <si>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</si>
  <si>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</si>
  <si>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</si>
  <si>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</si>
  <si>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</si>
  <si>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TOTAL  B</t>
  </si>
  <si>
    <t>C1</t>
  </si>
  <si>
    <t>C2</t>
  </si>
  <si>
    <t>C3</t>
  </si>
  <si>
    <t>C4</t>
  </si>
  <si>
    <t>C5</t>
  </si>
  <si>
    <t>C6</t>
  </si>
  <si>
    <t>C7</t>
  </si>
  <si>
    <t>C8</t>
  </si>
  <si>
    <t>TOTAL  C</t>
  </si>
  <si>
    <t>D1</t>
  </si>
  <si>
    <t>D2</t>
  </si>
  <si>
    <t>D3</t>
  </si>
  <si>
    <t>D4</t>
  </si>
  <si>
    <t>D5</t>
  </si>
  <si>
    <t>D6</t>
  </si>
  <si>
    <t>D7</t>
  </si>
  <si>
    <t>TOTAL  D</t>
  </si>
  <si>
    <t>E1</t>
  </si>
  <si>
    <t>E2</t>
  </si>
  <si>
    <t>E3</t>
  </si>
  <si>
    <t>TOTAL  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</si>
  <si>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</si>
  <si>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</si>
  <si>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</si>
  <si>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</si>
  <si>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</si>
  <si>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</si>
  <si>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</si>
  <si>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</si>
  <si>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</si>
  <si>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TOTAL  F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</si>
  <si>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</si>
  <si>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</si>
  <si>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</si>
  <si>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</si>
  <si>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</si>
  <si>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</si>
  <si>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</si>
  <si>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</si>
  <si>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</si>
  <si>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</si>
  <si>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</si>
  <si>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</si>
  <si>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</si>
  <si>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</si>
  <si>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TOTAL  G</t>
  </si>
  <si>
    <t>Sans les G</t>
  </si>
  <si>
    <t>total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</si>
</sst>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00"/>
    <numFmt numFmtId="165" formatCode="0.000000000000000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 tint="0.79998168889431442"/>
        <bgColor indexed="65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</cellStyleXfs>
  <cellXfs count="108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4" fontId="0" fillId="0" borderId="10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4" fontId="0" fillId="2" borderId="12" xfId="0" applyNumberFormat="1" applyFill="1" applyBorder="1" applyAlignment="1">
      <alignment horizontal="center" vertical="center" wrapText="1"/>
    </xf>
    <xf numFmtId="44" fontId="0" fillId="0" borderId="13" xfId="0" applyNumberFormat="1" applyBorder="1" applyAlignment="1">
      <alignment horizontal="center" vertical="center" wrapText="1"/>
    </xf>
    <xf numFmtId="0" fontId="0" fillId="0" borderId="15" xfId="0" applyBorder="1"/>
    <xf numFmtId="44" fontId="0" fillId="0" borderId="16" xfId="0" applyNumberFormat="1" applyBorder="1"/>
    <xf numFmtId="0" fontId="0" fillId="0" borderId="6" xfId="0" applyBorder="1"/>
    <xf numFmtId="44" fontId="0" fillId="0" borderId="10" xfId="0" applyNumberFormat="1" applyBorder="1"/>
    <xf numFmtId="0" fontId="0" fillId="0" borderId="18" xfId="0" applyBorder="1"/>
    <xf numFmtId="44" fontId="0" fillId="0" borderId="20" xfId="0" applyNumberFormat="1" applyBorder="1"/>
    <xf numFmtId="44" fontId="0" fillId="0" borderId="23" xfId="0" applyNumberFormat="1" applyBorder="1"/>
    <xf numFmtId="0" fontId="0" fillId="0" borderId="6" xfId="0" applyFill="1" applyBorder="1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44" fontId="0" fillId="0" borderId="8" xfId="0" applyNumberForma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44" fontId="0" fillId="0" borderId="0" xfId="0" applyNumberFormat="1"/>
    <xf numFmtId="0" fontId="0" fillId="0" borderId="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Fill="1" applyBorder="1"/>
    <xf numFmtId="0" fontId="0" fillId="0" borderId="30" xfId="0" applyBorder="1"/>
    <xf numFmtId="44" fontId="0" fillId="0" borderId="31" xfId="0" applyNumberFormat="1" applyBorder="1"/>
    <xf numFmtId="0" fontId="0" fillId="0" borderId="30" xfId="0" applyFill="1" applyBorder="1"/>
    <xf numFmtId="0" fontId="0" fillId="0" borderId="6" xfId="0" applyBorder="1" applyAlignment="1">
      <alignment horizontal="center" vertical="center" wrapText="1"/>
    </xf>
    <xf numFmtId="44" fontId="0" fillId="0" borderId="10" xfId="0" applyNumberFormat="1" applyBorder="1" applyAlignment="1">
      <alignment horizontal="center" vertical="center" wrapText="1"/>
    </xf>
    <xf numFmtId="44" fontId="0" fillId="0" borderId="13" xfId="0" applyNumberFormat="1" applyBorder="1" applyAlignment="1">
      <alignment horizontal="center" vertical="center" wrapText="1"/>
    </xf>
    <xf numFmtId="44" fontId="0" fillId="0" borderId="8" xfId="0" applyNumberFormat="1" applyBorder="1" applyAlignment="1">
      <alignment horizontal="center" vertical="center" wrapText="1"/>
    </xf>
    <xf numFmtId="164" fontId="0" fillId="0" borderId="0" xfId="0" applyNumberFormat="1"/>
    <xf numFmtId="11" fontId="4" fillId="0" borderId="0" xfId="0" applyNumberFormat="1" applyFont="1"/>
    <xf numFmtId="165" fontId="4" fillId="0" borderId="0" xfId="0" applyNumberFormat="1" applyFont="1"/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4" fontId="0" fillId="0" borderId="10" xfId="0" applyNumberFormat="1" applyBorder="1" applyAlignment="1">
      <alignment horizontal="center" vertical="center" wrapText="1"/>
    </xf>
    <xf numFmtId="44" fontId="0" fillId="0" borderId="13" xfId="0" applyNumberFormat="1" applyBorder="1" applyAlignment="1">
      <alignment horizontal="center" vertical="center" wrapText="1"/>
    </xf>
    <xf numFmtId="44" fontId="0" fillId="0" borderId="8" xfId="0" applyNumberFormat="1" applyBorder="1" applyAlignment="1">
      <alignment horizontal="center" vertical="center" wrapText="1"/>
    </xf>
    <xf numFmtId="44" fontId="0" fillId="0" borderId="9" xfId="0" applyNumberFormat="1" applyBorder="1" applyAlignment="1">
      <alignment horizontal="center" vertical="center" wrapText="1"/>
    </xf>
    <xf numFmtId="44" fontId="0" fillId="2" borderId="15" xfId="1" applyFont="1" applyFill="1" applyBorder="1" applyProtection="1">
      <protection locked="0"/>
    </xf>
    <xf numFmtId="44" fontId="0" fillId="0" borderId="16" xfId="1" applyFont="1" applyBorder="1"/>
    <xf numFmtId="44" fontId="0" fillId="0" borderId="10" xfId="1" applyFont="1" applyBorder="1"/>
    <xf numFmtId="44" fontId="0" fillId="2" borderId="22" xfId="1" applyFont="1" applyFill="1" applyBorder="1"/>
    <xf numFmtId="44" fontId="0" fillId="0" borderId="22" xfId="1" applyFont="1" applyBorder="1"/>
    <xf numFmtId="44" fontId="0" fillId="2" borderId="19" xfId="1" applyFont="1" applyFill="1" applyBorder="1" applyProtection="1">
      <protection locked="0"/>
    </xf>
    <xf numFmtId="44" fontId="0" fillId="2" borderId="30" xfId="1" applyFont="1" applyFill="1" applyBorder="1" applyProtection="1">
      <protection locked="0"/>
    </xf>
    <xf numFmtId="44" fontId="0" fillId="2" borderId="6" xfId="1" applyFont="1" applyFill="1" applyBorder="1" applyProtection="1">
      <protection locked="0"/>
    </xf>
    <xf numFmtId="44" fontId="0" fillId="2" borderId="18" xfId="1" applyFont="1" applyFill="1" applyBorder="1"/>
    <xf numFmtId="44" fontId="0" fillId="2" borderId="30" xfId="1" applyFont="1" applyFill="1" applyBorder="1"/>
    <xf numFmtId="44" fontId="0" fillId="2" borderId="18" xfId="1" applyFont="1" applyFill="1" applyBorder="1" applyProtection="1">
      <protection locked="0"/>
    </xf>
    <xf numFmtId="44" fontId="0" fillId="2" borderId="6" xfId="1" applyFont="1" applyFill="1" applyBorder="1"/>
    <xf numFmtId="44" fontId="0" fillId="4" borderId="18" xfId="1" applyFont="1" applyFill="1" applyBorder="1"/>
    <xf numFmtId="44" fontId="0" fillId="4" borderId="30" xfId="1" applyFont="1" applyFill="1" applyBorder="1"/>
    <xf numFmtId="44" fontId="0" fillId="4" borderId="22" xfId="1" applyFont="1" applyFill="1" applyBorder="1"/>
    <xf numFmtId="44" fontId="0" fillId="0" borderId="15" xfId="1" applyFont="1" applyBorder="1"/>
    <xf numFmtId="44" fontId="0" fillId="0" borderId="6" xfId="1" applyFont="1" applyBorder="1"/>
    <xf numFmtId="44" fontId="0" fillId="0" borderId="19" xfId="1" applyFont="1" applyFill="1" applyBorder="1"/>
    <xf numFmtId="44" fontId="0" fillId="2" borderId="15" xfId="1" applyFont="1" applyFill="1" applyBorder="1" applyAlignment="1" applyProtection="1">
      <alignment horizontal="center"/>
      <protection locked="0"/>
    </xf>
    <xf numFmtId="44" fontId="0" fillId="2" borderId="6" xfId="1" applyFont="1" applyFill="1" applyBorder="1" applyAlignment="1" applyProtection="1">
      <alignment horizontal="center"/>
      <protection locked="0"/>
    </xf>
    <xf numFmtId="44" fontId="0" fillId="0" borderId="22" xfId="1" applyFont="1" applyBorder="1" applyAlignment="1">
      <alignment horizontal="center"/>
    </xf>
    <xf numFmtId="44" fontId="0" fillId="0" borderId="20" xfId="1" applyFont="1" applyBorder="1"/>
    <xf numFmtId="44" fontId="0" fillId="0" borderId="31" xfId="1" applyFont="1" applyBorder="1"/>
    <xf numFmtId="44" fontId="0" fillId="0" borderId="23" xfId="1" applyFont="1" applyBorder="1"/>
    <xf numFmtId="44" fontId="0" fillId="0" borderId="0" xfId="1" applyFont="1"/>
    <xf numFmtId="0" fontId="0" fillId="5" borderId="5" xfId="2" applyFont="1" applyBorder="1"/>
    <xf numFmtId="0" fontId="0" fillId="5" borderId="17" xfId="2" applyFont="1" applyBorder="1"/>
    <xf numFmtId="0" fontId="0" fillId="5" borderId="29" xfId="2" applyFont="1" applyBorder="1" applyAlignment="1">
      <alignment horizontal="right"/>
    </xf>
    <xf numFmtId="0" fontId="0" fillId="5" borderId="14" xfId="2" applyFont="1" applyBorder="1"/>
    <xf numFmtId="0" fontId="0" fillId="6" borderId="14" xfId="3" applyFont="1" applyBorder="1"/>
    <xf numFmtId="0" fontId="0" fillId="6" borderId="32" xfId="3" applyFont="1" applyBorder="1" applyAlignment="1">
      <alignment horizontal="right"/>
    </xf>
    <xf numFmtId="0" fontId="0" fillId="0" borderId="26" xfId="0" applyBorder="1" applyAlignment="1"/>
    <xf numFmtId="0" fontId="0" fillId="0" borderId="27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1" fillId="0" borderId="18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44" fontId="3" fillId="6" borderId="0" xfId="3" applyNumberFormat="1"/>
    <xf numFmtId="0" fontId="3" fillId="7" borderId="5" xfId="4" applyBorder="1" applyAlignment="1">
      <alignment horizontal="center"/>
    </xf>
    <xf numFmtId="0" fontId="3" fillId="7" borderId="24" xfId="4" applyBorder="1" applyAlignment="1">
      <alignment horizontal="center" vertical="top" wrapText="1"/>
    </xf>
    <xf numFmtId="0" fontId="3" fillId="7" borderId="6" xfId="4" applyBorder="1" applyAlignment="1">
      <alignment horizontal="center" vertical="top" wrapText="1"/>
    </xf>
    <xf numFmtId="0" fontId="3" fillId="7" borderId="17" xfId="4" applyBorder="1" applyAlignment="1">
      <alignment horizontal="center"/>
    </xf>
    <xf numFmtId="0" fontId="3" fillId="5" borderId="5" xfId="2" applyBorder="1" applyAlignment="1">
      <alignment horizontal="center"/>
    </xf>
    <xf numFmtId="0" fontId="3" fillId="5" borderId="24" xfId="2" applyBorder="1" applyAlignment="1">
      <alignment horizontal="center" vertical="top" wrapText="1"/>
    </xf>
    <xf numFmtId="0" fontId="3" fillId="5" borderId="6" xfId="2" applyBorder="1" applyAlignment="1">
      <alignment horizontal="center" vertical="top" wrapText="1"/>
    </xf>
    <xf numFmtId="0" fontId="3" fillId="5" borderId="17" xfId="2" applyBorder="1" applyAlignment="1">
      <alignment horizontal="center"/>
    </xf>
  </cellXfs>
  <cellStyles count="5">
    <cellStyle name="20 % - Accent1" xfId="2" builtinId="30"/>
    <cellStyle name="20 % - Accent5" xfId="4" builtinId="46"/>
    <cellStyle name="40 % - Accent2" xfId="3" builtinId="35"/>
    <cellStyle name="Monétaire" xfId="1" builtinId="4"/>
    <cellStyle name="Normal" xfId="0" builtinId="0"/>
  </cellStyles>
  <dxfs count="0"/>
  <tableStyles count="0" defaultTableStyle="TableStyleMedium2" defaultPivotStyle="PivotStyleMedium9"/>
  <colors>
    <mruColors>
      <color rgb="FFFFCC99"/>
      <color rgb="FF0000FF"/>
      <color rgb="FF993300"/>
      <color rgb="FF0000CC"/>
      <color rgb="FFFF33CC"/>
      <color rgb="FF66FFFF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" sqref="A4:A16"/>
    </sheetView>
  </sheetViews>
  <sheetFormatPr baseColWidth="10" defaultRowHeight="15" x14ac:dyDescent="0.25"/>
  <cols>
    <col min="1" max="1" width="15.28515625" bestFit="1" customWidth="1"/>
    <col min="2" max="2" width="1.5703125" customWidth="1"/>
    <col min="3" max="5" width="9.42578125" bestFit="1" customWidth="1"/>
    <col min="6" max="6" width="10.85546875" bestFit="1" customWidth="1"/>
    <col min="7" max="7" width="11.85546875" bestFit="1" customWidth="1"/>
    <col min="8" max="10" width="9.42578125" bestFit="1" customWidth="1"/>
    <col min="11" max="11" width="10.85546875" bestFit="1" customWidth="1"/>
    <col min="12" max="12" width="11.85546875" bestFit="1" customWidth="1"/>
    <col min="13" max="16" width="9.42578125" bestFit="1" customWidth="1"/>
    <col min="17" max="17" width="10.85546875" bestFit="1" customWidth="1"/>
    <col min="18" max="18" width="11.85546875" bestFit="1" customWidth="1"/>
    <col min="19" max="21" width="9.42578125" bestFit="1" customWidth="1"/>
    <col min="22" max="22" width="10.85546875" bestFit="1" customWidth="1"/>
    <col min="23" max="23" width="11.85546875" bestFit="1" customWidth="1"/>
    <col min="24" max="26" width="9.42578125" bestFit="1" customWidth="1"/>
    <col min="27" max="27" width="10.85546875" bestFit="1" customWidth="1"/>
    <col min="28" max="28" width="11.85546875" bestFit="1" customWidth="1"/>
    <col min="29" max="32" width="9.42578125" bestFit="1" customWidth="1"/>
    <col min="33" max="33" width="10.85546875" bestFit="1" customWidth="1"/>
    <col min="34" max="34" width="11.85546875" bestFit="1" customWidth="1"/>
    <col min="35" max="37" width="9.42578125" bestFit="1" customWidth="1"/>
    <col min="38" max="38" width="10.85546875" bestFit="1" customWidth="1"/>
    <col min="39" max="39" width="11.85546875" bestFit="1" customWidth="1"/>
    <col min="40" max="43" width="9.42578125" bestFit="1" customWidth="1"/>
    <col min="44" max="44" width="10.85546875" bestFit="1" customWidth="1"/>
    <col min="45" max="45" width="11.85546875" bestFit="1" customWidth="1"/>
    <col min="46" max="48" width="9.42578125" bestFit="1" customWidth="1"/>
    <col min="49" max="49" width="10.85546875" bestFit="1" customWidth="1"/>
    <col min="50" max="50" width="11.85546875" bestFit="1" customWidth="1"/>
    <col min="51" max="53" width="9.42578125" bestFit="1" customWidth="1"/>
    <col min="54" max="54" width="10.85546875" bestFit="1" customWidth="1"/>
    <col min="55" max="55" width="11.85546875" bestFit="1" customWidth="1"/>
    <col min="56" max="59" width="9.42578125" bestFit="1" customWidth="1"/>
    <col min="60" max="60" width="10.85546875" bestFit="1" customWidth="1"/>
    <col min="61" max="61" width="11.85546875" bestFit="1" customWidth="1"/>
    <col min="62" max="64" width="9.42578125" bestFit="1" customWidth="1"/>
    <col min="65" max="65" width="10.85546875" bestFit="1" customWidth="1"/>
    <col min="66" max="66" width="11.85546875" bestFit="1" customWidth="1"/>
    <col min="67" max="67" width="14.7109375" bestFit="1" customWidth="1"/>
    <col min="68" max="68" width="12.85546875" bestFit="1" customWidth="1"/>
  </cols>
  <sheetData>
    <row r="1" spans="1:68" x14ac:dyDescent="0.25">
      <c r="B1" s="19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1"/>
      <c r="BO1" s="4"/>
    </row>
    <row r="2" spans="1:68" x14ac:dyDescent="0.25">
      <c r="A2" s="52" t="s">
        <v>0</v>
      </c>
      <c r="B2" s="95"/>
      <c r="C2" s="5"/>
      <c r="D2" s="6"/>
      <c r="E2" s="6"/>
      <c r="F2" s="6"/>
      <c r="G2" s="22"/>
      <c r="H2" s="22"/>
      <c r="I2" s="22"/>
      <c r="J2" s="22"/>
      <c r="K2" s="22"/>
      <c r="L2" s="22"/>
      <c r="M2" s="22"/>
      <c r="N2" s="22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4"/>
      <c r="BO2" s="54" t="s">
        <v>1</v>
      </c>
    </row>
    <row r="3" spans="1:68" ht="15.75" thickBot="1" x14ac:dyDescent="0.3">
      <c r="A3" s="53"/>
      <c r="B3" s="96"/>
      <c r="C3" s="8">
        <v>1</v>
      </c>
      <c r="D3" s="8">
        <v>2</v>
      </c>
      <c r="E3" s="8">
        <v>3</v>
      </c>
      <c r="F3" s="8">
        <v>4</v>
      </c>
      <c r="G3" s="9" t="s">
        <v>2</v>
      </c>
      <c r="H3" s="8">
        <v>5</v>
      </c>
      <c r="I3" s="8">
        <v>6</v>
      </c>
      <c r="J3" s="8">
        <v>7</v>
      </c>
      <c r="K3" s="8">
        <v>8</v>
      </c>
      <c r="L3" s="9" t="s">
        <v>3</v>
      </c>
      <c r="M3" s="8">
        <v>9</v>
      </c>
      <c r="N3" s="8">
        <v>10</v>
      </c>
      <c r="O3" s="8">
        <v>11</v>
      </c>
      <c r="P3" s="8">
        <v>12</v>
      </c>
      <c r="Q3" s="8">
        <v>13</v>
      </c>
      <c r="R3" s="9" t="s">
        <v>4</v>
      </c>
      <c r="S3" s="8">
        <v>14</v>
      </c>
      <c r="T3" s="8">
        <v>15</v>
      </c>
      <c r="U3" s="8">
        <v>16</v>
      </c>
      <c r="V3" s="8">
        <v>17</v>
      </c>
      <c r="W3" s="9" t="s">
        <v>5</v>
      </c>
      <c r="X3" s="8">
        <v>18</v>
      </c>
      <c r="Y3" s="8">
        <v>19</v>
      </c>
      <c r="Z3" s="8">
        <v>20</v>
      </c>
      <c r="AA3" s="8">
        <v>21</v>
      </c>
      <c r="AB3" s="9" t="s">
        <v>6</v>
      </c>
      <c r="AC3" s="8">
        <v>22</v>
      </c>
      <c r="AD3" s="8">
        <v>23</v>
      </c>
      <c r="AE3" s="8">
        <v>24</v>
      </c>
      <c r="AF3" s="8">
        <v>25</v>
      </c>
      <c r="AG3" s="8">
        <v>26</v>
      </c>
      <c r="AH3" s="9" t="s">
        <v>7</v>
      </c>
      <c r="AI3" s="8">
        <v>27</v>
      </c>
      <c r="AJ3" s="8">
        <v>28</v>
      </c>
      <c r="AK3" s="8">
        <v>29</v>
      </c>
      <c r="AL3" s="8">
        <v>30</v>
      </c>
      <c r="AM3" s="9" t="s">
        <v>8</v>
      </c>
      <c r="AN3" s="8">
        <v>31</v>
      </c>
      <c r="AO3" s="8">
        <v>32</v>
      </c>
      <c r="AP3" s="8">
        <v>33</v>
      </c>
      <c r="AQ3" s="8">
        <v>34</v>
      </c>
      <c r="AR3" s="8">
        <v>35</v>
      </c>
      <c r="AS3" s="9" t="s">
        <v>9</v>
      </c>
      <c r="AT3" s="8">
        <v>36</v>
      </c>
      <c r="AU3" s="8">
        <v>37</v>
      </c>
      <c r="AV3" s="8">
        <v>38</v>
      </c>
      <c r="AW3" s="8">
        <v>39</v>
      </c>
      <c r="AX3" s="9" t="s">
        <v>10</v>
      </c>
      <c r="AY3" s="8">
        <v>40</v>
      </c>
      <c r="AZ3" s="8">
        <v>41</v>
      </c>
      <c r="BA3" s="8">
        <v>42</v>
      </c>
      <c r="BB3" s="8">
        <v>43</v>
      </c>
      <c r="BC3" s="9" t="s">
        <v>11</v>
      </c>
      <c r="BD3" s="8">
        <v>44</v>
      </c>
      <c r="BE3" s="8">
        <v>45</v>
      </c>
      <c r="BF3" s="8">
        <v>46</v>
      </c>
      <c r="BG3" s="8">
        <v>47</v>
      </c>
      <c r="BH3" s="8">
        <v>48</v>
      </c>
      <c r="BI3" s="9" t="s">
        <v>12</v>
      </c>
      <c r="BJ3" s="8">
        <v>49</v>
      </c>
      <c r="BK3" s="8">
        <v>50</v>
      </c>
      <c r="BL3" s="8">
        <v>51</v>
      </c>
      <c r="BM3" s="8">
        <v>52</v>
      </c>
      <c r="BN3" s="9" t="s">
        <v>13</v>
      </c>
      <c r="BO3" s="55"/>
      <c r="BP3" s="36" t="s">
        <v>17</v>
      </c>
    </row>
    <row r="4" spans="1:68" x14ac:dyDescent="0.25">
      <c r="A4" s="100">
        <v>1</v>
      </c>
      <c r="B4" s="25"/>
      <c r="C4" s="73">
        <v>326.45999999999998</v>
      </c>
      <c r="D4" s="73">
        <v>295.33</v>
      </c>
      <c r="E4" s="73">
        <v>232.01</v>
      </c>
      <c r="F4" s="73">
        <f>311.59+28.59</f>
        <v>340.17999999999995</v>
      </c>
      <c r="G4" s="58">
        <f t="shared" ref="G4:G16" si="0">SUM(C4:F4)</f>
        <v>1193.98</v>
      </c>
      <c r="H4" s="74">
        <v>375.25</v>
      </c>
      <c r="I4" s="73">
        <v>358.8</v>
      </c>
      <c r="J4" s="73">
        <v>196.27</v>
      </c>
      <c r="K4" s="73">
        <v>327.08999999999997</v>
      </c>
      <c r="L4" s="58">
        <f t="shared" ref="L4:L16" si="1">SUM(H4:K4)</f>
        <v>1257.4099999999999</v>
      </c>
      <c r="M4" s="73">
        <v>332.12</v>
      </c>
      <c r="N4" s="73">
        <v>307.42</v>
      </c>
      <c r="O4" s="73">
        <v>300.16000000000003</v>
      </c>
      <c r="P4" s="73">
        <v>357.63</v>
      </c>
      <c r="Q4" s="73">
        <v>191.71</v>
      </c>
      <c r="R4" s="58">
        <f t="shared" ref="R4:R16" si="2">SUM(M4:Q4)</f>
        <v>1489.04</v>
      </c>
      <c r="S4" s="73">
        <v>281.48</v>
      </c>
      <c r="T4" s="73">
        <v>227.12</v>
      </c>
      <c r="U4" s="73">
        <f>344.16+0</f>
        <v>344.16</v>
      </c>
      <c r="V4" s="73">
        <f>279.45+0.28</f>
        <v>279.72999999999996</v>
      </c>
      <c r="W4" s="58">
        <f t="shared" ref="W4:W16" si="3">SUM(S4:V4)</f>
        <v>1132.49</v>
      </c>
      <c r="X4" s="73">
        <v>365.45</v>
      </c>
      <c r="Y4" s="73">
        <v>330.54</v>
      </c>
      <c r="Z4" s="73">
        <v>379.92</v>
      </c>
      <c r="AA4" s="73">
        <v>280.70999999999998</v>
      </c>
      <c r="AB4" s="58">
        <f t="shared" ref="AB4:AB16" si="4">SUM(X4:AA4)</f>
        <v>1356.6200000000001</v>
      </c>
      <c r="AC4" s="73">
        <v>307.54000000000002</v>
      </c>
      <c r="AD4" s="73">
        <v>314.38</v>
      </c>
      <c r="AE4" s="73">
        <v>281.52</v>
      </c>
      <c r="AF4" s="73">
        <f>254.68+16.97</f>
        <v>271.64999999999998</v>
      </c>
      <c r="AG4" s="73">
        <f>354.93+85.76</f>
        <v>440.69</v>
      </c>
      <c r="AH4" s="58">
        <f t="shared" ref="AH4:AH16" si="5">SUM(AC4:AG4)</f>
        <v>1615.7800000000002</v>
      </c>
      <c r="AI4" s="73">
        <v>234.57</v>
      </c>
      <c r="AJ4" s="73">
        <f>136.43+14.29</f>
        <v>150.72</v>
      </c>
      <c r="AK4" s="73">
        <v>197.55</v>
      </c>
      <c r="AL4" s="73">
        <f>285.21+19.65</f>
        <v>304.85999999999996</v>
      </c>
      <c r="AM4" s="65">
        <f t="shared" ref="AM4:AM16" si="6">SUM(AI4:AL4)</f>
        <v>887.69999999999982</v>
      </c>
      <c r="AN4" s="73">
        <v>234.37</v>
      </c>
      <c r="AO4" s="73">
        <v>326.63</v>
      </c>
      <c r="AP4" s="73">
        <v>386.48</v>
      </c>
      <c r="AQ4" s="73">
        <v>371.42</v>
      </c>
      <c r="AR4" s="73">
        <v>418.65</v>
      </c>
      <c r="AS4" s="58">
        <f t="shared" ref="AS4:AS16" si="7">SUM(AN4:AR4)</f>
        <v>1737.5500000000002</v>
      </c>
      <c r="AT4" s="75">
        <f>114.24+399.67</f>
        <v>513.91</v>
      </c>
      <c r="AU4" s="73">
        <v>375</v>
      </c>
      <c r="AV4" s="73">
        <f>199.61+4.2+134.83</f>
        <v>338.64</v>
      </c>
      <c r="AW4" s="73">
        <f>258.04+19.39</f>
        <v>277.43</v>
      </c>
      <c r="AX4" s="76">
        <f t="shared" ref="AX4:AX16" si="8">SUM(AT4:AW4)</f>
        <v>1504.98</v>
      </c>
      <c r="AY4" s="73">
        <v>275.45</v>
      </c>
      <c r="AZ4" s="73">
        <f>240.78+72</f>
        <v>312.77999999999997</v>
      </c>
      <c r="BA4" s="73">
        <v>304.43</v>
      </c>
      <c r="BB4" s="73">
        <v>235.87</v>
      </c>
      <c r="BC4" s="58">
        <f t="shared" ref="BC4:BC16" si="9">SUM(AY4:BB4)</f>
        <v>1128.5300000000002</v>
      </c>
      <c r="BD4" s="73">
        <v>291.89</v>
      </c>
      <c r="BE4" s="73">
        <v>286.44</v>
      </c>
      <c r="BF4" s="73">
        <v>288.89</v>
      </c>
      <c r="BG4" s="73">
        <f>271.92+14+5.04</f>
        <v>290.96000000000004</v>
      </c>
      <c r="BH4" s="73">
        <f>287.19+15.32</f>
        <v>302.51</v>
      </c>
      <c r="BI4" s="58">
        <f t="shared" ref="BI4:BI16" si="10">SUM(BD4:BH4)</f>
        <v>1460.6899999999998</v>
      </c>
      <c r="BJ4" s="73">
        <v>314.55</v>
      </c>
      <c r="BK4" s="73">
        <f>284.38+42.86</f>
        <v>327.24</v>
      </c>
      <c r="BL4" s="73">
        <f>6.12+280.62+57.14</f>
        <v>343.88</v>
      </c>
      <c r="BM4" s="73">
        <f>282.64+101.54</f>
        <v>384.18</v>
      </c>
      <c r="BN4" s="58">
        <f t="shared" ref="BN4:BN16" si="11">SUM(BJ4:BM4)</f>
        <v>1369.85</v>
      </c>
      <c r="BO4" s="59">
        <f t="shared" ref="BO4:BO16" si="12">+G4+L4+R4+W4+AB4+AH4+AM4+AS4+AX4+BC4+BI4+BN4</f>
        <v>16134.62</v>
      </c>
      <c r="BP4" s="38"/>
    </row>
    <row r="5" spans="1:68" x14ac:dyDescent="0.25">
      <c r="A5" s="100">
        <v>2</v>
      </c>
      <c r="B5" s="25"/>
      <c r="C5" s="74">
        <v>279.64999999999998</v>
      </c>
      <c r="D5" s="74">
        <f>272.03+71.47</f>
        <v>343.5</v>
      </c>
      <c r="E5" s="74">
        <v>201.82</v>
      </c>
      <c r="F5" s="74">
        <f>241.06+37.71</f>
        <v>278.77</v>
      </c>
      <c r="G5" s="65">
        <f t="shared" si="0"/>
        <v>1103.74</v>
      </c>
      <c r="H5" s="74">
        <f>301.25+4.44</f>
        <v>305.69</v>
      </c>
      <c r="I5" s="74">
        <v>254.24</v>
      </c>
      <c r="J5" s="74">
        <v>263.39999999999998</v>
      </c>
      <c r="K5" s="74">
        <v>353.37</v>
      </c>
      <c r="L5" s="65">
        <f t="shared" si="1"/>
        <v>1176.7</v>
      </c>
      <c r="M5" s="74">
        <v>389.63</v>
      </c>
      <c r="N5" s="74">
        <f>243.54+28</f>
        <v>271.53999999999996</v>
      </c>
      <c r="O5" s="74">
        <v>247.23</v>
      </c>
      <c r="P5" s="74">
        <v>149.71</v>
      </c>
      <c r="Q5" s="74">
        <v>266.33999999999997</v>
      </c>
      <c r="R5" s="65">
        <f t="shared" si="2"/>
        <v>1324.4499999999998</v>
      </c>
      <c r="S5" s="74">
        <v>334.17</v>
      </c>
      <c r="T5" s="74">
        <f>234.61+3.2+18</f>
        <v>255.81</v>
      </c>
      <c r="U5" s="74">
        <f>302.93+6.13</f>
        <v>309.06</v>
      </c>
      <c r="V5" s="74">
        <f>310.89+9.62+1.78</f>
        <v>322.28999999999996</v>
      </c>
      <c r="W5" s="65">
        <f t="shared" si="3"/>
        <v>1221.33</v>
      </c>
      <c r="X5" s="74">
        <v>351.32</v>
      </c>
      <c r="Y5" s="74">
        <f>15.3+335.71</f>
        <v>351.01</v>
      </c>
      <c r="Z5" s="74">
        <v>390.38</v>
      </c>
      <c r="AA5" s="74">
        <v>375.58</v>
      </c>
      <c r="AB5" s="65">
        <f t="shared" si="4"/>
        <v>1468.29</v>
      </c>
      <c r="AC5" s="74">
        <v>273.22000000000003</v>
      </c>
      <c r="AD5" s="74">
        <v>432.13</v>
      </c>
      <c r="AE5" s="74">
        <f>339.29+28.59</f>
        <v>367.88</v>
      </c>
      <c r="AF5" s="74">
        <f>429.74+20.36</f>
        <v>450.1</v>
      </c>
      <c r="AG5" s="74">
        <v>347.03</v>
      </c>
      <c r="AH5" s="65">
        <f t="shared" si="5"/>
        <v>1870.36</v>
      </c>
      <c r="AI5" s="74">
        <v>108.29</v>
      </c>
      <c r="AJ5" s="74">
        <f>150.98+56.14</f>
        <v>207.12</v>
      </c>
      <c r="AK5" s="74">
        <f>282.42+14.82+80.16</f>
        <v>377.4</v>
      </c>
      <c r="AL5" s="74">
        <f>296.31+59.45</f>
        <v>355.76</v>
      </c>
      <c r="AM5" s="65">
        <f t="shared" si="6"/>
        <v>1048.57</v>
      </c>
      <c r="AN5" s="74">
        <v>243.9</v>
      </c>
      <c r="AO5" s="74">
        <f>6.12+339.49</f>
        <v>345.61</v>
      </c>
      <c r="AP5" s="74">
        <v>375.5</v>
      </c>
      <c r="AQ5" s="74">
        <f>333.37+10.39</f>
        <v>343.76</v>
      </c>
      <c r="AR5" s="74">
        <v>334.88</v>
      </c>
      <c r="AS5" s="65">
        <f t="shared" si="7"/>
        <v>1643.65</v>
      </c>
      <c r="AT5" s="74">
        <f>114.24+341.1+43.12</f>
        <v>498.46000000000004</v>
      </c>
      <c r="AU5" s="74">
        <v>414.31</v>
      </c>
      <c r="AV5" s="74">
        <f>389.85+4.2+21.85</f>
        <v>415.90000000000003</v>
      </c>
      <c r="AW5" s="74">
        <v>328.79</v>
      </c>
      <c r="AX5" s="65">
        <f t="shared" si="8"/>
        <v>1657.46</v>
      </c>
      <c r="AY5" s="74">
        <v>309.61</v>
      </c>
      <c r="AZ5" s="74">
        <f>252.65+53.82</f>
        <v>306.47000000000003</v>
      </c>
      <c r="BA5" s="74">
        <v>396.16</v>
      </c>
      <c r="BB5" s="74">
        <f>216.16+33.64</f>
        <v>249.8</v>
      </c>
      <c r="BC5" s="65">
        <f t="shared" si="9"/>
        <v>1262.04</v>
      </c>
      <c r="BD5" s="74">
        <f>271.03+21.44</f>
        <v>292.46999999999997</v>
      </c>
      <c r="BE5" s="74">
        <f>163.68+54.39</f>
        <v>218.07</v>
      </c>
      <c r="BF5" s="74">
        <v>314.81</v>
      </c>
      <c r="BG5" s="74">
        <v>184.72</v>
      </c>
      <c r="BH5" s="74">
        <f>234.35+14</f>
        <v>248.35</v>
      </c>
      <c r="BI5" s="58">
        <f t="shared" si="10"/>
        <v>1258.4199999999998</v>
      </c>
      <c r="BJ5" s="74">
        <v>272.19</v>
      </c>
      <c r="BK5" s="74">
        <f>312.83+103.86</f>
        <v>416.69</v>
      </c>
      <c r="BL5" s="74">
        <f>6.46+316.36</f>
        <v>322.82</v>
      </c>
      <c r="BM5" s="74">
        <f>235.59+71.73+1.7</f>
        <v>309.02</v>
      </c>
      <c r="BN5" s="58">
        <f t="shared" si="11"/>
        <v>1320.72</v>
      </c>
      <c r="BO5" s="60">
        <f t="shared" si="12"/>
        <v>16355.73</v>
      </c>
      <c r="BP5" s="38"/>
    </row>
    <row r="6" spans="1:68" x14ac:dyDescent="0.25">
      <c r="A6" s="101">
        <v>3</v>
      </c>
      <c r="B6" s="26"/>
      <c r="C6" s="74">
        <v>145.38</v>
      </c>
      <c r="D6" s="74">
        <v>116.08</v>
      </c>
      <c r="E6" s="74">
        <f>89.91+10.78</f>
        <v>100.69</v>
      </c>
      <c r="F6" s="74">
        <f>144.77+257.04+705.6</f>
        <v>1107.4100000000001</v>
      </c>
      <c r="G6" s="65">
        <f t="shared" si="0"/>
        <v>1469.56</v>
      </c>
      <c r="H6" s="74">
        <v>110.94</v>
      </c>
      <c r="I6" s="74">
        <v>175.11</v>
      </c>
      <c r="J6" s="74">
        <v>199.21</v>
      </c>
      <c r="K6" s="74">
        <f>257.04+705.6+173.88</f>
        <v>1136.52</v>
      </c>
      <c r="L6" s="65">
        <f t="shared" si="1"/>
        <v>1621.78</v>
      </c>
      <c r="M6" s="74">
        <v>111.9</v>
      </c>
      <c r="N6" s="74">
        <v>111.86</v>
      </c>
      <c r="O6" s="74">
        <v>146.69999999999999</v>
      </c>
      <c r="P6" s="74">
        <v>110.79</v>
      </c>
      <c r="Q6" s="74">
        <f>321.3+882+113.2</f>
        <v>1316.5</v>
      </c>
      <c r="R6" s="65">
        <f t="shared" si="2"/>
        <v>1797.75</v>
      </c>
      <c r="S6" s="74">
        <v>16.920000000000002</v>
      </c>
      <c r="T6" s="73">
        <v>175.29</v>
      </c>
      <c r="U6" s="73">
        <v>177.57</v>
      </c>
      <c r="V6" s="74">
        <f>148.9+257.04+705.6</f>
        <v>1111.54</v>
      </c>
      <c r="W6" s="65">
        <f t="shared" si="3"/>
        <v>1481.32</v>
      </c>
      <c r="X6" s="74">
        <v>182.08</v>
      </c>
      <c r="Y6" s="74">
        <v>123.41</v>
      </c>
      <c r="Z6" s="74">
        <v>150.09</v>
      </c>
      <c r="AA6" s="74">
        <v>122.81</v>
      </c>
      <c r="AB6" s="65">
        <f t="shared" si="4"/>
        <v>578.3900000000001</v>
      </c>
      <c r="AC6" s="74">
        <v>115.89</v>
      </c>
      <c r="AD6" s="74">
        <v>115.21</v>
      </c>
      <c r="AE6" s="74">
        <v>111.38</v>
      </c>
      <c r="AF6" s="74">
        <v>105.53</v>
      </c>
      <c r="AG6" s="74">
        <f>322.32+718.8+181.18</f>
        <v>1222.3</v>
      </c>
      <c r="AH6" s="65">
        <f t="shared" si="5"/>
        <v>1670.31</v>
      </c>
      <c r="AI6" s="74">
        <f>149.26+12.06</f>
        <v>161.32</v>
      </c>
      <c r="AJ6" s="74">
        <f>102.18+36.6</f>
        <v>138.78</v>
      </c>
      <c r="AK6" s="74">
        <v>104.58</v>
      </c>
      <c r="AL6" s="74">
        <f>89.35+42.88+354.96+726</f>
        <v>1213.19</v>
      </c>
      <c r="AM6" s="65">
        <f t="shared" si="6"/>
        <v>1617.8700000000001</v>
      </c>
      <c r="AN6" s="74">
        <v>104.56</v>
      </c>
      <c r="AO6" s="74">
        <v>156.41999999999999</v>
      </c>
      <c r="AP6" s="74">
        <v>132.43</v>
      </c>
      <c r="AQ6" s="74">
        <v>119.52</v>
      </c>
      <c r="AR6" s="74">
        <f>443.7+907.5+209.47</f>
        <v>1560.67</v>
      </c>
      <c r="AS6" s="65">
        <f t="shared" si="7"/>
        <v>2073.6000000000004</v>
      </c>
      <c r="AT6" s="73">
        <v>219.91</v>
      </c>
      <c r="AU6" s="74">
        <v>141.05000000000001</v>
      </c>
      <c r="AV6" s="74">
        <v>198.39</v>
      </c>
      <c r="AW6" s="74">
        <f>369.24+729.6+144.29+28.58</f>
        <v>1271.71</v>
      </c>
      <c r="AX6" s="65">
        <f t="shared" si="8"/>
        <v>1831.06</v>
      </c>
      <c r="AY6" s="74">
        <v>153.75</v>
      </c>
      <c r="AZ6" s="74">
        <v>75.61</v>
      </c>
      <c r="BA6" s="74">
        <v>185.8</v>
      </c>
      <c r="BB6" s="74">
        <f>141.77+375.36+730.8</f>
        <v>1247.9299999999998</v>
      </c>
      <c r="BC6" s="77">
        <f t="shared" si="9"/>
        <v>1663.09</v>
      </c>
      <c r="BD6" s="74">
        <v>243.31</v>
      </c>
      <c r="BE6" s="74">
        <v>112.82</v>
      </c>
      <c r="BF6" s="74">
        <v>132.31</v>
      </c>
      <c r="BG6" s="74">
        <v>170.73</v>
      </c>
      <c r="BH6" s="74">
        <f>515.1+1033.5+121.17+41.99</f>
        <v>1711.76</v>
      </c>
      <c r="BI6" s="58">
        <f t="shared" si="10"/>
        <v>2370.9299999999998</v>
      </c>
      <c r="BJ6" s="74">
        <v>121.26</v>
      </c>
      <c r="BK6" s="74">
        <f>122+42.86</f>
        <v>164.86</v>
      </c>
      <c r="BL6" s="74">
        <v>162.69</v>
      </c>
      <c r="BM6" s="74">
        <f>414.12+831.6+137.76+42.86</f>
        <v>1426.34</v>
      </c>
      <c r="BN6" s="58">
        <f t="shared" si="11"/>
        <v>1875.1499999999999</v>
      </c>
      <c r="BO6" s="60">
        <f t="shared" si="12"/>
        <v>20050.810000000001</v>
      </c>
      <c r="BP6" s="38"/>
    </row>
    <row r="7" spans="1:68" x14ac:dyDescent="0.25">
      <c r="A7" s="102">
        <v>4</v>
      </c>
      <c r="B7" s="27"/>
      <c r="C7" s="74">
        <v>221.79</v>
      </c>
      <c r="D7" s="74">
        <v>129.37</v>
      </c>
      <c r="E7" s="74">
        <f>187.92+14.5</f>
        <v>202.42</v>
      </c>
      <c r="F7" s="74">
        <v>137.02000000000001</v>
      </c>
      <c r="G7" s="65">
        <f t="shared" si="0"/>
        <v>690.59999999999991</v>
      </c>
      <c r="H7" s="74">
        <v>299.23</v>
      </c>
      <c r="I7" s="74">
        <v>231.44</v>
      </c>
      <c r="J7" s="74">
        <v>163.88</v>
      </c>
      <c r="K7" s="74">
        <v>246.24</v>
      </c>
      <c r="L7" s="65">
        <f t="shared" si="1"/>
        <v>940.79000000000008</v>
      </c>
      <c r="M7" s="74">
        <v>263.06</v>
      </c>
      <c r="N7" s="74">
        <v>95.31</v>
      </c>
      <c r="O7" s="74">
        <v>145.41999999999999</v>
      </c>
      <c r="P7" s="74">
        <f>154.1+0.5</f>
        <v>154.6</v>
      </c>
      <c r="Q7" s="74">
        <v>142.44</v>
      </c>
      <c r="R7" s="65">
        <f t="shared" si="2"/>
        <v>800.82999999999993</v>
      </c>
      <c r="S7" s="74">
        <v>190.54</v>
      </c>
      <c r="T7" s="74">
        <v>255.84</v>
      </c>
      <c r="U7" s="74">
        <v>144.22</v>
      </c>
      <c r="V7" s="74">
        <f>218.89+0.07</f>
        <v>218.95999999999998</v>
      </c>
      <c r="W7" s="65">
        <f t="shared" si="3"/>
        <v>809.56</v>
      </c>
      <c r="X7" s="74">
        <f>167.48+21.6</f>
        <v>189.07999999999998</v>
      </c>
      <c r="Y7" s="74">
        <v>177.85</v>
      </c>
      <c r="Z7" s="74">
        <v>188.22</v>
      </c>
      <c r="AA7" s="74">
        <f>205.6+326.4+882</f>
        <v>1414</v>
      </c>
      <c r="AB7" s="65">
        <f t="shared" si="4"/>
        <v>1969.15</v>
      </c>
      <c r="AC7" s="74">
        <f>259.79+7.5+16.8</f>
        <v>284.09000000000003</v>
      </c>
      <c r="AD7" s="74">
        <v>197.07</v>
      </c>
      <c r="AE7" s="74">
        <v>266.33999999999997</v>
      </c>
      <c r="AF7" s="74">
        <v>195.54</v>
      </c>
      <c r="AG7" s="74">
        <v>195.58</v>
      </c>
      <c r="AH7" s="65">
        <f t="shared" si="5"/>
        <v>1138.6199999999999</v>
      </c>
      <c r="AI7" s="74">
        <v>218.62</v>
      </c>
      <c r="AJ7" s="74">
        <f>113.68+59.09</f>
        <v>172.77</v>
      </c>
      <c r="AK7" s="74">
        <v>265.91000000000003</v>
      </c>
      <c r="AL7" s="74">
        <f>208.59+67.64</f>
        <v>276.23</v>
      </c>
      <c r="AM7" s="65">
        <f t="shared" si="6"/>
        <v>933.53</v>
      </c>
      <c r="AN7" s="74">
        <f>155.79+11.5</f>
        <v>167.29</v>
      </c>
      <c r="AO7" s="74">
        <f>280.72+7.67</f>
        <v>288.39000000000004</v>
      </c>
      <c r="AP7" s="74">
        <v>114.69</v>
      </c>
      <c r="AQ7" s="74">
        <v>258.67</v>
      </c>
      <c r="AR7" s="74">
        <v>208.51</v>
      </c>
      <c r="AS7" s="65">
        <f t="shared" si="7"/>
        <v>1037.5500000000002</v>
      </c>
      <c r="AT7" s="74">
        <v>208.61</v>
      </c>
      <c r="AU7" s="74">
        <v>310.79000000000002</v>
      </c>
      <c r="AV7" s="74">
        <v>190.47</v>
      </c>
      <c r="AW7" s="74">
        <v>338.3</v>
      </c>
      <c r="AX7" s="65">
        <f t="shared" si="8"/>
        <v>1048.17</v>
      </c>
      <c r="AY7" s="74">
        <v>170.01</v>
      </c>
      <c r="AZ7" s="74">
        <v>125.03</v>
      </c>
      <c r="BA7" s="74">
        <v>194.85</v>
      </c>
      <c r="BB7" s="74">
        <f>82.54+0.6</f>
        <v>83.14</v>
      </c>
      <c r="BC7" s="65">
        <f t="shared" si="9"/>
        <v>573.03</v>
      </c>
      <c r="BD7" s="74">
        <f>161.83+28.59</f>
        <v>190.42000000000002</v>
      </c>
      <c r="BE7" s="74">
        <v>190.31</v>
      </c>
      <c r="BF7" s="74">
        <v>159.30000000000001</v>
      </c>
      <c r="BG7" s="74">
        <v>140.72</v>
      </c>
      <c r="BH7" s="74">
        <f>173.69+55.99</f>
        <v>229.68</v>
      </c>
      <c r="BI7" s="58">
        <f t="shared" si="10"/>
        <v>910.43000000000006</v>
      </c>
      <c r="BJ7" s="74">
        <v>163.69999999999999</v>
      </c>
      <c r="BK7" s="74">
        <v>158.57</v>
      </c>
      <c r="BL7" s="74">
        <v>225.06</v>
      </c>
      <c r="BM7" s="74">
        <v>123.32</v>
      </c>
      <c r="BN7" s="58">
        <f t="shared" si="11"/>
        <v>670.64999999999986</v>
      </c>
      <c r="BO7" s="60">
        <f t="shared" si="12"/>
        <v>11522.910000000002</v>
      </c>
      <c r="BP7" s="38"/>
    </row>
    <row r="8" spans="1:68" x14ac:dyDescent="0.25">
      <c r="A8" s="102">
        <v>5</v>
      </c>
      <c r="B8" s="28"/>
      <c r="C8" s="74">
        <v>398.63</v>
      </c>
      <c r="D8" s="74">
        <v>377.41</v>
      </c>
      <c r="E8" s="74">
        <v>359.76</v>
      </c>
      <c r="F8" s="74">
        <v>372.03</v>
      </c>
      <c r="G8" s="65">
        <f t="shared" si="0"/>
        <v>1507.83</v>
      </c>
      <c r="H8" s="74">
        <v>401.32</v>
      </c>
      <c r="I8" s="74">
        <v>361.73</v>
      </c>
      <c r="J8" s="74">
        <f>391.58+11</f>
        <v>402.58</v>
      </c>
      <c r="K8" s="74">
        <v>448.73</v>
      </c>
      <c r="L8" s="65">
        <f t="shared" si="1"/>
        <v>1614.36</v>
      </c>
      <c r="M8" s="74">
        <v>443.39</v>
      </c>
      <c r="N8" s="74">
        <v>406.21</v>
      </c>
      <c r="O8" s="74">
        <v>384.62</v>
      </c>
      <c r="P8" s="74">
        <v>389.95</v>
      </c>
      <c r="Q8" s="74">
        <v>405.11</v>
      </c>
      <c r="R8" s="65">
        <f t="shared" si="2"/>
        <v>2029.2799999999997</v>
      </c>
      <c r="S8" s="74">
        <f>347.77+43.2</f>
        <v>390.96999999999997</v>
      </c>
      <c r="T8" s="74">
        <f>476.25+52.92</f>
        <v>529.16999999999996</v>
      </c>
      <c r="U8" s="74">
        <v>461.83</v>
      </c>
      <c r="V8" s="74">
        <v>458.45</v>
      </c>
      <c r="W8" s="65">
        <f t="shared" si="3"/>
        <v>1840.4199999999998</v>
      </c>
      <c r="X8" s="74">
        <f>451.26+26.46</f>
        <v>477.71999999999997</v>
      </c>
      <c r="Y8" s="74">
        <v>476.89</v>
      </c>
      <c r="Z8" s="74">
        <f>334.39+48.96</f>
        <v>383.34999999999997</v>
      </c>
      <c r="AA8" s="74">
        <v>412.63</v>
      </c>
      <c r="AB8" s="65">
        <f t="shared" si="4"/>
        <v>1750.5899999999997</v>
      </c>
      <c r="AC8" s="74">
        <v>387.58</v>
      </c>
      <c r="AD8" s="74">
        <f>466.55+24.51</f>
        <v>491.06</v>
      </c>
      <c r="AE8" s="74">
        <f>410.03+49.01</f>
        <v>459.03999999999996</v>
      </c>
      <c r="AF8" s="74">
        <v>505.89</v>
      </c>
      <c r="AG8" s="74">
        <f>498.51+23.8+73.52</f>
        <v>595.82999999999993</v>
      </c>
      <c r="AH8" s="65">
        <f t="shared" si="5"/>
        <v>2439.3999999999996</v>
      </c>
      <c r="AI8" s="74">
        <v>464.46</v>
      </c>
      <c r="AJ8" s="74">
        <f>411.54+111.56</f>
        <v>523.1</v>
      </c>
      <c r="AK8" s="74">
        <v>458.76</v>
      </c>
      <c r="AL8" s="74">
        <f>7.59+366.04+129.7</f>
        <v>503.33</v>
      </c>
      <c r="AM8" s="65">
        <f t="shared" si="6"/>
        <v>1949.6499999999999</v>
      </c>
      <c r="AN8" s="74">
        <f>376.39+23.01</f>
        <v>399.4</v>
      </c>
      <c r="AO8" s="74">
        <v>608.9</v>
      </c>
      <c r="AP8" s="74">
        <v>612.82000000000005</v>
      </c>
      <c r="AQ8" s="74">
        <v>388.42</v>
      </c>
      <c r="AR8" s="74">
        <v>615.33000000000004</v>
      </c>
      <c r="AS8" s="65">
        <f t="shared" si="7"/>
        <v>2624.87</v>
      </c>
      <c r="AT8" s="74">
        <f>418.83+53.9</f>
        <v>472.72999999999996</v>
      </c>
      <c r="AU8" s="74">
        <v>647.22</v>
      </c>
      <c r="AV8" s="74">
        <f>8.64+534.75</f>
        <v>543.39</v>
      </c>
      <c r="AW8" s="74">
        <f>248.74+285.85+20.4</f>
        <v>554.99</v>
      </c>
      <c r="AX8" s="65">
        <f t="shared" si="8"/>
        <v>2218.33</v>
      </c>
      <c r="AY8" s="74">
        <f>433.33+6</f>
        <v>439.33</v>
      </c>
      <c r="AZ8" s="74">
        <f>330.83+71.4</f>
        <v>402.23</v>
      </c>
      <c r="BA8" s="74">
        <v>451.03</v>
      </c>
      <c r="BB8" s="74">
        <v>437.81</v>
      </c>
      <c r="BC8" s="65">
        <f t="shared" si="9"/>
        <v>1730.3999999999999</v>
      </c>
      <c r="BD8" s="74">
        <f>386.74+28.8</f>
        <v>415.54</v>
      </c>
      <c r="BE8" s="74">
        <f>397.77+9.17</f>
        <v>406.94</v>
      </c>
      <c r="BF8" s="74">
        <v>512.15</v>
      </c>
      <c r="BG8" s="74">
        <v>503.84</v>
      </c>
      <c r="BH8" s="74">
        <f>4.08+346.52+55.99</f>
        <v>406.59</v>
      </c>
      <c r="BI8" s="58">
        <f t="shared" si="10"/>
        <v>2245.06</v>
      </c>
      <c r="BJ8" s="74">
        <v>411.97</v>
      </c>
      <c r="BK8" s="74">
        <v>333.72</v>
      </c>
      <c r="BL8" s="74">
        <f>359.99+63.36</f>
        <v>423.35</v>
      </c>
      <c r="BM8" s="74">
        <f>291.47+107.35</f>
        <v>398.82000000000005</v>
      </c>
      <c r="BN8" s="58">
        <f t="shared" si="11"/>
        <v>1567.8600000000001</v>
      </c>
      <c r="BO8" s="60">
        <f t="shared" si="12"/>
        <v>23518.05</v>
      </c>
      <c r="BP8" s="38"/>
    </row>
    <row r="9" spans="1:68" x14ac:dyDescent="0.25">
      <c r="A9" s="102">
        <v>6</v>
      </c>
      <c r="B9" s="28"/>
      <c r="C9" s="74">
        <v>410.09</v>
      </c>
      <c r="D9" s="74">
        <v>405.15</v>
      </c>
      <c r="E9" s="74">
        <v>493.9</v>
      </c>
      <c r="F9" s="74">
        <f>304.21+100.05</f>
        <v>404.26</v>
      </c>
      <c r="G9" s="65">
        <f t="shared" si="0"/>
        <v>1713.3999999999999</v>
      </c>
      <c r="H9" s="74">
        <v>436.46</v>
      </c>
      <c r="I9" s="74">
        <v>420.08</v>
      </c>
      <c r="J9" s="74">
        <f>533.28+11</f>
        <v>544.28</v>
      </c>
      <c r="K9" s="74">
        <v>413.79</v>
      </c>
      <c r="L9" s="65">
        <f t="shared" si="1"/>
        <v>1814.61</v>
      </c>
      <c r="M9" s="74">
        <v>429.76</v>
      </c>
      <c r="N9" s="74">
        <f>289.97+100.05</f>
        <v>390.02000000000004</v>
      </c>
      <c r="O9" s="74">
        <v>471.86</v>
      </c>
      <c r="P9" s="74">
        <f>437.05+10.08</f>
        <v>447.13</v>
      </c>
      <c r="Q9" s="74">
        <v>411.59</v>
      </c>
      <c r="R9" s="65">
        <f t="shared" si="2"/>
        <v>2150.36</v>
      </c>
      <c r="S9" s="74">
        <f>503.7+100.05</f>
        <v>603.75</v>
      </c>
      <c r="T9" s="74">
        <v>561.80999999999995</v>
      </c>
      <c r="U9" s="74">
        <f>458.12+100.05</f>
        <v>558.16999999999996</v>
      </c>
      <c r="V9" s="74">
        <v>16.2</v>
      </c>
      <c r="W9" s="65">
        <f t="shared" si="3"/>
        <v>1739.93</v>
      </c>
      <c r="X9" s="74">
        <f>365.14+139.06</f>
        <v>504.2</v>
      </c>
      <c r="Y9" s="74">
        <f>43.2+89.38+211.73</f>
        <v>344.30999999999995</v>
      </c>
      <c r="Z9" s="74">
        <f>343.49+100.05</f>
        <v>443.54</v>
      </c>
      <c r="AA9" s="74">
        <v>423.05</v>
      </c>
      <c r="AB9" s="65">
        <f t="shared" si="4"/>
        <v>1715.1</v>
      </c>
      <c r="AC9" s="74">
        <v>445</v>
      </c>
      <c r="AD9" s="74">
        <v>438.59</v>
      </c>
      <c r="AE9" s="74">
        <v>452.27</v>
      </c>
      <c r="AF9" s="74">
        <f>399.13+24.4</f>
        <v>423.53</v>
      </c>
      <c r="AG9" s="74">
        <f>287.85+114.35+8.64</f>
        <v>410.84000000000003</v>
      </c>
      <c r="AH9" s="65">
        <f t="shared" si="5"/>
        <v>2170.23</v>
      </c>
      <c r="AI9" s="74">
        <v>514.29999999999995</v>
      </c>
      <c r="AJ9" s="74">
        <f>279.19+114.35</f>
        <v>393.53999999999996</v>
      </c>
      <c r="AK9" s="74">
        <v>485.57</v>
      </c>
      <c r="AL9" s="74">
        <f>353.56+71.47</f>
        <v>425.03</v>
      </c>
      <c r="AM9" s="65">
        <f t="shared" si="6"/>
        <v>1818.4399999999998</v>
      </c>
      <c r="AN9" s="74">
        <v>397.42</v>
      </c>
      <c r="AO9" s="74">
        <f>593.31+24.51</f>
        <v>617.81999999999994</v>
      </c>
      <c r="AP9" s="74">
        <v>635.74</v>
      </c>
      <c r="AQ9" s="74">
        <v>384.85</v>
      </c>
      <c r="AR9" s="74">
        <v>566.07000000000005</v>
      </c>
      <c r="AS9" s="65">
        <f t="shared" si="7"/>
        <v>2601.9</v>
      </c>
      <c r="AT9" s="74">
        <f>427.18+53.9</f>
        <v>481.08</v>
      </c>
      <c r="AU9" s="74">
        <f>32.4+782.08</f>
        <v>814.48</v>
      </c>
      <c r="AV9" s="74">
        <v>760.8</v>
      </c>
      <c r="AW9" s="74">
        <f>286.62+185.8</f>
        <v>472.42</v>
      </c>
      <c r="AX9" s="65">
        <f t="shared" si="8"/>
        <v>2528.7799999999997</v>
      </c>
      <c r="AY9" s="74">
        <v>506.67</v>
      </c>
      <c r="AZ9" s="74">
        <f>352.82+57.12</f>
        <v>409.94</v>
      </c>
      <c r="BA9" s="74">
        <v>490.16</v>
      </c>
      <c r="BB9" s="74">
        <v>426.53</v>
      </c>
      <c r="BC9" s="65">
        <f t="shared" si="9"/>
        <v>1833.3</v>
      </c>
      <c r="BD9" s="74">
        <f>344.89+28.59</f>
        <v>373.47999999999996</v>
      </c>
      <c r="BE9" s="74">
        <f>381.65+30.94</f>
        <v>412.59</v>
      </c>
      <c r="BF9" s="74">
        <f>391.11+14.91</f>
        <v>406.02000000000004</v>
      </c>
      <c r="BG9" s="74">
        <v>447.29</v>
      </c>
      <c r="BH9" s="74">
        <f>373.95+118.46</f>
        <v>492.40999999999997</v>
      </c>
      <c r="BI9" s="58">
        <f t="shared" si="10"/>
        <v>2131.79</v>
      </c>
      <c r="BJ9" s="74">
        <v>429.5</v>
      </c>
      <c r="BK9" s="74">
        <f>543.95+100</f>
        <v>643.95000000000005</v>
      </c>
      <c r="BL9" s="74">
        <f>4.08+644.94</f>
        <v>649.0200000000001</v>
      </c>
      <c r="BM9" s="74">
        <f>435.72+163.68</f>
        <v>599.40000000000009</v>
      </c>
      <c r="BN9" s="58">
        <f t="shared" si="11"/>
        <v>2321.8700000000003</v>
      </c>
      <c r="BO9" s="60">
        <f t="shared" si="12"/>
        <v>24539.71</v>
      </c>
      <c r="BP9" s="38"/>
    </row>
    <row r="10" spans="1:68" x14ac:dyDescent="0.25">
      <c r="A10" s="102">
        <v>7</v>
      </c>
      <c r="B10" s="25"/>
      <c r="C10" s="74">
        <v>539.95000000000005</v>
      </c>
      <c r="D10" s="74">
        <v>475.32</v>
      </c>
      <c r="E10" s="74">
        <f>463.1+2.4</f>
        <v>465.5</v>
      </c>
      <c r="F10" s="74">
        <v>521.54</v>
      </c>
      <c r="G10" s="65">
        <f t="shared" si="0"/>
        <v>2002.31</v>
      </c>
      <c r="H10" s="74">
        <v>434.45</v>
      </c>
      <c r="I10" s="74">
        <v>289.14</v>
      </c>
      <c r="J10" s="74">
        <f>517.47+11</f>
        <v>528.47</v>
      </c>
      <c r="K10" s="74">
        <v>373.97</v>
      </c>
      <c r="L10" s="65">
        <f t="shared" si="1"/>
        <v>1626.03</v>
      </c>
      <c r="M10" s="74">
        <v>225.65</v>
      </c>
      <c r="N10" s="74">
        <f>38.6+340.64+24.51</f>
        <v>403.75</v>
      </c>
      <c r="O10" s="74">
        <v>508.74</v>
      </c>
      <c r="P10" s="74">
        <v>452.1</v>
      </c>
      <c r="Q10" s="74">
        <f>609.63+6.13</f>
        <v>615.76</v>
      </c>
      <c r="R10" s="65">
        <f t="shared" si="2"/>
        <v>2206</v>
      </c>
      <c r="S10" s="74">
        <v>617.80999999999995</v>
      </c>
      <c r="T10" s="74">
        <v>611.39</v>
      </c>
      <c r="U10" s="74">
        <f>282.36+123.54</f>
        <v>405.90000000000003</v>
      </c>
      <c r="V10" s="74">
        <v>260.39</v>
      </c>
      <c r="W10" s="65">
        <f t="shared" si="3"/>
        <v>1895.4899999999998</v>
      </c>
      <c r="X10" s="74">
        <f>394.32+218.02</f>
        <v>612.34</v>
      </c>
      <c r="Y10" s="74">
        <f>309.77+1.81</f>
        <v>311.58</v>
      </c>
      <c r="Z10" s="74">
        <v>566.63</v>
      </c>
      <c r="AA10" s="74">
        <v>484.77</v>
      </c>
      <c r="AB10" s="65">
        <f t="shared" si="4"/>
        <v>1975.3200000000002</v>
      </c>
      <c r="AC10" s="74">
        <f>306.79+3.06</f>
        <v>309.85000000000002</v>
      </c>
      <c r="AD10" s="74">
        <v>690.12</v>
      </c>
      <c r="AE10" s="74">
        <f>429.12+12.49</f>
        <v>441.61</v>
      </c>
      <c r="AF10" s="74">
        <f>523.69+40.73</f>
        <v>564.42000000000007</v>
      </c>
      <c r="AG10" s="74">
        <f>146.61+53.04</f>
        <v>199.65</v>
      </c>
      <c r="AH10" s="65">
        <f t="shared" si="5"/>
        <v>2205.65</v>
      </c>
      <c r="AI10" s="74">
        <v>539.07000000000005</v>
      </c>
      <c r="AJ10" s="74">
        <f>148.56+214.4</f>
        <v>362.96000000000004</v>
      </c>
      <c r="AK10" s="74">
        <v>348.56</v>
      </c>
      <c r="AL10" s="74">
        <f>297.94+11.51</f>
        <v>309.45</v>
      </c>
      <c r="AM10" s="65">
        <f t="shared" si="6"/>
        <v>1560.0400000000002</v>
      </c>
      <c r="AN10" s="74">
        <f>410.24+40.81</f>
        <v>451.05</v>
      </c>
      <c r="AO10" s="74">
        <v>912.16</v>
      </c>
      <c r="AP10" s="74">
        <f>284.88+57.14+0.27</f>
        <v>342.28999999999996</v>
      </c>
      <c r="AQ10" s="74">
        <f>762.48+53.67</f>
        <v>816.15</v>
      </c>
      <c r="AR10" s="74">
        <f>15.12+846.27</f>
        <v>861.39</v>
      </c>
      <c r="AS10" s="65">
        <f t="shared" si="7"/>
        <v>3383.04</v>
      </c>
      <c r="AT10" s="74">
        <f>491.58+299.88</f>
        <v>791.46</v>
      </c>
      <c r="AU10" s="74">
        <f>679.38+43.54</f>
        <v>722.92</v>
      </c>
      <c r="AV10" s="74">
        <f>176.88+61.46</f>
        <v>238.34</v>
      </c>
      <c r="AW10" s="74">
        <f>272.18+233.78</f>
        <v>505.96000000000004</v>
      </c>
      <c r="AX10" s="65">
        <f t="shared" si="8"/>
        <v>2258.6800000000003</v>
      </c>
      <c r="AY10" s="74">
        <f>286.18+357.31</f>
        <v>643.49</v>
      </c>
      <c r="AZ10" s="74">
        <f>329.58+178.5</f>
        <v>508.08</v>
      </c>
      <c r="BA10" s="74">
        <v>460.88</v>
      </c>
      <c r="BB10" s="74">
        <v>500.17</v>
      </c>
      <c r="BC10" s="65">
        <f t="shared" si="9"/>
        <v>2112.62</v>
      </c>
      <c r="BD10" s="74">
        <f>434.48+25.23</f>
        <v>459.71000000000004</v>
      </c>
      <c r="BE10" s="74">
        <v>565.45000000000005</v>
      </c>
      <c r="BF10" s="74">
        <f>343.76+214.88</f>
        <v>558.64</v>
      </c>
      <c r="BG10" s="74">
        <v>694.05</v>
      </c>
      <c r="BH10" s="74">
        <f>540.98+153.98</f>
        <v>694.96</v>
      </c>
      <c r="BI10" s="58">
        <f t="shared" si="10"/>
        <v>2972.8100000000004</v>
      </c>
      <c r="BJ10" s="74">
        <f>456.21+22.31</f>
        <v>478.52</v>
      </c>
      <c r="BK10" s="74">
        <f>448.42+315.36</f>
        <v>763.78</v>
      </c>
      <c r="BL10" s="74">
        <v>466.85</v>
      </c>
      <c r="BM10" s="74">
        <f>177.18+291.42</f>
        <v>468.6</v>
      </c>
      <c r="BN10" s="58">
        <f t="shared" si="11"/>
        <v>2177.75</v>
      </c>
      <c r="BO10" s="60">
        <f t="shared" si="12"/>
        <v>26375.74</v>
      </c>
      <c r="BP10" s="38"/>
    </row>
    <row r="11" spans="1:68" x14ac:dyDescent="0.25">
      <c r="A11" s="102">
        <v>8</v>
      </c>
      <c r="B11" s="29"/>
      <c r="C11" s="74">
        <v>89.34</v>
      </c>
      <c r="D11" s="74">
        <v>93.06</v>
      </c>
      <c r="E11" s="74">
        <v>107.22</v>
      </c>
      <c r="F11" s="74">
        <f>131.58+30</f>
        <v>161.58000000000001</v>
      </c>
      <c r="G11" s="65">
        <f t="shared" si="0"/>
        <v>451.20000000000005</v>
      </c>
      <c r="H11" s="74">
        <v>120.82</v>
      </c>
      <c r="I11" s="74">
        <v>109.13</v>
      </c>
      <c r="J11" s="74">
        <v>143.08000000000001</v>
      </c>
      <c r="K11" s="74">
        <v>133.44</v>
      </c>
      <c r="L11" s="65">
        <f t="shared" si="1"/>
        <v>506.46999999999997</v>
      </c>
      <c r="M11" s="74">
        <v>134.66</v>
      </c>
      <c r="N11" s="74">
        <v>122.92</v>
      </c>
      <c r="O11" s="74">
        <v>76.77</v>
      </c>
      <c r="P11" s="74">
        <v>40.380000000000003</v>
      </c>
      <c r="Q11" s="74">
        <f>88.7+12.22</f>
        <v>100.92</v>
      </c>
      <c r="R11" s="65">
        <f t="shared" si="2"/>
        <v>475.65</v>
      </c>
      <c r="S11" s="74">
        <f>4.44+125.83+1.27</f>
        <v>131.54000000000002</v>
      </c>
      <c r="T11" s="74">
        <f>148.78+6</f>
        <v>154.78</v>
      </c>
      <c r="U11" s="74">
        <v>53.27</v>
      </c>
      <c r="V11" s="74">
        <f>44.26+0.14+8.28</f>
        <v>52.68</v>
      </c>
      <c r="W11" s="65">
        <f t="shared" si="3"/>
        <v>392.27000000000004</v>
      </c>
      <c r="X11" s="74">
        <f>105.5+4.44</f>
        <v>109.94</v>
      </c>
      <c r="Y11" s="74">
        <v>103.44</v>
      </c>
      <c r="Z11" s="74">
        <v>133.21</v>
      </c>
      <c r="AA11" s="74">
        <v>116.13</v>
      </c>
      <c r="AB11" s="65">
        <f t="shared" si="4"/>
        <v>462.72</v>
      </c>
      <c r="AC11" s="74">
        <v>140.76</v>
      </c>
      <c r="AD11" s="74">
        <v>90.94</v>
      </c>
      <c r="AE11" s="74">
        <v>123.55</v>
      </c>
      <c r="AF11" s="74">
        <v>122.32</v>
      </c>
      <c r="AG11" s="74">
        <v>122.71</v>
      </c>
      <c r="AH11" s="65">
        <f t="shared" si="5"/>
        <v>600.28</v>
      </c>
      <c r="AI11" s="74">
        <v>108.08</v>
      </c>
      <c r="AJ11" s="74">
        <v>136.47999999999999</v>
      </c>
      <c r="AK11" s="74">
        <v>34.909999999999997</v>
      </c>
      <c r="AL11" s="74">
        <v>119.51</v>
      </c>
      <c r="AM11" s="65">
        <f t="shared" si="6"/>
        <v>398.98</v>
      </c>
      <c r="AN11" s="74">
        <v>92.59</v>
      </c>
      <c r="AO11" s="74">
        <f>118.46+17.08</f>
        <v>135.54</v>
      </c>
      <c r="AP11" s="74">
        <f>142.89+6.88</f>
        <v>149.76999999999998</v>
      </c>
      <c r="AQ11" s="74">
        <v>136.38</v>
      </c>
      <c r="AR11" s="74">
        <v>96.23</v>
      </c>
      <c r="AS11" s="65">
        <f t="shared" si="7"/>
        <v>610.51</v>
      </c>
      <c r="AT11" s="74">
        <v>96.77</v>
      </c>
      <c r="AU11" s="74">
        <f>116.39+3.85</f>
        <v>120.24</v>
      </c>
      <c r="AV11" s="74">
        <v>39.450000000000003</v>
      </c>
      <c r="AW11" s="74">
        <v>75.3</v>
      </c>
      <c r="AX11" s="77">
        <f t="shared" si="8"/>
        <v>331.76</v>
      </c>
      <c r="AY11" s="74">
        <f>128.25+285.6</f>
        <v>413.85</v>
      </c>
      <c r="AZ11" s="74">
        <v>83.79</v>
      </c>
      <c r="BA11" s="74">
        <v>90.87</v>
      </c>
      <c r="BB11" s="74">
        <v>136.69999999999999</v>
      </c>
      <c r="BC11" s="65">
        <f t="shared" si="9"/>
        <v>725.21</v>
      </c>
      <c r="BD11" s="74">
        <v>99.53</v>
      </c>
      <c r="BE11" s="74">
        <v>104.79</v>
      </c>
      <c r="BF11" s="74">
        <f>113.03+11.15</f>
        <v>124.18</v>
      </c>
      <c r="BG11" s="74">
        <f>93.11+6.41</f>
        <v>99.52</v>
      </c>
      <c r="BH11" s="74">
        <v>184.35</v>
      </c>
      <c r="BI11" s="58">
        <f t="shared" si="10"/>
        <v>612.37</v>
      </c>
      <c r="BJ11" s="74">
        <v>128.30000000000001</v>
      </c>
      <c r="BK11" s="74">
        <v>84.66</v>
      </c>
      <c r="BL11" s="74">
        <f>114.29+14.29</f>
        <v>128.58000000000001</v>
      </c>
      <c r="BM11" s="74">
        <f>129.3+21.63</f>
        <v>150.93</v>
      </c>
      <c r="BN11" s="58">
        <f t="shared" si="11"/>
        <v>492.47</v>
      </c>
      <c r="BO11" s="60">
        <f t="shared" si="12"/>
        <v>6059.89</v>
      </c>
      <c r="BP11" s="38"/>
    </row>
    <row r="12" spans="1:68" x14ac:dyDescent="0.25">
      <c r="A12" s="102">
        <v>9</v>
      </c>
      <c r="B12" s="30"/>
      <c r="C12" s="74">
        <v>25.7</v>
      </c>
      <c r="D12" s="74">
        <v>18.690000000000001</v>
      </c>
      <c r="E12" s="74">
        <v>21.03</v>
      </c>
      <c r="F12" s="74">
        <v>20.18</v>
      </c>
      <c r="G12" s="65">
        <f t="shared" si="0"/>
        <v>85.6</v>
      </c>
      <c r="H12" s="74">
        <v>30.69</v>
      </c>
      <c r="I12" s="74">
        <v>19.12</v>
      </c>
      <c r="J12" s="74">
        <v>17.45</v>
      </c>
      <c r="K12" s="74">
        <v>17.850000000000001</v>
      </c>
      <c r="L12" s="65">
        <f t="shared" si="1"/>
        <v>85.110000000000014</v>
      </c>
      <c r="M12" s="74">
        <v>18.04</v>
      </c>
      <c r="N12" s="74">
        <v>22.56</v>
      </c>
      <c r="O12" s="74">
        <v>21.65</v>
      </c>
      <c r="P12" s="74">
        <v>30.21</v>
      </c>
      <c r="Q12" s="74">
        <v>20.440000000000001</v>
      </c>
      <c r="R12" s="65">
        <f t="shared" si="2"/>
        <v>112.89999999999999</v>
      </c>
      <c r="S12" s="74">
        <v>24.91</v>
      </c>
      <c r="T12" s="74">
        <v>21.89</v>
      </c>
      <c r="U12" s="74">
        <f>23.4+0.03</f>
        <v>23.43</v>
      </c>
      <c r="V12" s="74">
        <v>18.190000000000001</v>
      </c>
      <c r="W12" s="65">
        <f t="shared" si="3"/>
        <v>88.419999999999987</v>
      </c>
      <c r="X12" s="74">
        <v>32.11</v>
      </c>
      <c r="Y12" s="74">
        <v>20.43</v>
      </c>
      <c r="Z12" s="74">
        <v>27.06</v>
      </c>
      <c r="AA12" s="74">
        <v>32.869999999999997</v>
      </c>
      <c r="AB12" s="65">
        <f t="shared" si="4"/>
        <v>112.47</v>
      </c>
      <c r="AC12" s="74">
        <v>22.4</v>
      </c>
      <c r="AD12" s="74">
        <v>24.94</v>
      </c>
      <c r="AE12" s="74">
        <v>13.25</v>
      </c>
      <c r="AF12" s="74">
        <v>25.57</v>
      </c>
      <c r="AG12" s="74">
        <v>23.01</v>
      </c>
      <c r="AH12" s="65">
        <f t="shared" si="5"/>
        <v>109.17</v>
      </c>
      <c r="AI12" s="74">
        <f>26.38+3</f>
        <v>29.38</v>
      </c>
      <c r="AJ12" s="74">
        <v>25.31</v>
      </c>
      <c r="AK12" s="74">
        <v>18.45</v>
      </c>
      <c r="AL12" s="74">
        <v>40.67</v>
      </c>
      <c r="AM12" s="65">
        <f t="shared" si="6"/>
        <v>113.81</v>
      </c>
      <c r="AN12" s="74">
        <v>8.83</v>
      </c>
      <c r="AO12" s="74">
        <f>23.46+6.88</f>
        <v>30.34</v>
      </c>
      <c r="AP12" s="74">
        <v>19.8</v>
      </c>
      <c r="AQ12" s="74">
        <v>25.93</v>
      </c>
      <c r="AR12" s="74">
        <v>10.65</v>
      </c>
      <c r="AS12" s="65">
        <f t="shared" si="7"/>
        <v>95.550000000000011</v>
      </c>
      <c r="AT12" s="74">
        <f>15.99+0.96</f>
        <v>16.95</v>
      </c>
      <c r="AU12" s="74">
        <f>49.98+0.6</f>
        <v>50.58</v>
      </c>
      <c r="AV12" s="74">
        <f>28.58+0.68</f>
        <v>29.259999999999998</v>
      </c>
      <c r="AW12" s="74">
        <v>19.829999999999998</v>
      </c>
      <c r="AX12" s="65">
        <f t="shared" si="8"/>
        <v>116.61999999999999</v>
      </c>
      <c r="AY12" s="74">
        <v>30.87</v>
      </c>
      <c r="AZ12" s="74">
        <v>15.99</v>
      </c>
      <c r="BA12" s="74">
        <v>21.05</v>
      </c>
      <c r="BB12" s="74">
        <v>29.2</v>
      </c>
      <c r="BC12" s="65">
        <f t="shared" si="9"/>
        <v>97.11</v>
      </c>
      <c r="BD12" s="74">
        <v>35.83</v>
      </c>
      <c r="BE12" s="74">
        <v>18.62</v>
      </c>
      <c r="BF12" s="74">
        <v>19.3</v>
      </c>
      <c r="BG12" s="74">
        <f>21.87+6.41</f>
        <v>28.28</v>
      </c>
      <c r="BH12" s="74">
        <v>29.1</v>
      </c>
      <c r="BI12" s="58">
        <f t="shared" si="10"/>
        <v>131.13</v>
      </c>
      <c r="BJ12" s="74">
        <v>20.51</v>
      </c>
      <c r="BK12" s="74">
        <f>33.55+5.29</f>
        <v>38.839999999999996</v>
      </c>
      <c r="BL12" s="74">
        <v>24.45</v>
      </c>
      <c r="BM12" s="74">
        <v>12.73</v>
      </c>
      <c r="BN12" s="58">
        <f t="shared" si="11"/>
        <v>96.53</v>
      </c>
      <c r="BO12" s="60">
        <f t="shared" si="12"/>
        <v>1244.4199999999998</v>
      </c>
      <c r="BP12" s="38"/>
    </row>
    <row r="13" spans="1:68" x14ac:dyDescent="0.25">
      <c r="A13" s="102">
        <v>10</v>
      </c>
      <c r="B13" s="25"/>
      <c r="C13" s="74">
        <v>6.47</v>
      </c>
      <c r="D13" s="74">
        <f>6.54+3.2</f>
        <v>9.74</v>
      </c>
      <c r="E13" s="74">
        <v>13.57</v>
      </c>
      <c r="F13" s="74">
        <v>7.57</v>
      </c>
      <c r="G13" s="65">
        <f t="shared" si="0"/>
        <v>37.35</v>
      </c>
      <c r="H13" s="74">
        <v>6.35</v>
      </c>
      <c r="I13" s="74">
        <v>8.85</v>
      </c>
      <c r="J13" s="74">
        <v>16.23</v>
      </c>
      <c r="K13" s="74">
        <v>12.74</v>
      </c>
      <c r="L13" s="65">
        <f t="shared" si="1"/>
        <v>44.17</v>
      </c>
      <c r="M13" s="74">
        <v>3.26</v>
      </c>
      <c r="N13" s="74">
        <v>23.24</v>
      </c>
      <c r="O13" s="74">
        <v>13.79</v>
      </c>
      <c r="P13" s="74">
        <v>13.22</v>
      </c>
      <c r="Q13" s="74">
        <v>9.0299999999999994</v>
      </c>
      <c r="R13" s="65">
        <f t="shared" si="2"/>
        <v>62.54</v>
      </c>
      <c r="S13" s="74">
        <v>11.47</v>
      </c>
      <c r="T13" s="74">
        <v>10.93</v>
      </c>
      <c r="U13" s="74">
        <v>4.32</v>
      </c>
      <c r="V13" s="74">
        <v>6.58</v>
      </c>
      <c r="W13" s="65">
        <f t="shared" si="3"/>
        <v>33.299999999999997</v>
      </c>
      <c r="X13" s="74">
        <v>9.76</v>
      </c>
      <c r="Y13" s="74">
        <v>9.5500000000000007</v>
      </c>
      <c r="Z13" s="74">
        <v>7.69</v>
      </c>
      <c r="AA13" s="74">
        <v>14.37</v>
      </c>
      <c r="AB13" s="65">
        <f t="shared" si="4"/>
        <v>41.370000000000005</v>
      </c>
      <c r="AC13" s="74">
        <v>10.94</v>
      </c>
      <c r="AD13" s="74">
        <v>12.54</v>
      </c>
      <c r="AE13" s="74">
        <v>22.31</v>
      </c>
      <c r="AF13" s="74">
        <v>17.21</v>
      </c>
      <c r="AG13" s="74">
        <v>6.7</v>
      </c>
      <c r="AH13" s="65">
        <f t="shared" si="5"/>
        <v>69.699999999999989</v>
      </c>
      <c r="AI13" s="74">
        <v>4.3499999999999996</v>
      </c>
      <c r="AJ13" s="74"/>
      <c r="AK13" s="74">
        <v>12.76</v>
      </c>
      <c r="AL13" s="74">
        <v>12.52</v>
      </c>
      <c r="AM13" s="65">
        <f t="shared" si="6"/>
        <v>29.63</v>
      </c>
      <c r="AN13" s="74">
        <v>4.6500000000000004</v>
      </c>
      <c r="AO13" s="74"/>
      <c r="AP13" s="74"/>
      <c r="AQ13" s="74">
        <v>21.44</v>
      </c>
      <c r="AR13" s="74">
        <v>10.68</v>
      </c>
      <c r="AS13" s="65">
        <f t="shared" si="7"/>
        <v>36.770000000000003</v>
      </c>
      <c r="AT13" s="74">
        <f>15.73+0.5</f>
        <v>16.23</v>
      </c>
      <c r="AU13" s="74">
        <v>12.81</v>
      </c>
      <c r="AV13" s="74">
        <v>13.74</v>
      </c>
      <c r="AW13" s="74">
        <f>13.13+0.48</f>
        <v>13.610000000000001</v>
      </c>
      <c r="AX13" s="65">
        <f t="shared" si="8"/>
        <v>56.39</v>
      </c>
      <c r="AY13" s="74">
        <v>13.99</v>
      </c>
      <c r="AZ13" s="74">
        <v>10.5</v>
      </c>
      <c r="BA13" s="74">
        <v>18.64</v>
      </c>
      <c r="BB13" s="74">
        <v>12.04</v>
      </c>
      <c r="BC13" s="65">
        <f t="shared" si="9"/>
        <v>55.17</v>
      </c>
      <c r="BD13" s="74">
        <v>17.079999999999998</v>
      </c>
      <c r="BE13" s="74">
        <v>4.0199999999999996</v>
      </c>
      <c r="BF13" s="74">
        <v>13.02</v>
      </c>
      <c r="BG13" s="74">
        <f>16.5+4.27</f>
        <v>20.77</v>
      </c>
      <c r="BH13" s="74">
        <v>7.77</v>
      </c>
      <c r="BI13" s="58">
        <f t="shared" si="10"/>
        <v>62.66</v>
      </c>
      <c r="BJ13" s="74">
        <v>15.7</v>
      </c>
      <c r="BK13" s="74">
        <v>11.51</v>
      </c>
      <c r="BL13" s="74">
        <v>12.61</v>
      </c>
      <c r="BM13" s="74">
        <v>11.58</v>
      </c>
      <c r="BN13" s="58">
        <f t="shared" si="11"/>
        <v>51.4</v>
      </c>
      <c r="BO13" s="60">
        <f t="shared" si="12"/>
        <v>580.44999999999993</v>
      </c>
      <c r="BP13" s="38"/>
    </row>
    <row r="14" spans="1:68" x14ac:dyDescent="0.25">
      <c r="A14" s="102">
        <v>11</v>
      </c>
      <c r="B14" s="29"/>
      <c r="C14" s="74">
        <v>18.38</v>
      </c>
      <c r="D14" s="74">
        <v>29.28</v>
      </c>
      <c r="E14" s="74">
        <v>11.82</v>
      </c>
      <c r="F14" s="74">
        <v>46.84</v>
      </c>
      <c r="G14" s="65">
        <f t="shared" si="0"/>
        <v>106.32</v>
      </c>
      <c r="H14" s="74"/>
      <c r="I14" s="74">
        <f>51.29+1.68</f>
        <v>52.97</v>
      </c>
      <c r="J14" s="74"/>
      <c r="K14" s="74"/>
      <c r="L14" s="65">
        <f t="shared" si="1"/>
        <v>52.97</v>
      </c>
      <c r="M14" s="74">
        <v>27.95</v>
      </c>
      <c r="N14" s="74">
        <v>16.940000000000001</v>
      </c>
      <c r="O14" s="74"/>
      <c r="P14" s="74">
        <f>27.58+3.06</f>
        <v>30.639999999999997</v>
      </c>
      <c r="Q14" s="74"/>
      <c r="R14" s="65">
        <f t="shared" si="2"/>
        <v>75.53</v>
      </c>
      <c r="S14" s="74"/>
      <c r="T14" s="74">
        <v>33.25</v>
      </c>
      <c r="U14" s="74">
        <v>13.04</v>
      </c>
      <c r="V14" s="74"/>
      <c r="W14" s="65">
        <f t="shared" si="3"/>
        <v>46.29</v>
      </c>
      <c r="X14" s="74"/>
      <c r="Y14" s="74"/>
      <c r="Z14" s="74">
        <f>82.24+42.88</f>
        <v>125.12</v>
      </c>
      <c r="AA14" s="74"/>
      <c r="AB14" s="65">
        <f t="shared" si="4"/>
        <v>125.12</v>
      </c>
      <c r="AC14" s="74">
        <v>21.06</v>
      </c>
      <c r="AD14" s="74"/>
      <c r="AE14" s="74">
        <v>49.38</v>
      </c>
      <c r="AF14" s="74"/>
      <c r="AG14" s="74"/>
      <c r="AH14" s="65">
        <f t="shared" si="5"/>
        <v>70.44</v>
      </c>
      <c r="AI14" s="74">
        <v>79.709999999999994</v>
      </c>
      <c r="AJ14" s="74">
        <f>57.34+14.29+12.06</f>
        <v>83.69</v>
      </c>
      <c r="AK14" s="74">
        <v>34.130000000000003</v>
      </c>
      <c r="AL14" s="74">
        <v>16.149999999999999</v>
      </c>
      <c r="AM14" s="65">
        <f t="shared" si="6"/>
        <v>213.67999999999998</v>
      </c>
      <c r="AN14" s="74">
        <v>63.21</v>
      </c>
      <c r="AO14" s="74">
        <v>50.76</v>
      </c>
      <c r="AP14" s="74">
        <v>42.27</v>
      </c>
      <c r="AQ14" s="74">
        <v>16.8</v>
      </c>
      <c r="AR14" s="74">
        <v>53.46</v>
      </c>
      <c r="AS14" s="65">
        <f t="shared" si="7"/>
        <v>226.50000000000003</v>
      </c>
      <c r="AT14" s="74">
        <f>51.58+16.8</f>
        <v>68.38</v>
      </c>
      <c r="AU14" s="74"/>
      <c r="AV14" s="74">
        <f>25.2+114.04+8.05</f>
        <v>147.29000000000002</v>
      </c>
      <c r="AW14" s="74">
        <v>16.8</v>
      </c>
      <c r="AX14" s="65">
        <f t="shared" si="8"/>
        <v>232.47000000000003</v>
      </c>
      <c r="AY14" s="74">
        <f>16.8+81.62</f>
        <v>98.42</v>
      </c>
      <c r="AZ14" s="74">
        <v>29.19</v>
      </c>
      <c r="BA14" s="74">
        <f>44.01+16.5</f>
        <v>60.51</v>
      </c>
      <c r="BB14" s="74">
        <f>21+4.94+16.5</f>
        <v>42.44</v>
      </c>
      <c r="BC14" s="65">
        <f t="shared" si="9"/>
        <v>230.56</v>
      </c>
      <c r="BD14" s="74"/>
      <c r="BE14" s="74">
        <f>33+87.28</f>
        <v>120.28</v>
      </c>
      <c r="BF14" s="74">
        <f>17.4+87.63</f>
        <v>105.03</v>
      </c>
      <c r="BG14" s="74">
        <f>17.4+98.68+14</f>
        <v>130.08000000000001</v>
      </c>
      <c r="BH14" s="74">
        <f>21+27.96</f>
        <v>48.96</v>
      </c>
      <c r="BI14" s="58">
        <f t="shared" si="10"/>
        <v>404.34999999999997</v>
      </c>
      <c r="BJ14" s="74">
        <f>80.78+23.2</f>
        <v>103.98</v>
      </c>
      <c r="BK14" s="74">
        <f>16.98+14.29+28.12</f>
        <v>59.39</v>
      </c>
      <c r="BL14" s="74">
        <v>17.7</v>
      </c>
      <c r="BM14" s="74">
        <f>29.5+30.26</f>
        <v>59.760000000000005</v>
      </c>
      <c r="BN14" s="58">
        <f t="shared" si="11"/>
        <v>240.82999999999998</v>
      </c>
      <c r="BO14" s="60">
        <f t="shared" si="12"/>
        <v>2025.06</v>
      </c>
      <c r="BP14" s="38"/>
    </row>
    <row r="15" spans="1:68" x14ac:dyDescent="0.25">
      <c r="A15" s="103">
        <v>12</v>
      </c>
      <c r="B15" s="29"/>
      <c r="C15" s="74"/>
      <c r="D15" s="74"/>
      <c r="E15" s="74"/>
      <c r="F15" s="74"/>
      <c r="G15" s="65">
        <f t="shared" si="0"/>
        <v>0</v>
      </c>
      <c r="H15" s="74"/>
      <c r="I15" s="74"/>
      <c r="J15" s="74"/>
      <c r="K15" s="74"/>
      <c r="L15" s="65">
        <f t="shared" si="1"/>
        <v>0</v>
      </c>
      <c r="M15" s="74"/>
      <c r="N15" s="74"/>
      <c r="O15" s="74"/>
      <c r="P15" s="74"/>
      <c r="Q15" s="74"/>
      <c r="R15" s="65">
        <f t="shared" si="2"/>
        <v>0</v>
      </c>
      <c r="S15" s="74"/>
      <c r="T15" s="74"/>
      <c r="U15" s="74"/>
      <c r="V15" s="74"/>
      <c r="W15" s="65">
        <f t="shared" si="3"/>
        <v>0</v>
      </c>
      <c r="X15" s="74"/>
      <c r="Y15" s="74"/>
      <c r="Z15" s="74"/>
      <c r="AA15" s="74"/>
      <c r="AB15" s="65">
        <f t="shared" si="4"/>
        <v>0</v>
      </c>
      <c r="AC15" s="74"/>
      <c r="AD15" s="74"/>
      <c r="AE15" s="74"/>
      <c r="AF15" s="74"/>
      <c r="AG15" s="74"/>
      <c r="AH15" s="65">
        <f t="shared" si="5"/>
        <v>0</v>
      </c>
      <c r="AI15" s="74"/>
      <c r="AJ15" s="74"/>
      <c r="AK15" s="74"/>
      <c r="AL15" s="74"/>
      <c r="AM15" s="65">
        <f t="shared" si="6"/>
        <v>0</v>
      </c>
      <c r="AN15" s="74"/>
      <c r="AO15" s="74"/>
      <c r="AP15" s="74"/>
      <c r="AQ15" s="74"/>
      <c r="AR15" s="74"/>
      <c r="AS15" s="65">
        <f t="shared" si="7"/>
        <v>0</v>
      </c>
      <c r="AT15" s="74"/>
      <c r="AU15" s="74"/>
      <c r="AV15" s="74"/>
      <c r="AW15" s="74"/>
      <c r="AX15" s="65">
        <f t="shared" si="8"/>
        <v>0</v>
      </c>
      <c r="AY15" s="74"/>
      <c r="AZ15" s="74"/>
      <c r="BA15" s="74"/>
      <c r="BB15" s="74"/>
      <c r="BC15" s="65">
        <f t="shared" si="9"/>
        <v>0</v>
      </c>
      <c r="BD15" s="74"/>
      <c r="BE15" s="74"/>
      <c r="BF15" s="74"/>
      <c r="BG15" s="74"/>
      <c r="BH15" s="74"/>
      <c r="BI15" s="58">
        <f t="shared" si="10"/>
        <v>0</v>
      </c>
      <c r="BJ15" s="74"/>
      <c r="BK15" s="74"/>
      <c r="BL15" s="74"/>
      <c r="BM15" s="74"/>
      <c r="BN15" s="58">
        <f t="shared" si="11"/>
        <v>0</v>
      </c>
      <c r="BO15" s="60">
        <f t="shared" si="12"/>
        <v>0</v>
      </c>
      <c r="BP15" s="38"/>
    </row>
    <row r="16" spans="1:68" ht="15.75" thickBot="1" x14ac:dyDescent="0.3">
      <c r="A16" s="103">
        <v>13</v>
      </c>
      <c r="B16" s="29"/>
      <c r="C16" s="74"/>
      <c r="D16" s="74"/>
      <c r="E16" s="74"/>
      <c r="F16" s="74"/>
      <c r="G16" s="65">
        <f t="shared" si="0"/>
        <v>0</v>
      </c>
      <c r="H16" s="74"/>
      <c r="I16" s="74"/>
      <c r="J16" s="74"/>
      <c r="K16" s="74"/>
      <c r="L16" s="65">
        <f t="shared" si="1"/>
        <v>0</v>
      </c>
      <c r="M16" s="74"/>
      <c r="N16" s="74"/>
      <c r="O16" s="74"/>
      <c r="P16" s="74"/>
      <c r="Q16" s="74"/>
      <c r="R16" s="65">
        <f t="shared" si="2"/>
        <v>0</v>
      </c>
      <c r="S16" s="74"/>
      <c r="T16" s="74"/>
      <c r="U16" s="74"/>
      <c r="V16" s="74"/>
      <c r="W16" s="65">
        <f t="shared" si="3"/>
        <v>0</v>
      </c>
      <c r="X16" s="74"/>
      <c r="Y16" s="74"/>
      <c r="Z16" s="74"/>
      <c r="AA16" s="74"/>
      <c r="AB16" s="65">
        <f t="shared" si="4"/>
        <v>0</v>
      </c>
      <c r="AC16" s="74"/>
      <c r="AD16" s="74"/>
      <c r="AE16" s="74"/>
      <c r="AF16" s="74"/>
      <c r="AG16" s="74"/>
      <c r="AH16" s="65">
        <f t="shared" si="5"/>
        <v>0</v>
      </c>
      <c r="AI16" s="74"/>
      <c r="AJ16" s="74"/>
      <c r="AK16" s="74"/>
      <c r="AL16" s="74"/>
      <c r="AM16" s="65">
        <f t="shared" si="6"/>
        <v>0</v>
      </c>
      <c r="AN16" s="74"/>
      <c r="AO16" s="74"/>
      <c r="AP16" s="74"/>
      <c r="AQ16" s="74"/>
      <c r="AR16" s="74"/>
      <c r="AS16" s="65">
        <f t="shared" si="7"/>
        <v>0</v>
      </c>
      <c r="AT16" s="74"/>
      <c r="AU16" s="74"/>
      <c r="AV16" s="74"/>
      <c r="AW16" s="74"/>
      <c r="AX16" s="65">
        <f t="shared" si="8"/>
        <v>0</v>
      </c>
      <c r="AY16" s="74"/>
      <c r="AZ16" s="74"/>
      <c r="BA16" s="74"/>
      <c r="BB16" s="74"/>
      <c r="BC16" s="65">
        <f t="shared" si="9"/>
        <v>0</v>
      </c>
      <c r="BD16" s="74"/>
      <c r="BE16" s="74"/>
      <c r="BF16" s="74"/>
      <c r="BG16" s="74"/>
      <c r="BH16" s="74"/>
      <c r="BI16" s="58">
        <f t="shared" si="10"/>
        <v>0</v>
      </c>
      <c r="BJ16" s="74"/>
      <c r="BK16" s="74"/>
      <c r="BL16" s="74"/>
      <c r="BM16" s="74"/>
      <c r="BN16" s="58">
        <f t="shared" si="11"/>
        <v>0</v>
      </c>
      <c r="BO16" s="60">
        <f t="shared" si="12"/>
        <v>0</v>
      </c>
      <c r="BP16" s="38"/>
    </row>
    <row r="17" spans="1:68" ht="15.75" thickBot="1" x14ac:dyDescent="0.3">
      <c r="A17" s="89" t="s">
        <v>14</v>
      </c>
      <c r="B17" s="90"/>
      <c r="C17" s="78"/>
      <c r="D17" s="78"/>
      <c r="E17" s="78"/>
      <c r="F17" s="78"/>
      <c r="G17" s="61">
        <f>SUM(G4:G16)</f>
        <v>10361.890000000001</v>
      </c>
      <c r="H17" s="78"/>
      <c r="I17" s="78"/>
      <c r="J17" s="78"/>
      <c r="K17" s="78"/>
      <c r="L17" s="61">
        <f>SUM(L4:L16)</f>
        <v>10740.4</v>
      </c>
      <c r="M17" s="78"/>
      <c r="N17" s="78"/>
      <c r="O17" s="78"/>
      <c r="P17" s="78"/>
      <c r="Q17" s="78"/>
      <c r="R17" s="61">
        <f>SUM(R4:R16)</f>
        <v>12524.33</v>
      </c>
      <c r="S17" s="78"/>
      <c r="T17" s="78"/>
      <c r="U17" s="78"/>
      <c r="V17" s="78"/>
      <c r="W17" s="61">
        <f>SUM(W4:W16)</f>
        <v>10680.82</v>
      </c>
      <c r="X17" s="78"/>
      <c r="Y17" s="78"/>
      <c r="Z17" s="78"/>
      <c r="AA17" s="78"/>
      <c r="AB17" s="61">
        <f>SUM(AB4:AB16)</f>
        <v>11555.140000000001</v>
      </c>
      <c r="AC17" s="78"/>
      <c r="AD17" s="78"/>
      <c r="AE17" s="78"/>
      <c r="AF17" s="78"/>
      <c r="AG17" s="78"/>
      <c r="AH17" s="61">
        <f>SUM(AH4:AH16)</f>
        <v>13959.940000000002</v>
      </c>
      <c r="AI17" s="78"/>
      <c r="AJ17" s="78"/>
      <c r="AK17" s="78"/>
      <c r="AL17" s="78"/>
      <c r="AM17" s="61">
        <f>SUM(AM4:AM16)</f>
        <v>10571.9</v>
      </c>
      <c r="AN17" s="78"/>
      <c r="AO17" s="78"/>
      <c r="AP17" s="78"/>
      <c r="AQ17" s="78"/>
      <c r="AR17" s="78"/>
      <c r="AS17" s="61">
        <f>SUM(AS4:AS16)</f>
        <v>16071.49</v>
      </c>
      <c r="AT17" s="78"/>
      <c r="AU17" s="78"/>
      <c r="AV17" s="78"/>
      <c r="AW17" s="78"/>
      <c r="AX17" s="61">
        <f>SUM(AX4:AX16)</f>
        <v>13784.699999999999</v>
      </c>
      <c r="AY17" s="78"/>
      <c r="AZ17" s="78"/>
      <c r="BA17" s="78"/>
      <c r="BB17" s="78"/>
      <c r="BC17" s="61">
        <f>SUM(BC4:BC16)</f>
        <v>11411.059999999998</v>
      </c>
      <c r="BD17" s="78"/>
      <c r="BE17" s="78"/>
      <c r="BF17" s="78"/>
      <c r="BG17" s="78"/>
      <c r="BH17" s="78"/>
      <c r="BI17" s="61">
        <f>SUM(BI4:BI16)</f>
        <v>14560.640000000001</v>
      </c>
      <c r="BJ17" s="78"/>
      <c r="BK17" s="78"/>
      <c r="BL17" s="78"/>
      <c r="BM17" s="78"/>
      <c r="BN17" s="61">
        <f>SUM(BN4:BN16)</f>
        <v>12185.08</v>
      </c>
      <c r="BO17" s="62">
        <f>SUM(BO4:BO16)</f>
        <v>148407.39000000004</v>
      </c>
      <c r="BP17" s="38">
        <f>+G17+L17+R17+W17+AB17+AH17+AM17+AS17+AX17+BC17+BI17+BN17</f>
        <v>148407.38999999998</v>
      </c>
    </row>
    <row r="18" spans="1:68" x14ac:dyDescent="0.25">
      <c r="BP18" s="36" t="str">
        <f>+IF(BO17=BP17,"OK","Erreur")</f>
        <v>OK</v>
      </c>
    </row>
  </sheetData>
  <protectedRanges>
    <protectedRange password="C1D4" sqref="C4:F17 S4:V17 C2:F2 H2:K2 X2:AA2 M4:Q17 X4:AA17 M2:Q2 S2:V2 H4:K17" name="Plage1_1"/>
    <protectedRange password="C1D4" sqref="AC4:AG17 AC2:AG2 AI2:AL2 AI4:AL17 AN4:AR17 AN2:AR2 AT2:AW2 AT12:AW17 AU4:AW11 AT5:AT11" name="Plage1"/>
    <protectedRange password="C1D4" sqref="AY2:BB2 BJ4:BM17 BJ2:BM2 BD2:BH2 BD4:BH17 AY4:BB17" name="Plage1_2"/>
    <protectedRange password="C1D4" sqref="H3:K3 X3:AA3 AT3:AW3 C3:F3 S3:V3 AI3:AL3 AC3:AG3 AN3:AR3 AY3:BB3 M3:Q3 BD3:BH3 BJ3:BM3" name="Plage1_3"/>
  </protectedRanges>
  <mergeCells count="3">
    <mergeCell ref="A2:A3"/>
    <mergeCell ref="B2:B3"/>
    <mergeCell ref="BO2:B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78"/>
  <sheetViews>
    <sheetView workbookViewId="0">
      <pane xSplit="1" ySplit="3" topLeftCell="B49" activePane="bottomRight" state="frozen"/>
      <selection pane="topRight" activeCell="B1" sqref="B1"/>
      <selection pane="bottomLeft" activeCell="A4" sqref="A4"/>
      <selection pane="bottomRight" activeCell="A77" sqref="A77"/>
    </sheetView>
  </sheetViews>
  <sheetFormatPr baseColWidth="10" defaultColWidth="9.140625" defaultRowHeight="15" x14ac:dyDescent="0.25"/>
  <cols>
    <col min="1" max="1" width="31.28515625" bestFit="1" customWidth="1"/>
    <col min="2" max="2" width="1.85546875" customWidth="1"/>
    <col min="3" max="6" width="9.42578125" bestFit="1" customWidth="1"/>
    <col min="7" max="7" width="11.85546875" bestFit="1" customWidth="1"/>
    <col min="8" max="11" width="9.42578125" bestFit="1" customWidth="1"/>
    <col min="12" max="12" width="11.85546875" bestFit="1" customWidth="1"/>
    <col min="13" max="17" width="9.42578125" bestFit="1" customWidth="1"/>
    <col min="18" max="18" width="11.85546875" bestFit="1" customWidth="1"/>
    <col min="19" max="22" width="9.42578125" bestFit="1" customWidth="1"/>
    <col min="23" max="23" width="11.85546875" bestFit="1" customWidth="1"/>
    <col min="24" max="27" width="9.42578125" bestFit="1" customWidth="1"/>
    <col min="28" max="28" width="11.85546875" bestFit="1" customWidth="1"/>
    <col min="29" max="33" width="9.42578125" bestFit="1" customWidth="1"/>
    <col min="34" max="34" width="11.85546875" bestFit="1" customWidth="1"/>
    <col min="35" max="38" width="9.42578125" bestFit="1" customWidth="1"/>
    <col min="39" max="39" width="11.85546875" bestFit="1" customWidth="1"/>
    <col min="40" max="44" width="9.42578125" bestFit="1" customWidth="1"/>
    <col min="45" max="45" width="11.85546875" bestFit="1" customWidth="1"/>
    <col min="46" max="49" width="9.42578125" bestFit="1" customWidth="1"/>
    <col min="50" max="50" width="11.85546875" bestFit="1" customWidth="1"/>
    <col min="51" max="54" width="9.42578125" bestFit="1" customWidth="1"/>
    <col min="55" max="55" width="11.85546875" bestFit="1" customWidth="1"/>
    <col min="56" max="60" width="9.42578125" bestFit="1" customWidth="1"/>
    <col min="61" max="61" width="11.85546875" bestFit="1" customWidth="1"/>
    <col min="62" max="65" width="9.42578125" bestFit="1" customWidth="1"/>
    <col min="66" max="66" width="11.85546875" bestFit="1" customWidth="1"/>
    <col min="67" max="68" width="12.85546875" bestFit="1" customWidth="1"/>
  </cols>
  <sheetData>
    <row r="1" spans="1:68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3"/>
      <c r="BO1" s="4"/>
    </row>
    <row r="2" spans="1:68" ht="30" x14ac:dyDescent="0.25">
      <c r="A2" s="52" t="s">
        <v>0</v>
      </c>
      <c r="B2" s="93"/>
      <c r="C2" s="5"/>
      <c r="D2" s="6"/>
      <c r="E2" s="6"/>
      <c r="F2" s="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7"/>
      <c r="BO2" s="7" t="s">
        <v>1</v>
      </c>
    </row>
    <row r="3" spans="1:68" ht="15.75" thickBot="1" x14ac:dyDescent="0.3">
      <c r="A3" s="53"/>
      <c r="B3" s="94"/>
      <c r="C3" s="8">
        <v>1</v>
      </c>
      <c r="D3" s="8">
        <v>2</v>
      </c>
      <c r="E3" s="8">
        <v>3</v>
      </c>
      <c r="F3" s="8">
        <v>4</v>
      </c>
      <c r="G3" s="9" t="s">
        <v>2</v>
      </c>
      <c r="H3" s="8">
        <v>5</v>
      </c>
      <c r="I3" s="8">
        <v>6</v>
      </c>
      <c r="J3" s="8">
        <v>7</v>
      </c>
      <c r="K3" s="8">
        <v>8</v>
      </c>
      <c r="L3" s="9" t="s">
        <v>3</v>
      </c>
      <c r="M3" s="8">
        <v>9</v>
      </c>
      <c r="N3" s="8">
        <v>10</v>
      </c>
      <c r="O3" s="8">
        <v>11</v>
      </c>
      <c r="P3" s="8">
        <v>12</v>
      </c>
      <c r="Q3" s="8">
        <v>13</v>
      </c>
      <c r="R3" s="9" t="s">
        <v>4</v>
      </c>
      <c r="S3" s="8">
        <v>14</v>
      </c>
      <c r="T3" s="8">
        <v>15</v>
      </c>
      <c r="U3" s="8">
        <v>16</v>
      </c>
      <c r="V3" s="8">
        <v>17</v>
      </c>
      <c r="W3" s="9" t="s">
        <v>5</v>
      </c>
      <c r="X3" s="8">
        <v>18</v>
      </c>
      <c r="Y3" s="8">
        <v>19</v>
      </c>
      <c r="Z3" s="8">
        <v>20</v>
      </c>
      <c r="AA3" s="8">
        <v>21</v>
      </c>
      <c r="AB3" s="9" t="s">
        <v>6</v>
      </c>
      <c r="AC3" s="8">
        <v>22</v>
      </c>
      <c r="AD3" s="8">
        <v>23</v>
      </c>
      <c r="AE3" s="8">
        <v>24</v>
      </c>
      <c r="AF3" s="8">
        <v>25</v>
      </c>
      <c r="AG3" s="8">
        <v>26</v>
      </c>
      <c r="AH3" s="9" t="s">
        <v>7</v>
      </c>
      <c r="AI3" s="8">
        <v>27</v>
      </c>
      <c r="AJ3" s="8">
        <v>28</v>
      </c>
      <c r="AK3" s="8">
        <v>29</v>
      </c>
      <c r="AL3" s="8">
        <v>30</v>
      </c>
      <c r="AM3" s="9" t="s">
        <v>8</v>
      </c>
      <c r="AN3" s="8">
        <v>31</v>
      </c>
      <c r="AO3" s="8">
        <v>32</v>
      </c>
      <c r="AP3" s="8">
        <v>33</v>
      </c>
      <c r="AQ3" s="8">
        <v>34</v>
      </c>
      <c r="AR3" s="8">
        <v>35</v>
      </c>
      <c r="AS3" s="9" t="s">
        <v>9</v>
      </c>
      <c r="AT3" s="8">
        <v>36</v>
      </c>
      <c r="AU3" s="8">
        <v>37</v>
      </c>
      <c r="AV3" s="8">
        <v>38</v>
      </c>
      <c r="AW3" s="8">
        <v>39</v>
      </c>
      <c r="AX3" s="9" t="s">
        <v>10</v>
      </c>
      <c r="AY3" s="8">
        <v>40</v>
      </c>
      <c r="AZ3" s="8">
        <v>41</v>
      </c>
      <c r="BA3" s="8">
        <v>42</v>
      </c>
      <c r="BB3" s="8">
        <v>43</v>
      </c>
      <c r="BC3" s="9" t="s">
        <v>11</v>
      </c>
      <c r="BD3" s="8">
        <v>44</v>
      </c>
      <c r="BE3" s="8">
        <v>45</v>
      </c>
      <c r="BF3" s="8">
        <v>46</v>
      </c>
      <c r="BG3" s="8">
        <v>47</v>
      </c>
      <c r="BH3" s="8">
        <v>48</v>
      </c>
      <c r="BI3" s="9" t="s">
        <v>12</v>
      </c>
      <c r="BJ3" s="8">
        <v>49</v>
      </c>
      <c r="BK3" s="8">
        <v>50</v>
      </c>
      <c r="BL3" s="8">
        <v>51</v>
      </c>
      <c r="BM3" s="8">
        <v>52</v>
      </c>
      <c r="BN3" s="9" t="s">
        <v>13</v>
      </c>
      <c r="BO3" s="10"/>
      <c r="BP3" s="36" t="s">
        <v>17</v>
      </c>
    </row>
    <row r="4" spans="1:68" x14ac:dyDescent="0.25">
      <c r="A4" s="83" t="s">
        <v>18</v>
      </c>
      <c r="B4" s="13"/>
      <c r="C4" s="58">
        <v>106.76</v>
      </c>
      <c r="D4" s="58">
        <v>110.77</v>
      </c>
      <c r="E4" s="58">
        <v>70.900000000000006</v>
      </c>
      <c r="F4" s="58">
        <f>69.45+105.84</f>
        <v>175.29000000000002</v>
      </c>
      <c r="G4" s="58">
        <f>SUM(C4:F4)</f>
        <v>463.72</v>
      </c>
      <c r="H4" s="58">
        <v>146.86000000000001</v>
      </c>
      <c r="I4" s="58">
        <v>51.96</v>
      </c>
      <c r="J4" s="58">
        <v>116.02</v>
      </c>
      <c r="K4" s="58">
        <f>94.08+150.65</f>
        <v>244.73000000000002</v>
      </c>
      <c r="L4" s="58">
        <f>SUM(H4:K4)</f>
        <v>559.57000000000005</v>
      </c>
      <c r="M4" s="58">
        <v>105.37</v>
      </c>
      <c r="N4" s="58">
        <v>91.83</v>
      </c>
      <c r="O4" s="58">
        <v>60.19</v>
      </c>
      <c r="P4" s="58">
        <v>125.04</v>
      </c>
      <c r="Q4" s="58">
        <f>105.84+141.4</f>
        <v>247.24</v>
      </c>
      <c r="R4" s="58">
        <f>SUM(M4:Q4)</f>
        <v>629.67000000000007</v>
      </c>
      <c r="S4" s="58">
        <v>108.23</v>
      </c>
      <c r="T4" s="58">
        <v>65.709999999999994</v>
      </c>
      <c r="U4" s="58">
        <v>131.4</v>
      </c>
      <c r="V4" s="58">
        <f>106.13+105.84</f>
        <v>211.97</v>
      </c>
      <c r="W4" s="58">
        <f>SUM(S4:V4)</f>
        <v>517.31000000000006</v>
      </c>
      <c r="X4" s="58">
        <v>67.91</v>
      </c>
      <c r="Y4" s="58">
        <v>98.95</v>
      </c>
      <c r="Z4" s="58">
        <v>122.53</v>
      </c>
      <c r="AA4" s="58">
        <f>133.26+105.84</f>
        <v>239.1</v>
      </c>
      <c r="AB4" s="58">
        <f>SUM(X4:AA4)</f>
        <v>528.49</v>
      </c>
      <c r="AC4" s="58">
        <v>135.32</v>
      </c>
      <c r="AD4" s="58">
        <v>143.03</v>
      </c>
      <c r="AE4" s="58">
        <v>73.819999999999993</v>
      </c>
      <c r="AF4" s="58">
        <v>64.44</v>
      </c>
      <c r="AG4" s="58">
        <f>95.84+104.79</f>
        <v>200.63</v>
      </c>
      <c r="AH4" s="58">
        <f>SUM(AC4:AG4)</f>
        <v>617.24</v>
      </c>
      <c r="AI4" s="58">
        <v>141.77000000000001</v>
      </c>
      <c r="AJ4" s="58">
        <v>134.33000000000001</v>
      </c>
      <c r="AK4" s="58">
        <v>81.99</v>
      </c>
      <c r="AL4" s="58">
        <f>133.19+5.27+108.9</f>
        <v>247.36</v>
      </c>
      <c r="AM4" s="58">
        <f>SUM(AI4:AL4)</f>
        <v>605.45000000000005</v>
      </c>
      <c r="AN4" s="58">
        <f>67.29+15.36</f>
        <v>82.65</v>
      </c>
      <c r="AO4" s="58">
        <f>130.62+4.8</f>
        <v>135.42000000000002</v>
      </c>
      <c r="AP4" s="58">
        <v>89.51</v>
      </c>
      <c r="AQ4" s="58">
        <v>115.37</v>
      </c>
      <c r="AR4" s="58">
        <f>108.9+132.93</f>
        <v>241.83</v>
      </c>
      <c r="AS4" s="58">
        <f>SUM(AN4:AR4)</f>
        <v>664.78000000000009</v>
      </c>
      <c r="AT4" s="58">
        <v>140.62</v>
      </c>
      <c r="AU4" s="58">
        <v>150.4</v>
      </c>
      <c r="AV4" s="58">
        <f>102.94+3.6</f>
        <v>106.53999999999999</v>
      </c>
      <c r="AW4" s="58">
        <f>97.28+66.31</f>
        <v>163.59</v>
      </c>
      <c r="AX4" s="58">
        <f>SUM(AT4:AW4)</f>
        <v>561.15</v>
      </c>
      <c r="AY4" s="58">
        <v>97.63</v>
      </c>
      <c r="AZ4" s="58">
        <v>101.56</v>
      </c>
      <c r="BA4" s="58">
        <v>170.37</v>
      </c>
      <c r="BB4" s="58">
        <f>132.41+109.62</f>
        <v>242.03</v>
      </c>
      <c r="BC4" s="58">
        <f>SUM(AY4:BB4)</f>
        <v>611.59</v>
      </c>
      <c r="BD4" s="58">
        <v>40.82</v>
      </c>
      <c r="BE4" s="58">
        <v>59.06</v>
      </c>
      <c r="BF4" s="58">
        <v>130.35</v>
      </c>
      <c r="BG4" s="58">
        <v>128.68</v>
      </c>
      <c r="BH4" s="58">
        <f>124.02+56.37</f>
        <v>180.39</v>
      </c>
      <c r="BI4" s="58">
        <f>SUM(BD4:BH4)</f>
        <v>539.29999999999995</v>
      </c>
      <c r="BJ4" s="58">
        <v>145.85</v>
      </c>
      <c r="BK4" s="58">
        <v>110.45</v>
      </c>
      <c r="BL4" s="58">
        <f>125.51+48.56</f>
        <v>174.07</v>
      </c>
      <c r="BM4" s="58">
        <f>145.87+124.74</f>
        <v>270.61</v>
      </c>
      <c r="BN4" s="58">
        <f>SUM(BJ4:BM4)</f>
        <v>700.98</v>
      </c>
      <c r="BO4" s="14">
        <f>+G4+L4+R4+W4+AB4+AH4+AM4+AS4+AX4+BC4+BI4+BN4</f>
        <v>6999.25</v>
      </c>
      <c r="BP4" s="38">
        <f>+BO4</f>
        <v>6999.25</v>
      </c>
    </row>
    <row r="5" spans="1:68" x14ac:dyDescent="0.25">
      <c r="A5" s="83" t="s">
        <v>19</v>
      </c>
      <c r="B5" s="13"/>
      <c r="C5" s="58">
        <v>90.37</v>
      </c>
      <c r="D5" s="58">
        <v>97.59</v>
      </c>
      <c r="E5" s="58">
        <v>130.16</v>
      </c>
      <c r="F5" s="58">
        <f>62.32+105.84</f>
        <v>168.16</v>
      </c>
      <c r="G5" s="58">
        <f>SUM(C5:F5)</f>
        <v>486.28</v>
      </c>
      <c r="H5" s="58">
        <v>48.28</v>
      </c>
      <c r="I5" s="58">
        <v>69.47</v>
      </c>
      <c r="J5" s="58">
        <v>105.56</v>
      </c>
      <c r="K5" s="58">
        <f>94.08+62.17</f>
        <v>156.25</v>
      </c>
      <c r="L5" s="58">
        <f>SUM(H5:K5)</f>
        <v>379.56</v>
      </c>
      <c r="M5" s="58">
        <v>97.6</v>
      </c>
      <c r="N5" s="58">
        <v>78.680000000000007</v>
      </c>
      <c r="O5" s="58">
        <v>74.819999999999993</v>
      </c>
      <c r="P5" s="58">
        <v>60</v>
      </c>
      <c r="Q5" s="58">
        <f>105.84+71.38</f>
        <v>177.22</v>
      </c>
      <c r="R5" s="58">
        <f>SUM(M5:Q5)</f>
        <v>488.32000000000005</v>
      </c>
      <c r="S5" s="58">
        <f>90.93+18.24</f>
        <v>109.17</v>
      </c>
      <c r="T5" s="58">
        <v>62.17</v>
      </c>
      <c r="U5" s="58">
        <v>88.51</v>
      </c>
      <c r="V5" s="58">
        <f>64.58+10.08+105.84</f>
        <v>180.5</v>
      </c>
      <c r="W5" s="58">
        <f>SUM(S5:V5)</f>
        <v>440.35</v>
      </c>
      <c r="X5" s="58">
        <v>92</v>
      </c>
      <c r="Y5" s="58">
        <v>75.47</v>
      </c>
      <c r="Z5" s="58">
        <v>103.18</v>
      </c>
      <c r="AA5" s="58">
        <f>83.54+105.84</f>
        <v>189.38</v>
      </c>
      <c r="AB5" s="58">
        <f>SUM(X5:AA5)</f>
        <v>460.03</v>
      </c>
      <c r="AC5" s="58">
        <v>104.96</v>
      </c>
      <c r="AD5" s="58">
        <v>60.79</v>
      </c>
      <c r="AE5" s="58">
        <v>91.92</v>
      </c>
      <c r="AF5" s="58">
        <v>43.87</v>
      </c>
      <c r="AG5" s="58">
        <f>95.84+95.16</f>
        <v>191</v>
      </c>
      <c r="AH5" s="58">
        <f>SUM(AC5:AG5)</f>
        <v>492.54</v>
      </c>
      <c r="AI5" s="58">
        <v>119.5</v>
      </c>
      <c r="AJ5" s="58">
        <v>41.3</v>
      </c>
      <c r="AK5" s="58">
        <v>100.26</v>
      </c>
      <c r="AL5" s="58">
        <f>32.98+108.9</f>
        <v>141.88</v>
      </c>
      <c r="AM5" s="58">
        <f>SUM(AI5:AL5)</f>
        <v>402.94</v>
      </c>
      <c r="AN5" s="58">
        <f>69.89+11.52</f>
        <v>81.41</v>
      </c>
      <c r="AO5" s="58">
        <v>52.39</v>
      </c>
      <c r="AP5" s="58">
        <v>107.42</v>
      </c>
      <c r="AQ5" s="58">
        <v>51.53</v>
      </c>
      <c r="AR5" s="58">
        <f>108.9+63.21</f>
        <v>172.11</v>
      </c>
      <c r="AS5" s="58">
        <f>SUM(AN5:AR5)</f>
        <v>464.86</v>
      </c>
      <c r="AT5" s="58">
        <v>54.62</v>
      </c>
      <c r="AU5" s="58">
        <f>112+8.64</f>
        <v>120.64</v>
      </c>
      <c r="AV5" s="58">
        <v>107.38</v>
      </c>
      <c r="AW5" s="58">
        <v>97.28</v>
      </c>
      <c r="AX5" s="58">
        <f>SUM(AT5:AW5)</f>
        <v>379.91999999999996</v>
      </c>
      <c r="AY5" s="58">
        <v>118.83</v>
      </c>
      <c r="AZ5" s="58">
        <v>74.45</v>
      </c>
      <c r="BA5" s="58">
        <v>119.82</v>
      </c>
      <c r="BB5" s="58">
        <f>61.66+109.62</f>
        <v>171.28</v>
      </c>
      <c r="BC5" s="58">
        <f>SUM(AY5:BB5)</f>
        <v>484.38</v>
      </c>
      <c r="BD5" s="58">
        <v>123.42</v>
      </c>
      <c r="BE5" s="58">
        <v>34.380000000000003</v>
      </c>
      <c r="BF5" s="58">
        <v>112.31</v>
      </c>
      <c r="BG5" s="58">
        <v>45.71</v>
      </c>
      <c r="BH5" s="58">
        <f>124.02+65.16</f>
        <v>189.18</v>
      </c>
      <c r="BI5" s="58">
        <f>SUM(BD5:BH5)</f>
        <v>505</v>
      </c>
      <c r="BJ5" s="58">
        <v>98.59</v>
      </c>
      <c r="BK5" s="58">
        <v>116.65</v>
      </c>
      <c r="BL5" s="58">
        <v>132.63</v>
      </c>
      <c r="BM5" s="58">
        <f>49.65+6.63+124.74</f>
        <v>181.01999999999998</v>
      </c>
      <c r="BN5" s="58">
        <f>SUM(BJ5:BM5)</f>
        <v>528.89</v>
      </c>
      <c r="BO5" s="14">
        <f>+G5+L5+R5+W5+AB5+AH5+AM5+AS5+AX5+BC5+BI5+BN5</f>
        <v>5513.0700000000006</v>
      </c>
      <c r="BP5" s="38">
        <f t="shared" ref="BP5:BP9" si="0">+BO5</f>
        <v>5513.0700000000006</v>
      </c>
    </row>
    <row r="6" spans="1:68" ht="15.75" thickBot="1" x14ac:dyDescent="0.3">
      <c r="A6" s="84" t="s">
        <v>20</v>
      </c>
      <c r="B6" s="15"/>
      <c r="C6" s="63">
        <v>78.36</v>
      </c>
      <c r="D6" s="63">
        <f>74.54+2.38</f>
        <v>76.92</v>
      </c>
      <c r="E6" s="63">
        <f>73.32+10.78</f>
        <v>84.1</v>
      </c>
      <c r="F6" s="63">
        <f>100.39+10.08+52.92</f>
        <v>163.38999999999999</v>
      </c>
      <c r="G6" s="63">
        <f>SUM(C6:F6)</f>
        <v>402.77</v>
      </c>
      <c r="H6" s="63">
        <v>47.29</v>
      </c>
      <c r="I6" s="63">
        <v>46.23</v>
      </c>
      <c r="J6" s="63">
        <v>125.37</v>
      </c>
      <c r="K6" s="63">
        <f>10.08+47.04+66.86</f>
        <v>123.97999999999999</v>
      </c>
      <c r="L6" s="63">
        <f>SUM(H6:K6)</f>
        <v>342.87</v>
      </c>
      <c r="M6" s="63">
        <v>119.16</v>
      </c>
      <c r="N6" s="63">
        <v>48.25</v>
      </c>
      <c r="O6" s="63">
        <v>84.24</v>
      </c>
      <c r="P6" s="63">
        <v>77.010000000000005</v>
      </c>
      <c r="Q6" s="63">
        <f>12.6+52.92+48.84</f>
        <v>114.36</v>
      </c>
      <c r="R6" s="63">
        <f>SUM(M6:Q6)</f>
        <v>443.02</v>
      </c>
      <c r="S6" s="63">
        <f>127.11+8.16</f>
        <v>135.27000000000001</v>
      </c>
      <c r="T6" s="63">
        <v>17.8</v>
      </c>
      <c r="U6" s="63"/>
      <c r="V6" s="63">
        <f>67.24+10.08+23.52</f>
        <v>100.83999999999999</v>
      </c>
      <c r="W6" s="63">
        <f>SUM(S6:V6)</f>
        <v>253.91000000000003</v>
      </c>
      <c r="X6" s="63"/>
      <c r="Y6" s="63">
        <f>102.78+1.81</f>
        <v>104.59</v>
      </c>
      <c r="Z6" s="63">
        <v>98.82</v>
      </c>
      <c r="AA6" s="63">
        <f>80.15+12.8+29.4</f>
        <v>122.35</v>
      </c>
      <c r="AB6" s="63">
        <f>SUM(X6:AA6)</f>
        <v>325.76</v>
      </c>
      <c r="AC6" s="63">
        <v>48.44</v>
      </c>
      <c r="AD6" s="63">
        <v>45.51</v>
      </c>
      <c r="AE6" s="63">
        <v>46.55</v>
      </c>
      <c r="AF6" s="63">
        <v>30.94</v>
      </c>
      <c r="AG6" s="63">
        <f>12.64+23.96+74.66</f>
        <v>111.25999999999999</v>
      </c>
      <c r="AH6" s="63">
        <f>SUM(AC6:AG6)</f>
        <v>282.7</v>
      </c>
      <c r="AI6" s="63"/>
      <c r="AJ6" s="63">
        <v>67.75</v>
      </c>
      <c r="AK6" s="63"/>
      <c r="AL6" s="63">
        <f>6.96+12.1</f>
        <v>19.059999999999999</v>
      </c>
      <c r="AM6" s="63">
        <f>SUM(AI6:AL6)</f>
        <v>86.81</v>
      </c>
      <c r="AN6" s="63"/>
      <c r="AO6" s="63"/>
      <c r="AP6" s="63"/>
      <c r="AQ6" s="63"/>
      <c r="AR6" s="63">
        <v>51.24</v>
      </c>
      <c r="AS6" s="63">
        <f>SUM(AN6:AR6)</f>
        <v>51.24</v>
      </c>
      <c r="AT6" s="63">
        <v>30.4</v>
      </c>
      <c r="AU6" s="63">
        <v>34.5</v>
      </c>
      <c r="AV6" s="63">
        <f>123.63+24.1+8.4</f>
        <v>156.13</v>
      </c>
      <c r="AW6" s="63">
        <f>14.48+24.32+46.83</f>
        <v>85.63</v>
      </c>
      <c r="AX6" s="63">
        <f>SUM(AT6:AW6)</f>
        <v>306.65999999999997</v>
      </c>
      <c r="AY6" s="63"/>
      <c r="AZ6" s="63">
        <v>72.23</v>
      </c>
      <c r="BA6" s="63">
        <v>16.989999999999998</v>
      </c>
      <c r="BB6" s="63">
        <f>112.6+14.72+24.36</f>
        <v>151.68</v>
      </c>
      <c r="BC6" s="63">
        <f>SUM(AY6:BB6)</f>
        <v>240.9</v>
      </c>
      <c r="BD6" s="63">
        <f>68.3+2.1</f>
        <v>70.399999999999991</v>
      </c>
      <c r="BE6" s="63">
        <v>41.31</v>
      </c>
      <c r="BF6" s="63">
        <v>29.95</v>
      </c>
      <c r="BG6" s="63">
        <v>99.1</v>
      </c>
      <c r="BH6" s="63">
        <f>20.2+34.45+95.14</f>
        <v>149.79000000000002</v>
      </c>
      <c r="BI6" s="63">
        <f>SUM(BD6:BH6)</f>
        <v>390.55</v>
      </c>
      <c r="BJ6" s="63">
        <v>60.24</v>
      </c>
      <c r="BK6" s="63">
        <v>52.32</v>
      </c>
      <c r="BL6" s="63">
        <f>1.3+34.79</f>
        <v>36.089999999999996</v>
      </c>
      <c r="BM6" s="63">
        <f>113.54+3.59+27.72+16.24</f>
        <v>161.09000000000003</v>
      </c>
      <c r="BN6" s="63">
        <f>SUM(BJ6:BM6)</f>
        <v>309.74</v>
      </c>
      <c r="BO6" s="16">
        <f>+G6+L6+R6+W6+AB6+AH6+AM6+AS6+AX6+BC6+BI6+BN6</f>
        <v>3436.9299999999994</v>
      </c>
      <c r="BP6" s="38">
        <f t="shared" si="0"/>
        <v>3436.9299999999994</v>
      </c>
    </row>
    <row r="7" spans="1:68" ht="16.5" thickTop="1" thickBot="1" x14ac:dyDescent="0.3">
      <c r="A7" s="85" t="s">
        <v>21</v>
      </c>
      <c r="B7" s="42"/>
      <c r="C7" s="64"/>
      <c r="D7" s="64"/>
      <c r="E7" s="64"/>
      <c r="F7" s="64"/>
      <c r="G7" s="64">
        <f>SUM(G4:G6)</f>
        <v>1352.77</v>
      </c>
      <c r="H7" s="64"/>
      <c r="I7" s="64"/>
      <c r="J7" s="64"/>
      <c r="K7" s="64"/>
      <c r="L7" s="64">
        <f>SUM(L4:L6)</f>
        <v>1282</v>
      </c>
      <c r="M7" s="64"/>
      <c r="N7" s="64"/>
      <c r="O7" s="64"/>
      <c r="P7" s="64"/>
      <c r="Q7" s="64"/>
      <c r="R7" s="64">
        <f>SUM(R4:R6)</f>
        <v>1561.0100000000002</v>
      </c>
      <c r="S7" s="64"/>
      <c r="T7" s="64"/>
      <c r="U7" s="64"/>
      <c r="V7" s="64"/>
      <c r="W7" s="64">
        <f>SUM(W4:W6)</f>
        <v>1211.5700000000002</v>
      </c>
      <c r="X7" s="64"/>
      <c r="Y7" s="64"/>
      <c r="Z7" s="64"/>
      <c r="AA7" s="64"/>
      <c r="AB7" s="64">
        <f>SUM(AB4:AB6)</f>
        <v>1314.28</v>
      </c>
      <c r="AC7" s="64"/>
      <c r="AD7" s="64"/>
      <c r="AE7" s="64"/>
      <c r="AF7" s="64"/>
      <c r="AG7" s="64"/>
      <c r="AH7" s="64">
        <f>SUM(AH4:AH6)</f>
        <v>1392.48</v>
      </c>
      <c r="AI7" s="64"/>
      <c r="AJ7" s="64"/>
      <c r="AK7" s="64"/>
      <c r="AL7" s="64"/>
      <c r="AM7" s="64">
        <f>SUM(AM4:AM6)</f>
        <v>1095.2</v>
      </c>
      <c r="AN7" s="64"/>
      <c r="AO7" s="64"/>
      <c r="AP7" s="64"/>
      <c r="AQ7" s="64"/>
      <c r="AR7" s="64"/>
      <c r="AS7" s="64">
        <f>SUM(AS4:AS6)</f>
        <v>1180.8800000000001</v>
      </c>
      <c r="AT7" s="64"/>
      <c r="AU7" s="64"/>
      <c r="AV7" s="64"/>
      <c r="AW7" s="64"/>
      <c r="AX7" s="64">
        <f>SUM(AX4:AX6)</f>
        <v>1247.73</v>
      </c>
      <c r="AY7" s="64"/>
      <c r="AZ7" s="64"/>
      <c r="BA7" s="64"/>
      <c r="BB7" s="64"/>
      <c r="BC7" s="64">
        <f>SUM(BC4:BC6)</f>
        <v>1336.8700000000001</v>
      </c>
      <c r="BD7" s="64"/>
      <c r="BE7" s="64"/>
      <c r="BF7" s="64"/>
      <c r="BG7" s="64"/>
      <c r="BH7" s="64"/>
      <c r="BI7" s="64">
        <f>SUM(BI4:BI6)</f>
        <v>1434.85</v>
      </c>
      <c r="BJ7" s="64"/>
      <c r="BK7" s="64"/>
      <c r="BL7" s="64"/>
      <c r="BM7" s="64"/>
      <c r="BN7" s="64">
        <f>SUM(BN4:BN6)</f>
        <v>1539.61</v>
      </c>
      <c r="BO7" s="43">
        <f>SUM(BO4:BO6)</f>
        <v>15949.25</v>
      </c>
      <c r="BP7" s="38"/>
    </row>
    <row r="8" spans="1:68" ht="15.75" thickTop="1" x14ac:dyDescent="0.25">
      <c r="A8" s="86" t="s">
        <v>22</v>
      </c>
      <c r="B8" s="11"/>
      <c r="C8" s="58">
        <v>103.88</v>
      </c>
      <c r="D8" s="58">
        <f>109.91+1.16</f>
        <v>111.07</v>
      </c>
      <c r="E8" s="58">
        <v>138.01</v>
      </c>
      <c r="F8" s="58">
        <f>128.82+52.92</f>
        <v>181.74</v>
      </c>
      <c r="G8" s="58">
        <f>SUM(C8:F8)</f>
        <v>534.70000000000005</v>
      </c>
      <c r="H8" s="58">
        <v>91.99</v>
      </c>
      <c r="I8" s="58">
        <f>130.02+2.31</f>
        <v>132.33000000000001</v>
      </c>
      <c r="J8" s="58">
        <v>31.39</v>
      </c>
      <c r="K8" s="58">
        <f>47.04+39.92</f>
        <v>86.960000000000008</v>
      </c>
      <c r="L8" s="58">
        <f t="shared" ref="L8:L21" si="1">SUM(H8:K8)</f>
        <v>342.66999999999996</v>
      </c>
      <c r="M8" s="58">
        <f>81.17+6.6</f>
        <v>87.77</v>
      </c>
      <c r="N8" s="58">
        <f>97.44+3.5</f>
        <v>100.94</v>
      </c>
      <c r="O8" s="58">
        <f>94.9+2.53+1.2</f>
        <v>98.63000000000001</v>
      </c>
      <c r="P8" s="58">
        <f>157.21+0.23</f>
        <v>157.44</v>
      </c>
      <c r="Q8" s="58">
        <f>52.92+159.17+2.51</f>
        <v>214.59999999999997</v>
      </c>
      <c r="R8" s="58">
        <f t="shared" ref="R8:R21" si="2">SUM(M8:Q8)</f>
        <v>659.37999999999988</v>
      </c>
      <c r="S8" s="58">
        <v>138.84</v>
      </c>
      <c r="T8" s="58">
        <f>159.39+3.2</f>
        <v>162.58999999999997</v>
      </c>
      <c r="U8" s="58">
        <v>38.479999999999997</v>
      </c>
      <c r="V8" s="58">
        <f>44.04+0.28+4.2+52.92</f>
        <v>101.44</v>
      </c>
      <c r="W8" s="58">
        <f>SUM(S8:V8)</f>
        <v>441.34999999999997</v>
      </c>
      <c r="X8" s="58">
        <v>124.86</v>
      </c>
      <c r="Y8" s="58">
        <v>107.03</v>
      </c>
      <c r="Z8" s="58">
        <v>43.8</v>
      </c>
      <c r="AA8" s="58">
        <f>122.89+52.92</f>
        <v>175.81</v>
      </c>
      <c r="AB8" s="58">
        <f t="shared" ref="AB8:AB27" si="3">SUM(X8:AA8)</f>
        <v>451.5</v>
      </c>
      <c r="AC8" s="58">
        <v>35.11</v>
      </c>
      <c r="AD8" s="58">
        <v>89.2</v>
      </c>
      <c r="AE8" s="58">
        <v>33.29</v>
      </c>
      <c r="AF8" s="58">
        <v>110.83</v>
      </c>
      <c r="AG8" s="58">
        <f>47.92+26.72</f>
        <v>74.64</v>
      </c>
      <c r="AH8" s="58">
        <f t="shared" ref="AH8:AH27" si="4">SUM(AC8:AG8)</f>
        <v>343.07</v>
      </c>
      <c r="AI8" s="58">
        <v>105.37</v>
      </c>
      <c r="AJ8" s="58">
        <v>123.45</v>
      </c>
      <c r="AK8" s="58">
        <v>123.12</v>
      </c>
      <c r="AL8" s="58">
        <f>73.81+11.2+54.45</f>
        <v>139.46</v>
      </c>
      <c r="AM8" s="58">
        <f>SUM(AI8:AL8)</f>
        <v>491.4</v>
      </c>
      <c r="AN8" s="58">
        <v>45.24</v>
      </c>
      <c r="AO8" s="58">
        <f>59.53+4.08</f>
        <v>63.61</v>
      </c>
      <c r="AP8" s="58">
        <v>72.8</v>
      </c>
      <c r="AQ8" s="58">
        <v>39.46</v>
      </c>
      <c r="AR8" s="58">
        <f>54.45+104.24</f>
        <v>158.69</v>
      </c>
      <c r="AS8" s="58">
        <f t="shared" ref="AS8:AS27" si="5">SUM(AN8:AR8)</f>
        <v>379.79999999999995</v>
      </c>
      <c r="AT8" s="58">
        <v>93.25</v>
      </c>
      <c r="AU8" s="58">
        <v>30.52</v>
      </c>
      <c r="AV8" s="58">
        <v>47.14</v>
      </c>
      <c r="AW8" s="58">
        <f>48.64+63.84</f>
        <v>112.48</v>
      </c>
      <c r="AX8" s="58">
        <f>SUM(AT8:AW8)</f>
        <v>283.39</v>
      </c>
      <c r="AY8" s="58">
        <v>130.18</v>
      </c>
      <c r="AZ8" s="58">
        <f>90.78+5.82</f>
        <v>96.6</v>
      </c>
      <c r="BA8" s="58">
        <f>135.8+4</f>
        <v>139.80000000000001</v>
      </c>
      <c r="BB8" s="58">
        <f>82.43+54.81</f>
        <v>137.24</v>
      </c>
      <c r="BC8" s="58">
        <f t="shared" ref="BC8:BC21" si="6">SUM(AY8:BB8)</f>
        <v>503.82000000000005</v>
      </c>
      <c r="BD8" s="58">
        <v>79.38</v>
      </c>
      <c r="BE8" s="58">
        <v>97.33</v>
      </c>
      <c r="BF8" s="58">
        <f>70.98+2</f>
        <v>72.98</v>
      </c>
      <c r="BG8" s="58">
        <f>102.8+9+1.71</f>
        <v>113.50999999999999</v>
      </c>
      <c r="BH8" s="58">
        <f>62.01+101.78+1.6+8.16</f>
        <v>173.54999999999998</v>
      </c>
      <c r="BI8" s="58">
        <f t="shared" ref="BI8:BI21" si="7">SUM(BD8:BH8)</f>
        <v>536.75</v>
      </c>
      <c r="BJ8" s="58">
        <v>119.16</v>
      </c>
      <c r="BK8" s="58">
        <v>102.7</v>
      </c>
      <c r="BL8" s="58">
        <v>148.16</v>
      </c>
      <c r="BM8" s="58">
        <f>60.39+62.37</f>
        <v>122.75999999999999</v>
      </c>
      <c r="BN8" s="58">
        <f t="shared" ref="BN8:BN21" si="8">SUM(BJ8:BM8)</f>
        <v>492.78</v>
      </c>
      <c r="BO8" s="12">
        <f>+G8+L8+R8+W8+AB8+AH8+AM8+AS8+AX8+BC8+BI8+BN8</f>
        <v>5460.61</v>
      </c>
      <c r="BP8" s="38">
        <f t="shared" si="0"/>
        <v>5460.61</v>
      </c>
    </row>
    <row r="9" spans="1:68" x14ac:dyDescent="0.25">
      <c r="A9" s="86" t="s">
        <v>23</v>
      </c>
      <c r="B9" s="13"/>
      <c r="C9" s="58">
        <f>57.98+5.23</f>
        <v>63.209999999999994</v>
      </c>
      <c r="D9" s="58">
        <v>117.13</v>
      </c>
      <c r="E9" s="58">
        <v>94.18</v>
      </c>
      <c r="F9" s="58">
        <f>117.67+105.84</f>
        <v>223.51</v>
      </c>
      <c r="G9" s="58">
        <f>SUM(C9:F9)</f>
        <v>498.03</v>
      </c>
      <c r="H9" s="58">
        <v>118.22</v>
      </c>
      <c r="I9" s="58">
        <v>113.05</v>
      </c>
      <c r="J9" s="58">
        <f>106.95+0</f>
        <v>106.95</v>
      </c>
      <c r="K9" s="58">
        <f>94.08+87.16</f>
        <v>181.24</v>
      </c>
      <c r="L9" s="58">
        <f t="shared" si="1"/>
        <v>519.46</v>
      </c>
      <c r="M9" s="58">
        <f>136.57+3.94+6</f>
        <v>146.51</v>
      </c>
      <c r="N9" s="58">
        <f>149.35+13.5</f>
        <v>162.85</v>
      </c>
      <c r="O9" s="58">
        <v>138.9</v>
      </c>
      <c r="P9" s="58">
        <v>117.92</v>
      </c>
      <c r="Q9" s="58">
        <f>105.84+178.72+13.48</f>
        <v>298.04000000000002</v>
      </c>
      <c r="R9" s="58">
        <f t="shared" si="2"/>
        <v>864.22</v>
      </c>
      <c r="S9" s="58">
        <v>117.12</v>
      </c>
      <c r="T9" s="58">
        <v>128.32</v>
      </c>
      <c r="U9" s="58">
        <f>77.9+4.63</f>
        <v>82.53</v>
      </c>
      <c r="V9" s="58">
        <f>56.53+0.57+2.8+105.84</f>
        <v>165.74</v>
      </c>
      <c r="W9" s="58">
        <f>SUM(S9:V9)</f>
        <v>493.71000000000004</v>
      </c>
      <c r="X9" s="58">
        <f>65.94+2.68</f>
        <v>68.62</v>
      </c>
      <c r="Y9" s="58">
        <f>104.38+2.8</f>
        <v>107.17999999999999</v>
      </c>
      <c r="Z9" s="58">
        <v>90.27</v>
      </c>
      <c r="AA9" s="58">
        <f>116.93+105.84</f>
        <v>222.77</v>
      </c>
      <c r="AB9" s="58">
        <f t="shared" si="3"/>
        <v>488.84000000000003</v>
      </c>
      <c r="AC9" s="58">
        <v>180.64</v>
      </c>
      <c r="AD9" s="58">
        <f>90.65+9.36</f>
        <v>100.01</v>
      </c>
      <c r="AE9" s="58">
        <v>68.819999999999993</v>
      </c>
      <c r="AF9" s="58">
        <v>47.71</v>
      </c>
      <c r="AG9" s="58">
        <f>95.84+110.31</f>
        <v>206.15</v>
      </c>
      <c r="AH9" s="58">
        <f t="shared" si="4"/>
        <v>603.32999999999993</v>
      </c>
      <c r="AI9" s="58">
        <v>81.7</v>
      </c>
      <c r="AJ9" s="58">
        <f>119.74+3.31</f>
        <v>123.05</v>
      </c>
      <c r="AK9" s="58">
        <v>96.42</v>
      </c>
      <c r="AL9" s="58">
        <f>135.67+21.05+108.9</f>
        <v>265.62</v>
      </c>
      <c r="AM9" s="58">
        <f>SUM(AI9:AL9)</f>
        <v>566.79</v>
      </c>
      <c r="AN9" s="58">
        <f>102.22+5.44</f>
        <v>107.66</v>
      </c>
      <c r="AO9" s="58">
        <f>6.56+127.5+6.12</f>
        <v>140.18</v>
      </c>
      <c r="AP9" s="58">
        <v>115.04</v>
      </c>
      <c r="AQ9" s="58">
        <f>75.59+6.8</f>
        <v>82.39</v>
      </c>
      <c r="AR9" s="58">
        <f>108.9+105.06</f>
        <v>213.96</v>
      </c>
      <c r="AS9" s="58">
        <f t="shared" si="5"/>
        <v>659.23</v>
      </c>
      <c r="AT9" s="58">
        <v>120.41</v>
      </c>
      <c r="AU9" s="58">
        <f>126.31+10.56</f>
        <v>136.87</v>
      </c>
      <c r="AV9" s="58">
        <f>67.93+7.2</f>
        <v>75.13000000000001</v>
      </c>
      <c r="AW9" s="58">
        <f>97.28+5.44+139.67</f>
        <v>242.39</v>
      </c>
      <c r="AX9" s="58">
        <f>SUM(AT9:AW9)</f>
        <v>574.79999999999995</v>
      </c>
      <c r="AY9" s="58">
        <v>41.52</v>
      </c>
      <c r="AZ9" s="58">
        <f>96.09+7.77</f>
        <v>103.86</v>
      </c>
      <c r="BA9" s="58">
        <f>94.04+5.76</f>
        <v>99.800000000000011</v>
      </c>
      <c r="BB9" s="58">
        <f>140.72+4.8+109.62</f>
        <v>255.14000000000001</v>
      </c>
      <c r="BC9" s="58">
        <f t="shared" si="6"/>
        <v>500.32000000000005</v>
      </c>
      <c r="BD9" s="58">
        <v>119.07</v>
      </c>
      <c r="BE9" s="58">
        <f>118.6+6</f>
        <v>124.6</v>
      </c>
      <c r="BF9" s="58">
        <f>124.47+2.4</f>
        <v>126.87</v>
      </c>
      <c r="BG9" s="58">
        <v>129.16999999999999</v>
      </c>
      <c r="BH9" s="58">
        <f>124.02+8.16+165.39+2.4</f>
        <v>299.96999999999997</v>
      </c>
      <c r="BI9" s="58">
        <f t="shared" si="7"/>
        <v>799.67999999999984</v>
      </c>
      <c r="BJ9" s="58">
        <v>112.01</v>
      </c>
      <c r="BK9" s="58">
        <v>76.34</v>
      </c>
      <c r="BL9" s="58">
        <v>145.85</v>
      </c>
      <c r="BM9" s="58">
        <f>58.1+124.74</f>
        <v>182.84</v>
      </c>
      <c r="BN9" s="58">
        <f t="shared" si="8"/>
        <v>517.04000000000008</v>
      </c>
      <c r="BO9" s="14">
        <f>+G9+L9+R9+W9+AB9+AH9+AM9+AS9+AX9+BC9+BI9+BN9</f>
        <v>7085.45</v>
      </c>
      <c r="BP9" s="38">
        <f t="shared" si="0"/>
        <v>7085.45</v>
      </c>
    </row>
    <row r="10" spans="1:68" x14ac:dyDescent="0.25">
      <c r="A10" s="86" t="s">
        <v>24</v>
      </c>
      <c r="B10" s="13"/>
      <c r="C10" s="65"/>
      <c r="D10" s="65"/>
      <c r="E10" s="65"/>
      <c r="F10" s="65"/>
      <c r="G10" s="65">
        <f>SUM(C10:F10)</f>
        <v>0</v>
      </c>
      <c r="H10" s="65"/>
      <c r="I10" s="65"/>
      <c r="J10" s="65"/>
      <c r="K10" s="65"/>
      <c r="L10" s="65">
        <f t="shared" si="1"/>
        <v>0</v>
      </c>
      <c r="M10" s="65"/>
      <c r="N10" s="65">
        <v>10.45</v>
      </c>
      <c r="O10" s="65"/>
      <c r="P10" s="65"/>
      <c r="Q10" s="65">
        <v>15.31</v>
      </c>
      <c r="R10" s="65">
        <f t="shared" si="2"/>
        <v>25.759999999999998</v>
      </c>
      <c r="S10" s="65"/>
      <c r="T10" s="65"/>
      <c r="U10" s="65">
        <v>16.309999999999999</v>
      </c>
      <c r="V10" s="65"/>
      <c r="W10" s="65">
        <f>SUM(S10:V10)</f>
        <v>16.309999999999999</v>
      </c>
      <c r="X10" s="65"/>
      <c r="Y10" s="65">
        <v>10.55</v>
      </c>
      <c r="Z10" s="65"/>
      <c r="AA10" s="65"/>
      <c r="AB10" s="65">
        <f t="shared" si="3"/>
        <v>10.55</v>
      </c>
      <c r="AC10" s="65">
        <v>13.82</v>
      </c>
      <c r="AD10" s="65"/>
      <c r="AE10" s="65"/>
      <c r="AF10" s="65"/>
      <c r="AG10" s="65">
        <v>13.92</v>
      </c>
      <c r="AH10" s="65">
        <f t="shared" si="4"/>
        <v>27.740000000000002</v>
      </c>
      <c r="AI10" s="65"/>
      <c r="AJ10" s="65"/>
      <c r="AK10" s="65">
        <v>12.96</v>
      </c>
      <c r="AL10" s="65"/>
      <c r="AM10" s="65">
        <f>SUM(AI10:AL10)</f>
        <v>12.96</v>
      </c>
      <c r="AN10" s="65">
        <v>14.4</v>
      </c>
      <c r="AO10" s="65"/>
      <c r="AP10" s="65"/>
      <c r="AQ10" s="65"/>
      <c r="AR10" s="65"/>
      <c r="AS10" s="65">
        <f t="shared" si="5"/>
        <v>14.4</v>
      </c>
      <c r="AT10" s="65"/>
      <c r="AU10" s="65"/>
      <c r="AV10" s="65">
        <f>15.02+3</f>
        <v>18.02</v>
      </c>
      <c r="AW10" s="65"/>
      <c r="AX10" s="65">
        <f>SUM(AT10:AW10)</f>
        <v>18.02</v>
      </c>
      <c r="AY10" s="65"/>
      <c r="AZ10" s="65">
        <v>8.19</v>
      </c>
      <c r="BA10" s="65">
        <v>9.08</v>
      </c>
      <c r="BB10" s="65"/>
      <c r="BC10" s="65">
        <f t="shared" si="6"/>
        <v>17.27</v>
      </c>
      <c r="BD10" s="65"/>
      <c r="BE10" s="65"/>
      <c r="BF10" s="65"/>
      <c r="BG10" s="65">
        <v>9.1</v>
      </c>
      <c r="BH10" s="65"/>
      <c r="BI10" s="65">
        <f t="shared" si="7"/>
        <v>9.1</v>
      </c>
      <c r="BJ10" s="65"/>
      <c r="BK10" s="65"/>
      <c r="BL10" s="65">
        <v>26.79</v>
      </c>
      <c r="BM10" s="65"/>
      <c r="BN10" s="65">
        <f t="shared" si="8"/>
        <v>26.79</v>
      </c>
      <c r="BO10" s="14">
        <f>+G10+L10+R10+W10+AB10+AH10+AM10+AS10+AX10+BC10+BI10+BN10</f>
        <v>178.89999999999998</v>
      </c>
      <c r="BP10" s="38">
        <f>+BO10</f>
        <v>178.89999999999998</v>
      </c>
    </row>
    <row r="11" spans="1:68" x14ac:dyDescent="0.25">
      <c r="A11" s="86" t="s">
        <v>25</v>
      </c>
      <c r="B11" s="13"/>
      <c r="C11" s="65"/>
      <c r="D11" s="65"/>
      <c r="E11" s="65"/>
      <c r="F11" s="65"/>
      <c r="G11" s="65">
        <f t="shared" ref="G11:G68" si="9">SUM(C11:F11)</f>
        <v>0</v>
      </c>
      <c r="H11" s="65"/>
      <c r="I11" s="65"/>
      <c r="J11" s="65"/>
      <c r="K11" s="65"/>
      <c r="L11" s="65">
        <f t="shared" si="1"/>
        <v>0</v>
      </c>
      <c r="M11" s="65"/>
      <c r="N11" s="65"/>
      <c r="O11" s="65"/>
      <c r="P11" s="65"/>
      <c r="Q11" s="65"/>
      <c r="R11" s="65">
        <f t="shared" si="2"/>
        <v>0</v>
      </c>
      <c r="S11" s="65"/>
      <c r="T11" s="65"/>
      <c r="U11" s="65"/>
      <c r="V11" s="65"/>
      <c r="W11" s="65">
        <f t="shared" ref="W11:W68" si="10">SUM(S11:V11)</f>
        <v>0</v>
      </c>
      <c r="X11" s="65"/>
      <c r="Y11" s="65"/>
      <c r="Z11" s="65"/>
      <c r="AA11" s="65"/>
      <c r="AB11" s="65">
        <f t="shared" si="3"/>
        <v>0</v>
      </c>
      <c r="AC11" s="65"/>
      <c r="AD11" s="65"/>
      <c r="AE11" s="65"/>
      <c r="AF11" s="65"/>
      <c r="AG11" s="65"/>
      <c r="AH11" s="65">
        <f t="shared" si="4"/>
        <v>0</v>
      </c>
      <c r="AI11" s="65"/>
      <c r="AJ11" s="65"/>
      <c r="AK11" s="65"/>
      <c r="AL11" s="65"/>
      <c r="AM11" s="65">
        <f t="shared" ref="AM11:AM68" si="11">SUM(AI11:AL11)</f>
        <v>0</v>
      </c>
      <c r="AN11" s="65"/>
      <c r="AO11" s="65"/>
      <c r="AP11" s="65"/>
      <c r="AQ11" s="65"/>
      <c r="AR11" s="65"/>
      <c r="AS11" s="65">
        <f t="shared" si="5"/>
        <v>0</v>
      </c>
      <c r="AT11" s="65">
        <v>1.94</v>
      </c>
      <c r="AU11" s="65"/>
      <c r="AV11" s="65"/>
      <c r="AW11" s="65">
        <v>3.46</v>
      </c>
      <c r="AX11" s="65">
        <f t="shared" ref="AX11:AX68" si="12">SUM(AT11:AW11)</f>
        <v>5.4</v>
      </c>
      <c r="AY11" s="65"/>
      <c r="AZ11" s="65"/>
      <c r="BA11" s="65"/>
      <c r="BB11" s="65"/>
      <c r="BC11" s="65">
        <f t="shared" si="6"/>
        <v>0</v>
      </c>
      <c r="BD11" s="65">
        <v>1.94</v>
      </c>
      <c r="BE11" s="65"/>
      <c r="BF11" s="65"/>
      <c r="BG11" s="65"/>
      <c r="BH11" s="65"/>
      <c r="BI11" s="65">
        <f t="shared" si="7"/>
        <v>1.94</v>
      </c>
      <c r="BJ11" s="65"/>
      <c r="BK11" s="65"/>
      <c r="BL11" s="65"/>
      <c r="BM11" s="65"/>
      <c r="BN11" s="65">
        <f t="shared" si="8"/>
        <v>0</v>
      </c>
      <c r="BO11" s="14">
        <f t="shared" ref="BO11:BO68" si="13">+G11+L11+R11+W11+AB11+AH11+AM11+AS11+AX11+BC11+BI11+BN11</f>
        <v>7.34</v>
      </c>
      <c r="BP11" s="38">
        <f t="shared" ref="BP11:BP73" si="14">+BO11</f>
        <v>7.34</v>
      </c>
    </row>
    <row r="12" spans="1:68" x14ac:dyDescent="0.25">
      <c r="A12" s="86" t="s">
        <v>26</v>
      </c>
      <c r="B12" s="13"/>
      <c r="C12" s="65">
        <v>18.48</v>
      </c>
      <c r="D12" s="65"/>
      <c r="E12" s="65">
        <v>14.05</v>
      </c>
      <c r="F12" s="65">
        <f>15.24+34.02</f>
        <v>49.260000000000005</v>
      </c>
      <c r="G12" s="65">
        <f t="shared" ref="G12:G21" si="15">SUM(C12:F12)</f>
        <v>81.790000000000006</v>
      </c>
      <c r="H12" s="65">
        <v>33.520000000000003</v>
      </c>
      <c r="I12" s="65">
        <v>21.83</v>
      </c>
      <c r="J12" s="65">
        <v>33.17</v>
      </c>
      <c r="K12" s="65">
        <f>30.24+61.09</f>
        <v>91.33</v>
      </c>
      <c r="L12" s="65">
        <f t="shared" si="1"/>
        <v>179.85000000000002</v>
      </c>
      <c r="M12" s="65">
        <f>23.27+2.5</f>
        <v>25.77</v>
      </c>
      <c r="N12" s="65">
        <v>68.52</v>
      </c>
      <c r="O12" s="65">
        <v>37.15</v>
      </c>
      <c r="P12" s="65"/>
      <c r="Q12" s="65">
        <f>34.02+59.56</f>
        <v>93.580000000000013</v>
      </c>
      <c r="R12" s="65">
        <f t="shared" si="2"/>
        <v>225.02</v>
      </c>
      <c r="S12" s="65">
        <v>19.62</v>
      </c>
      <c r="T12" s="65">
        <v>37.770000000000003</v>
      </c>
      <c r="U12" s="65">
        <v>16.32</v>
      </c>
      <c r="V12" s="65">
        <f>24.68+0.06+34.02</f>
        <v>58.760000000000005</v>
      </c>
      <c r="W12" s="65">
        <f t="shared" ref="W12:W21" si="16">SUM(S12:V12)</f>
        <v>132.47000000000003</v>
      </c>
      <c r="X12" s="65">
        <v>24.91</v>
      </c>
      <c r="Y12" s="65"/>
      <c r="Z12" s="65">
        <f>7.65+5.39</f>
        <v>13.04</v>
      </c>
      <c r="AA12" s="65">
        <f>37.81+34.56</f>
        <v>72.37</v>
      </c>
      <c r="AB12" s="65">
        <f t="shared" si="3"/>
        <v>110.32000000000001</v>
      </c>
      <c r="AC12" s="65">
        <v>20.57</v>
      </c>
      <c r="AD12" s="65">
        <v>68.08</v>
      </c>
      <c r="AE12" s="65"/>
      <c r="AF12" s="65">
        <v>17.75</v>
      </c>
      <c r="AG12" s="65">
        <f>37.92+16.49</f>
        <v>54.41</v>
      </c>
      <c r="AH12" s="65">
        <f t="shared" si="4"/>
        <v>160.81</v>
      </c>
      <c r="AI12" s="65">
        <v>34.65</v>
      </c>
      <c r="AJ12" s="65">
        <v>34.89</v>
      </c>
      <c r="AK12" s="65">
        <v>22.83</v>
      </c>
      <c r="AL12" s="65">
        <f>34.9+46.98</f>
        <v>81.88</v>
      </c>
      <c r="AM12" s="65">
        <f t="shared" ref="AM12:AM21" si="17">SUM(AI12:AL12)</f>
        <v>174.25</v>
      </c>
      <c r="AN12" s="65">
        <v>34.590000000000003</v>
      </c>
      <c r="AO12" s="65">
        <v>68.900000000000006</v>
      </c>
      <c r="AP12" s="65">
        <v>28.05</v>
      </c>
      <c r="AQ12" s="65">
        <v>8.16</v>
      </c>
      <c r="AR12" s="65">
        <f>46.98+25.53</f>
        <v>72.509999999999991</v>
      </c>
      <c r="AS12" s="65">
        <f t="shared" si="5"/>
        <v>212.21</v>
      </c>
      <c r="AT12" s="65">
        <v>22.4</v>
      </c>
      <c r="AU12" s="65">
        <v>28.32</v>
      </c>
      <c r="AV12" s="65">
        <v>34.07</v>
      </c>
      <c r="AW12" s="65">
        <f>43.44+23.76</f>
        <v>67.2</v>
      </c>
      <c r="AX12" s="65">
        <f t="shared" ref="AX12:AX21" si="18">SUM(AT12:AW12)</f>
        <v>151.99</v>
      </c>
      <c r="AY12" s="65">
        <v>28.7</v>
      </c>
      <c r="AZ12" s="65"/>
      <c r="BA12" s="65">
        <v>67.84</v>
      </c>
      <c r="BB12" s="65">
        <f>19.82+49.68</f>
        <v>69.5</v>
      </c>
      <c r="BC12" s="65">
        <f t="shared" si="6"/>
        <v>166.04000000000002</v>
      </c>
      <c r="BD12" s="65">
        <v>30.21</v>
      </c>
      <c r="BE12" s="65">
        <v>24.32</v>
      </c>
      <c r="BF12" s="65">
        <v>27.67</v>
      </c>
      <c r="BG12" s="65">
        <v>20.67</v>
      </c>
      <c r="BH12" s="65">
        <f>54.54+60.4</f>
        <v>114.94</v>
      </c>
      <c r="BI12" s="65">
        <f t="shared" si="7"/>
        <v>217.81</v>
      </c>
      <c r="BJ12" s="65">
        <v>87.72</v>
      </c>
      <c r="BK12" s="65">
        <f>75.99+7.94</f>
        <v>83.929999999999993</v>
      </c>
      <c r="BL12" s="65">
        <v>81.86</v>
      </c>
      <c r="BM12" s="65">
        <f>20.75+54.81</f>
        <v>75.56</v>
      </c>
      <c r="BN12" s="65">
        <f t="shared" si="8"/>
        <v>329.07</v>
      </c>
      <c r="BO12" s="14">
        <f t="shared" ref="BO12:BO21" si="19">+G12+L12+R12+W12+AB12+AH12+AM12+AS12+AX12+BC12+BI12+BN12</f>
        <v>2141.63</v>
      </c>
      <c r="BP12" s="38">
        <f t="shared" si="14"/>
        <v>2141.63</v>
      </c>
    </row>
    <row r="13" spans="1:68" x14ac:dyDescent="0.25">
      <c r="A13" s="86" t="s">
        <v>27</v>
      </c>
      <c r="B13" s="13"/>
      <c r="C13" s="65">
        <v>102.53</v>
      </c>
      <c r="D13" s="65">
        <v>97.16</v>
      </c>
      <c r="E13" s="65">
        <v>105.11</v>
      </c>
      <c r="F13" s="65">
        <f>94.28+105.84</f>
        <v>200.12</v>
      </c>
      <c r="G13" s="65">
        <f t="shared" si="15"/>
        <v>504.92</v>
      </c>
      <c r="H13" s="65">
        <v>112.26</v>
      </c>
      <c r="I13" s="65">
        <v>80.78</v>
      </c>
      <c r="J13" s="65">
        <v>112.98</v>
      </c>
      <c r="K13" s="65">
        <f>94.08+104.49</f>
        <v>198.57</v>
      </c>
      <c r="L13" s="65">
        <f t="shared" si="1"/>
        <v>504.59000000000003</v>
      </c>
      <c r="M13" s="65">
        <v>111.06</v>
      </c>
      <c r="N13" s="65">
        <v>80.180000000000007</v>
      </c>
      <c r="O13" s="65">
        <v>110.28</v>
      </c>
      <c r="P13" s="65">
        <v>116.25</v>
      </c>
      <c r="Q13" s="65">
        <f>105.84+122.29</f>
        <v>228.13</v>
      </c>
      <c r="R13" s="65">
        <f t="shared" si="2"/>
        <v>645.9</v>
      </c>
      <c r="S13" s="65">
        <v>124.97</v>
      </c>
      <c r="T13" s="65">
        <v>100.62</v>
      </c>
      <c r="U13" s="65">
        <v>112.01</v>
      </c>
      <c r="V13" s="65">
        <f>107.43+2.84+105.84</f>
        <v>216.11</v>
      </c>
      <c r="W13" s="65">
        <f t="shared" si="16"/>
        <v>553.71</v>
      </c>
      <c r="X13" s="65">
        <v>109.9</v>
      </c>
      <c r="Y13" s="65">
        <v>63.51</v>
      </c>
      <c r="Z13" s="65">
        <v>109.83</v>
      </c>
      <c r="AA13" s="65">
        <f>95.86+105.84</f>
        <v>201.7</v>
      </c>
      <c r="AB13" s="65">
        <f t="shared" si="3"/>
        <v>484.94</v>
      </c>
      <c r="AC13" s="65"/>
      <c r="AD13" s="65">
        <f>104.1+4.8</f>
        <v>108.89999999999999</v>
      </c>
      <c r="AE13" s="65">
        <f>116.8+28.52</f>
        <v>145.32</v>
      </c>
      <c r="AF13" s="65">
        <v>110.7</v>
      </c>
      <c r="AG13" s="65">
        <f>95.84+108.35</f>
        <v>204.19</v>
      </c>
      <c r="AH13" s="65">
        <f t="shared" si="4"/>
        <v>569.1099999999999</v>
      </c>
      <c r="AI13" s="65">
        <v>140.46</v>
      </c>
      <c r="AJ13" s="65">
        <v>85.46</v>
      </c>
      <c r="AK13" s="65">
        <v>122.46</v>
      </c>
      <c r="AL13" s="65">
        <f>94.47+10.54+108.9</f>
        <v>213.91</v>
      </c>
      <c r="AM13" s="65">
        <f t="shared" si="17"/>
        <v>562.29</v>
      </c>
      <c r="AN13" s="65">
        <v>95.41</v>
      </c>
      <c r="AO13" s="65">
        <f>87.41+4.8</f>
        <v>92.21</v>
      </c>
      <c r="AP13" s="65">
        <v>106.97</v>
      </c>
      <c r="AQ13" s="65">
        <v>94.73</v>
      </c>
      <c r="AR13" s="65">
        <f>108.9+151.83</f>
        <v>260.73</v>
      </c>
      <c r="AS13" s="65">
        <f t="shared" si="5"/>
        <v>650.05000000000007</v>
      </c>
      <c r="AT13" s="65">
        <v>33.26</v>
      </c>
      <c r="AU13" s="65">
        <f>100.94+6</f>
        <v>106.94</v>
      </c>
      <c r="AV13" s="65">
        <v>95.82</v>
      </c>
      <c r="AW13" s="65">
        <f>97.28+55.4</f>
        <v>152.68</v>
      </c>
      <c r="AX13" s="65">
        <f t="shared" si="18"/>
        <v>388.7</v>
      </c>
      <c r="AY13" s="65">
        <v>105.76</v>
      </c>
      <c r="AZ13" s="65">
        <v>86.05</v>
      </c>
      <c r="BA13" s="65">
        <v>120.92</v>
      </c>
      <c r="BB13" s="65">
        <f>115.87+109.62</f>
        <v>225.49</v>
      </c>
      <c r="BC13" s="65">
        <f t="shared" si="6"/>
        <v>538.22</v>
      </c>
      <c r="BD13" s="65">
        <v>64.930000000000007</v>
      </c>
      <c r="BE13" s="65">
        <v>101.22</v>
      </c>
      <c r="BF13" s="65">
        <v>107.1</v>
      </c>
      <c r="BG13" s="65">
        <f>112.09+6</f>
        <v>118.09</v>
      </c>
      <c r="BH13" s="65">
        <f>124.02+108.45</f>
        <v>232.47</v>
      </c>
      <c r="BI13" s="65">
        <f t="shared" si="7"/>
        <v>623.81000000000006</v>
      </c>
      <c r="BJ13" s="65">
        <f>103.5+4.41</f>
        <v>107.91</v>
      </c>
      <c r="BK13" s="65">
        <v>106.57</v>
      </c>
      <c r="BL13" s="65">
        <v>113.9</v>
      </c>
      <c r="BM13" s="65">
        <f>134.33+2.84+124.74</f>
        <v>261.91000000000003</v>
      </c>
      <c r="BN13" s="65">
        <f t="shared" si="8"/>
        <v>590.29</v>
      </c>
      <c r="BO13" s="14">
        <f t="shared" si="19"/>
        <v>6616.5300000000007</v>
      </c>
      <c r="BP13" s="38">
        <f t="shared" si="14"/>
        <v>6616.5300000000007</v>
      </c>
    </row>
    <row r="14" spans="1:68" x14ac:dyDescent="0.25">
      <c r="A14" s="86" t="s">
        <v>28</v>
      </c>
      <c r="B14" s="13"/>
      <c r="C14" s="65"/>
      <c r="D14" s="65"/>
      <c r="E14" s="65"/>
      <c r="F14" s="65"/>
      <c r="G14" s="65">
        <f t="shared" si="15"/>
        <v>0</v>
      </c>
      <c r="H14" s="65"/>
      <c r="I14" s="65"/>
      <c r="J14" s="65"/>
      <c r="K14" s="65"/>
      <c r="L14" s="65">
        <f t="shared" si="1"/>
        <v>0</v>
      </c>
      <c r="M14" s="65"/>
      <c r="N14" s="65"/>
      <c r="O14" s="65"/>
      <c r="P14" s="65"/>
      <c r="Q14" s="65"/>
      <c r="R14" s="65">
        <f t="shared" si="2"/>
        <v>0</v>
      </c>
      <c r="S14" s="65"/>
      <c r="T14" s="65"/>
      <c r="U14" s="65"/>
      <c r="V14" s="65"/>
      <c r="W14" s="65">
        <f t="shared" si="16"/>
        <v>0</v>
      </c>
      <c r="X14" s="65"/>
      <c r="Y14" s="65"/>
      <c r="Z14" s="65"/>
      <c r="AA14" s="65"/>
      <c r="AB14" s="65">
        <f t="shared" si="3"/>
        <v>0</v>
      </c>
      <c r="AC14" s="65"/>
      <c r="AD14" s="65"/>
      <c r="AE14" s="65"/>
      <c r="AF14" s="65"/>
      <c r="AG14" s="65"/>
      <c r="AH14" s="65">
        <f t="shared" si="4"/>
        <v>0</v>
      </c>
      <c r="AI14" s="65"/>
      <c r="AJ14" s="65"/>
      <c r="AK14" s="65"/>
      <c r="AL14" s="65"/>
      <c r="AM14" s="65">
        <f t="shared" si="17"/>
        <v>0</v>
      </c>
      <c r="AN14" s="65"/>
      <c r="AO14" s="65"/>
      <c r="AP14" s="65"/>
      <c r="AQ14" s="65"/>
      <c r="AR14" s="65"/>
      <c r="AS14" s="65">
        <f t="shared" si="5"/>
        <v>0</v>
      </c>
      <c r="AT14" s="65"/>
      <c r="AU14" s="65"/>
      <c r="AV14" s="65"/>
      <c r="AW14" s="65"/>
      <c r="AX14" s="65">
        <f t="shared" si="18"/>
        <v>0</v>
      </c>
      <c r="AY14" s="65"/>
      <c r="AZ14" s="65"/>
      <c r="BA14" s="65"/>
      <c r="BB14" s="65"/>
      <c r="BC14" s="65">
        <f t="shared" si="6"/>
        <v>0</v>
      </c>
      <c r="BD14" s="65"/>
      <c r="BE14" s="65"/>
      <c r="BF14" s="65"/>
      <c r="BG14" s="65"/>
      <c r="BH14" s="65"/>
      <c r="BI14" s="65">
        <f t="shared" si="7"/>
        <v>0</v>
      </c>
      <c r="BJ14" s="65"/>
      <c r="BK14" s="65"/>
      <c r="BL14" s="65"/>
      <c r="BM14" s="65"/>
      <c r="BN14" s="65">
        <f t="shared" si="8"/>
        <v>0</v>
      </c>
      <c r="BO14" s="14">
        <f t="shared" si="19"/>
        <v>0</v>
      </c>
      <c r="BP14" s="38">
        <f t="shared" si="14"/>
        <v>0</v>
      </c>
    </row>
    <row r="15" spans="1:68" x14ac:dyDescent="0.25">
      <c r="A15" s="86" t="s">
        <v>29</v>
      </c>
      <c r="B15" s="13"/>
      <c r="C15" s="65">
        <v>137.05000000000001</v>
      </c>
      <c r="D15" s="65">
        <f>112.59+5.79</f>
        <v>118.38000000000001</v>
      </c>
      <c r="E15" s="65">
        <v>77.260000000000005</v>
      </c>
      <c r="F15" s="65">
        <f>71.56+158.76</f>
        <v>230.32</v>
      </c>
      <c r="G15" s="65">
        <f t="shared" si="15"/>
        <v>563.01</v>
      </c>
      <c r="H15" s="65">
        <v>153.72</v>
      </c>
      <c r="I15" s="65">
        <f>70.39+5.79</f>
        <v>76.180000000000007</v>
      </c>
      <c r="J15" s="65">
        <f>71.11+2.31</f>
        <v>73.42</v>
      </c>
      <c r="K15" s="65">
        <f>141.12+114.66</f>
        <v>255.78</v>
      </c>
      <c r="L15" s="65">
        <f t="shared" si="1"/>
        <v>559.1</v>
      </c>
      <c r="M15" s="65">
        <v>157.35</v>
      </c>
      <c r="N15" s="65">
        <v>102.97</v>
      </c>
      <c r="O15" s="65">
        <v>93.99</v>
      </c>
      <c r="P15" s="65">
        <v>57.5</v>
      </c>
      <c r="Q15" s="65">
        <f>158.76+112.34</f>
        <v>271.10000000000002</v>
      </c>
      <c r="R15" s="65">
        <f t="shared" si="2"/>
        <v>682.91000000000008</v>
      </c>
      <c r="S15" s="65">
        <v>159.52000000000001</v>
      </c>
      <c r="T15" s="65">
        <v>119.36</v>
      </c>
      <c r="U15" s="65">
        <v>88.78</v>
      </c>
      <c r="V15" s="65">
        <f>106.76+0.28+158.76</f>
        <v>265.8</v>
      </c>
      <c r="W15" s="65">
        <f t="shared" si="16"/>
        <v>633.46</v>
      </c>
      <c r="X15" s="65">
        <v>94.33</v>
      </c>
      <c r="Y15" s="65">
        <f>151.88+5.79+2.39</f>
        <v>160.05999999999997</v>
      </c>
      <c r="Z15" s="65">
        <v>101.92</v>
      </c>
      <c r="AA15" s="65">
        <f>156.26+158.76</f>
        <v>315.02</v>
      </c>
      <c r="AB15" s="65">
        <f t="shared" si="3"/>
        <v>671.32999999999993</v>
      </c>
      <c r="AC15" s="65">
        <v>117.82</v>
      </c>
      <c r="AD15" s="65">
        <v>103.74</v>
      </c>
      <c r="AE15" s="65">
        <f>142.25+8.51</f>
        <v>150.76</v>
      </c>
      <c r="AF15" s="65">
        <v>99.85</v>
      </c>
      <c r="AG15" s="65">
        <f>143.76+145.96</f>
        <v>289.72000000000003</v>
      </c>
      <c r="AH15" s="65">
        <f t="shared" si="4"/>
        <v>761.89</v>
      </c>
      <c r="AI15" s="65">
        <v>87.69</v>
      </c>
      <c r="AJ15" s="65">
        <f>162.37+3.31+0.68</f>
        <v>166.36</v>
      </c>
      <c r="AK15" s="65">
        <f>130.28+0.68</f>
        <v>130.96</v>
      </c>
      <c r="AL15" s="65">
        <f>87.65+5.27+163.35</f>
        <v>256.27</v>
      </c>
      <c r="AM15" s="65">
        <f t="shared" si="17"/>
        <v>641.28</v>
      </c>
      <c r="AN15" s="65">
        <v>126.03</v>
      </c>
      <c r="AO15" s="65">
        <v>102.12</v>
      </c>
      <c r="AP15" s="65">
        <f>129.96+8.51</f>
        <v>138.47</v>
      </c>
      <c r="AQ15" s="65">
        <v>160.54</v>
      </c>
      <c r="AR15" s="65">
        <f>163.35+133.68+3.6</f>
        <v>300.63</v>
      </c>
      <c r="AS15" s="65">
        <f t="shared" si="5"/>
        <v>827.79</v>
      </c>
      <c r="AT15" s="65">
        <v>83.48</v>
      </c>
      <c r="AU15" s="65">
        <f>101.98+3.96</f>
        <v>105.94</v>
      </c>
      <c r="AV15" s="65">
        <v>160.16999999999999</v>
      </c>
      <c r="AW15" s="65">
        <f>145.92+128.58</f>
        <v>274.5</v>
      </c>
      <c r="AX15" s="65">
        <f t="shared" si="18"/>
        <v>624.09</v>
      </c>
      <c r="AY15" s="65">
        <v>101.21</v>
      </c>
      <c r="AZ15" s="65">
        <v>153.62</v>
      </c>
      <c r="BA15" s="65">
        <v>89.67</v>
      </c>
      <c r="BB15" s="65">
        <f>141.91+8.51+164.43</f>
        <v>314.85000000000002</v>
      </c>
      <c r="BC15" s="65">
        <f t="shared" si="6"/>
        <v>659.35</v>
      </c>
      <c r="BD15" s="65">
        <f>71.08+8.51</f>
        <v>79.59</v>
      </c>
      <c r="BE15" s="65">
        <f>124.17+1.7</f>
        <v>125.87</v>
      </c>
      <c r="BF15" s="65">
        <f>105.8+5.11</f>
        <v>110.91</v>
      </c>
      <c r="BG15" s="65">
        <f>96.12+2.56+44.35</f>
        <v>143.03</v>
      </c>
      <c r="BH15" s="65">
        <f>186.03+145.25+1.19</f>
        <v>332.46999999999997</v>
      </c>
      <c r="BI15" s="65">
        <f t="shared" si="7"/>
        <v>791.86999999999989</v>
      </c>
      <c r="BJ15" s="65">
        <v>109.86</v>
      </c>
      <c r="BK15" s="65">
        <f>157.34+1.54</f>
        <v>158.88</v>
      </c>
      <c r="BL15" s="65">
        <v>160.06</v>
      </c>
      <c r="BM15" s="65">
        <f>4.16+119.08+1.24+187.11</f>
        <v>311.59000000000003</v>
      </c>
      <c r="BN15" s="65">
        <f t="shared" si="8"/>
        <v>740.3900000000001</v>
      </c>
      <c r="BO15" s="14">
        <f t="shared" si="19"/>
        <v>8156.4700000000012</v>
      </c>
      <c r="BP15" s="38">
        <f t="shared" si="14"/>
        <v>8156.4700000000012</v>
      </c>
    </row>
    <row r="16" spans="1:68" x14ac:dyDescent="0.25">
      <c r="A16" s="86" t="s">
        <v>30</v>
      </c>
      <c r="B16" s="13"/>
      <c r="C16" s="65"/>
      <c r="D16" s="65"/>
      <c r="E16" s="65"/>
      <c r="F16" s="65"/>
      <c r="G16" s="65">
        <f t="shared" si="15"/>
        <v>0</v>
      </c>
      <c r="H16" s="65"/>
      <c r="I16" s="65"/>
      <c r="J16" s="65"/>
      <c r="K16" s="65"/>
      <c r="L16" s="65">
        <f t="shared" si="1"/>
        <v>0</v>
      </c>
      <c r="M16" s="65"/>
      <c r="N16" s="65"/>
      <c r="O16" s="65"/>
      <c r="P16" s="65"/>
      <c r="Q16" s="65"/>
      <c r="R16" s="65">
        <f t="shared" si="2"/>
        <v>0</v>
      </c>
      <c r="S16" s="65"/>
      <c r="T16" s="65"/>
      <c r="U16" s="65"/>
      <c r="V16" s="65"/>
      <c r="W16" s="65">
        <f t="shared" si="16"/>
        <v>0</v>
      </c>
      <c r="X16" s="65"/>
      <c r="Y16" s="65"/>
      <c r="Z16" s="65"/>
      <c r="AA16" s="65"/>
      <c r="AB16" s="65">
        <f t="shared" si="3"/>
        <v>0</v>
      </c>
      <c r="AC16" s="65"/>
      <c r="AD16" s="65"/>
      <c r="AE16" s="65"/>
      <c r="AF16" s="65"/>
      <c r="AG16" s="65"/>
      <c r="AH16" s="65">
        <f t="shared" si="4"/>
        <v>0</v>
      </c>
      <c r="AI16" s="65"/>
      <c r="AJ16" s="65"/>
      <c r="AK16" s="65"/>
      <c r="AL16" s="65"/>
      <c r="AM16" s="65">
        <f t="shared" si="17"/>
        <v>0</v>
      </c>
      <c r="AN16" s="65"/>
      <c r="AO16" s="65"/>
      <c r="AP16" s="65"/>
      <c r="AQ16" s="65"/>
      <c r="AR16" s="65"/>
      <c r="AS16" s="65">
        <f t="shared" si="5"/>
        <v>0</v>
      </c>
      <c r="AT16" s="65"/>
      <c r="AU16" s="65"/>
      <c r="AV16" s="65"/>
      <c r="AW16" s="65"/>
      <c r="AX16" s="65">
        <f t="shared" si="18"/>
        <v>0</v>
      </c>
      <c r="AY16" s="65"/>
      <c r="AZ16" s="65"/>
      <c r="BA16" s="65"/>
      <c r="BB16" s="65"/>
      <c r="BC16" s="65">
        <f t="shared" si="6"/>
        <v>0</v>
      </c>
      <c r="BD16" s="65"/>
      <c r="BE16" s="65"/>
      <c r="BF16" s="65"/>
      <c r="BG16" s="65"/>
      <c r="BH16" s="65"/>
      <c r="BI16" s="65">
        <f t="shared" si="7"/>
        <v>0</v>
      </c>
      <c r="BJ16" s="65"/>
      <c r="BK16" s="65"/>
      <c r="BL16" s="65"/>
      <c r="BM16" s="65"/>
      <c r="BN16" s="65">
        <f t="shared" si="8"/>
        <v>0</v>
      </c>
      <c r="BO16" s="14">
        <f t="shared" si="19"/>
        <v>0</v>
      </c>
      <c r="BP16" s="38">
        <f t="shared" si="14"/>
        <v>0</v>
      </c>
    </row>
    <row r="17" spans="1:68" x14ac:dyDescent="0.25">
      <c r="A17" s="86" t="s">
        <v>31</v>
      </c>
      <c r="B17" s="13"/>
      <c r="C17" s="65">
        <f>81.13+28.54+160.02</f>
        <v>269.69</v>
      </c>
      <c r="D17" s="65">
        <f>78.81+154.26+1.16</f>
        <v>234.23</v>
      </c>
      <c r="E17" s="65">
        <f>154.93+42.97</f>
        <v>197.9</v>
      </c>
      <c r="F17" s="65">
        <f>141.63+110.64+129.36</f>
        <v>381.63</v>
      </c>
      <c r="G17" s="65">
        <f t="shared" si="15"/>
        <v>1083.4499999999998</v>
      </c>
      <c r="H17" s="65">
        <f>57.37+135.87</f>
        <v>193.24</v>
      </c>
      <c r="I17" s="65">
        <f>91.14+110.28</f>
        <v>201.42000000000002</v>
      </c>
      <c r="J17" s="65">
        <f>139.42+114.35+1.74</f>
        <v>255.51</v>
      </c>
      <c r="K17" s="65">
        <f>117.6+104.78+39.68</f>
        <v>262.06</v>
      </c>
      <c r="L17" s="65">
        <f t="shared" si="1"/>
        <v>912.23</v>
      </c>
      <c r="M17" s="65">
        <f>154.98+139.7</f>
        <v>294.67999999999995</v>
      </c>
      <c r="N17" s="65">
        <f>122.26+147.28</f>
        <v>269.54000000000002</v>
      </c>
      <c r="O17" s="65">
        <f>71.6+38.35+78.22+2.11+45.55</f>
        <v>235.82999999999998</v>
      </c>
      <c r="P17" s="65">
        <f>79.62+153.95+1.16</f>
        <v>234.73</v>
      </c>
      <c r="Q17" s="65">
        <f>135.24+140.69+164.52</f>
        <v>440.45000000000005</v>
      </c>
      <c r="R17" s="65">
        <f t="shared" si="2"/>
        <v>1475.23</v>
      </c>
      <c r="S17" s="65">
        <f>101.21+143.27</f>
        <v>244.48000000000002</v>
      </c>
      <c r="T17" s="65">
        <f>88.75+137.46+5.76</f>
        <v>231.97</v>
      </c>
      <c r="U17" s="65">
        <f>40.82+1.42+138</f>
        <v>180.24</v>
      </c>
      <c r="V17" s="65">
        <f>164.14+1.72+121.8+1.42+129.36</f>
        <v>418.44</v>
      </c>
      <c r="W17" s="65">
        <f t="shared" si="16"/>
        <v>1075.1300000000001</v>
      </c>
      <c r="X17" s="65">
        <f>164.29+1.16+0.77+95.3+1.16</f>
        <v>262.68</v>
      </c>
      <c r="Y17" s="65">
        <f>89.83+1.16+129.69</f>
        <v>220.68</v>
      </c>
      <c r="Z17" s="65">
        <f>131.41+53.53</f>
        <v>184.94</v>
      </c>
      <c r="AA17" s="65">
        <f>126.06+83.16+1.62+135.24</f>
        <v>346.08000000000004</v>
      </c>
      <c r="AB17" s="65">
        <f t="shared" si="3"/>
        <v>1014.38</v>
      </c>
      <c r="AC17" s="65">
        <f>49.97+150.66+2</f>
        <v>202.63</v>
      </c>
      <c r="AD17" s="65">
        <f>178.71+1.24+91.93+1.24</f>
        <v>273.12</v>
      </c>
      <c r="AE17" s="65">
        <f>106.8+2.38+165.57+0.85</f>
        <v>275.60000000000002</v>
      </c>
      <c r="AF17" s="65">
        <f>130.88+38.47</f>
        <v>169.35</v>
      </c>
      <c r="AG17" s="65">
        <f>119.8+135.4+15.35+84.38+4</f>
        <v>358.93</v>
      </c>
      <c r="AH17" s="65">
        <f t="shared" si="4"/>
        <v>1279.6300000000001</v>
      </c>
      <c r="AI17" s="65">
        <f>73.6+111.44</f>
        <v>185.04</v>
      </c>
      <c r="AJ17" s="65">
        <f>96.54+6.5+100.63</f>
        <v>203.67000000000002</v>
      </c>
      <c r="AK17" s="65">
        <f>91.11+104.51+59.76</f>
        <v>255.38</v>
      </c>
      <c r="AL17" s="65">
        <f>60.01+10.54+156.13+10.54+133.1</f>
        <v>370.32</v>
      </c>
      <c r="AM17" s="65">
        <f t="shared" si="17"/>
        <v>1014.4100000000001</v>
      </c>
      <c r="AN17" s="65">
        <f>65.06+181.29</f>
        <v>246.35</v>
      </c>
      <c r="AO17" s="65">
        <f>83.41+101.05+16</f>
        <v>200.45999999999998</v>
      </c>
      <c r="AP17" s="65">
        <f>108.02+1.61+106.77</f>
        <v>216.39999999999998</v>
      </c>
      <c r="AQ17" s="65">
        <f>145.07+86.27</f>
        <v>231.33999999999997</v>
      </c>
      <c r="AR17" s="65">
        <f>139.15+82.69+135.7</f>
        <v>357.53999999999996</v>
      </c>
      <c r="AS17" s="65">
        <f t="shared" si="5"/>
        <v>1252.0899999999999</v>
      </c>
      <c r="AT17" s="65">
        <f>80.78+121.69+18.8</f>
        <v>221.27</v>
      </c>
      <c r="AU17" s="65">
        <f>83.01+6+53.18+8.64+3.18+7.2</f>
        <v>161.20999999999998</v>
      </c>
      <c r="AV17" s="65">
        <f>47.9+8.64+97.54+12+41.34</f>
        <v>207.42000000000002</v>
      </c>
      <c r="AW17" s="65">
        <f>121.6+100.05+140.44+3.84</f>
        <v>365.92999999999995</v>
      </c>
      <c r="AX17" s="65">
        <f t="shared" si="18"/>
        <v>955.83</v>
      </c>
      <c r="AY17" s="65">
        <f>45.78+87.83+60.42</f>
        <v>194.03000000000003</v>
      </c>
      <c r="AZ17" s="65">
        <f>185.59+0.85+83.92+1.94</f>
        <v>272.3</v>
      </c>
      <c r="BA17" s="65">
        <f>145.36+136.71</f>
        <v>282.07000000000005</v>
      </c>
      <c r="BB17" s="65">
        <f>96.07+17.6+115.55+133.98</f>
        <v>363.19999999999993</v>
      </c>
      <c r="BC17" s="65">
        <f t="shared" si="6"/>
        <v>1111.5999999999999</v>
      </c>
      <c r="BD17" s="65">
        <f>181.24+1.7+34.54</f>
        <v>217.48</v>
      </c>
      <c r="BE17" s="65">
        <f>144.28+1.7+57.2+12.72</f>
        <v>215.9</v>
      </c>
      <c r="BF17" s="65">
        <f>82.84+141.5+1.7</f>
        <v>226.04</v>
      </c>
      <c r="BG17" s="65">
        <f>134.2+99.68+7.5+8.16</f>
        <v>249.54</v>
      </c>
      <c r="BH17" s="65">
        <f>158.47+126.48+147.36</f>
        <v>432.31</v>
      </c>
      <c r="BI17" s="65">
        <f t="shared" si="7"/>
        <v>1341.27</v>
      </c>
      <c r="BJ17" s="65">
        <f>162.62+57.65+2.64</f>
        <v>222.91</v>
      </c>
      <c r="BK17" s="65">
        <f>107.16+179.12+19.2</f>
        <v>305.47999999999996</v>
      </c>
      <c r="BL17" s="65">
        <f>49.18+122.76</f>
        <v>171.94</v>
      </c>
      <c r="BM17" s="65">
        <f>65.04+154.91+2.84+152.46</f>
        <v>375.25</v>
      </c>
      <c r="BN17" s="65">
        <f t="shared" si="8"/>
        <v>1075.58</v>
      </c>
      <c r="BO17" s="14">
        <f t="shared" si="19"/>
        <v>13590.83</v>
      </c>
      <c r="BP17" s="38">
        <f t="shared" si="14"/>
        <v>13590.83</v>
      </c>
    </row>
    <row r="18" spans="1:68" x14ac:dyDescent="0.25">
      <c r="A18" s="86" t="s">
        <v>32</v>
      </c>
      <c r="B18" s="13"/>
      <c r="C18" s="65"/>
      <c r="D18" s="65"/>
      <c r="E18" s="65"/>
      <c r="F18" s="65"/>
      <c r="G18" s="65">
        <f t="shared" si="15"/>
        <v>0</v>
      </c>
      <c r="H18" s="65"/>
      <c r="I18" s="65"/>
      <c r="J18" s="65"/>
      <c r="K18" s="65"/>
      <c r="L18" s="65">
        <f t="shared" si="1"/>
        <v>0</v>
      </c>
      <c r="M18" s="65"/>
      <c r="N18" s="65"/>
      <c r="O18" s="65"/>
      <c r="P18" s="65"/>
      <c r="Q18" s="65"/>
      <c r="R18" s="65">
        <f t="shared" si="2"/>
        <v>0</v>
      </c>
      <c r="S18" s="65"/>
      <c r="T18" s="65"/>
      <c r="U18" s="65"/>
      <c r="V18" s="65"/>
      <c r="W18" s="65">
        <f t="shared" si="16"/>
        <v>0</v>
      </c>
      <c r="X18" s="65"/>
      <c r="Y18" s="65"/>
      <c r="Z18" s="65"/>
      <c r="AA18" s="65"/>
      <c r="AB18" s="65">
        <f t="shared" si="3"/>
        <v>0</v>
      </c>
      <c r="AC18" s="65"/>
      <c r="AD18" s="65"/>
      <c r="AE18" s="65"/>
      <c r="AF18" s="65"/>
      <c r="AG18" s="65"/>
      <c r="AH18" s="65">
        <f t="shared" si="4"/>
        <v>0</v>
      </c>
      <c r="AI18" s="65"/>
      <c r="AJ18" s="65"/>
      <c r="AK18" s="65"/>
      <c r="AL18" s="65"/>
      <c r="AM18" s="65">
        <f t="shared" si="17"/>
        <v>0</v>
      </c>
      <c r="AN18" s="65"/>
      <c r="AO18" s="65"/>
      <c r="AP18" s="65"/>
      <c r="AQ18" s="65"/>
      <c r="AR18" s="65"/>
      <c r="AS18" s="65">
        <f t="shared" si="5"/>
        <v>0</v>
      </c>
      <c r="AT18" s="65"/>
      <c r="AU18" s="65"/>
      <c r="AV18" s="65"/>
      <c r="AW18" s="65"/>
      <c r="AX18" s="65">
        <f t="shared" si="18"/>
        <v>0</v>
      </c>
      <c r="AY18" s="65"/>
      <c r="AZ18" s="65"/>
      <c r="BA18" s="65"/>
      <c r="BB18" s="65"/>
      <c r="BC18" s="65">
        <f t="shared" si="6"/>
        <v>0</v>
      </c>
      <c r="BD18" s="65"/>
      <c r="BE18" s="65"/>
      <c r="BF18" s="65"/>
      <c r="BG18" s="65"/>
      <c r="BH18" s="65"/>
      <c r="BI18" s="65">
        <f t="shared" si="7"/>
        <v>0</v>
      </c>
      <c r="BJ18" s="65"/>
      <c r="BK18" s="65"/>
      <c r="BL18" s="65"/>
      <c r="BM18" s="65"/>
      <c r="BN18" s="65">
        <f t="shared" si="8"/>
        <v>0</v>
      </c>
      <c r="BO18" s="14">
        <f t="shared" si="19"/>
        <v>0</v>
      </c>
      <c r="BP18" s="38">
        <f t="shared" si="14"/>
        <v>0</v>
      </c>
    </row>
    <row r="19" spans="1:68" x14ac:dyDescent="0.25">
      <c r="A19" s="86" t="s">
        <v>33</v>
      </c>
      <c r="B19" s="13"/>
      <c r="C19" s="65"/>
      <c r="D19" s="65"/>
      <c r="E19" s="65"/>
      <c r="F19" s="65">
        <v>82.32</v>
      </c>
      <c r="G19" s="65">
        <f t="shared" si="15"/>
        <v>82.32</v>
      </c>
      <c r="H19" s="65"/>
      <c r="I19" s="65"/>
      <c r="J19" s="65"/>
      <c r="K19" s="65">
        <v>70.56</v>
      </c>
      <c r="L19" s="65">
        <f t="shared" si="1"/>
        <v>70.56</v>
      </c>
      <c r="M19" s="65"/>
      <c r="N19" s="65"/>
      <c r="O19" s="65"/>
      <c r="P19" s="65"/>
      <c r="Q19" s="65">
        <v>76.44</v>
      </c>
      <c r="R19" s="65">
        <f t="shared" si="2"/>
        <v>76.44</v>
      </c>
      <c r="S19" s="65"/>
      <c r="T19" s="65"/>
      <c r="U19" s="65"/>
      <c r="V19" s="65">
        <v>82.32</v>
      </c>
      <c r="W19" s="65">
        <f t="shared" si="16"/>
        <v>82.32</v>
      </c>
      <c r="X19" s="65"/>
      <c r="Y19" s="65"/>
      <c r="Z19" s="65"/>
      <c r="AA19" s="65">
        <v>76.44</v>
      </c>
      <c r="AB19" s="65">
        <f t="shared" si="3"/>
        <v>76.44</v>
      </c>
      <c r="AC19" s="65"/>
      <c r="AD19" s="65"/>
      <c r="AE19" s="65"/>
      <c r="AF19" s="65"/>
      <c r="AG19" s="65">
        <v>71.88</v>
      </c>
      <c r="AH19" s="65">
        <f t="shared" si="4"/>
        <v>71.88</v>
      </c>
      <c r="AI19" s="65"/>
      <c r="AJ19" s="65"/>
      <c r="AK19" s="65"/>
      <c r="AL19" s="65">
        <v>84.7</v>
      </c>
      <c r="AM19" s="65">
        <f t="shared" si="17"/>
        <v>84.7</v>
      </c>
      <c r="AN19" s="65"/>
      <c r="AO19" s="65"/>
      <c r="AP19" s="65"/>
      <c r="AQ19" s="65"/>
      <c r="AR19" s="65">
        <v>78.650000000000006</v>
      </c>
      <c r="AS19" s="65">
        <f t="shared" si="5"/>
        <v>78.650000000000006</v>
      </c>
      <c r="AT19" s="65"/>
      <c r="AU19" s="65"/>
      <c r="AV19" s="65"/>
      <c r="AW19" s="65">
        <v>72.959999999999994</v>
      </c>
      <c r="AX19" s="65">
        <f t="shared" si="18"/>
        <v>72.959999999999994</v>
      </c>
      <c r="AY19" s="65"/>
      <c r="AZ19" s="65"/>
      <c r="BA19" s="65"/>
      <c r="BB19" s="65">
        <v>85.26</v>
      </c>
      <c r="BC19" s="65">
        <f t="shared" si="6"/>
        <v>85.26</v>
      </c>
      <c r="BD19" s="65"/>
      <c r="BE19" s="65"/>
      <c r="BF19" s="65"/>
      <c r="BG19" s="65"/>
      <c r="BH19" s="65">
        <v>89.57</v>
      </c>
      <c r="BI19" s="65">
        <f t="shared" si="7"/>
        <v>89.57</v>
      </c>
      <c r="BJ19" s="65"/>
      <c r="BK19" s="65"/>
      <c r="BL19" s="65"/>
      <c r="BM19" s="65">
        <v>97.02</v>
      </c>
      <c r="BN19" s="65">
        <f t="shared" si="8"/>
        <v>97.02</v>
      </c>
      <c r="BO19" s="14">
        <f t="shared" si="19"/>
        <v>968.11999999999989</v>
      </c>
      <c r="BP19" s="38">
        <f t="shared" si="14"/>
        <v>968.11999999999989</v>
      </c>
    </row>
    <row r="20" spans="1:68" x14ac:dyDescent="0.25">
      <c r="A20" s="86" t="s">
        <v>34</v>
      </c>
      <c r="B20" s="18"/>
      <c r="C20" s="65"/>
      <c r="D20" s="65"/>
      <c r="E20" s="65"/>
      <c r="F20" s="65"/>
      <c r="G20" s="65">
        <f t="shared" si="15"/>
        <v>0</v>
      </c>
      <c r="H20" s="65"/>
      <c r="I20" s="65"/>
      <c r="J20" s="65"/>
      <c r="K20" s="65"/>
      <c r="L20" s="65">
        <f t="shared" si="1"/>
        <v>0</v>
      </c>
      <c r="M20" s="65"/>
      <c r="N20" s="65"/>
      <c r="O20" s="65"/>
      <c r="P20" s="65"/>
      <c r="Q20" s="65"/>
      <c r="R20" s="65">
        <f t="shared" si="2"/>
        <v>0</v>
      </c>
      <c r="S20" s="65"/>
      <c r="T20" s="65"/>
      <c r="U20" s="65"/>
      <c r="V20" s="65"/>
      <c r="W20" s="65">
        <f t="shared" si="16"/>
        <v>0</v>
      </c>
      <c r="X20" s="65"/>
      <c r="Y20" s="65"/>
      <c r="Z20" s="65"/>
      <c r="AA20" s="65"/>
      <c r="AB20" s="65">
        <f t="shared" si="3"/>
        <v>0</v>
      </c>
      <c r="AC20" s="65"/>
      <c r="AD20" s="65"/>
      <c r="AE20" s="65"/>
      <c r="AF20" s="65"/>
      <c r="AG20" s="65"/>
      <c r="AH20" s="65">
        <f t="shared" si="4"/>
        <v>0</v>
      </c>
      <c r="AI20" s="65"/>
      <c r="AJ20" s="65"/>
      <c r="AK20" s="65"/>
      <c r="AL20" s="65"/>
      <c r="AM20" s="65">
        <f t="shared" si="17"/>
        <v>0</v>
      </c>
      <c r="AN20" s="65"/>
      <c r="AO20" s="65"/>
      <c r="AP20" s="65"/>
      <c r="AQ20" s="65"/>
      <c r="AR20" s="65"/>
      <c r="AS20" s="65">
        <f t="shared" si="5"/>
        <v>0</v>
      </c>
      <c r="AT20" s="65"/>
      <c r="AU20" s="65"/>
      <c r="AV20" s="65"/>
      <c r="AW20" s="65"/>
      <c r="AX20" s="65">
        <f t="shared" si="18"/>
        <v>0</v>
      </c>
      <c r="AY20" s="65"/>
      <c r="AZ20" s="65"/>
      <c r="BA20" s="65"/>
      <c r="BB20" s="65"/>
      <c r="BC20" s="65">
        <f t="shared" si="6"/>
        <v>0</v>
      </c>
      <c r="BD20" s="65"/>
      <c r="BE20" s="65"/>
      <c r="BF20" s="65"/>
      <c r="BG20" s="65"/>
      <c r="BH20" s="65"/>
      <c r="BI20" s="65">
        <f t="shared" si="7"/>
        <v>0</v>
      </c>
      <c r="BJ20" s="65"/>
      <c r="BK20" s="65"/>
      <c r="BL20" s="65"/>
      <c r="BM20" s="65"/>
      <c r="BN20" s="65">
        <f t="shared" si="8"/>
        <v>0</v>
      </c>
      <c r="BO20" s="14">
        <f t="shared" si="19"/>
        <v>0</v>
      </c>
      <c r="BP20" s="38">
        <f t="shared" si="14"/>
        <v>0</v>
      </c>
    </row>
    <row r="21" spans="1:68" x14ac:dyDescent="0.25">
      <c r="A21" s="86" t="s">
        <v>35</v>
      </c>
      <c r="B21" s="18"/>
      <c r="C21" s="65"/>
      <c r="D21" s="65"/>
      <c r="E21" s="65"/>
      <c r="F21" s="65"/>
      <c r="G21" s="65">
        <f t="shared" si="15"/>
        <v>0</v>
      </c>
      <c r="H21" s="65"/>
      <c r="I21" s="65"/>
      <c r="J21" s="65"/>
      <c r="K21" s="65"/>
      <c r="L21" s="65">
        <f t="shared" si="1"/>
        <v>0</v>
      </c>
      <c r="M21" s="65"/>
      <c r="N21" s="65"/>
      <c r="O21" s="65"/>
      <c r="P21" s="65"/>
      <c r="Q21" s="65"/>
      <c r="R21" s="65">
        <f t="shared" si="2"/>
        <v>0</v>
      </c>
      <c r="S21" s="65"/>
      <c r="T21" s="65"/>
      <c r="U21" s="65"/>
      <c r="V21" s="65"/>
      <c r="W21" s="65">
        <f t="shared" si="16"/>
        <v>0</v>
      </c>
      <c r="X21" s="65"/>
      <c r="Y21" s="65"/>
      <c r="Z21" s="65"/>
      <c r="AA21" s="65"/>
      <c r="AB21" s="65">
        <f t="shared" si="3"/>
        <v>0</v>
      </c>
      <c r="AC21" s="65"/>
      <c r="AD21" s="65"/>
      <c r="AE21" s="65"/>
      <c r="AF21" s="65"/>
      <c r="AG21" s="65"/>
      <c r="AH21" s="65">
        <f t="shared" si="4"/>
        <v>0</v>
      </c>
      <c r="AI21" s="65"/>
      <c r="AJ21" s="65"/>
      <c r="AK21" s="65"/>
      <c r="AL21" s="65"/>
      <c r="AM21" s="65">
        <f t="shared" si="17"/>
        <v>0</v>
      </c>
      <c r="AN21" s="65"/>
      <c r="AO21" s="65"/>
      <c r="AP21" s="65"/>
      <c r="AQ21" s="65"/>
      <c r="AR21" s="65"/>
      <c r="AS21" s="65">
        <f t="shared" si="5"/>
        <v>0</v>
      </c>
      <c r="AT21" s="65"/>
      <c r="AU21" s="65"/>
      <c r="AV21" s="65"/>
      <c r="AW21" s="65"/>
      <c r="AX21" s="65">
        <f t="shared" si="18"/>
        <v>0</v>
      </c>
      <c r="AY21" s="65"/>
      <c r="AZ21" s="65"/>
      <c r="BA21" s="65"/>
      <c r="BB21" s="65"/>
      <c r="BC21" s="65">
        <f t="shared" si="6"/>
        <v>0</v>
      </c>
      <c r="BD21" s="65"/>
      <c r="BE21" s="65"/>
      <c r="BF21" s="65"/>
      <c r="BG21" s="65"/>
      <c r="BH21" s="65"/>
      <c r="BI21" s="65">
        <f t="shared" si="7"/>
        <v>0</v>
      </c>
      <c r="BJ21" s="65"/>
      <c r="BK21" s="65"/>
      <c r="BL21" s="65"/>
      <c r="BM21" s="65"/>
      <c r="BN21" s="65">
        <f t="shared" si="8"/>
        <v>0</v>
      </c>
      <c r="BO21" s="14">
        <f t="shared" si="19"/>
        <v>0</v>
      </c>
      <c r="BP21" s="38">
        <f t="shared" si="14"/>
        <v>0</v>
      </c>
    </row>
    <row r="22" spans="1:68" x14ac:dyDescent="0.25">
      <c r="A22" s="86" t="s">
        <v>36</v>
      </c>
      <c r="B22" s="13"/>
      <c r="C22" s="65">
        <v>22.89</v>
      </c>
      <c r="D22" s="65">
        <v>16.64</v>
      </c>
      <c r="E22" s="65">
        <v>28.8</v>
      </c>
      <c r="F22" s="65">
        <v>61.4</v>
      </c>
      <c r="G22" s="65">
        <f t="shared" si="9"/>
        <v>129.72999999999999</v>
      </c>
      <c r="H22" s="65">
        <v>26.9</v>
      </c>
      <c r="I22" s="65">
        <v>22.99</v>
      </c>
      <c r="J22" s="65">
        <v>21.3</v>
      </c>
      <c r="K22" s="65">
        <v>67.069999999999993</v>
      </c>
      <c r="L22" s="65">
        <f t="shared" ref="L22:L68" si="20">SUM(H22:K22)</f>
        <v>138.26</v>
      </c>
      <c r="M22" s="65">
        <f>21.11+3.5</f>
        <v>24.61</v>
      </c>
      <c r="N22" s="65">
        <v>64.290000000000006</v>
      </c>
      <c r="O22" s="65">
        <v>77.14</v>
      </c>
      <c r="P22" s="65">
        <v>24.54</v>
      </c>
      <c r="Q22" s="65">
        <v>23.38</v>
      </c>
      <c r="R22" s="65">
        <f t="shared" ref="R22:R68" si="21">SUM(M22:Q22)</f>
        <v>213.96</v>
      </c>
      <c r="S22" s="65">
        <v>66.92</v>
      </c>
      <c r="T22" s="65">
        <v>70.540000000000006</v>
      </c>
      <c r="U22" s="65">
        <v>16.43</v>
      </c>
      <c r="V22" s="65">
        <f>20.06+35.28</f>
        <v>55.34</v>
      </c>
      <c r="W22" s="65">
        <f t="shared" si="10"/>
        <v>209.23000000000002</v>
      </c>
      <c r="X22" s="65">
        <v>28.85</v>
      </c>
      <c r="Y22" s="65">
        <v>17.72</v>
      </c>
      <c r="Z22" s="65">
        <v>26.56</v>
      </c>
      <c r="AA22" s="65">
        <f>70.4+41.16</f>
        <v>111.56</v>
      </c>
      <c r="AB22" s="65">
        <f t="shared" si="3"/>
        <v>184.69</v>
      </c>
      <c r="AC22" s="65">
        <v>30.96</v>
      </c>
      <c r="AD22" s="65">
        <v>25.6</v>
      </c>
      <c r="AE22" s="65">
        <v>72.56</v>
      </c>
      <c r="AF22" s="65">
        <v>78.349999999999994</v>
      </c>
      <c r="AG22" s="65">
        <f>35.94+67.7</f>
        <v>103.64</v>
      </c>
      <c r="AH22" s="65">
        <f t="shared" si="4"/>
        <v>311.11</v>
      </c>
      <c r="AI22" s="65">
        <v>27.38</v>
      </c>
      <c r="AJ22" s="65">
        <v>23.62</v>
      </c>
      <c r="AK22" s="65">
        <v>21.99</v>
      </c>
      <c r="AL22" s="65">
        <f>20.86+5.27+36.3</f>
        <v>62.429999999999993</v>
      </c>
      <c r="AM22" s="65">
        <f t="shared" si="11"/>
        <v>135.41999999999999</v>
      </c>
      <c r="AN22" s="65">
        <v>76.349999999999994</v>
      </c>
      <c r="AO22" s="65">
        <f>64.19+0.8</f>
        <v>64.989999999999995</v>
      </c>
      <c r="AP22" s="65">
        <v>27</v>
      </c>
      <c r="AQ22" s="65">
        <v>20.63</v>
      </c>
      <c r="AR22" s="65">
        <f>42.35+17.33</f>
        <v>59.68</v>
      </c>
      <c r="AS22" s="65">
        <f t="shared" si="5"/>
        <v>248.64999999999998</v>
      </c>
      <c r="AT22" s="65">
        <v>23.25</v>
      </c>
      <c r="AU22" s="65">
        <f>33.04+1.65</f>
        <v>34.69</v>
      </c>
      <c r="AV22" s="65">
        <v>19.57</v>
      </c>
      <c r="AW22" s="65">
        <f>36.48+67.34</f>
        <v>103.82</v>
      </c>
      <c r="AX22" s="65">
        <f t="shared" si="12"/>
        <v>181.32999999999998</v>
      </c>
      <c r="AY22" s="65">
        <v>25.65</v>
      </c>
      <c r="AZ22" s="65">
        <v>61.59</v>
      </c>
      <c r="BA22" s="65">
        <v>33.39</v>
      </c>
      <c r="BB22" s="65">
        <f>84.2+36.54</f>
        <v>120.74000000000001</v>
      </c>
      <c r="BC22" s="65">
        <f t="shared" ref="BC22:BC68" si="22">SUM(AY22:BB22)</f>
        <v>241.37</v>
      </c>
      <c r="BD22" s="65">
        <v>24.5</v>
      </c>
      <c r="BE22" s="65">
        <v>31.35</v>
      </c>
      <c r="BF22" s="65">
        <v>21.44</v>
      </c>
      <c r="BG22" s="65">
        <v>19.100000000000001</v>
      </c>
      <c r="BH22" s="65">
        <f>48.23+23.17</f>
        <v>71.400000000000006</v>
      </c>
      <c r="BI22" s="65">
        <f t="shared" ref="BI22:BI68" si="23">SUM(BD22:BH22)</f>
        <v>167.79000000000002</v>
      </c>
      <c r="BJ22" s="65">
        <v>74.790000000000006</v>
      </c>
      <c r="BK22" s="65">
        <v>25.19</v>
      </c>
      <c r="BL22" s="65">
        <v>20.77</v>
      </c>
      <c r="BM22" s="65">
        <f>85.43+48.51</f>
        <v>133.94</v>
      </c>
      <c r="BN22" s="65">
        <f t="shared" ref="BN22:BN68" si="24">SUM(BJ22:BM22)</f>
        <v>254.69</v>
      </c>
      <c r="BO22" s="14">
        <f t="shared" si="13"/>
        <v>2416.23</v>
      </c>
      <c r="BP22" s="38">
        <f t="shared" si="14"/>
        <v>2416.23</v>
      </c>
    </row>
    <row r="23" spans="1:68" x14ac:dyDescent="0.25">
      <c r="A23" s="86" t="s">
        <v>37</v>
      </c>
      <c r="B23" s="13"/>
      <c r="C23" s="65">
        <v>35.880000000000003</v>
      </c>
      <c r="D23" s="65">
        <v>29.64</v>
      </c>
      <c r="E23" s="65">
        <v>30.85</v>
      </c>
      <c r="F23" s="65">
        <f>17.21+12.12+23.52</f>
        <v>52.849999999999994</v>
      </c>
      <c r="G23" s="65">
        <f>SUM(C23:F23)</f>
        <v>149.22</v>
      </c>
      <c r="H23" s="65">
        <v>23.75</v>
      </c>
      <c r="I23" s="65">
        <f>19.32+3.74</f>
        <v>23.060000000000002</v>
      </c>
      <c r="J23" s="65">
        <f>18.52+12.12</f>
        <v>30.64</v>
      </c>
      <c r="K23" s="65">
        <f>23.52+23.91</f>
        <v>47.43</v>
      </c>
      <c r="L23" s="65">
        <f>SUM(H23:K23)</f>
        <v>124.88</v>
      </c>
      <c r="M23" s="65">
        <v>23.59</v>
      </c>
      <c r="N23" s="65">
        <v>57.24</v>
      </c>
      <c r="O23" s="65">
        <f>29.73+2.5</f>
        <v>32.230000000000004</v>
      </c>
      <c r="P23" s="65">
        <v>25.52</v>
      </c>
      <c r="Q23" s="65">
        <f>29.4+46.07</f>
        <v>75.47</v>
      </c>
      <c r="R23" s="65">
        <f>SUM(M23:Q23)</f>
        <v>214.05</v>
      </c>
      <c r="S23" s="65">
        <f>28.31+3.2+18.18</f>
        <v>49.69</v>
      </c>
      <c r="T23" s="65">
        <v>31.01</v>
      </c>
      <c r="U23" s="65">
        <v>68.06</v>
      </c>
      <c r="V23" s="65">
        <f>74.89+5.88</f>
        <v>80.77</v>
      </c>
      <c r="W23" s="65">
        <f>SUM(S23:V23)</f>
        <v>229.52999999999997</v>
      </c>
      <c r="X23" s="65">
        <v>31.36</v>
      </c>
      <c r="Y23" s="65">
        <v>42.45</v>
      </c>
      <c r="Z23" s="65">
        <v>40.81</v>
      </c>
      <c r="AA23" s="65">
        <f>50.72+29.4</f>
        <v>80.12</v>
      </c>
      <c r="AB23" s="65">
        <f t="shared" si="3"/>
        <v>194.74</v>
      </c>
      <c r="AC23" s="65">
        <v>29.03</v>
      </c>
      <c r="AD23" s="65">
        <v>24.19</v>
      </c>
      <c r="AE23" s="65">
        <v>38.04</v>
      </c>
      <c r="AF23" s="65">
        <v>35.57</v>
      </c>
      <c r="AG23" s="65">
        <f>23.96+12.24+8.16+27.5+3</f>
        <v>74.86</v>
      </c>
      <c r="AH23" s="65">
        <f t="shared" si="4"/>
        <v>201.69</v>
      </c>
      <c r="AI23" s="65">
        <f>68.13+6.12</f>
        <v>74.25</v>
      </c>
      <c r="AJ23" s="65">
        <v>76.23</v>
      </c>
      <c r="AK23" s="65">
        <v>68.83</v>
      </c>
      <c r="AL23" s="65">
        <f>83.53+24.2</f>
        <v>107.73</v>
      </c>
      <c r="AM23" s="65">
        <f>SUM(AI23:AL23)</f>
        <v>327.04000000000002</v>
      </c>
      <c r="AN23" s="65">
        <v>29.71</v>
      </c>
      <c r="AO23" s="65">
        <v>31.21</v>
      </c>
      <c r="AP23" s="65">
        <v>32.76</v>
      </c>
      <c r="AQ23" s="65">
        <v>31.37</v>
      </c>
      <c r="AR23" s="65">
        <f>30.25+29.03+12.24</f>
        <v>71.52</v>
      </c>
      <c r="AS23" s="65">
        <f t="shared" si="5"/>
        <v>196.57</v>
      </c>
      <c r="AT23" s="65">
        <v>27.97</v>
      </c>
      <c r="AU23" s="65">
        <v>72.56</v>
      </c>
      <c r="AV23" s="65">
        <f>70.88+3</f>
        <v>73.88</v>
      </c>
      <c r="AW23" s="65">
        <v>33.75</v>
      </c>
      <c r="AX23" s="65">
        <f>SUM(AT23:AW23)</f>
        <v>208.16</v>
      </c>
      <c r="AY23" s="65">
        <v>33.81</v>
      </c>
      <c r="AZ23" s="65">
        <f>31.95+12.24</f>
        <v>44.19</v>
      </c>
      <c r="BA23" s="65">
        <f>33.47+3</f>
        <v>36.47</v>
      </c>
      <c r="BB23" s="65">
        <f>53.07+24.36</f>
        <v>77.430000000000007</v>
      </c>
      <c r="BC23" s="65">
        <f>SUM(AY23:BB23)</f>
        <v>191.9</v>
      </c>
      <c r="BD23" s="65">
        <v>38.96</v>
      </c>
      <c r="BE23" s="65">
        <v>77.84</v>
      </c>
      <c r="BF23" s="65">
        <v>34.54</v>
      </c>
      <c r="BG23" s="65">
        <v>33.92</v>
      </c>
      <c r="BH23" s="65">
        <f>34.45+49.93</f>
        <v>84.38</v>
      </c>
      <c r="BI23" s="65">
        <f>SUM(BD23:BH23)</f>
        <v>269.64</v>
      </c>
      <c r="BJ23" s="65">
        <v>31.13</v>
      </c>
      <c r="BK23" s="65">
        <v>29.74</v>
      </c>
      <c r="BL23" s="65">
        <v>80.33</v>
      </c>
      <c r="BM23" s="65">
        <f>33.98+27.72</f>
        <v>61.699999999999996</v>
      </c>
      <c r="BN23" s="65">
        <f>SUM(BJ23:BM23)</f>
        <v>202.89999999999998</v>
      </c>
      <c r="BO23" s="14">
        <f>+G23+L23+R23+W23+AB23+AH23+AM23+AS23+AX23+BC23+BI23+BN23</f>
        <v>2510.3200000000002</v>
      </c>
      <c r="BP23" s="38">
        <f t="shared" si="14"/>
        <v>2510.3200000000002</v>
      </c>
    </row>
    <row r="24" spans="1:68" x14ac:dyDescent="0.25">
      <c r="A24" s="86" t="s">
        <v>38</v>
      </c>
      <c r="B24" s="13"/>
      <c r="C24" s="65"/>
      <c r="D24" s="65"/>
      <c r="E24" s="65"/>
      <c r="F24" s="65"/>
      <c r="G24" s="65">
        <f>SUM(C24:F24)</f>
        <v>0</v>
      </c>
      <c r="H24" s="65"/>
      <c r="I24" s="65">
        <v>4.34</v>
      </c>
      <c r="J24" s="65"/>
      <c r="K24" s="65"/>
      <c r="L24" s="65">
        <f>SUM(H24:K24)</f>
        <v>4.34</v>
      </c>
      <c r="M24" s="65"/>
      <c r="N24" s="65"/>
      <c r="O24" s="65"/>
      <c r="P24" s="65">
        <v>11.11</v>
      </c>
      <c r="Q24" s="65"/>
      <c r="R24" s="65">
        <f>SUM(M24:Q24)</f>
        <v>11.11</v>
      </c>
      <c r="S24" s="65">
        <v>6.62</v>
      </c>
      <c r="T24" s="65"/>
      <c r="U24" s="65"/>
      <c r="V24" s="65"/>
      <c r="W24" s="65">
        <f>SUM(S24:V24)</f>
        <v>6.62</v>
      </c>
      <c r="X24" s="65"/>
      <c r="Y24" s="65"/>
      <c r="Z24" s="65"/>
      <c r="AA24" s="65"/>
      <c r="AB24" s="65">
        <f t="shared" si="3"/>
        <v>0</v>
      </c>
      <c r="AC24" s="65"/>
      <c r="AD24" s="65"/>
      <c r="AE24" s="65"/>
      <c r="AF24" s="65"/>
      <c r="AG24" s="65"/>
      <c r="AH24" s="65">
        <f t="shared" si="4"/>
        <v>0</v>
      </c>
      <c r="AI24" s="65"/>
      <c r="AJ24" s="65"/>
      <c r="AK24" s="65"/>
      <c r="AL24" s="65"/>
      <c r="AM24" s="65">
        <f>SUM(AI24:AL24)</f>
        <v>0</v>
      </c>
      <c r="AN24" s="65"/>
      <c r="AO24" s="65"/>
      <c r="AP24" s="65"/>
      <c r="AQ24" s="65"/>
      <c r="AR24" s="65"/>
      <c r="AS24" s="65">
        <f t="shared" si="5"/>
        <v>0</v>
      </c>
      <c r="AT24" s="65"/>
      <c r="AU24" s="65"/>
      <c r="AV24" s="65"/>
      <c r="AW24" s="65"/>
      <c r="AX24" s="65">
        <f>SUM(AT24:AW24)</f>
        <v>0</v>
      </c>
      <c r="AY24" s="65"/>
      <c r="AZ24" s="65"/>
      <c r="BA24" s="65"/>
      <c r="BB24" s="65"/>
      <c r="BC24" s="65">
        <f>SUM(AY24:BB24)</f>
        <v>0</v>
      </c>
      <c r="BD24" s="65"/>
      <c r="BE24" s="65"/>
      <c r="BF24" s="65"/>
      <c r="BG24" s="65"/>
      <c r="BH24" s="65"/>
      <c r="BI24" s="65">
        <f>SUM(BD24:BH24)</f>
        <v>0</v>
      </c>
      <c r="BJ24" s="65"/>
      <c r="BK24" s="65"/>
      <c r="BL24" s="65"/>
      <c r="BM24" s="65"/>
      <c r="BN24" s="65">
        <f>SUM(BJ24:BM24)</f>
        <v>0</v>
      </c>
      <c r="BO24" s="14">
        <f>+G24+L24+R24+W24+AB24+AH24+AM24+AS24+AX24+BC24+BI24+BN24</f>
        <v>22.07</v>
      </c>
      <c r="BP24" s="38">
        <f t="shared" si="14"/>
        <v>22.07</v>
      </c>
    </row>
    <row r="25" spans="1:68" x14ac:dyDescent="0.25">
      <c r="A25" s="86" t="s">
        <v>39</v>
      </c>
      <c r="B25" s="18"/>
      <c r="C25" s="65"/>
      <c r="D25" s="65"/>
      <c r="E25" s="65"/>
      <c r="F25" s="65"/>
      <c r="G25" s="65">
        <f>SUM(C25:F25)</f>
        <v>0</v>
      </c>
      <c r="H25" s="65"/>
      <c r="I25" s="65"/>
      <c r="J25" s="65"/>
      <c r="K25" s="65"/>
      <c r="L25" s="65">
        <f>SUM(H25:K25)</f>
        <v>0</v>
      </c>
      <c r="M25" s="65"/>
      <c r="N25" s="65"/>
      <c r="O25" s="65"/>
      <c r="P25" s="65"/>
      <c r="Q25" s="65"/>
      <c r="R25" s="65">
        <f>SUM(M25:Q25)</f>
        <v>0</v>
      </c>
      <c r="S25" s="65"/>
      <c r="T25" s="65"/>
      <c r="U25" s="65"/>
      <c r="V25" s="65"/>
      <c r="W25" s="65">
        <f>SUM(S25:V25)</f>
        <v>0</v>
      </c>
      <c r="X25" s="65"/>
      <c r="Y25" s="65">
        <v>38.35</v>
      </c>
      <c r="Z25" s="65"/>
      <c r="AA25" s="65"/>
      <c r="AB25" s="65">
        <f t="shared" si="3"/>
        <v>38.35</v>
      </c>
      <c r="AC25" s="65"/>
      <c r="AD25" s="65">
        <v>30.02</v>
      </c>
      <c r="AE25" s="65"/>
      <c r="AF25" s="65"/>
      <c r="AG25" s="65">
        <v>67.72</v>
      </c>
      <c r="AH25" s="65">
        <f t="shared" si="4"/>
        <v>97.74</v>
      </c>
      <c r="AI25" s="65"/>
      <c r="AJ25" s="65"/>
      <c r="AK25" s="65">
        <v>6.47</v>
      </c>
      <c r="AL25" s="65"/>
      <c r="AM25" s="65">
        <f>SUM(AI25:AL25)</f>
        <v>6.47</v>
      </c>
      <c r="AN25" s="65"/>
      <c r="AO25" s="65">
        <v>54.11</v>
      </c>
      <c r="AP25" s="65"/>
      <c r="AQ25" s="65"/>
      <c r="AR25" s="65"/>
      <c r="AS25" s="65">
        <f t="shared" si="5"/>
        <v>54.11</v>
      </c>
      <c r="AT25" s="65"/>
      <c r="AU25" s="65">
        <f>18.21+1.54</f>
        <v>19.75</v>
      </c>
      <c r="AV25" s="65"/>
      <c r="AW25" s="65"/>
      <c r="AX25" s="65">
        <f>SUM(AT25:AW25)</f>
        <v>19.75</v>
      </c>
      <c r="AY25" s="65">
        <f>57.75+5</f>
        <v>62.75</v>
      </c>
      <c r="AZ25" s="65"/>
      <c r="BA25" s="65">
        <f>8.01+3.98</f>
        <v>11.99</v>
      </c>
      <c r="BB25" s="65">
        <v>3.1</v>
      </c>
      <c r="BC25" s="65">
        <f>SUM(AY25:BB25)</f>
        <v>77.839999999999989</v>
      </c>
      <c r="BD25" s="65">
        <v>74.91</v>
      </c>
      <c r="BE25" s="65"/>
      <c r="BF25" s="65"/>
      <c r="BG25" s="65">
        <v>20.079999999999998</v>
      </c>
      <c r="BH25" s="65">
        <v>6.54</v>
      </c>
      <c r="BI25" s="65">
        <f>SUM(BD25:BH25)</f>
        <v>101.53</v>
      </c>
      <c r="BJ25" s="65">
        <v>49.53</v>
      </c>
      <c r="BK25" s="65">
        <f>12.8+0.75</f>
        <v>13.55</v>
      </c>
      <c r="BL25" s="65">
        <v>16.489999999999998</v>
      </c>
      <c r="BM25" s="65"/>
      <c r="BN25" s="65">
        <f>SUM(BJ25:BM25)</f>
        <v>79.569999999999993</v>
      </c>
      <c r="BO25" s="14">
        <f>+G25+L25+R25+W25+AB25+AH25+AM25+AS25+AX25+BC25+BI25+BN25</f>
        <v>475.35999999999996</v>
      </c>
      <c r="BP25" s="38">
        <f t="shared" si="14"/>
        <v>475.35999999999996</v>
      </c>
    </row>
    <row r="26" spans="1:68" x14ac:dyDescent="0.25">
      <c r="A26" s="86" t="s">
        <v>40</v>
      </c>
      <c r="B26" s="13"/>
      <c r="C26" s="65"/>
      <c r="D26" s="65">
        <v>5.48</v>
      </c>
      <c r="E26" s="65">
        <v>7.55</v>
      </c>
      <c r="F26" s="65"/>
      <c r="G26" s="65">
        <f>SUM(C26:F26)</f>
        <v>13.030000000000001</v>
      </c>
      <c r="H26" s="65"/>
      <c r="I26" s="65"/>
      <c r="J26" s="65"/>
      <c r="K26" s="65">
        <v>4.5</v>
      </c>
      <c r="L26" s="65">
        <f>SUM(H26:K26)</f>
        <v>4.5</v>
      </c>
      <c r="M26" s="65"/>
      <c r="N26" s="65"/>
      <c r="O26" s="65"/>
      <c r="P26" s="65"/>
      <c r="Q26" s="65">
        <f>5.75+0.75</f>
        <v>6.5</v>
      </c>
      <c r="R26" s="65">
        <f>SUM(M26:Q26)</f>
        <v>6.5</v>
      </c>
      <c r="S26" s="65"/>
      <c r="T26" s="65"/>
      <c r="U26" s="65"/>
      <c r="V26" s="65">
        <v>4.4400000000000004</v>
      </c>
      <c r="W26" s="65">
        <f>SUM(S26:V26)</f>
        <v>4.4400000000000004</v>
      </c>
      <c r="X26" s="65"/>
      <c r="Y26" s="65"/>
      <c r="Z26" s="65"/>
      <c r="AA26" s="65">
        <v>7.79</v>
      </c>
      <c r="AB26" s="65">
        <f t="shared" si="3"/>
        <v>7.79</v>
      </c>
      <c r="AC26" s="65"/>
      <c r="AD26" s="65"/>
      <c r="AE26" s="65"/>
      <c r="AF26" s="65">
        <v>4.46</v>
      </c>
      <c r="AG26" s="65"/>
      <c r="AH26" s="65">
        <f t="shared" si="4"/>
        <v>4.46</v>
      </c>
      <c r="AI26" s="65"/>
      <c r="AJ26" s="65"/>
      <c r="AK26" s="65"/>
      <c r="AL26" s="65"/>
      <c r="AM26" s="65">
        <f>SUM(AI26:AL26)</f>
        <v>0</v>
      </c>
      <c r="AN26" s="65"/>
      <c r="AO26" s="65"/>
      <c r="AP26" s="65">
        <v>7.34</v>
      </c>
      <c r="AQ26" s="65"/>
      <c r="AR26" s="65"/>
      <c r="AS26" s="65">
        <f t="shared" si="5"/>
        <v>7.34</v>
      </c>
      <c r="AT26" s="65"/>
      <c r="AU26" s="65"/>
      <c r="AV26" s="65"/>
      <c r="AW26" s="65">
        <v>7.38</v>
      </c>
      <c r="AX26" s="65">
        <f>SUM(AT26:AW26)</f>
        <v>7.38</v>
      </c>
      <c r="AY26" s="65"/>
      <c r="AZ26" s="65"/>
      <c r="BA26" s="65"/>
      <c r="BB26" s="65"/>
      <c r="BC26" s="65">
        <f>SUM(AY26:BB26)</f>
        <v>0</v>
      </c>
      <c r="BD26" s="65"/>
      <c r="BE26" s="65"/>
      <c r="BF26" s="65">
        <v>6.86</v>
      </c>
      <c r="BG26" s="65"/>
      <c r="BH26" s="65"/>
      <c r="BI26" s="65">
        <f>SUM(BD26:BH26)</f>
        <v>6.86</v>
      </c>
      <c r="BJ26" s="65"/>
      <c r="BK26" s="65"/>
      <c r="BL26" s="65"/>
      <c r="BM26" s="65">
        <v>4.71</v>
      </c>
      <c r="BN26" s="65">
        <f>SUM(BJ26:BM26)</f>
        <v>4.71</v>
      </c>
      <c r="BO26" s="14">
        <f>+G26+L26+R26+W26+AB26+AH26+AM26+AS26+AX26+BC26+BI26+BN26</f>
        <v>67.010000000000005</v>
      </c>
      <c r="BP26" s="38">
        <f t="shared" si="14"/>
        <v>67.010000000000005</v>
      </c>
    </row>
    <row r="27" spans="1:68" ht="15.75" thickBot="1" x14ac:dyDescent="0.3">
      <c r="A27" s="86" t="s">
        <v>41</v>
      </c>
      <c r="B27" s="41"/>
      <c r="C27" s="66"/>
      <c r="D27" s="66"/>
      <c r="E27" s="66"/>
      <c r="F27" s="66"/>
      <c r="G27" s="66">
        <f>SUM(C27:F27)</f>
        <v>0</v>
      </c>
      <c r="H27" s="66"/>
      <c r="I27" s="66"/>
      <c r="J27" s="66"/>
      <c r="K27" s="66"/>
      <c r="L27" s="66">
        <f>SUM(H27:K27)</f>
        <v>0</v>
      </c>
      <c r="M27" s="66"/>
      <c r="N27" s="66"/>
      <c r="O27" s="66"/>
      <c r="P27" s="66"/>
      <c r="Q27" s="66"/>
      <c r="R27" s="66">
        <f>SUM(M27:Q27)</f>
        <v>0</v>
      </c>
      <c r="S27" s="66"/>
      <c r="T27" s="66"/>
      <c r="U27" s="66"/>
      <c r="V27" s="66"/>
      <c r="W27" s="66">
        <f>SUM(S27:V27)</f>
        <v>0</v>
      </c>
      <c r="X27" s="66"/>
      <c r="Y27" s="66"/>
      <c r="Z27" s="66"/>
      <c r="AA27" s="66"/>
      <c r="AB27" s="66">
        <f t="shared" si="3"/>
        <v>0</v>
      </c>
      <c r="AC27" s="66"/>
      <c r="AD27" s="66"/>
      <c r="AE27" s="66"/>
      <c r="AF27" s="66"/>
      <c r="AG27" s="66"/>
      <c r="AH27" s="66">
        <f t="shared" si="4"/>
        <v>0</v>
      </c>
      <c r="AI27" s="66"/>
      <c r="AJ27" s="66"/>
      <c r="AK27" s="66"/>
      <c r="AL27" s="66"/>
      <c r="AM27" s="66">
        <f>SUM(AI27:AL27)</f>
        <v>0</v>
      </c>
      <c r="AN27" s="66"/>
      <c r="AO27" s="66"/>
      <c r="AP27" s="66"/>
      <c r="AQ27" s="66"/>
      <c r="AR27" s="66"/>
      <c r="AS27" s="66">
        <f t="shared" si="5"/>
        <v>0</v>
      </c>
      <c r="AT27" s="66"/>
      <c r="AU27" s="66"/>
      <c r="AV27" s="66"/>
      <c r="AW27" s="66"/>
      <c r="AX27" s="66">
        <f>SUM(AT27:AW27)</f>
        <v>0</v>
      </c>
      <c r="AY27" s="66"/>
      <c r="AZ27" s="66"/>
      <c r="BA27" s="66"/>
      <c r="BB27" s="66"/>
      <c r="BC27" s="66">
        <f>SUM(AY27:BB27)</f>
        <v>0</v>
      </c>
      <c r="BD27" s="66"/>
      <c r="BE27" s="66"/>
      <c r="BF27" s="66"/>
      <c r="BG27" s="66"/>
      <c r="BH27" s="66"/>
      <c r="BI27" s="66">
        <f>SUM(BD27:BH27)</f>
        <v>0</v>
      </c>
      <c r="BJ27" s="66"/>
      <c r="BK27" s="66"/>
      <c r="BL27" s="66"/>
      <c r="BM27" s="66"/>
      <c r="BN27" s="66">
        <f>SUM(BJ27:BM27)</f>
        <v>0</v>
      </c>
      <c r="BO27" s="16">
        <f>+G27+L27+R27+W27+AB27+AH27+AM27+AS27+AX27+BC27+BI27+BN27</f>
        <v>0</v>
      </c>
      <c r="BP27" s="38">
        <f t="shared" si="14"/>
        <v>0</v>
      </c>
    </row>
    <row r="28" spans="1:68" ht="16.5" thickTop="1" thickBot="1" x14ac:dyDescent="0.3">
      <c r="A28" s="85" t="s">
        <v>42</v>
      </c>
      <c r="B28" s="44"/>
      <c r="C28" s="67"/>
      <c r="D28" s="67"/>
      <c r="E28" s="67"/>
      <c r="F28" s="67"/>
      <c r="G28" s="67">
        <f>SUM(G8:G27)</f>
        <v>3640.2</v>
      </c>
      <c r="H28" s="67"/>
      <c r="I28" s="67"/>
      <c r="J28" s="67"/>
      <c r="K28" s="67"/>
      <c r="L28" s="67">
        <f>SUM(L8:L27)</f>
        <v>3360.4400000000005</v>
      </c>
      <c r="M28" s="67"/>
      <c r="N28" s="67"/>
      <c r="O28" s="67"/>
      <c r="P28" s="67"/>
      <c r="Q28" s="67"/>
      <c r="R28" s="67">
        <f>SUM(R8:R27)</f>
        <v>5100.4799999999996</v>
      </c>
      <c r="S28" s="67"/>
      <c r="T28" s="67"/>
      <c r="U28" s="67"/>
      <c r="V28" s="67"/>
      <c r="W28" s="67">
        <f>SUM(W8:W27)</f>
        <v>3878.28</v>
      </c>
      <c r="X28" s="67"/>
      <c r="Y28" s="67"/>
      <c r="Z28" s="67"/>
      <c r="AA28" s="67"/>
      <c r="AB28" s="67">
        <f>SUM(AB8:AB27)</f>
        <v>3733.8700000000003</v>
      </c>
      <c r="AC28" s="67"/>
      <c r="AD28" s="67"/>
      <c r="AE28" s="67"/>
      <c r="AF28" s="67"/>
      <c r="AG28" s="67"/>
      <c r="AH28" s="67">
        <f>SUM(AH8:AH27)</f>
        <v>4432.4599999999991</v>
      </c>
      <c r="AI28" s="67"/>
      <c r="AJ28" s="67"/>
      <c r="AK28" s="67"/>
      <c r="AL28" s="67"/>
      <c r="AM28" s="67">
        <f>SUM(AM8:AM27)</f>
        <v>4017.0099999999998</v>
      </c>
      <c r="AN28" s="67"/>
      <c r="AO28" s="67"/>
      <c r="AP28" s="67"/>
      <c r="AQ28" s="67"/>
      <c r="AR28" s="67"/>
      <c r="AS28" s="67">
        <f>SUM(AS8:AS27)</f>
        <v>4580.8899999999994</v>
      </c>
      <c r="AT28" s="67"/>
      <c r="AU28" s="67"/>
      <c r="AV28" s="67"/>
      <c r="AW28" s="67"/>
      <c r="AX28" s="67">
        <f>SUM(AX8:AX27)</f>
        <v>3491.7999999999997</v>
      </c>
      <c r="AY28" s="67"/>
      <c r="AZ28" s="67"/>
      <c r="BA28" s="67"/>
      <c r="BB28" s="67"/>
      <c r="BC28" s="67">
        <f>SUM(BC8:BC27)</f>
        <v>4092.9900000000002</v>
      </c>
      <c r="BD28" s="67"/>
      <c r="BE28" s="67"/>
      <c r="BF28" s="67"/>
      <c r="BG28" s="67"/>
      <c r="BH28" s="67"/>
      <c r="BI28" s="67">
        <f>SUM(BI8:BI27)</f>
        <v>4957.619999999999</v>
      </c>
      <c r="BJ28" s="67"/>
      <c r="BK28" s="67"/>
      <c r="BL28" s="67"/>
      <c r="BM28" s="67"/>
      <c r="BN28" s="67">
        <f>SUM(BN8:BN27)</f>
        <v>4410.829999999999</v>
      </c>
      <c r="BO28" s="43">
        <f>SUM(BO8:BO27)</f>
        <v>49696.87000000001</v>
      </c>
      <c r="BP28" s="38"/>
    </row>
    <row r="29" spans="1:68" ht="15.75" thickTop="1" x14ac:dyDescent="0.25">
      <c r="A29" s="86" t="s">
        <v>43</v>
      </c>
      <c r="B29" s="11"/>
      <c r="C29" s="58">
        <v>91.52</v>
      </c>
      <c r="D29" s="58">
        <f>24.56+11.52</f>
        <v>36.08</v>
      </c>
      <c r="E29" s="58">
        <v>41.52</v>
      </c>
      <c r="F29" s="58">
        <v>32.380000000000003</v>
      </c>
      <c r="G29" s="58">
        <f t="shared" si="9"/>
        <v>201.5</v>
      </c>
      <c r="H29" s="58">
        <v>34.81</v>
      </c>
      <c r="I29" s="58">
        <v>32.39</v>
      </c>
      <c r="J29" s="58">
        <v>67.489999999999995</v>
      </c>
      <c r="K29" s="58">
        <v>35.33</v>
      </c>
      <c r="L29" s="58">
        <f t="shared" si="20"/>
        <v>170.01999999999998</v>
      </c>
      <c r="M29" s="58">
        <f>36.6+28.97+4</f>
        <v>69.569999999999993</v>
      </c>
      <c r="N29" s="58">
        <v>20.16</v>
      </c>
      <c r="O29" s="58">
        <v>20.73</v>
      </c>
      <c r="P29" s="58">
        <v>74.13</v>
      </c>
      <c r="Q29" s="58">
        <v>37.56</v>
      </c>
      <c r="R29" s="58">
        <f t="shared" si="21"/>
        <v>222.14999999999998</v>
      </c>
      <c r="S29" s="58">
        <v>53.33</v>
      </c>
      <c r="T29" s="58">
        <v>75.459999999999994</v>
      </c>
      <c r="U29" s="58">
        <f>14.95+3</f>
        <v>17.95</v>
      </c>
      <c r="V29" s="58">
        <v>49.07</v>
      </c>
      <c r="W29" s="58">
        <f t="shared" si="10"/>
        <v>195.80999999999997</v>
      </c>
      <c r="X29" s="58">
        <v>33.44</v>
      </c>
      <c r="Y29" s="58">
        <v>39.19</v>
      </c>
      <c r="Z29" s="58">
        <v>48.36</v>
      </c>
      <c r="AA29" s="58">
        <v>78.67</v>
      </c>
      <c r="AB29" s="58">
        <f t="shared" ref="AB29:AB68" si="25">SUM(X29:AA29)</f>
        <v>199.66</v>
      </c>
      <c r="AC29" s="58">
        <v>39.69</v>
      </c>
      <c r="AD29" s="58">
        <v>42.05</v>
      </c>
      <c r="AE29" s="58">
        <v>71.75</v>
      </c>
      <c r="AF29" s="58">
        <v>41.45</v>
      </c>
      <c r="AG29" s="58">
        <f>88+3.6</f>
        <v>91.6</v>
      </c>
      <c r="AH29" s="58">
        <f t="shared" ref="AH29:AH68" si="26">SUM(AC29:AG29)</f>
        <v>286.53999999999996</v>
      </c>
      <c r="AI29" s="58">
        <f>33.68+40.2</f>
        <v>73.88</v>
      </c>
      <c r="AJ29" s="58">
        <v>40.450000000000003</v>
      </c>
      <c r="AK29" s="58">
        <f>44.89+7.9</f>
        <v>52.79</v>
      </c>
      <c r="AL29" s="58">
        <v>50.22</v>
      </c>
      <c r="AM29" s="58">
        <f t="shared" si="11"/>
        <v>217.34</v>
      </c>
      <c r="AN29" s="58">
        <f>78.27+1.36</f>
        <v>79.63</v>
      </c>
      <c r="AO29" s="58">
        <v>12.4</v>
      </c>
      <c r="AP29" s="58">
        <v>17.39</v>
      </c>
      <c r="AQ29" s="58">
        <f>37.83+1.8</f>
        <v>39.629999999999995</v>
      </c>
      <c r="AR29" s="58">
        <v>86.25</v>
      </c>
      <c r="AS29" s="58">
        <f t="shared" ref="AS29:AS68" si="27">SUM(AN29:AR29)</f>
        <v>235.3</v>
      </c>
      <c r="AT29" s="58">
        <v>54.4</v>
      </c>
      <c r="AU29" s="58">
        <v>36.590000000000003</v>
      </c>
      <c r="AV29" s="58">
        <v>76.38</v>
      </c>
      <c r="AW29" s="58">
        <v>37.54</v>
      </c>
      <c r="AX29" s="58">
        <f t="shared" si="12"/>
        <v>204.91</v>
      </c>
      <c r="AY29" s="58">
        <v>31.42</v>
      </c>
      <c r="AZ29" s="58">
        <v>42.11</v>
      </c>
      <c r="BA29" s="58">
        <v>101.22</v>
      </c>
      <c r="BB29" s="58">
        <v>21.54</v>
      </c>
      <c r="BC29" s="58">
        <f t="shared" si="22"/>
        <v>196.29</v>
      </c>
      <c r="BD29" s="58">
        <v>36.369999999999997</v>
      </c>
      <c r="BE29" s="58">
        <f>32.05+0.68</f>
        <v>32.729999999999997</v>
      </c>
      <c r="BF29" s="58">
        <f>41.47+9</f>
        <v>50.47</v>
      </c>
      <c r="BG29" s="58">
        <v>79.010000000000005</v>
      </c>
      <c r="BH29" s="58">
        <v>44.98</v>
      </c>
      <c r="BI29" s="58">
        <f t="shared" si="23"/>
        <v>243.55999999999997</v>
      </c>
      <c r="BJ29" s="58">
        <v>89.89</v>
      </c>
      <c r="BK29" s="58">
        <v>41.85</v>
      </c>
      <c r="BL29" s="58"/>
      <c r="BM29" s="58"/>
      <c r="BN29" s="58">
        <f t="shared" si="24"/>
        <v>131.74</v>
      </c>
      <c r="BO29" s="12">
        <f t="shared" si="13"/>
        <v>2504.8199999999997</v>
      </c>
      <c r="BP29" s="38">
        <f t="shared" si="14"/>
        <v>2504.8199999999997</v>
      </c>
    </row>
    <row r="30" spans="1:68" x14ac:dyDescent="0.25">
      <c r="A30" s="86" t="s">
        <v>44</v>
      </c>
      <c r="B30" s="13"/>
      <c r="C30" s="65"/>
      <c r="D30" s="65"/>
      <c r="E30" s="65"/>
      <c r="F30" s="65"/>
      <c r="G30" s="65">
        <f t="shared" si="9"/>
        <v>0</v>
      </c>
      <c r="H30" s="65"/>
      <c r="I30" s="65"/>
      <c r="J30" s="65"/>
      <c r="K30" s="65"/>
      <c r="L30" s="65">
        <f t="shared" si="20"/>
        <v>0</v>
      </c>
      <c r="M30" s="65"/>
      <c r="N30" s="65"/>
      <c r="O30" s="65"/>
      <c r="P30" s="65"/>
      <c r="Q30" s="65"/>
      <c r="R30" s="65">
        <f t="shared" si="21"/>
        <v>0</v>
      </c>
      <c r="S30" s="65"/>
      <c r="T30" s="65"/>
      <c r="U30" s="65"/>
      <c r="V30" s="65"/>
      <c r="W30" s="65">
        <f t="shared" si="10"/>
        <v>0</v>
      </c>
      <c r="X30" s="65"/>
      <c r="Y30" s="65"/>
      <c r="Z30" s="65"/>
      <c r="AA30" s="65"/>
      <c r="AB30" s="65">
        <f t="shared" si="25"/>
        <v>0</v>
      </c>
      <c r="AC30" s="65"/>
      <c r="AD30" s="65"/>
      <c r="AE30" s="65"/>
      <c r="AF30" s="65"/>
      <c r="AG30" s="65"/>
      <c r="AH30" s="65">
        <f t="shared" si="26"/>
        <v>0</v>
      </c>
      <c r="AI30" s="65"/>
      <c r="AJ30" s="65"/>
      <c r="AK30" s="65"/>
      <c r="AL30" s="65"/>
      <c r="AM30" s="65">
        <f t="shared" si="11"/>
        <v>0</v>
      </c>
      <c r="AN30" s="65"/>
      <c r="AO30" s="65"/>
      <c r="AP30" s="65"/>
      <c r="AQ30" s="65"/>
      <c r="AR30" s="65"/>
      <c r="AS30" s="65">
        <f t="shared" si="27"/>
        <v>0</v>
      </c>
      <c r="AT30" s="65"/>
      <c r="AU30" s="65"/>
      <c r="AV30" s="65"/>
      <c r="AW30" s="65"/>
      <c r="AX30" s="65">
        <f t="shared" si="12"/>
        <v>0</v>
      </c>
      <c r="AY30" s="65"/>
      <c r="AZ30" s="65"/>
      <c r="BA30" s="65"/>
      <c r="BB30" s="65"/>
      <c r="BC30" s="65">
        <f t="shared" si="22"/>
        <v>0</v>
      </c>
      <c r="BD30" s="65"/>
      <c r="BE30" s="65"/>
      <c r="BF30" s="65"/>
      <c r="BG30" s="65"/>
      <c r="BH30" s="65"/>
      <c r="BI30" s="65">
        <f>SUM(BD30:BH30)</f>
        <v>0</v>
      </c>
      <c r="BJ30" s="65"/>
      <c r="BK30" s="65"/>
      <c r="BL30" s="65"/>
      <c r="BM30" s="65"/>
      <c r="BN30" s="65">
        <f t="shared" si="24"/>
        <v>0</v>
      </c>
      <c r="BO30" s="14">
        <f t="shared" si="13"/>
        <v>0</v>
      </c>
      <c r="BP30" s="38">
        <f t="shared" si="14"/>
        <v>0</v>
      </c>
    </row>
    <row r="31" spans="1:68" x14ac:dyDescent="0.25">
      <c r="A31" s="86" t="s">
        <v>45</v>
      </c>
      <c r="B31" s="13"/>
      <c r="C31" s="65">
        <v>76.900000000000006</v>
      </c>
      <c r="D31" s="65">
        <v>13.5</v>
      </c>
      <c r="E31" s="65">
        <v>29.63</v>
      </c>
      <c r="F31" s="65">
        <f>56.02+52.92</f>
        <v>108.94</v>
      </c>
      <c r="G31" s="65">
        <f t="shared" si="9"/>
        <v>228.97</v>
      </c>
      <c r="H31" s="65">
        <v>73.069999999999993</v>
      </c>
      <c r="I31" s="65">
        <v>90.02</v>
      </c>
      <c r="J31" s="65">
        <v>91.37</v>
      </c>
      <c r="K31" s="65">
        <f>47.04+33.88</f>
        <v>80.92</v>
      </c>
      <c r="L31" s="65">
        <f t="shared" si="20"/>
        <v>335.38</v>
      </c>
      <c r="M31" s="65">
        <f>119.74+4.2</f>
        <v>123.94</v>
      </c>
      <c r="N31" s="65">
        <f>69.1+2.8</f>
        <v>71.899999999999991</v>
      </c>
      <c r="O31" s="65">
        <f>43.36+2.7</f>
        <v>46.06</v>
      </c>
      <c r="P31" s="65">
        <f>85.93+2.31</f>
        <v>88.240000000000009</v>
      </c>
      <c r="Q31" s="65">
        <f>52.92+106.66</f>
        <v>159.57999999999998</v>
      </c>
      <c r="R31" s="65">
        <f t="shared" si="21"/>
        <v>489.71999999999997</v>
      </c>
      <c r="S31" s="65">
        <v>23.95</v>
      </c>
      <c r="T31" s="65">
        <f>58.84+4.08</f>
        <v>62.92</v>
      </c>
      <c r="U31" s="65">
        <v>107.52</v>
      </c>
      <c r="V31" s="65">
        <f>106.44+0.09+4.14+52.92</f>
        <v>163.59</v>
      </c>
      <c r="W31" s="65">
        <f t="shared" si="10"/>
        <v>357.98</v>
      </c>
      <c r="X31" s="65">
        <v>105.38</v>
      </c>
      <c r="Y31" s="65">
        <f>68.06+4.2</f>
        <v>72.260000000000005</v>
      </c>
      <c r="Z31" s="65">
        <v>31.25</v>
      </c>
      <c r="AA31" s="65">
        <f>71.76+52.92</f>
        <v>124.68</v>
      </c>
      <c r="AB31" s="65">
        <f t="shared" si="25"/>
        <v>333.57</v>
      </c>
      <c r="AC31" s="65">
        <f>87.94+2.6+2.48</f>
        <v>93.02</v>
      </c>
      <c r="AD31" s="65">
        <v>40.840000000000003</v>
      </c>
      <c r="AE31" s="65">
        <v>64.63</v>
      </c>
      <c r="AF31" s="65">
        <v>32.85</v>
      </c>
      <c r="AG31" s="65">
        <f>47.92+25.52</f>
        <v>73.44</v>
      </c>
      <c r="AH31" s="65">
        <f t="shared" si="26"/>
        <v>304.77999999999997</v>
      </c>
      <c r="AI31" s="65">
        <v>96.48</v>
      </c>
      <c r="AJ31" s="65">
        <v>96.69</v>
      </c>
      <c r="AK31" s="65">
        <v>94.74</v>
      </c>
      <c r="AL31" s="65">
        <f>102.67+10.52+54.45</f>
        <v>167.64</v>
      </c>
      <c r="AM31" s="65">
        <f t="shared" si="11"/>
        <v>455.55</v>
      </c>
      <c r="AN31" s="65">
        <v>35.520000000000003</v>
      </c>
      <c r="AO31" s="65">
        <f>39.82+3.2+0.68</f>
        <v>43.7</v>
      </c>
      <c r="AP31" s="65">
        <f>112.98+6.63</f>
        <v>119.61</v>
      </c>
      <c r="AQ31" s="65">
        <v>38.65</v>
      </c>
      <c r="AR31" s="65">
        <f>54.45+47.51</f>
        <v>101.96000000000001</v>
      </c>
      <c r="AS31" s="65">
        <f t="shared" si="27"/>
        <v>339.44</v>
      </c>
      <c r="AT31" s="65">
        <v>25.26</v>
      </c>
      <c r="AU31" s="65">
        <f>95.03+2.4</f>
        <v>97.43</v>
      </c>
      <c r="AV31" s="65">
        <f>74.25+2.4</f>
        <v>76.650000000000006</v>
      </c>
      <c r="AW31" s="65">
        <f>48.64+2.5+36.22+1.65</f>
        <v>89.01</v>
      </c>
      <c r="AX31" s="65">
        <f t="shared" si="12"/>
        <v>288.35000000000002</v>
      </c>
      <c r="AY31" s="65">
        <v>26.22</v>
      </c>
      <c r="AZ31" s="65">
        <v>111.05</v>
      </c>
      <c r="BA31" s="65">
        <v>93.29</v>
      </c>
      <c r="BB31" s="65">
        <f>30.86+1.6+54.81</f>
        <v>87.27000000000001</v>
      </c>
      <c r="BC31" s="65">
        <f t="shared" si="22"/>
        <v>317.83000000000004</v>
      </c>
      <c r="BD31" s="65">
        <f>51.18+2.4</f>
        <v>53.58</v>
      </c>
      <c r="BE31" s="65">
        <v>90.72</v>
      </c>
      <c r="BF31" s="65">
        <v>85.43</v>
      </c>
      <c r="BG31" s="65">
        <f>48.89+3</f>
        <v>51.89</v>
      </c>
      <c r="BH31" s="65">
        <f>62.01+52.61</f>
        <v>114.62</v>
      </c>
      <c r="BI31" s="65">
        <f t="shared" si="23"/>
        <v>396.24</v>
      </c>
      <c r="BJ31" s="65">
        <v>130.47</v>
      </c>
      <c r="BK31" s="65">
        <v>106.15</v>
      </c>
      <c r="BL31" s="65">
        <v>37.28</v>
      </c>
      <c r="BM31" s="65">
        <f>47.57+1.24+62.37</f>
        <v>111.18</v>
      </c>
      <c r="BN31" s="65">
        <f t="shared" si="24"/>
        <v>385.08</v>
      </c>
      <c r="BO31" s="14">
        <f t="shared" si="13"/>
        <v>4232.8899999999994</v>
      </c>
      <c r="BP31" s="38">
        <f t="shared" si="14"/>
        <v>4232.8899999999994</v>
      </c>
    </row>
    <row r="32" spans="1:68" x14ac:dyDescent="0.25">
      <c r="A32" s="86" t="s">
        <v>46</v>
      </c>
      <c r="B32" s="13"/>
      <c r="C32" s="65">
        <v>51.98</v>
      </c>
      <c r="D32" s="65">
        <v>21.51</v>
      </c>
      <c r="E32" s="65">
        <v>78.58</v>
      </c>
      <c r="F32" s="65">
        <f>83.54+82.32</f>
        <v>165.86</v>
      </c>
      <c r="G32" s="65">
        <f t="shared" si="9"/>
        <v>317.93</v>
      </c>
      <c r="H32" s="65">
        <v>47.94</v>
      </c>
      <c r="I32" s="65">
        <v>47.35</v>
      </c>
      <c r="J32" s="65">
        <v>45.42</v>
      </c>
      <c r="K32" s="65">
        <f>70.56+94.14</f>
        <v>164.7</v>
      </c>
      <c r="L32" s="65">
        <f t="shared" si="20"/>
        <v>305.40999999999997</v>
      </c>
      <c r="M32" s="65">
        <f>115.19+2.88</f>
        <v>118.07</v>
      </c>
      <c r="N32" s="65">
        <v>96.34</v>
      </c>
      <c r="O32" s="65">
        <v>87.88</v>
      </c>
      <c r="P32" s="65">
        <v>43.85</v>
      </c>
      <c r="Q32" s="65">
        <f>76.44+86.45</f>
        <v>162.88999999999999</v>
      </c>
      <c r="R32" s="65">
        <f t="shared" si="21"/>
        <v>509.03</v>
      </c>
      <c r="S32" s="65">
        <v>88.48</v>
      </c>
      <c r="T32" s="65">
        <f>44.33+6.41+4.08</f>
        <v>54.819999999999993</v>
      </c>
      <c r="U32" s="65">
        <v>67.25</v>
      </c>
      <c r="V32" s="65">
        <f>51.13+1.21+82.32</f>
        <v>134.66</v>
      </c>
      <c r="W32" s="65">
        <f t="shared" si="10"/>
        <v>345.21000000000004</v>
      </c>
      <c r="X32" s="65">
        <f>120.55+1.16</f>
        <v>121.71</v>
      </c>
      <c r="Y32" s="65">
        <f>58.93+5.6</f>
        <v>64.53</v>
      </c>
      <c r="Z32" s="65">
        <v>42.07</v>
      </c>
      <c r="AA32" s="65">
        <f>54.28+76.44</f>
        <v>130.72</v>
      </c>
      <c r="AB32" s="65">
        <f t="shared" si="25"/>
        <v>359.03</v>
      </c>
      <c r="AC32" s="65">
        <v>98.9</v>
      </c>
      <c r="AD32" s="65">
        <f>52.27+3.9+1.24</f>
        <v>57.410000000000004</v>
      </c>
      <c r="AE32" s="65">
        <v>105.54</v>
      </c>
      <c r="AF32" s="65">
        <v>117.34</v>
      </c>
      <c r="AG32" s="65">
        <f>71.88+47.09</f>
        <v>118.97</v>
      </c>
      <c r="AH32" s="65">
        <f t="shared" si="26"/>
        <v>498.16000000000008</v>
      </c>
      <c r="AI32" s="65">
        <v>55.81</v>
      </c>
      <c r="AJ32" s="65">
        <f>82.24+6.63</f>
        <v>88.86999999999999</v>
      </c>
      <c r="AK32" s="65">
        <v>45.99</v>
      </c>
      <c r="AL32" s="65">
        <f>55.9+5.26+84.7</f>
        <v>145.86000000000001</v>
      </c>
      <c r="AM32" s="65">
        <f t="shared" si="11"/>
        <v>336.53000000000003</v>
      </c>
      <c r="AN32" s="65">
        <f>53.42+1.36</f>
        <v>54.78</v>
      </c>
      <c r="AO32" s="65">
        <f>90.45+3.2+5.37</f>
        <v>99.02000000000001</v>
      </c>
      <c r="AP32" s="65">
        <f>50.81+2.15</f>
        <v>52.96</v>
      </c>
      <c r="AQ32" s="65">
        <v>62.74</v>
      </c>
      <c r="AR32" s="65">
        <f>78.65+77.29</f>
        <v>155.94</v>
      </c>
      <c r="AS32" s="65">
        <f t="shared" si="27"/>
        <v>425.44</v>
      </c>
      <c r="AT32" s="65">
        <v>50.66</v>
      </c>
      <c r="AU32" s="65">
        <f>44.7+2.4</f>
        <v>47.1</v>
      </c>
      <c r="AV32" s="65">
        <f>104.61+3.6+41.34</f>
        <v>149.55000000000001</v>
      </c>
      <c r="AW32" s="65">
        <f>72.96+116.18</f>
        <v>189.14</v>
      </c>
      <c r="AX32" s="65">
        <f t="shared" si="12"/>
        <v>436.45</v>
      </c>
      <c r="AY32" s="65">
        <v>27.05</v>
      </c>
      <c r="AZ32" s="65">
        <f>104.19+3.88</f>
        <v>108.07</v>
      </c>
      <c r="BA32" s="65">
        <v>76.64</v>
      </c>
      <c r="BB32" s="65">
        <f>55.55+2.4+85.26</f>
        <v>143.21</v>
      </c>
      <c r="BC32" s="65">
        <f t="shared" si="22"/>
        <v>354.97</v>
      </c>
      <c r="BD32" s="65">
        <v>53.44</v>
      </c>
      <c r="BE32" s="65">
        <v>71.14</v>
      </c>
      <c r="BF32" s="65">
        <f>126.55+2</f>
        <v>128.55000000000001</v>
      </c>
      <c r="BG32" s="65">
        <f>66.23+1.8</f>
        <v>68.03</v>
      </c>
      <c r="BH32" s="65">
        <f>89.57+45.56</f>
        <v>135.13</v>
      </c>
      <c r="BI32" s="65">
        <f t="shared" si="23"/>
        <v>456.28999999999996</v>
      </c>
      <c r="BJ32" s="65">
        <f>127.82+1.44</f>
        <v>129.26</v>
      </c>
      <c r="BK32" s="65">
        <v>69.790000000000006</v>
      </c>
      <c r="BL32" s="65">
        <v>45.5</v>
      </c>
      <c r="BM32" s="65">
        <f>62.69+97.02</f>
        <v>159.70999999999998</v>
      </c>
      <c r="BN32" s="65">
        <f t="shared" si="24"/>
        <v>404.26</v>
      </c>
      <c r="BO32" s="14">
        <f t="shared" si="13"/>
        <v>4748.71</v>
      </c>
      <c r="BP32" s="38">
        <f t="shared" si="14"/>
        <v>4748.71</v>
      </c>
    </row>
    <row r="33" spans="1:68" x14ac:dyDescent="0.25">
      <c r="A33" s="86" t="s">
        <v>47</v>
      </c>
      <c r="B33" s="13"/>
      <c r="C33" s="65">
        <v>147.57</v>
      </c>
      <c r="D33" s="65">
        <v>131.72999999999999</v>
      </c>
      <c r="E33" s="65">
        <v>76.989999999999995</v>
      </c>
      <c r="F33" s="65">
        <f>88.28+105.84</f>
        <v>194.12</v>
      </c>
      <c r="G33" s="65">
        <f t="shared" si="9"/>
        <v>550.41</v>
      </c>
      <c r="H33" s="65">
        <v>134.03</v>
      </c>
      <c r="I33" s="65">
        <v>92.53</v>
      </c>
      <c r="J33" s="65">
        <v>121.37</v>
      </c>
      <c r="K33" s="65">
        <f>94.08+117.33</f>
        <v>211.41</v>
      </c>
      <c r="L33" s="65">
        <f t="shared" si="20"/>
        <v>559.34</v>
      </c>
      <c r="M33" s="65">
        <f>142.64+1.81+2.8</f>
        <v>147.25</v>
      </c>
      <c r="N33" s="65">
        <v>61.76</v>
      </c>
      <c r="O33" s="65">
        <f>51+56.73</f>
        <v>107.72999999999999</v>
      </c>
      <c r="P33" s="65">
        <v>69.959999999999994</v>
      </c>
      <c r="Q33" s="65">
        <f>105.84+96.88+15.28</f>
        <v>218</v>
      </c>
      <c r="R33" s="65">
        <f t="shared" si="21"/>
        <v>604.70000000000005</v>
      </c>
      <c r="S33" s="65">
        <v>117.1</v>
      </c>
      <c r="T33" s="65">
        <f>117.01+1.92</f>
        <v>118.93</v>
      </c>
      <c r="U33" s="65">
        <v>126.14</v>
      </c>
      <c r="V33" s="65">
        <f>103.92+4.27+105.84</f>
        <v>214.03</v>
      </c>
      <c r="W33" s="65">
        <f t="shared" si="10"/>
        <v>576.20000000000005</v>
      </c>
      <c r="X33" s="65">
        <f>85.87+4.27</f>
        <v>90.14</v>
      </c>
      <c r="Y33" s="65">
        <f>116.15+2.8</f>
        <v>118.95</v>
      </c>
      <c r="Z33" s="65">
        <f>140.35+5.88</f>
        <v>146.22999999999999</v>
      </c>
      <c r="AA33" s="65">
        <f>58.58+105.84</f>
        <v>164.42000000000002</v>
      </c>
      <c r="AB33" s="65">
        <f t="shared" si="25"/>
        <v>519.74</v>
      </c>
      <c r="AC33" s="65">
        <v>124.01</v>
      </c>
      <c r="AD33" s="65">
        <f>105.79+0</f>
        <v>105.79</v>
      </c>
      <c r="AE33" s="65">
        <v>130.69999999999999</v>
      </c>
      <c r="AF33" s="65">
        <v>123.77</v>
      </c>
      <c r="AG33" s="65">
        <f>95.84+133.12</f>
        <v>228.96</v>
      </c>
      <c r="AH33" s="65">
        <f t="shared" si="26"/>
        <v>713.23</v>
      </c>
      <c r="AI33" s="65">
        <v>82.99</v>
      </c>
      <c r="AJ33" s="65">
        <v>103.6</v>
      </c>
      <c r="AK33" s="65">
        <f>183.85+6.24</f>
        <v>190.09</v>
      </c>
      <c r="AL33" s="65">
        <f>79.94+5.26+108.9</f>
        <v>194.10000000000002</v>
      </c>
      <c r="AM33" s="65">
        <f t="shared" si="11"/>
        <v>570.78</v>
      </c>
      <c r="AN33" s="65">
        <v>132</v>
      </c>
      <c r="AO33" s="65">
        <f>94.3+3.2+2.04</f>
        <v>99.54</v>
      </c>
      <c r="AP33" s="65">
        <f>143.38+6.4</f>
        <v>149.78</v>
      </c>
      <c r="AQ33" s="65"/>
      <c r="AR33" s="65">
        <f>108.9+230</f>
        <v>338.9</v>
      </c>
      <c r="AS33" s="65">
        <f t="shared" si="27"/>
        <v>720.22</v>
      </c>
      <c r="AT33" s="65">
        <v>80.12</v>
      </c>
      <c r="AU33" s="65">
        <f>63.8+2.04+1.65</f>
        <v>67.490000000000009</v>
      </c>
      <c r="AV33" s="65">
        <f>99.38+2.4+2.73+1.6</f>
        <v>106.11</v>
      </c>
      <c r="AW33" s="65">
        <f>97.28+152.71</f>
        <v>249.99</v>
      </c>
      <c r="AX33" s="65">
        <f t="shared" si="12"/>
        <v>503.71000000000004</v>
      </c>
      <c r="AY33" s="65">
        <v>180.43</v>
      </c>
      <c r="AZ33" s="65">
        <f>85.93+1.94+1.67</f>
        <v>89.54</v>
      </c>
      <c r="BA33" s="65">
        <v>132.66999999999999</v>
      </c>
      <c r="BB33" s="65">
        <f>122.3+109.62</f>
        <v>231.92000000000002</v>
      </c>
      <c r="BC33" s="65">
        <f>SUM(AY33:BB33)</f>
        <v>634.55999999999995</v>
      </c>
      <c r="BD33" s="65">
        <f>120.26+1.6</f>
        <v>121.86</v>
      </c>
      <c r="BE33" s="65">
        <v>153.33000000000001</v>
      </c>
      <c r="BF33" s="65">
        <f>125.97+9.19</f>
        <v>135.16</v>
      </c>
      <c r="BG33" s="65">
        <f>107.93+3</f>
        <v>110.93</v>
      </c>
      <c r="BH33" s="65">
        <f>124.02+129.34+4.8</f>
        <v>258.16000000000003</v>
      </c>
      <c r="BI33" s="65">
        <f>SUM(BD33:BH33)</f>
        <v>779.44</v>
      </c>
      <c r="BJ33" s="65">
        <v>113.66</v>
      </c>
      <c r="BK33" s="65">
        <v>138.94999999999999</v>
      </c>
      <c r="BL33" s="65">
        <v>153.68</v>
      </c>
      <c r="BM33" s="65">
        <f>63.16+124.74</f>
        <v>187.89999999999998</v>
      </c>
      <c r="BN33" s="65">
        <f>SUM(BJ33:BM33)</f>
        <v>594.18999999999994</v>
      </c>
      <c r="BO33" s="14">
        <f t="shared" si="13"/>
        <v>7326.5200000000013</v>
      </c>
      <c r="BP33" s="38">
        <f t="shared" si="14"/>
        <v>7326.5200000000013</v>
      </c>
    </row>
    <row r="34" spans="1:68" x14ac:dyDescent="0.25">
      <c r="A34" s="86" t="s">
        <v>48</v>
      </c>
      <c r="B34" s="13"/>
      <c r="C34" s="65">
        <v>3.57</v>
      </c>
      <c r="D34" s="65">
        <v>3.2</v>
      </c>
      <c r="E34" s="65">
        <v>4.53</v>
      </c>
      <c r="F34" s="65">
        <v>3.6</v>
      </c>
      <c r="G34" s="65">
        <f>SUM(C34:F34)</f>
        <v>14.9</v>
      </c>
      <c r="H34" s="65">
        <v>4.33</v>
      </c>
      <c r="I34" s="65">
        <v>2.34</v>
      </c>
      <c r="J34" s="65">
        <v>4.51</v>
      </c>
      <c r="K34" s="65">
        <v>1.97</v>
      </c>
      <c r="L34" s="65">
        <f>SUM(H34:K34)</f>
        <v>13.15</v>
      </c>
      <c r="M34" s="65">
        <f>3.64+36.6</f>
        <v>40.24</v>
      </c>
      <c r="N34" s="65"/>
      <c r="O34" s="65">
        <v>2.5</v>
      </c>
      <c r="P34" s="65">
        <v>2.5</v>
      </c>
      <c r="Q34" s="65">
        <v>7.33</v>
      </c>
      <c r="R34" s="65">
        <f>SUM(M34:Q34)</f>
        <v>52.57</v>
      </c>
      <c r="S34" s="65">
        <f>2.5+0.48</f>
        <v>2.98</v>
      </c>
      <c r="T34" s="65">
        <v>5.37</v>
      </c>
      <c r="U34" s="65">
        <v>3.22</v>
      </c>
      <c r="V34" s="65">
        <v>2.5</v>
      </c>
      <c r="W34" s="65">
        <f>SUM(S34:V34)</f>
        <v>14.07</v>
      </c>
      <c r="X34" s="65">
        <v>3.23</v>
      </c>
      <c r="Y34" s="65">
        <v>6.6</v>
      </c>
      <c r="Z34" s="65">
        <v>3.22</v>
      </c>
      <c r="AA34" s="65">
        <v>2.98</v>
      </c>
      <c r="AB34" s="65">
        <f>SUM(X34:AA34)</f>
        <v>16.03</v>
      </c>
      <c r="AC34" s="65">
        <v>4.51</v>
      </c>
      <c r="AD34" s="65">
        <v>3.62</v>
      </c>
      <c r="AE34" s="65">
        <v>3.39</v>
      </c>
      <c r="AF34" s="65">
        <v>4.92</v>
      </c>
      <c r="AG34" s="65">
        <f>3.2+40.2</f>
        <v>43.400000000000006</v>
      </c>
      <c r="AH34" s="65">
        <f>SUM(AC34:AG34)</f>
        <v>59.84</v>
      </c>
      <c r="AI34" s="65">
        <v>4.37</v>
      </c>
      <c r="AJ34" s="65">
        <v>8.57</v>
      </c>
      <c r="AK34" s="65">
        <v>6.47</v>
      </c>
      <c r="AL34" s="65">
        <v>2.95</v>
      </c>
      <c r="AM34" s="65">
        <f>SUM(AI34:AL34)</f>
        <v>22.36</v>
      </c>
      <c r="AN34" s="65">
        <v>6.47</v>
      </c>
      <c r="AO34" s="65">
        <v>5.84</v>
      </c>
      <c r="AP34" s="65">
        <v>5.33</v>
      </c>
      <c r="AQ34" s="65">
        <v>3.18</v>
      </c>
      <c r="AR34" s="65">
        <v>4.93</v>
      </c>
      <c r="AS34" s="65">
        <f>SUM(AN34:AR34)</f>
        <v>25.75</v>
      </c>
      <c r="AT34" s="65">
        <v>6.5</v>
      </c>
      <c r="AU34" s="65">
        <f>3.61+39.6</f>
        <v>43.21</v>
      </c>
      <c r="AV34" s="65">
        <v>2.91</v>
      </c>
      <c r="AW34" s="65">
        <v>3.39</v>
      </c>
      <c r="AX34" s="65">
        <f>SUM(AT34:AW34)</f>
        <v>56.010000000000005</v>
      </c>
      <c r="AY34" s="65">
        <v>2.4700000000000002</v>
      </c>
      <c r="AZ34" s="65">
        <v>3.35</v>
      </c>
      <c r="BA34" s="65">
        <v>3.61</v>
      </c>
      <c r="BB34" s="65">
        <v>3.39</v>
      </c>
      <c r="BC34" s="65">
        <f>SUM(AY34:BB34)</f>
        <v>12.82</v>
      </c>
      <c r="BD34" s="65">
        <v>2.4700000000000002</v>
      </c>
      <c r="BE34" s="65">
        <v>5.0599999999999996</v>
      </c>
      <c r="BF34" s="65">
        <v>2.93</v>
      </c>
      <c r="BG34" s="65">
        <v>3.39</v>
      </c>
      <c r="BH34" s="65">
        <v>2.0699999999999998</v>
      </c>
      <c r="BI34" s="65">
        <f>SUM(BD34:BH34)</f>
        <v>15.92</v>
      </c>
      <c r="BJ34" s="65">
        <v>3.31</v>
      </c>
      <c r="BK34" s="65">
        <v>3.69</v>
      </c>
      <c r="BL34" s="65">
        <v>3.73</v>
      </c>
      <c r="BM34" s="65">
        <v>2.41</v>
      </c>
      <c r="BN34" s="65">
        <f>SUM(BJ34:BM34)</f>
        <v>13.14</v>
      </c>
      <c r="BO34" s="14">
        <f>+G34+L34+R34+W34+AB34+AH34+AM34+AS34+AX34+BC34+BI34+BN34</f>
        <v>316.56</v>
      </c>
      <c r="BP34" s="38">
        <f t="shared" si="14"/>
        <v>316.56</v>
      </c>
    </row>
    <row r="35" spans="1:68" x14ac:dyDescent="0.25">
      <c r="A35" s="86" t="s">
        <v>49</v>
      </c>
      <c r="B35" s="13"/>
      <c r="C35" s="65">
        <v>3.19</v>
      </c>
      <c r="D35" s="65">
        <v>5.83</v>
      </c>
      <c r="E35" s="65">
        <v>2.98</v>
      </c>
      <c r="F35" s="65">
        <v>3.23</v>
      </c>
      <c r="G35" s="65">
        <f>SUM(C35:F35)</f>
        <v>15.23</v>
      </c>
      <c r="H35" s="65">
        <v>5.0599999999999996</v>
      </c>
      <c r="I35" s="65">
        <f>2.4+3.74</f>
        <v>6.1400000000000006</v>
      </c>
      <c r="J35" s="65"/>
      <c r="K35" s="65">
        <v>4.2300000000000004</v>
      </c>
      <c r="L35" s="65">
        <f>SUM(H35:K35)</f>
        <v>15.43</v>
      </c>
      <c r="M35" s="65">
        <v>4.21</v>
      </c>
      <c r="N35" s="65"/>
      <c r="O35" s="65">
        <v>4.47</v>
      </c>
      <c r="P35" s="65">
        <v>4.21</v>
      </c>
      <c r="Q35" s="65"/>
      <c r="R35" s="65">
        <f>SUM(M35:Q35)</f>
        <v>12.89</v>
      </c>
      <c r="S35" s="65">
        <v>4.88</v>
      </c>
      <c r="T35" s="65">
        <v>3.11</v>
      </c>
      <c r="U35" s="65">
        <v>2.98</v>
      </c>
      <c r="V35" s="65">
        <v>4.21</v>
      </c>
      <c r="W35" s="65">
        <f>SUM(S35:V35)</f>
        <v>15.18</v>
      </c>
      <c r="X35" s="65"/>
      <c r="Y35" s="65">
        <v>4.63</v>
      </c>
      <c r="Z35" s="65">
        <v>3.22</v>
      </c>
      <c r="AA35" s="65">
        <v>1.97</v>
      </c>
      <c r="AB35" s="65">
        <f>SUM(X35:AA35)</f>
        <v>9.82</v>
      </c>
      <c r="AC35" s="65">
        <v>3.2</v>
      </c>
      <c r="AD35" s="65">
        <v>2</v>
      </c>
      <c r="AE35" s="65">
        <v>1.85</v>
      </c>
      <c r="AF35" s="65">
        <v>1.99</v>
      </c>
      <c r="AG35" s="65">
        <v>2.95</v>
      </c>
      <c r="AH35" s="65">
        <f>SUM(AC35:AG35)</f>
        <v>11.990000000000002</v>
      </c>
      <c r="AI35" s="65">
        <v>4.4000000000000004</v>
      </c>
      <c r="AJ35" s="65">
        <v>3.23</v>
      </c>
      <c r="AK35" s="65">
        <v>2.95</v>
      </c>
      <c r="AL35" s="65">
        <v>2.95</v>
      </c>
      <c r="AM35" s="65">
        <f>SUM(AI35:AL35)</f>
        <v>13.530000000000001</v>
      </c>
      <c r="AN35" s="65">
        <v>4.1900000000000004</v>
      </c>
      <c r="AO35" s="65">
        <v>4.46</v>
      </c>
      <c r="AP35" s="65"/>
      <c r="AQ35" s="65"/>
      <c r="AR35" s="65">
        <v>5.0999999999999996</v>
      </c>
      <c r="AS35" s="65">
        <f>SUM(AN35:AR35)</f>
        <v>13.75</v>
      </c>
      <c r="AT35" s="65"/>
      <c r="AU35" s="65">
        <v>2.4700000000000002</v>
      </c>
      <c r="AV35" s="65">
        <v>2.76</v>
      </c>
      <c r="AW35" s="65">
        <v>4.63</v>
      </c>
      <c r="AX35" s="65">
        <f>SUM(AT35:AW35)</f>
        <v>9.86</v>
      </c>
      <c r="AY35" s="65">
        <v>4.43</v>
      </c>
      <c r="AZ35" s="65">
        <v>4.58</v>
      </c>
      <c r="BA35" s="65">
        <v>7.32</v>
      </c>
      <c r="BB35" s="65">
        <v>3.39</v>
      </c>
      <c r="BC35" s="65">
        <f>SUM(AY35:BB35)</f>
        <v>19.72</v>
      </c>
      <c r="BD35" s="65">
        <v>3.24</v>
      </c>
      <c r="BE35" s="65"/>
      <c r="BF35" s="65">
        <v>2.85</v>
      </c>
      <c r="BG35" s="65">
        <v>3.42</v>
      </c>
      <c r="BH35" s="65"/>
      <c r="BI35" s="65">
        <f>SUM(BD35:BH35)</f>
        <v>9.51</v>
      </c>
      <c r="BJ35" s="65">
        <v>21</v>
      </c>
      <c r="BK35" s="65">
        <v>5.42</v>
      </c>
      <c r="BL35" s="65"/>
      <c r="BM35" s="65"/>
      <c r="BN35" s="65">
        <f>SUM(BJ35:BM35)</f>
        <v>26.42</v>
      </c>
      <c r="BO35" s="14">
        <f>+G35+L35+R35+W35+AB35+AH35+AM35+AS35+AX35+BC35+BI35+BN35</f>
        <v>173.32999999999998</v>
      </c>
      <c r="BP35" s="38">
        <f t="shared" si="14"/>
        <v>173.32999999999998</v>
      </c>
    </row>
    <row r="36" spans="1:68" ht="15.75" thickBot="1" x14ac:dyDescent="0.3">
      <c r="A36" s="86" t="s">
        <v>50</v>
      </c>
      <c r="B36" s="15"/>
      <c r="C36" s="68">
        <v>13.51</v>
      </c>
      <c r="D36" s="68">
        <v>5.72</v>
      </c>
      <c r="E36" s="68">
        <v>11.73</v>
      </c>
      <c r="F36" s="68">
        <v>1.98</v>
      </c>
      <c r="G36" s="68">
        <f>SUM(C36:F36)</f>
        <v>32.94</v>
      </c>
      <c r="H36" s="68">
        <v>2.97</v>
      </c>
      <c r="I36" s="68">
        <v>10.7</v>
      </c>
      <c r="J36" s="68">
        <v>5.99</v>
      </c>
      <c r="K36" s="68">
        <v>7.49</v>
      </c>
      <c r="L36" s="68">
        <f>SUM(H36:K36)</f>
        <v>27.15</v>
      </c>
      <c r="M36" s="68">
        <v>6.81</v>
      </c>
      <c r="N36" s="68">
        <v>65.52</v>
      </c>
      <c r="O36" s="68">
        <v>7</v>
      </c>
      <c r="P36" s="68">
        <v>18.52</v>
      </c>
      <c r="Q36" s="68">
        <v>7.71</v>
      </c>
      <c r="R36" s="68">
        <f>SUM(M36:Q36)</f>
        <v>105.55999999999999</v>
      </c>
      <c r="S36" s="68">
        <v>10.59</v>
      </c>
      <c r="T36" s="68">
        <v>9.56</v>
      </c>
      <c r="U36" s="68">
        <v>5.84</v>
      </c>
      <c r="V36" s="68">
        <v>3.43</v>
      </c>
      <c r="W36" s="68">
        <f>SUM(S36:V36)</f>
        <v>29.419999999999998</v>
      </c>
      <c r="X36" s="68">
        <v>2.72</v>
      </c>
      <c r="Y36" s="68">
        <v>4.63</v>
      </c>
      <c r="Z36" s="68">
        <v>7.31</v>
      </c>
      <c r="AA36" s="68">
        <v>5.54</v>
      </c>
      <c r="AB36" s="68">
        <f>SUM(X36:AA36)</f>
        <v>20.2</v>
      </c>
      <c r="AC36" s="68">
        <v>9.15</v>
      </c>
      <c r="AD36" s="68">
        <v>7.78</v>
      </c>
      <c r="AE36" s="68">
        <f>11.86+0.38</f>
        <v>12.24</v>
      </c>
      <c r="AF36" s="68">
        <v>8.36</v>
      </c>
      <c r="AG36" s="68">
        <v>6.07</v>
      </c>
      <c r="AH36" s="68">
        <f>SUM(AC36:AG36)</f>
        <v>43.6</v>
      </c>
      <c r="AI36" s="68">
        <v>12.62</v>
      </c>
      <c r="AJ36" s="68">
        <v>6.21</v>
      </c>
      <c r="AK36" s="68">
        <v>8</v>
      </c>
      <c r="AL36" s="68">
        <v>11.18</v>
      </c>
      <c r="AM36" s="68">
        <f>SUM(AI36:AL36)</f>
        <v>38.01</v>
      </c>
      <c r="AN36" s="68">
        <v>5.75</v>
      </c>
      <c r="AO36" s="68">
        <v>6.89</v>
      </c>
      <c r="AP36" s="68">
        <v>7.18</v>
      </c>
      <c r="AQ36" s="68">
        <v>2.38</v>
      </c>
      <c r="AR36" s="68">
        <v>1.53</v>
      </c>
      <c r="AS36" s="68">
        <f>SUM(AN36:AR36)</f>
        <v>23.73</v>
      </c>
      <c r="AT36" s="68">
        <v>7.6</v>
      </c>
      <c r="AU36" s="68">
        <v>4</v>
      </c>
      <c r="AV36" s="68">
        <v>4.2300000000000004</v>
      </c>
      <c r="AW36" s="68">
        <v>6.07</v>
      </c>
      <c r="AX36" s="68">
        <f>SUM(AT36:AW36)</f>
        <v>21.9</v>
      </c>
      <c r="AY36" s="68">
        <v>7.27</v>
      </c>
      <c r="AZ36" s="68"/>
      <c r="BA36" s="68">
        <v>2.4700000000000002</v>
      </c>
      <c r="BB36" s="68"/>
      <c r="BC36" s="68">
        <f>SUM(AY36:BB36)</f>
        <v>9.74</v>
      </c>
      <c r="BD36" s="68">
        <v>10.57</v>
      </c>
      <c r="BE36" s="68">
        <v>10.5</v>
      </c>
      <c r="BF36" s="68">
        <v>3.66</v>
      </c>
      <c r="BG36" s="68">
        <v>3.24</v>
      </c>
      <c r="BH36" s="68">
        <v>3.52</v>
      </c>
      <c r="BI36" s="68">
        <f>SUM(BD36:BH36)</f>
        <v>31.49</v>
      </c>
      <c r="BJ36" s="68"/>
      <c r="BK36" s="68">
        <v>7.86</v>
      </c>
      <c r="BL36" s="68">
        <v>7.69</v>
      </c>
      <c r="BM36" s="68">
        <v>12.44</v>
      </c>
      <c r="BN36" s="68">
        <f>SUM(BJ36:BM36)</f>
        <v>27.990000000000002</v>
      </c>
      <c r="BO36" s="16">
        <f>+G36+L36+R36+W36+AB36+AH36+AM36+AS36+AX36+BC36+BI36+BN36</f>
        <v>411.72999999999996</v>
      </c>
      <c r="BP36" s="38">
        <f t="shared" si="14"/>
        <v>411.72999999999996</v>
      </c>
    </row>
    <row r="37" spans="1:68" ht="16.5" thickTop="1" thickBot="1" x14ac:dyDescent="0.3">
      <c r="A37" s="85" t="s">
        <v>51</v>
      </c>
      <c r="B37" s="42"/>
      <c r="C37" s="64"/>
      <c r="D37" s="64"/>
      <c r="E37" s="64"/>
      <c r="F37" s="64"/>
      <c r="G37" s="64">
        <f>SUM(G29:G36)</f>
        <v>1361.88</v>
      </c>
      <c r="H37" s="64"/>
      <c r="I37" s="64"/>
      <c r="J37" s="64"/>
      <c r="K37" s="64"/>
      <c r="L37" s="64">
        <f>SUM(L29:L36)</f>
        <v>1425.8800000000003</v>
      </c>
      <c r="M37" s="64"/>
      <c r="N37" s="64"/>
      <c r="O37" s="64"/>
      <c r="P37" s="64"/>
      <c r="Q37" s="64"/>
      <c r="R37" s="64">
        <f>SUM(R29:R36)</f>
        <v>1996.62</v>
      </c>
      <c r="S37" s="64"/>
      <c r="T37" s="64"/>
      <c r="U37" s="64"/>
      <c r="V37" s="64"/>
      <c r="W37" s="64">
        <f>SUM(W29:W36)</f>
        <v>1533.8700000000001</v>
      </c>
      <c r="X37" s="64"/>
      <c r="Y37" s="64"/>
      <c r="Z37" s="64"/>
      <c r="AA37" s="64"/>
      <c r="AB37" s="64">
        <f>SUM(AB29:AB36)</f>
        <v>1458.05</v>
      </c>
      <c r="AC37" s="64"/>
      <c r="AD37" s="64"/>
      <c r="AE37" s="64"/>
      <c r="AF37" s="64"/>
      <c r="AG37" s="64"/>
      <c r="AH37" s="64">
        <f>SUM(AH29:AH36)</f>
        <v>1918.1399999999999</v>
      </c>
      <c r="AI37" s="64"/>
      <c r="AJ37" s="64"/>
      <c r="AK37" s="64"/>
      <c r="AL37" s="64"/>
      <c r="AM37" s="64">
        <f>SUM(AM29:AM36)</f>
        <v>1654.1</v>
      </c>
      <c r="AN37" s="64"/>
      <c r="AO37" s="64"/>
      <c r="AP37" s="64"/>
      <c r="AQ37" s="64"/>
      <c r="AR37" s="64"/>
      <c r="AS37" s="64">
        <f>SUM(AS29:AS36)</f>
        <v>1783.63</v>
      </c>
      <c r="AT37" s="64"/>
      <c r="AU37" s="64"/>
      <c r="AV37" s="64"/>
      <c r="AW37" s="64"/>
      <c r="AX37" s="64">
        <f>SUM(AX29:AX36)</f>
        <v>1521.19</v>
      </c>
      <c r="AY37" s="64"/>
      <c r="AZ37" s="64"/>
      <c r="BA37" s="64"/>
      <c r="BB37" s="64"/>
      <c r="BC37" s="64">
        <f>SUM(BC29:BC36)</f>
        <v>1545.93</v>
      </c>
      <c r="BD37" s="64"/>
      <c r="BE37" s="64"/>
      <c r="BF37" s="64"/>
      <c r="BG37" s="64"/>
      <c r="BH37" s="64"/>
      <c r="BI37" s="64">
        <f>SUM(BI29:BI36)</f>
        <v>1932.45</v>
      </c>
      <c r="BJ37" s="64"/>
      <c r="BK37" s="64"/>
      <c r="BL37" s="64"/>
      <c r="BM37" s="64"/>
      <c r="BN37" s="64">
        <f>SUM(BN29:BN36)</f>
        <v>1582.8200000000002</v>
      </c>
      <c r="BO37" s="43">
        <f>SUM(BO29:BO36)</f>
        <v>19714.560000000001</v>
      </c>
      <c r="BP37" s="38"/>
    </row>
    <row r="38" spans="1:68" ht="15.75" thickTop="1" x14ac:dyDescent="0.25">
      <c r="A38" s="86" t="s">
        <v>52</v>
      </c>
      <c r="B38" s="11"/>
      <c r="C38" s="58">
        <v>90.9</v>
      </c>
      <c r="D38" s="58">
        <v>70.55</v>
      </c>
      <c r="E38" s="58">
        <v>37.299999999999997</v>
      </c>
      <c r="F38" s="58">
        <f>70.25+76.44</f>
        <v>146.69</v>
      </c>
      <c r="G38" s="58">
        <f t="shared" ref="G38:G44" si="28">SUM(C38:F38)</f>
        <v>345.44</v>
      </c>
      <c r="H38" s="58">
        <f>69.07+19.72</f>
        <v>88.789999999999992</v>
      </c>
      <c r="I38" s="58">
        <v>104.39</v>
      </c>
      <c r="J38" s="58">
        <v>126.16</v>
      </c>
      <c r="K38" s="58">
        <f>70.56+91.57+2.01</f>
        <v>164.14</v>
      </c>
      <c r="L38" s="58">
        <f t="shared" ref="L38:L44" si="29">SUM(H38:K38)</f>
        <v>483.48</v>
      </c>
      <c r="M38" s="58">
        <v>147.82</v>
      </c>
      <c r="N38" s="58">
        <v>100.71</v>
      </c>
      <c r="O38" s="58">
        <v>155.02000000000001</v>
      </c>
      <c r="P38" s="58">
        <v>128.16</v>
      </c>
      <c r="Q38" s="58">
        <f>82.32+139.85</f>
        <v>222.17</v>
      </c>
      <c r="R38" s="58">
        <f t="shared" ref="R38:R44" si="30">SUM(M38:Q38)</f>
        <v>753.87999999999988</v>
      </c>
      <c r="S38" s="58">
        <f>80.92+5.07</f>
        <v>85.990000000000009</v>
      </c>
      <c r="T38" s="58">
        <v>130.38</v>
      </c>
      <c r="U38" s="58">
        <f>134.48+1.09</f>
        <v>135.57</v>
      </c>
      <c r="V38" s="58">
        <f>67.97+0.14+23.52</f>
        <v>91.63</v>
      </c>
      <c r="W38" s="58">
        <f t="shared" ref="W38:W44" si="31">SUM(S38:V38)</f>
        <v>443.57</v>
      </c>
      <c r="X38" s="58">
        <v>94.79</v>
      </c>
      <c r="Y38" s="58">
        <v>136.81</v>
      </c>
      <c r="Z38" s="58">
        <v>58.96</v>
      </c>
      <c r="AA38" s="58">
        <f>106.78+64.68</f>
        <v>171.46</v>
      </c>
      <c r="AB38" s="58">
        <f t="shared" ref="AB38:AB44" si="32">SUM(X38:AA38)</f>
        <v>462.02</v>
      </c>
      <c r="AC38" s="58">
        <v>54.26</v>
      </c>
      <c r="AD38" s="58">
        <v>99.97</v>
      </c>
      <c r="AE38" s="58">
        <v>76.03</v>
      </c>
      <c r="AF38" s="58">
        <v>97.26</v>
      </c>
      <c r="AG38" s="58">
        <f>71.88+143.13</f>
        <v>215.01</v>
      </c>
      <c r="AH38" s="58">
        <f t="shared" ref="AH38:AH44" si="33">SUM(AC38:AG38)</f>
        <v>542.53</v>
      </c>
      <c r="AI38" s="58">
        <v>119.18</v>
      </c>
      <c r="AJ38" s="58">
        <v>93.9</v>
      </c>
      <c r="AK38" s="58">
        <v>103.23</v>
      </c>
      <c r="AL38" s="58">
        <f>47.33+3.31+78.65</f>
        <v>129.29000000000002</v>
      </c>
      <c r="AM38" s="58">
        <f t="shared" ref="AM38:AM44" si="34">SUM(AI38:AL38)</f>
        <v>445.6</v>
      </c>
      <c r="AN38" s="58">
        <v>141.82</v>
      </c>
      <c r="AO38" s="58">
        <f>153.95+12.72+1.36</f>
        <v>168.03</v>
      </c>
      <c r="AP38" s="58">
        <v>153.07</v>
      </c>
      <c r="AQ38" s="58">
        <v>133.69999999999999</v>
      </c>
      <c r="AR38" s="58">
        <f>84.7+105.35</f>
        <v>190.05</v>
      </c>
      <c r="AS38" s="58">
        <f t="shared" ref="AS38:AS44" si="35">SUM(AN38:AR38)</f>
        <v>786.67000000000007</v>
      </c>
      <c r="AT38" s="58">
        <v>122.14</v>
      </c>
      <c r="AU38" s="58">
        <f>162.8+1.8+3.85</f>
        <v>168.45000000000002</v>
      </c>
      <c r="AV38" s="58">
        <f>201.03+6.42</f>
        <v>207.45</v>
      </c>
      <c r="AW38" s="58">
        <f>72.96+24.39</f>
        <v>97.35</v>
      </c>
      <c r="AX38" s="58">
        <f t="shared" ref="AX38:AX44" si="36">SUM(AT38:AW38)</f>
        <v>595.39</v>
      </c>
      <c r="AY38" s="58">
        <v>86.43</v>
      </c>
      <c r="AZ38" s="58">
        <f>141.43+3.88</f>
        <v>145.31</v>
      </c>
      <c r="BA38" s="58">
        <v>85.66</v>
      </c>
      <c r="BB38" s="58">
        <f>78.48+79.17</f>
        <v>157.65</v>
      </c>
      <c r="BC38" s="58">
        <f t="shared" ref="BC38:BC44" si="37">SUM(AY38:BB38)</f>
        <v>475.04999999999995</v>
      </c>
      <c r="BD38" s="58">
        <f>87.6+15.12</f>
        <v>102.72</v>
      </c>
      <c r="BE38" s="58">
        <f>171.74+1.36+15.12</f>
        <v>188.22000000000003</v>
      </c>
      <c r="BF38" s="58">
        <v>107.91</v>
      </c>
      <c r="BG38" s="58">
        <f>159.27+6.48</f>
        <v>165.75</v>
      </c>
      <c r="BH38" s="58">
        <f>96.46+4.8+56.06+6.48</f>
        <v>163.79999999999998</v>
      </c>
      <c r="BI38" s="58">
        <f t="shared" ref="BI38:BI44" si="38">SUM(BD38:BH38)</f>
        <v>728.4</v>
      </c>
      <c r="BJ38" s="58">
        <v>151.76</v>
      </c>
      <c r="BK38" s="58">
        <f>192.88+10.58</f>
        <v>203.46</v>
      </c>
      <c r="BL38" s="58">
        <v>66.36</v>
      </c>
      <c r="BM38" s="58">
        <f>138.49+90.09</f>
        <v>228.58</v>
      </c>
      <c r="BN38" s="58">
        <f t="shared" ref="BN38:BN44" si="39">SUM(BJ38:BM38)</f>
        <v>650.16000000000008</v>
      </c>
      <c r="BO38" s="12">
        <f t="shared" ref="BO38:BO44" si="40">+G38+L38+R38+W38+AB38+AH38+AM38+AS38+AX38+BC38+BI38+BN38</f>
        <v>6712.1900000000005</v>
      </c>
      <c r="BP38" s="38">
        <f t="shared" si="14"/>
        <v>6712.1900000000005</v>
      </c>
    </row>
    <row r="39" spans="1:68" x14ac:dyDescent="0.25">
      <c r="A39" s="86" t="s">
        <v>53</v>
      </c>
      <c r="B39" s="13"/>
      <c r="C39" s="65">
        <v>112.25</v>
      </c>
      <c r="D39" s="65">
        <v>52.28</v>
      </c>
      <c r="E39" s="65">
        <v>80.42</v>
      </c>
      <c r="F39" s="65">
        <f>96.21+52.92</f>
        <v>149.13</v>
      </c>
      <c r="G39" s="65">
        <f t="shared" si="28"/>
        <v>394.08</v>
      </c>
      <c r="H39" s="65">
        <v>145.09</v>
      </c>
      <c r="I39" s="65">
        <v>41.78</v>
      </c>
      <c r="J39" s="65"/>
      <c r="K39" s="65">
        <f>47.04+125.98</f>
        <v>173.02</v>
      </c>
      <c r="L39" s="65">
        <f t="shared" si="29"/>
        <v>359.89</v>
      </c>
      <c r="M39" s="65">
        <v>113.69</v>
      </c>
      <c r="N39" s="65">
        <f>97.5+38.35</f>
        <v>135.85</v>
      </c>
      <c r="O39" s="65">
        <v>45.6</v>
      </c>
      <c r="P39" s="65">
        <v>105.95</v>
      </c>
      <c r="Q39" s="65">
        <f>52.92+96.19</f>
        <v>149.11000000000001</v>
      </c>
      <c r="R39" s="65">
        <f t="shared" si="30"/>
        <v>550.20000000000005</v>
      </c>
      <c r="S39" s="65">
        <v>82.65</v>
      </c>
      <c r="T39" s="65">
        <v>77.739999999999995</v>
      </c>
      <c r="U39" s="65">
        <f>117.26+6.28</f>
        <v>123.54</v>
      </c>
      <c r="V39" s="65">
        <f>28.05+52.92</f>
        <v>80.97</v>
      </c>
      <c r="W39" s="65">
        <f t="shared" si="31"/>
        <v>364.9</v>
      </c>
      <c r="X39" s="65">
        <v>35.869999999999997</v>
      </c>
      <c r="Y39" s="65">
        <v>96.37</v>
      </c>
      <c r="Z39" s="65">
        <v>76.88</v>
      </c>
      <c r="AA39" s="65">
        <f>74.77+52.92</f>
        <v>127.69</v>
      </c>
      <c r="AB39" s="65">
        <f t="shared" si="32"/>
        <v>336.81</v>
      </c>
      <c r="AC39" s="65">
        <v>140.25</v>
      </c>
      <c r="AD39" s="65">
        <f>132.34+5.42</f>
        <v>137.76</v>
      </c>
      <c r="AE39" s="65">
        <v>39.71</v>
      </c>
      <c r="AF39" s="65">
        <v>35.53</v>
      </c>
      <c r="AG39" s="65">
        <f>47.92+97.6</f>
        <v>145.51999999999998</v>
      </c>
      <c r="AH39" s="65">
        <f t="shared" si="33"/>
        <v>498.77</v>
      </c>
      <c r="AI39" s="65">
        <v>53.16</v>
      </c>
      <c r="AJ39" s="65">
        <v>116.14</v>
      </c>
      <c r="AK39" s="65">
        <v>84.72</v>
      </c>
      <c r="AL39" s="65">
        <v>36.299999999999997</v>
      </c>
      <c r="AM39" s="65">
        <f t="shared" si="34"/>
        <v>290.32</v>
      </c>
      <c r="AN39" s="65"/>
      <c r="AO39" s="65"/>
      <c r="AP39" s="65"/>
      <c r="AQ39" s="65">
        <v>113.4</v>
      </c>
      <c r="AR39" s="65">
        <v>18.149999999999999</v>
      </c>
      <c r="AS39" s="65">
        <f t="shared" si="35"/>
        <v>131.55000000000001</v>
      </c>
      <c r="AT39" s="65">
        <v>77.38</v>
      </c>
      <c r="AU39" s="65">
        <v>117.98</v>
      </c>
      <c r="AV39" s="65">
        <f>32+4.49</f>
        <v>36.49</v>
      </c>
      <c r="AW39" s="65">
        <f>48.64+133.81</f>
        <v>182.45</v>
      </c>
      <c r="AX39" s="65">
        <f t="shared" si="36"/>
        <v>414.3</v>
      </c>
      <c r="AY39" s="65">
        <v>50.11</v>
      </c>
      <c r="AZ39" s="65">
        <v>88.18</v>
      </c>
      <c r="BA39" s="65">
        <v>64.400000000000006</v>
      </c>
      <c r="BB39" s="65">
        <f>126.27+3.71+54.81</f>
        <v>184.79</v>
      </c>
      <c r="BC39" s="65">
        <f t="shared" si="37"/>
        <v>387.48</v>
      </c>
      <c r="BD39" s="65"/>
      <c r="BE39" s="65">
        <v>107.81</v>
      </c>
      <c r="BF39" s="65">
        <f>140.1+8.18</f>
        <v>148.28</v>
      </c>
      <c r="BG39" s="65">
        <f>161.04+1.8</f>
        <v>162.84</v>
      </c>
      <c r="BH39" s="65">
        <f>62.01+78.86</f>
        <v>140.87</v>
      </c>
      <c r="BI39" s="65">
        <f t="shared" si="38"/>
        <v>559.80000000000007</v>
      </c>
      <c r="BJ39" s="65">
        <f>56.94+6.48</f>
        <v>63.42</v>
      </c>
      <c r="BK39" s="65">
        <f>125.36+3.97</f>
        <v>129.33000000000001</v>
      </c>
      <c r="BL39" s="65">
        <v>148.22999999999999</v>
      </c>
      <c r="BM39" s="65">
        <f>125.61+6.98+62.37</f>
        <v>194.96</v>
      </c>
      <c r="BN39" s="65">
        <f t="shared" si="39"/>
        <v>535.94000000000005</v>
      </c>
      <c r="BO39" s="14">
        <f t="shared" si="40"/>
        <v>4824.0400000000009</v>
      </c>
      <c r="BP39" s="38">
        <f t="shared" si="14"/>
        <v>4824.0400000000009</v>
      </c>
    </row>
    <row r="40" spans="1:68" x14ac:dyDescent="0.25">
      <c r="A40" s="86" t="s">
        <v>54</v>
      </c>
      <c r="B40" s="13"/>
      <c r="C40" s="65">
        <v>138.32</v>
      </c>
      <c r="D40" s="65">
        <v>120.38</v>
      </c>
      <c r="E40" s="65">
        <v>95.03</v>
      </c>
      <c r="F40" s="65">
        <f>151.07+52.92</f>
        <v>203.99</v>
      </c>
      <c r="G40" s="65">
        <f t="shared" si="28"/>
        <v>557.72</v>
      </c>
      <c r="H40" s="65">
        <v>71.83</v>
      </c>
      <c r="I40" s="65">
        <v>95.3</v>
      </c>
      <c r="J40" s="65">
        <f>114.43+6.12</f>
        <v>120.55000000000001</v>
      </c>
      <c r="K40" s="65">
        <f>47.04+160.75</f>
        <v>207.79</v>
      </c>
      <c r="L40" s="65">
        <f t="shared" si="29"/>
        <v>495.47</v>
      </c>
      <c r="M40" s="65">
        <v>168.22</v>
      </c>
      <c r="N40" s="65">
        <f>26.33+9.18</f>
        <v>35.51</v>
      </c>
      <c r="O40" s="65">
        <v>99.16</v>
      </c>
      <c r="P40" s="65">
        <v>141.63999999999999</v>
      </c>
      <c r="Q40" s="65">
        <f>52.92+136.62</f>
        <v>189.54000000000002</v>
      </c>
      <c r="R40" s="65">
        <f t="shared" si="30"/>
        <v>634.06999999999994</v>
      </c>
      <c r="S40" s="65">
        <v>212.48</v>
      </c>
      <c r="T40" s="65">
        <v>161.24</v>
      </c>
      <c r="U40" s="65">
        <f>105.83+2.84+1.4</f>
        <v>110.07000000000001</v>
      </c>
      <c r="V40" s="65">
        <f>122.96+52.92</f>
        <v>175.88</v>
      </c>
      <c r="W40" s="65">
        <f t="shared" si="31"/>
        <v>659.67000000000007</v>
      </c>
      <c r="X40" s="65">
        <f>162.19+2.42</f>
        <v>164.60999999999999</v>
      </c>
      <c r="Y40" s="65">
        <f>96.04+5.03+6.9</f>
        <v>107.97000000000001</v>
      </c>
      <c r="Z40" s="65">
        <v>132.81</v>
      </c>
      <c r="AA40" s="65">
        <f>135.33+52.92</f>
        <v>188.25</v>
      </c>
      <c r="AB40" s="65">
        <f t="shared" si="32"/>
        <v>593.64</v>
      </c>
      <c r="AC40" s="65">
        <v>169.2</v>
      </c>
      <c r="AD40" s="65">
        <v>102.46</v>
      </c>
      <c r="AE40" s="65">
        <v>162.04</v>
      </c>
      <c r="AF40" s="65">
        <v>238.44</v>
      </c>
      <c r="AG40" s="65">
        <f>47.92+139.2</f>
        <v>187.12</v>
      </c>
      <c r="AH40" s="65">
        <f t="shared" si="33"/>
        <v>859.25999999999988</v>
      </c>
      <c r="AI40" s="65">
        <v>121.9</v>
      </c>
      <c r="AJ40" s="65">
        <f>5.4+18.75</f>
        <v>24.15</v>
      </c>
      <c r="AK40" s="65">
        <v>142.97999999999999</v>
      </c>
      <c r="AL40" s="65">
        <f>90.16+10.54+54.45</f>
        <v>155.14999999999998</v>
      </c>
      <c r="AM40" s="65">
        <f t="shared" si="34"/>
        <v>444.17999999999995</v>
      </c>
      <c r="AN40" s="65">
        <v>154.41</v>
      </c>
      <c r="AO40" s="65">
        <v>171.39</v>
      </c>
      <c r="AP40" s="65">
        <v>74.209999999999994</v>
      </c>
      <c r="AQ40" s="65">
        <v>146.69999999999999</v>
      </c>
      <c r="AR40" s="65">
        <f>54.45+121.14</f>
        <v>175.59</v>
      </c>
      <c r="AS40" s="65">
        <f t="shared" si="35"/>
        <v>722.3</v>
      </c>
      <c r="AT40" s="65">
        <v>166.17</v>
      </c>
      <c r="AU40" s="65">
        <v>172.06</v>
      </c>
      <c r="AV40" s="65">
        <v>56.37</v>
      </c>
      <c r="AW40" s="65">
        <f>48.64+74.82</f>
        <v>123.46</v>
      </c>
      <c r="AX40" s="65">
        <f t="shared" si="36"/>
        <v>518.06000000000006</v>
      </c>
      <c r="AY40" s="65">
        <v>201.6</v>
      </c>
      <c r="AZ40" s="65">
        <v>116.95</v>
      </c>
      <c r="BA40" s="65">
        <v>148.82</v>
      </c>
      <c r="BB40" s="65">
        <f>98.49+54.81</f>
        <v>153.30000000000001</v>
      </c>
      <c r="BC40" s="65">
        <f t="shared" si="37"/>
        <v>620.67000000000007</v>
      </c>
      <c r="BD40" s="65">
        <v>124.84</v>
      </c>
      <c r="BE40" s="65">
        <v>72.430000000000007</v>
      </c>
      <c r="BF40" s="65">
        <f>145.94+7.35</f>
        <v>153.29</v>
      </c>
      <c r="BG40" s="65">
        <f>145.52+1.5</f>
        <v>147.02000000000001</v>
      </c>
      <c r="BH40" s="65">
        <f>62.01+130.36</f>
        <v>192.37</v>
      </c>
      <c r="BI40" s="65">
        <f t="shared" si="38"/>
        <v>689.95</v>
      </c>
      <c r="BJ40" s="65">
        <v>218.13</v>
      </c>
      <c r="BK40" s="65">
        <v>124.97</v>
      </c>
      <c r="BL40" s="65">
        <v>68.19</v>
      </c>
      <c r="BM40" s="65">
        <f>139.63+5.41+62.37</f>
        <v>207.41</v>
      </c>
      <c r="BN40" s="65">
        <f t="shared" si="39"/>
        <v>618.70000000000005</v>
      </c>
      <c r="BO40" s="14">
        <f t="shared" si="40"/>
        <v>7413.6900000000005</v>
      </c>
      <c r="BP40" s="38">
        <f t="shared" si="14"/>
        <v>7413.6900000000005</v>
      </c>
    </row>
    <row r="41" spans="1:68" x14ac:dyDescent="0.25">
      <c r="A41" s="86" t="s">
        <v>55</v>
      </c>
      <c r="B41" s="13"/>
      <c r="C41" s="65">
        <v>68.319999999999993</v>
      </c>
      <c r="D41" s="65">
        <v>46.99</v>
      </c>
      <c r="E41" s="65"/>
      <c r="F41" s="65">
        <v>77.72</v>
      </c>
      <c r="G41" s="65">
        <f t="shared" si="28"/>
        <v>193.03</v>
      </c>
      <c r="H41" s="65">
        <v>75.42</v>
      </c>
      <c r="I41" s="65">
        <v>63.31</v>
      </c>
      <c r="J41" s="65">
        <v>53.27</v>
      </c>
      <c r="K41" s="65">
        <v>57.46</v>
      </c>
      <c r="L41" s="65">
        <f t="shared" si="29"/>
        <v>249.46000000000004</v>
      </c>
      <c r="M41" s="65">
        <v>65.34</v>
      </c>
      <c r="N41" s="65">
        <v>50.08</v>
      </c>
      <c r="O41" s="65">
        <f>59.98+0.84</f>
        <v>60.82</v>
      </c>
      <c r="P41" s="65">
        <v>74.81</v>
      </c>
      <c r="Q41" s="65">
        <v>59.13</v>
      </c>
      <c r="R41" s="65">
        <f t="shared" si="30"/>
        <v>310.18</v>
      </c>
      <c r="S41" s="65">
        <v>51.17</v>
      </c>
      <c r="T41" s="65">
        <v>50.89</v>
      </c>
      <c r="U41" s="65">
        <v>53.74</v>
      </c>
      <c r="V41" s="65">
        <v>2.0699999999999998</v>
      </c>
      <c r="W41" s="65">
        <f t="shared" si="31"/>
        <v>157.87</v>
      </c>
      <c r="X41" s="65">
        <f>72.82+11.76</f>
        <v>84.58</v>
      </c>
      <c r="Y41" s="65">
        <v>80.2</v>
      </c>
      <c r="Z41" s="65">
        <v>85.98</v>
      </c>
      <c r="AA41" s="65">
        <v>80.87</v>
      </c>
      <c r="AB41" s="65">
        <f t="shared" si="32"/>
        <v>331.63</v>
      </c>
      <c r="AC41" s="65">
        <v>64.33</v>
      </c>
      <c r="AD41" s="65">
        <v>58.53</v>
      </c>
      <c r="AE41" s="65">
        <v>58.09</v>
      </c>
      <c r="AF41" s="65">
        <v>72.03</v>
      </c>
      <c r="AG41" s="65"/>
      <c r="AH41" s="65">
        <f t="shared" si="33"/>
        <v>252.98</v>
      </c>
      <c r="AI41" s="65">
        <v>87.02</v>
      </c>
      <c r="AJ41" s="65">
        <v>90.48</v>
      </c>
      <c r="AK41" s="65">
        <v>82.81</v>
      </c>
      <c r="AL41" s="65">
        <v>72.91</v>
      </c>
      <c r="AM41" s="65">
        <f t="shared" si="34"/>
        <v>333.22</v>
      </c>
      <c r="AN41" s="65">
        <v>73.010000000000005</v>
      </c>
      <c r="AO41" s="65">
        <v>70.400000000000006</v>
      </c>
      <c r="AP41" s="65">
        <v>33.61</v>
      </c>
      <c r="AQ41" s="65">
        <v>58.25</v>
      </c>
      <c r="AR41" s="65">
        <v>71.569999999999993</v>
      </c>
      <c r="AS41" s="65">
        <f t="shared" si="35"/>
        <v>306.84000000000003</v>
      </c>
      <c r="AT41" s="65">
        <v>85.62</v>
      </c>
      <c r="AU41" s="65">
        <v>79</v>
      </c>
      <c r="AV41" s="65">
        <v>70.05</v>
      </c>
      <c r="AW41" s="65">
        <v>80.12</v>
      </c>
      <c r="AX41" s="65">
        <f t="shared" si="36"/>
        <v>314.79000000000002</v>
      </c>
      <c r="AY41" s="65">
        <v>90.59</v>
      </c>
      <c r="AZ41" s="65">
        <v>90.64</v>
      </c>
      <c r="BA41" s="65">
        <v>86.83</v>
      </c>
      <c r="BB41" s="65">
        <v>75.66</v>
      </c>
      <c r="BC41" s="65">
        <f t="shared" si="37"/>
        <v>343.72</v>
      </c>
      <c r="BD41" s="65">
        <v>71.25</v>
      </c>
      <c r="BE41" s="65">
        <v>83.94</v>
      </c>
      <c r="BF41" s="65">
        <v>77.83</v>
      </c>
      <c r="BG41" s="65">
        <v>61.64</v>
      </c>
      <c r="BH41" s="65">
        <v>85.15</v>
      </c>
      <c r="BI41" s="65">
        <f t="shared" si="38"/>
        <v>379.80999999999995</v>
      </c>
      <c r="BJ41" s="65">
        <v>79.16</v>
      </c>
      <c r="BK41" s="65">
        <v>97.06</v>
      </c>
      <c r="BL41" s="65">
        <v>105.84</v>
      </c>
      <c r="BM41" s="65"/>
      <c r="BN41" s="65">
        <f t="shared" si="39"/>
        <v>282.06</v>
      </c>
      <c r="BO41" s="14">
        <f t="shared" si="40"/>
        <v>3455.59</v>
      </c>
      <c r="BP41" s="38">
        <f t="shared" si="14"/>
        <v>3455.59</v>
      </c>
    </row>
    <row r="42" spans="1:68" x14ac:dyDescent="0.25">
      <c r="A42" s="86" t="s">
        <v>56</v>
      </c>
      <c r="B42" s="13"/>
      <c r="C42" s="65"/>
      <c r="D42" s="65"/>
      <c r="E42" s="65"/>
      <c r="F42" s="65"/>
      <c r="G42" s="65">
        <f t="shared" si="28"/>
        <v>0</v>
      </c>
      <c r="H42" s="65"/>
      <c r="I42" s="65"/>
      <c r="J42" s="65"/>
      <c r="K42" s="65"/>
      <c r="L42" s="65">
        <f t="shared" si="29"/>
        <v>0</v>
      </c>
      <c r="M42" s="65"/>
      <c r="N42" s="65"/>
      <c r="O42" s="65"/>
      <c r="P42" s="65"/>
      <c r="Q42" s="65"/>
      <c r="R42" s="65">
        <f t="shared" si="30"/>
        <v>0</v>
      </c>
      <c r="S42" s="65"/>
      <c r="T42" s="65"/>
      <c r="U42" s="65"/>
      <c r="V42" s="65"/>
      <c r="W42" s="65">
        <f t="shared" si="31"/>
        <v>0</v>
      </c>
      <c r="X42" s="65"/>
      <c r="Y42" s="65"/>
      <c r="Z42" s="65"/>
      <c r="AA42" s="65"/>
      <c r="AB42" s="65">
        <f t="shared" si="32"/>
        <v>0</v>
      </c>
      <c r="AC42" s="65"/>
      <c r="AD42" s="65"/>
      <c r="AE42" s="65"/>
      <c r="AF42" s="65"/>
      <c r="AG42" s="65"/>
      <c r="AH42" s="65">
        <f t="shared" si="33"/>
        <v>0</v>
      </c>
      <c r="AI42" s="65"/>
      <c r="AJ42" s="65"/>
      <c r="AK42" s="65"/>
      <c r="AL42" s="65"/>
      <c r="AM42" s="65">
        <f t="shared" si="34"/>
        <v>0</v>
      </c>
      <c r="AN42" s="65"/>
      <c r="AO42" s="65"/>
      <c r="AP42" s="65"/>
      <c r="AQ42" s="65"/>
      <c r="AR42" s="65"/>
      <c r="AS42" s="65">
        <f t="shared" si="35"/>
        <v>0</v>
      </c>
      <c r="AT42" s="65"/>
      <c r="AU42" s="65"/>
      <c r="AV42" s="65"/>
      <c r="AW42" s="65"/>
      <c r="AX42" s="65">
        <f t="shared" si="36"/>
        <v>0</v>
      </c>
      <c r="AY42" s="65"/>
      <c r="AZ42" s="65"/>
      <c r="BA42" s="65"/>
      <c r="BB42" s="65"/>
      <c r="BC42" s="65">
        <f t="shared" si="37"/>
        <v>0</v>
      </c>
      <c r="BD42" s="65"/>
      <c r="BE42" s="65"/>
      <c r="BF42" s="65"/>
      <c r="BG42" s="65"/>
      <c r="BH42" s="65"/>
      <c r="BI42" s="65">
        <f t="shared" si="38"/>
        <v>0</v>
      </c>
      <c r="BJ42" s="65"/>
      <c r="BK42" s="65"/>
      <c r="BL42" s="65"/>
      <c r="BM42" s="65"/>
      <c r="BN42" s="65">
        <f t="shared" si="39"/>
        <v>0</v>
      </c>
      <c r="BO42" s="14">
        <f t="shared" si="40"/>
        <v>0</v>
      </c>
      <c r="BP42" s="38">
        <f t="shared" si="14"/>
        <v>0</v>
      </c>
    </row>
    <row r="43" spans="1:68" x14ac:dyDescent="0.25">
      <c r="A43" s="86" t="s">
        <v>57</v>
      </c>
      <c r="B43" s="13"/>
      <c r="C43" s="65"/>
      <c r="D43" s="65">
        <v>31.54</v>
      </c>
      <c r="E43" s="65">
        <v>19</v>
      </c>
      <c r="F43" s="65">
        <v>75.89</v>
      </c>
      <c r="G43" s="65">
        <f t="shared" si="28"/>
        <v>126.43</v>
      </c>
      <c r="H43" s="65">
        <v>14.62</v>
      </c>
      <c r="I43" s="65">
        <v>17.25</v>
      </c>
      <c r="J43" s="65">
        <v>24.09</v>
      </c>
      <c r="K43" s="65">
        <v>54.49</v>
      </c>
      <c r="L43" s="65">
        <f t="shared" si="29"/>
        <v>110.44999999999999</v>
      </c>
      <c r="M43" s="65">
        <v>30.07</v>
      </c>
      <c r="N43" s="65">
        <v>63.25</v>
      </c>
      <c r="O43" s="65">
        <f>15.77+2.4</f>
        <v>18.169999999999998</v>
      </c>
      <c r="P43" s="65">
        <v>17.11</v>
      </c>
      <c r="Q43" s="65">
        <v>40.18</v>
      </c>
      <c r="R43" s="65">
        <f t="shared" si="30"/>
        <v>168.78</v>
      </c>
      <c r="S43" s="65">
        <v>51.72</v>
      </c>
      <c r="T43" s="65"/>
      <c r="U43" s="65">
        <f>46.52+36.17</f>
        <v>82.69</v>
      </c>
      <c r="V43" s="65">
        <v>76.900000000000006</v>
      </c>
      <c r="W43" s="65">
        <f t="shared" si="31"/>
        <v>211.31</v>
      </c>
      <c r="X43" s="65">
        <v>30.1</v>
      </c>
      <c r="Y43" s="65">
        <v>24.53</v>
      </c>
      <c r="Z43" s="65">
        <v>25.48</v>
      </c>
      <c r="AA43" s="65">
        <v>27.56</v>
      </c>
      <c r="AB43" s="65">
        <f t="shared" si="32"/>
        <v>107.67</v>
      </c>
      <c r="AC43" s="65">
        <v>65.75</v>
      </c>
      <c r="AD43" s="65">
        <v>36.130000000000003</v>
      </c>
      <c r="AE43" s="65">
        <v>30.92</v>
      </c>
      <c r="AF43" s="65">
        <v>13.78</v>
      </c>
      <c r="AG43" s="65">
        <v>18.97</v>
      </c>
      <c r="AH43" s="65">
        <f t="shared" si="33"/>
        <v>165.55</v>
      </c>
      <c r="AI43" s="65">
        <v>41.54</v>
      </c>
      <c r="AJ43" s="65">
        <f>65.32+1.7</f>
        <v>67.02</v>
      </c>
      <c r="AK43" s="65">
        <v>36.32</v>
      </c>
      <c r="AL43" s="65">
        <v>35.64</v>
      </c>
      <c r="AM43" s="65">
        <f t="shared" si="34"/>
        <v>180.51999999999998</v>
      </c>
      <c r="AN43" s="65">
        <v>53.59</v>
      </c>
      <c r="AO43" s="65">
        <f>19.37+6.88</f>
        <v>26.25</v>
      </c>
      <c r="AP43" s="65">
        <v>71.650000000000006</v>
      </c>
      <c r="AQ43" s="65">
        <v>61.52</v>
      </c>
      <c r="AR43" s="65"/>
      <c r="AS43" s="65">
        <f t="shared" si="35"/>
        <v>213.01000000000002</v>
      </c>
      <c r="AT43" s="65"/>
      <c r="AU43" s="65">
        <v>32.549999999999997</v>
      </c>
      <c r="AV43" s="65">
        <v>12.67</v>
      </c>
      <c r="AW43" s="65">
        <v>72.34</v>
      </c>
      <c r="AX43" s="65">
        <f t="shared" si="36"/>
        <v>117.56</v>
      </c>
      <c r="AY43" s="65">
        <v>19.55</v>
      </c>
      <c r="AZ43" s="65">
        <v>23.83</v>
      </c>
      <c r="BA43" s="65">
        <v>29.52</v>
      </c>
      <c r="BB43" s="65">
        <v>61.72</v>
      </c>
      <c r="BC43" s="65">
        <f t="shared" si="37"/>
        <v>134.62</v>
      </c>
      <c r="BD43" s="65">
        <v>34.42</v>
      </c>
      <c r="BE43" s="65">
        <f>43.42+0.81</f>
        <v>44.230000000000004</v>
      </c>
      <c r="BF43" s="65">
        <v>29.56</v>
      </c>
      <c r="BG43" s="65">
        <v>37.26</v>
      </c>
      <c r="BH43" s="65">
        <v>59.75</v>
      </c>
      <c r="BI43" s="65">
        <f t="shared" si="38"/>
        <v>205.22</v>
      </c>
      <c r="BJ43" s="65">
        <v>47.05</v>
      </c>
      <c r="BK43" s="65">
        <v>105.56</v>
      </c>
      <c r="BL43" s="65">
        <v>20.83</v>
      </c>
      <c r="BM43" s="65">
        <v>4.8600000000000003</v>
      </c>
      <c r="BN43" s="65">
        <f t="shared" si="39"/>
        <v>178.3</v>
      </c>
      <c r="BO43" s="14">
        <f t="shared" si="40"/>
        <v>1919.42</v>
      </c>
      <c r="BP43" s="38">
        <f t="shared" si="14"/>
        <v>1919.42</v>
      </c>
    </row>
    <row r="44" spans="1:68" ht="15.75" thickBot="1" x14ac:dyDescent="0.3">
      <c r="A44" s="86" t="s">
        <v>58</v>
      </c>
      <c r="B44" s="15"/>
      <c r="C44" s="68"/>
      <c r="D44" s="68"/>
      <c r="E44" s="68"/>
      <c r="F44" s="68"/>
      <c r="G44" s="68">
        <f t="shared" si="28"/>
        <v>0</v>
      </c>
      <c r="H44" s="68"/>
      <c r="I44" s="68"/>
      <c r="J44" s="68"/>
      <c r="K44" s="68"/>
      <c r="L44" s="68">
        <f t="shared" si="29"/>
        <v>0</v>
      </c>
      <c r="M44" s="68"/>
      <c r="N44" s="68"/>
      <c r="O44" s="68"/>
      <c r="P44" s="68"/>
      <c r="Q44" s="68"/>
      <c r="R44" s="68">
        <f t="shared" si="30"/>
        <v>0</v>
      </c>
      <c r="S44" s="68"/>
      <c r="T44" s="68"/>
      <c r="U44" s="68"/>
      <c r="V44" s="68"/>
      <c r="W44" s="68">
        <f t="shared" si="31"/>
        <v>0</v>
      </c>
      <c r="X44" s="68"/>
      <c r="Y44" s="68"/>
      <c r="Z44" s="68"/>
      <c r="AA44" s="68"/>
      <c r="AB44" s="68">
        <f t="shared" si="32"/>
        <v>0</v>
      </c>
      <c r="AC44" s="68"/>
      <c r="AD44" s="68"/>
      <c r="AE44" s="68"/>
      <c r="AF44" s="68"/>
      <c r="AG44" s="68"/>
      <c r="AH44" s="68">
        <f t="shared" si="33"/>
        <v>0</v>
      </c>
      <c r="AI44" s="68"/>
      <c r="AJ44" s="68"/>
      <c r="AK44" s="68"/>
      <c r="AL44" s="68"/>
      <c r="AM44" s="68">
        <f t="shared" si="34"/>
        <v>0</v>
      </c>
      <c r="AN44" s="68"/>
      <c r="AO44" s="68"/>
      <c r="AP44" s="68"/>
      <c r="AQ44" s="68"/>
      <c r="AR44" s="68"/>
      <c r="AS44" s="68">
        <f t="shared" si="35"/>
        <v>0</v>
      </c>
      <c r="AT44" s="68">
        <v>46.62</v>
      </c>
      <c r="AU44" s="68"/>
      <c r="AV44" s="68"/>
      <c r="AW44" s="68"/>
      <c r="AX44" s="68">
        <f t="shared" si="36"/>
        <v>46.62</v>
      </c>
      <c r="AY44" s="68"/>
      <c r="AZ44" s="68"/>
      <c r="BA44" s="68"/>
      <c r="BB44" s="68"/>
      <c r="BC44" s="68">
        <f t="shared" si="37"/>
        <v>0</v>
      </c>
      <c r="BD44" s="68">
        <v>32.42</v>
      </c>
      <c r="BE44" s="68"/>
      <c r="BF44" s="68"/>
      <c r="BG44" s="68"/>
      <c r="BH44" s="68"/>
      <c r="BI44" s="68">
        <f t="shared" si="38"/>
        <v>32.42</v>
      </c>
      <c r="BJ44" s="68"/>
      <c r="BK44" s="68"/>
      <c r="BL44" s="68"/>
      <c r="BM44" s="68"/>
      <c r="BN44" s="68">
        <f t="shared" si="39"/>
        <v>0</v>
      </c>
      <c r="BO44" s="16">
        <f t="shared" si="40"/>
        <v>79.039999999999992</v>
      </c>
      <c r="BP44" s="38">
        <f t="shared" si="14"/>
        <v>79.039999999999992</v>
      </c>
    </row>
    <row r="45" spans="1:68" ht="16.5" thickTop="1" thickBot="1" x14ac:dyDescent="0.3">
      <c r="A45" s="85" t="s">
        <v>59</v>
      </c>
      <c r="B45" s="42"/>
      <c r="C45" s="64"/>
      <c r="D45" s="64"/>
      <c r="E45" s="64"/>
      <c r="F45" s="64"/>
      <c r="G45" s="64">
        <f>SUM(G38:G44)</f>
        <v>1616.7</v>
      </c>
      <c r="H45" s="64"/>
      <c r="I45" s="64"/>
      <c r="J45" s="64"/>
      <c r="K45" s="64"/>
      <c r="L45" s="64">
        <f>SUM(L38:L44)</f>
        <v>1698.7500000000002</v>
      </c>
      <c r="M45" s="64"/>
      <c r="N45" s="64"/>
      <c r="O45" s="64"/>
      <c r="P45" s="64"/>
      <c r="Q45" s="64"/>
      <c r="R45" s="64">
        <f>SUM(R38:R44)</f>
        <v>2417.11</v>
      </c>
      <c r="S45" s="64"/>
      <c r="T45" s="64"/>
      <c r="U45" s="64"/>
      <c r="V45" s="64"/>
      <c r="W45" s="64">
        <f>SUM(W38:W44)</f>
        <v>1837.3200000000002</v>
      </c>
      <c r="X45" s="64"/>
      <c r="Y45" s="64"/>
      <c r="Z45" s="64"/>
      <c r="AA45" s="64"/>
      <c r="AB45" s="64">
        <f>SUM(AB38:AB44)</f>
        <v>1831.77</v>
      </c>
      <c r="AC45" s="64"/>
      <c r="AD45" s="64"/>
      <c r="AE45" s="64"/>
      <c r="AF45" s="64"/>
      <c r="AG45" s="64"/>
      <c r="AH45" s="64">
        <f>SUM(AH38:AH44)</f>
        <v>2319.09</v>
      </c>
      <c r="AI45" s="64"/>
      <c r="AJ45" s="64"/>
      <c r="AK45" s="64"/>
      <c r="AL45" s="64"/>
      <c r="AM45" s="64">
        <f>SUM(AM38:AM44)</f>
        <v>1693.84</v>
      </c>
      <c r="AN45" s="64"/>
      <c r="AO45" s="64"/>
      <c r="AP45" s="64"/>
      <c r="AQ45" s="64"/>
      <c r="AR45" s="64"/>
      <c r="AS45" s="64">
        <f>SUM(AS38:AS44)</f>
        <v>2160.3700000000003</v>
      </c>
      <c r="AT45" s="64"/>
      <c r="AU45" s="64"/>
      <c r="AV45" s="64"/>
      <c r="AW45" s="64"/>
      <c r="AX45" s="64">
        <f>SUM(AX38:AX44)</f>
        <v>2006.7199999999998</v>
      </c>
      <c r="AY45" s="64"/>
      <c r="AZ45" s="64"/>
      <c r="BA45" s="64"/>
      <c r="BB45" s="64"/>
      <c r="BC45" s="64">
        <f>SUM(BC38:BC44)</f>
        <v>1961.54</v>
      </c>
      <c r="BD45" s="64"/>
      <c r="BE45" s="64"/>
      <c r="BF45" s="64"/>
      <c r="BG45" s="64"/>
      <c r="BH45" s="64"/>
      <c r="BI45" s="64">
        <f>SUM(BI38:BI44)</f>
        <v>2595.6</v>
      </c>
      <c r="BJ45" s="64"/>
      <c r="BK45" s="64"/>
      <c r="BL45" s="64"/>
      <c r="BM45" s="64"/>
      <c r="BN45" s="64">
        <f>SUM(BN38:BN44)</f>
        <v>2265.1600000000003</v>
      </c>
      <c r="BO45" s="43">
        <f>SUM(BO38:BO44)</f>
        <v>24403.97</v>
      </c>
      <c r="BP45" s="38"/>
    </row>
    <row r="46" spans="1:68" ht="15.75" thickTop="1" x14ac:dyDescent="0.25">
      <c r="A46" s="86" t="s">
        <v>60</v>
      </c>
      <c r="B46" s="11"/>
      <c r="C46" s="58">
        <f>87.11+9.62</f>
        <v>96.73</v>
      </c>
      <c r="D46" s="58">
        <v>96.74</v>
      </c>
      <c r="E46" s="58">
        <v>136.04</v>
      </c>
      <c r="F46" s="58">
        <f>93.14+105.84</f>
        <v>198.98000000000002</v>
      </c>
      <c r="G46" s="58">
        <f>SUM(C46:F46)</f>
        <v>528.49</v>
      </c>
      <c r="H46" s="58">
        <f>137.09+5.07+12</f>
        <v>154.16</v>
      </c>
      <c r="I46" s="58">
        <f>69.54+4.99</f>
        <v>74.53</v>
      </c>
      <c r="J46" s="58">
        <v>154.38999999999999</v>
      </c>
      <c r="K46" s="58">
        <f>41.72+94.08+185.42</f>
        <v>321.22000000000003</v>
      </c>
      <c r="L46" s="58">
        <f>SUM(H46:K46)</f>
        <v>704.3</v>
      </c>
      <c r="M46" s="58">
        <v>126.56</v>
      </c>
      <c r="N46" s="58">
        <v>157.74</v>
      </c>
      <c r="O46" s="58">
        <f>131.01+5.04</f>
        <v>136.04999999999998</v>
      </c>
      <c r="P46" s="58">
        <v>103.57</v>
      </c>
      <c r="Q46" s="58">
        <f>105.84+150.77+4.14</f>
        <v>260.75</v>
      </c>
      <c r="R46" s="58">
        <f>SUM(M46:Q46)</f>
        <v>784.67000000000007</v>
      </c>
      <c r="S46" s="58">
        <v>125.7</v>
      </c>
      <c r="T46" s="58">
        <f>122.26+6.12</f>
        <v>128.38</v>
      </c>
      <c r="U46" s="58">
        <v>142.36000000000001</v>
      </c>
      <c r="V46" s="58">
        <f>121.36+0.09+105.84</f>
        <v>227.29000000000002</v>
      </c>
      <c r="W46" s="58">
        <f>SUM(S46:V46)</f>
        <v>623.73</v>
      </c>
      <c r="X46" s="58">
        <v>108.08</v>
      </c>
      <c r="Y46" s="58">
        <v>69.739999999999995</v>
      </c>
      <c r="Z46" s="58">
        <f>153.59+6.12</f>
        <v>159.71</v>
      </c>
      <c r="AA46" s="58">
        <f>102.28+105.84</f>
        <v>208.12</v>
      </c>
      <c r="AB46" s="58">
        <f>SUM(X46:AA46)</f>
        <v>545.65</v>
      </c>
      <c r="AC46" s="58">
        <v>103.7</v>
      </c>
      <c r="AD46" s="58">
        <v>148.15</v>
      </c>
      <c r="AE46" s="58">
        <v>223.97</v>
      </c>
      <c r="AF46" s="58">
        <v>128.12</v>
      </c>
      <c r="AG46" s="58">
        <f>95.84+84.33</f>
        <v>180.17000000000002</v>
      </c>
      <c r="AH46" s="58">
        <f>SUM(AC46:AG46)</f>
        <v>784.11000000000013</v>
      </c>
      <c r="AI46" s="58">
        <f>86.27+0.6</f>
        <v>86.86999999999999</v>
      </c>
      <c r="AJ46" s="58">
        <v>90.25</v>
      </c>
      <c r="AK46" s="58">
        <f>112.42+1.2</f>
        <v>113.62</v>
      </c>
      <c r="AL46" s="58">
        <f>150.19+31.62+41.34+108.9</f>
        <v>332.05</v>
      </c>
      <c r="AM46" s="58">
        <f>SUM(AI46:AL46)</f>
        <v>622.79</v>
      </c>
      <c r="AN46" s="58">
        <f>6.36+88.48</f>
        <v>94.84</v>
      </c>
      <c r="AO46" s="58">
        <f>87.91+86.23+2.4</f>
        <v>176.54</v>
      </c>
      <c r="AP46" s="58">
        <v>119.96</v>
      </c>
      <c r="AQ46" s="58">
        <v>154.43</v>
      </c>
      <c r="AR46" s="58">
        <f>108.9+138.14</f>
        <v>247.04</v>
      </c>
      <c r="AS46" s="58">
        <f>SUM(AN46:AR46)</f>
        <v>792.81</v>
      </c>
      <c r="AT46" s="58">
        <v>121.4</v>
      </c>
      <c r="AU46" s="58">
        <v>64.34</v>
      </c>
      <c r="AV46" s="58">
        <v>119.81</v>
      </c>
      <c r="AW46" s="58">
        <f>97.28+53.94</f>
        <v>151.22</v>
      </c>
      <c r="AX46" s="58">
        <f>SUM(AT46:AW46)</f>
        <v>456.77</v>
      </c>
      <c r="AY46" s="58">
        <f>148.99+9.99</f>
        <v>158.98000000000002</v>
      </c>
      <c r="AZ46" s="58">
        <f>174.57+5.05</f>
        <v>179.62</v>
      </c>
      <c r="BA46" s="58">
        <v>65.88</v>
      </c>
      <c r="BB46" s="58">
        <f>112.4+7.41+109.62</f>
        <v>229.43</v>
      </c>
      <c r="BC46" s="58">
        <f>SUM(AY46:BB46)</f>
        <v>633.91000000000008</v>
      </c>
      <c r="BD46" s="58">
        <f>134.08+1.2+27.84</f>
        <v>163.12</v>
      </c>
      <c r="BE46" s="58">
        <v>181.61</v>
      </c>
      <c r="BF46" s="58">
        <f>89.92+12.46</f>
        <v>102.38</v>
      </c>
      <c r="BG46" s="58">
        <v>47.52</v>
      </c>
      <c r="BH46" s="58">
        <f>124.02+158.15</f>
        <v>282.17</v>
      </c>
      <c r="BI46" s="58">
        <f>SUM(BD46:BH46)</f>
        <v>776.8</v>
      </c>
      <c r="BJ46" s="58">
        <v>115.79</v>
      </c>
      <c r="BK46" s="58">
        <v>196.49</v>
      </c>
      <c r="BL46" s="58">
        <v>213.69</v>
      </c>
      <c r="BM46" s="58">
        <f>110.4+9.63+124.74</f>
        <v>244.76999999999998</v>
      </c>
      <c r="BN46" s="58">
        <f>SUM(BJ46:BM46)</f>
        <v>770.74</v>
      </c>
      <c r="BO46" s="12">
        <f>+G46+L46+R46+W46+AB46+AH46+AM46+AS46+AX46+BC46+BI46+BN46</f>
        <v>8024.7699999999995</v>
      </c>
      <c r="BP46" s="38">
        <f t="shared" si="14"/>
        <v>8024.7699999999995</v>
      </c>
    </row>
    <row r="47" spans="1:68" x14ac:dyDescent="0.25">
      <c r="A47" s="83" t="s">
        <v>61</v>
      </c>
      <c r="B47" s="13"/>
      <c r="C47" s="65">
        <v>86.04</v>
      </c>
      <c r="D47" s="65">
        <v>59.86</v>
      </c>
      <c r="E47" s="65">
        <v>66.75</v>
      </c>
      <c r="F47" s="65">
        <f>73.85+82.32</f>
        <v>156.16999999999999</v>
      </c>
      <c r="G47" s="65">
        <f>SUM(C47:F47)</f>
        <v>368.82</v>
      </c>
      <c r="H47" s="65">
        <v>59.15</v>
      </c>
      <c r="I47" s="65">
        <v>78.319999999999993</v>
      </c>
      <c r="J47" s="65">
        <v>98.31</v>
      </c>
      <c r="K47" s="65">
        <f>70.56+55.64</f>
        <v>126.2</v>
      </c>
      <c r="L47" s="65">
        <f>SUM(H47:K47)</f>
        <v>361.98</v>
      </c>
      <c r="M47" s="65">
        <v>96.17</v>
      </c>
      <c r="N47" s="65">
        <v>69.25</v>
      </c>
      <c r="O47" s="65">
        <v>89.57</v>
      </c>
      <c r="P47" s="65">
        <v>89</v>
      </c>
      <c r="Q47" s="65">
        <f>76.44+87.23</f>
        <v>163.67000000000002</v>
      </c>
      <c r="R47" s="65">
        <f>SUM(M47:Q47)</f>
        <v>507.66</v>
      </c>
      <c r="S47" s="65">
        <f>80.94+46.51</f>
        <v>127.44999999999999</v>
      </c>
      <c r="T47" s="65">
        <v>100.23</v>
      </c>
      <c r="U47" s="65">
        <f>56.15+2.09</f>
        <v>58.239999999999995</v>
      </c>
      <c r="V47" s="65">
        <f>61.02+82.32</f>
        <v>143.34</v>
      </c>
      <c r="W47" s="65">
        <f>SUM(S47:V47)</f>
        <v>429.26</v>
      </c>
      <c r="X47" s="65">
        <v>76.2</v>
      </c>
      <c r="Y47" s="65">
        <v>113.31</v>
      </c>
      <c r="Z47" s="65">
        <v>72.239999999999995</v>
      </c>
      <c r="AA47" s="65">
        <f>104.83+76.44</f>
        <v>181.26999999999998</v>
      </c>
      <c r="AB47" s="65">
        <f>SUM(X47:AA47)</f>
        <v>443.02</v>
      </c>
      <c r="AC47" s="65">
        <v>64.739999999999995</v>
      </c>
      <c r="AD47" s="65">
        <v>73.34</v>
      </c>
      <c r="AE47" s="65">
        <v>41.68</v>
      </c>
      <c r="AF47" s="65">
        <v>119.09</v>
      </c>
      <c r="AG47" s="65">
        <f>71.88+74.59</f>
        <v>146.47</v>
      </c>
      <c r="AH47" s="65">
        <f>SUM(AC47:AG47)</f>
        <v>445.32000000000005</v>
      </c>
      <c r="AI47" s="65">
        <v>71.05</v>
      </c>
      <c r="AJ47" s="65">
        <v>75.59</v>
      </c>
      <c r="AK47" s="65">
        <v>72.599999999999994</v>
      </c>
      <c r="AL47" s="65">
        <f>87.88+10.54+84.7</f>
        <v>183.12</v>
      </c>
      <c r="AM47" s="65">
        <f>SUM(AI47:AL47)</f>
        <v>402.36</v>
      </c>
      <c r="AN47" s="65"/>
      <c r="AO47" s="65">
        <f>37.15+0.68</f>
        <v>37.83</v>
      </c>
      <c r="AP47" s="65">
        <v>68.08</v>
      </c>
      <c r="AQ47" s="65">
        <v>51.68</v>
      </c>
      <c r="AR47" s="65">
        <f>78.65+75.98</f>
        <v>154.63</v>
      </c>
      <c r="AS47" s="65">
        <f>SUM(AN47:AR47)</f>
        <v>312.22000000000003</v>
      </c>
      <c r="AT47" s="65">
        <v>69.63</v>
      </c>
      <c r="AU47" s="65"/>
      <c r="AV47" s="65">
        <v>79.44</v>
      </c>
      <c r="AW47" s="65">
        <f>72.96+116.55</f>
        <v>189.51</v>
      </c>
      <c r="AX47" s="65">
        <f>SUM(AT47:AW47)</f>
        <v>338.58</v>
      </c>
      <c r="AY47" s="65">
        <f>54.88+24.7</f>
        <v>79.58</v>
      </c>
      <c r="AZ47" s="65">
        <f>64.19+2.1</f>
        <v>66.289999999999992</v>
      </c>
      <c r="BA47" s="65">
        <f>82.82+3.8</f>
        <v>86.61999999999999</v>
      </c>
      <c r="BB47" s="65">
        <f>87.01+4.33+85.26</f>
        <v>176.60000000000002</v>
      </c>
      <c r="BC47" s="65">
        <f>SUM(AY47:BB47)</f>
        <v>409.09000000000003</v>
      </c>
      <c r="BD47" s="65">
        <f>74.13+1.36</f>
        <v>75.489999999999995</v>
      </c>
      <c r="BE47" s="65">
        <v>105.07</v>
      </c>
      <c r="BF47" s="65">
        <f>53.76+28.35</f>
        <v>82.11</v>
      </c>
      <c r="BG47" s="65">
        <v>77.64</v>
      </c>
      <c r="BH47" s="65">
        <f>89.57+132.36</f>
        <v>221.93</v>
      </c>
      <c r="BI47" s="65">
        <f>SUM(BD47:BH47)</f>
        <v>562.24</v>
      </c>
      <c r="BJ47" s="65">
        <v>83.4</v>
      </c>
      <c r="BK47" s="65">
        <v>94.73</v>
      </c>
      <c r="BL47" s="65">
        <v>131.65</v>
      </c>
      <c r="BM47" s="65">
        <f>113.04+97.02</f>
        <v>210.06</v>
      </c>
      <c r="BN47" s="65">
        <f>SUM(BJ47:BM47)</f>
        <v>519.83999999999992</v>
      </c>
      <c r="BO47" s="14">
        <f>+G47+L47+R47+W47+AB47+AH47+AM47+AS47+AX47+BC47+BI47+BN47</f>
        <v>5100.3900000000003</v>
      </c>
      <c r="BP47" s="38">
        <f t="shared" si="14"/>
        <v>5100.3900000000003</v>
      </c>
    </row>
    <row r="48" spans="1:68" ht="15.75" thickBot="1" x14ac:dyDescent="0.3">
      <c r="A48" s="84" t="s">
        <v>62</v>
      </c>
      <c r="B48" s="15"/>
      <c r="C48" s="68">
        <v>8.06</v>
      </c>
      <c r="D48" s="68">
        <v>8.33</v>
      </c>
      <c r="E48" s="68">
        <v>10.44</v>
      </c>
      <c r="F48" s="68">
        <f>13.34+23.52</f>
        <v>36.86</v>
      </c>
      <c r="G48" s="68">
        <f>SUM(C48:F48)</f>
        <v>63.69</v>
      </c>
      <c r="H48" s="68">
        <v>11.17</v>
      </c>
      <c r="I48" s="68">
        <v>14.09</v>
      </c>
      <c r="J48" s="68">
        <v>13.24</v>
      </c>
      <c r="K48" s="68">
        <f>23.52+8.49</f>
        <v>32.01</v>
      </c>
      <c r="L48" s="68">
        <f>SUM(H48:K48)</f>
        <v>70.509999999999991</v>
      </c>
      <c r="M48" s="68">
        <v>7.61</v>
      </c>
      <c r="N48" s="68">
        <f>11.05+0.8</f>
        <v>11.850000000000001</v>
      </c>
      <c r="O48" s="68">
        <v>10.55</v>
      </c>
      <c r="P48" s="68">
        <v>8.0500000000000007</v>
      </c>
      <c r="Q48" s="68">
        <f>29.4+8.36</f>
        <v>37.76</v>
      </c>
      <c r="R48" s="68">
        <f>SUM(M48:Q48)</f>
        <v>75.819999999999993</v>
      </c>
      <c r="S48" s="68">
        <v>7.28</v>
      </c>
      <c r="T48" s="68">
        <v>13.09</v>
      </c>
      <c r="U48" s="68">
        <v>12.72</v>
      </c>
      <c r="V48" s="68">
        <f>11.12+23.52</f>
        <v>34.64</v>
      </c>
      <c r="W48" s="68">
        <f>SUM(S48:V48)</f>
        <v>67.73</v>
      </c>
      <c r="X48" s="68">
        <v>10.57</v>
      </c>
      <c r="Y48" s="68">
        <v>17.12</v>
      </c>
      <c r="Z48" s="68">
        <f>13.86+5.88</f>
        <v>19.739999999999998</v>
      </c>
      <c r="AA48" s="68">
        <f>13.29+29.4</f>
        <v>42.69</v>
      </c>
      <c r="AB48" s="68">
        <f>SUM(X48:AA48)</f>
        <v>90.12</v>
      </c>
      <c r="AC48" s="68"/>
      <c r="AD48" s="68">
        <v>14.02</v>
      </c>
      <c r="AE48" s="68">
        <v>12.7</v>
      </c>
      <c r="AF48" s="68">
        <v>16.600000000000001</v>
      </c>
      <c r="AG48" s="68">
        <f>23.96+8.42</f>
        <v>32.380000000000003</v>
      </c>
      <c r="AH48" s="68">
        <f>SUM(AC48:AG48)</f>
        <v>75.7</v>
      </c>
      <c r="AI48" s="68">
        <v>17.079999999999998</v>
      </c>
      <c r="AJ48" s="68">
        <v>10.76</v>
      </c>
      <c r="AK48" s="68">
        <v>13.76</v>
      </c>
      <c r="AL48" s="68">
        <f>12.81+24.2</f>
        <v>37.01</v>
      </c>
      <c r="AM48" s="68">
        <f>SUM(AI48:AL48)</f>
        <v>78.609999999999985</v>
      </c>
      <c r="AN48" s="68">
        <v>16.79</v>
      </c>
      <c r="AO48" s="68">
        <v>7.87</v>
      </c>
      <c r="AP48" s="68">
        <v>7.89</v>
      </c>
      <c r="AQ48" s="68">
        <v>7.9</v>
      </c>
      <c r="AR48" s="68">
        <f>30.25+7.5</f>
        <v>37.75</v>
      </c>
      <c r="AS48" s="68">
        <f>SUM(AN48:AR48)</f>
        <v>78.199999999999989</v>
      </c>
      <c r="AT48" s="68">
        <v>9.64</v>
      </c>
      <c r="AU48" s="68">
        <v>5.19</v>
      </c>
      <c r="AV48" s="68">
        <v>8.27</v>
      </c>
      <c r="AW48" s="68">
        <f>24.32+9.19</f>
        <v>33.51</v>
      </c>
      <c r="AX48" s="68">
        <f>SUM(AT48:AW48)</f>
        <v>56.61</v>
      </c>
      <c r="AY48" s="68">
        <v>12.89</v>
      </c>
      <c r="AZ48" s="68">
        <v>13.54</v>
      </c>
      <c r="BA48" s="68">
        <v>17.18</v>
      </c>
      <c r="BB48" s="68">
        <f>17.29+24.36</f>
        <v>41.65</v>
      </c>
      <c r="BC48" s="68">
        <f>SUM(AY48:BB48)</f>
        <v>85.259999999999991</v>
      </c>
      <c r="BD48" s="68">
        <f>14.21+0.81</f>
        <v>15.020000000000001</v>
      </c>
      <c r="BE48" s="68">
        <v>9.25</v>
      </c>
      <c r="BF48" s="68">
        <v>12.51</v>
      </c>
      <c r="BG48" s="68">
        <v>8.7100000000000009</v>
      </c>
      <c r="BH48" s="68">
        <f>34.45+10.31</f>
        <v>44.760000000000005</v>
      </c>
      <c r="BI48" s="68">
        <f>SUM(BD48:BH48)</f>
        <v>90.25</v>
      </c>
      <c r="BJ48" s="68">
        <v>12.89</v>
      </c>
      <c r="BK48" s="68"/>
      <c r="BL48" s="68"/>
      <c r="BM48" s="68">
        <f>15.45+27.72</f>
        <v>43.17</v>
      </c>
      <c r="BN48" s="68">
        <f>SUM(BJ48:BM48)</f>
        <v>56.06</v>
      </c>
      <c r="BO48" s="16">
        <f>+G48+L48+R48+W48+AB48+AH48+AM48+AS48+AX48+BC48+BI48+BN48</f>
        <v>888.56</v>
      </c>
      <c r="BP48" s="38">
        <f t="shared" si="14"/>
        <v>888.56</v>
      </c>
    </row>
    <row r="49" spans="1:68" ht="16.5" thickTop="1" thickBot="1" x14ac:dyDescent="0.3">
      <c r="A49" s="85" t="s">
        <v>63</v>
      </c>
      <c r="B49" s="42"/>
      <c r="C49" s="64"/>
      <c r="D49" s="64"/>
      <c r="E49" s="64"/>
      <c r="F49" s="64"/>
      <c r="G49" s="64">
        <f>SUM(G46:G48)</f>
        <v>961</v>
      </c>
      <c r="H49" s="64"/>
      <c r="I49" s="64"/>
      <c r="J49" s="64"/>
      <c r="K49" s="64"/>
      <c r="L49" s="64">
        <f>SUM(L46:L48)</f>
        <v>1136.79</v>
      </c>
      <c r="M49" s="64"/>
      <c r="N49" s="64"/>
      <c r="O49" s="64"/>
      <c r="P49" s="64"/>
      <c r="Q49" s="64"/>
      <c r="R49" s="64">
        <f>SUM(R46:R48)</f>
        <v>1368.15</v>
      </c>
      <c r="S49" s="64"/>
      <c r="T49" s="64"/>
      <c r="U49" s="64"/>
      <c r="V49" s="64"/>
      <c r="W49" s="64">
        <f>SUM(W46:W48)</f>
        <v>1120.72</v>
      </c>
      <c r="X49" s="64"/>
      <c r="Y49" s="64"/>
      <c r="Z49" s="64"/>
      <c r="AA49" s="64"/>
      <c r="AB49" s="64">
        <f>SUM(AB46:AB48)</f>
        <v>1078.79</v>
      </c>
      <c r="AC49" s="64"/>
      <c r="AD49" s="64"/>
      <c r="AE49" s="64"/>
      <c r="AF49" s="64"/>
      <c r="AG49" s="64"/>
      <c r="AH49" s="64">
        <f>SUM(AH46:AH48)</f>
        <v>1305.1300000000003</v>
      </c>
      <c r="AI49" s="64"/>
      <c r="AJ49" s="64"/>
      <c r="AK49" s="64"/>
      <c r="AL49" s="64"/>
      <c r="AM49" s="64">
        <f>SUM(AM46:AM48)</f>
        <v>1103.76</v>
      </c>
      <c r="AN49" s="64"/>
      <c r="AO49" s="64"/>
      <c r="AP49" s="64"/>
      <c r="AQ49" s="64"/>
      <c r="AR49" s="64"/>
      <c r="AS49" s="64">
        <f>SUM(AS46:AS48)</f>
        <v>1183.23</v>
      </c>
      <c r="AT49" s="64"/>
      <c r="AU49" s="64"/>
      <c r="AV49" s="64"/>
      <c r="AW49" s="64"/>
      <c r="AX49" s="64">
        <f>SUM(AX46:AX48)</f>
        <v>851.95999999999992</v>
      </c>
      <c r="AY49" s="64"/>
      <c r="AZ49" s="64"/>
      <c r="BA49" s="64"/>
      <c r="BB49" s="64"/>
      <c r="BC49" s="64">
        <f>SUM(BC46:BC48)</f>
        <v>1128.26</v>
      </c>
      <c r="BD49" s="64"/>
      <c r="BE49" s="64"/>
      <c r="BF49" s="64"/>
      <c r="BG49" s="64"/>
      <c r="BH49" s="64"/>
      <c r="BI49" s="64">
        <f>SUM(BI46:BI48)</f>
        <v>1429.29</v>
      </c>
      <c r="BJ49" s="64"/>
      <c r="BK49" s="64"/>
      <c r="BL49" s="64"/>
      <c r="BM49" s="64"/>
      <c r="BN49" s="64">
        <f>SUM(BN46:BN48)</f>
        <v>1346.6399999999999</v>
      </c>
      <c r="BO49" s="43">
        <f>SUM(BO46:BO48)</f>
        <v>14013.72</v>
      </c>
      <c r="BP49" s="38"/>
    </row>
    <row r="50" spans="1:68" ht="15.75" thickTop="1" x14ac:dyDescent="0.25">
      <c r="A50" s="86" t="s">
        <v>64</v>
      </c>
      <c r="B50" s="11"/>
      <c r="C50" s="58"/>
      <c r="D50" s="58">
        <v>10.37</v>
      </c>
      <c r="E50" s="58"/>
      <c r="F50" s="58"/>
      <c r="G50" s="58">
        <f t="shared" si="9"/>
        <v>10.37</v>
      </c>
      <c r="H50" s="58">
        <v>12.52</v>
      </c>
      <c r="I50" s="58"/>
      <c r="J50" s="58"/>
      <c r="K50" s="58"/>
      <c r="L50" s="58">
        <f t="shared" si="20"/>
        <v>12.52</v>
      </c>
      <c r="M50" s="58"/>
      <c r="N50" s="58">
        <v>2.5</v>
      </c>
      <c r="O50" s="58"/>
      <c r="P50" s="58"/>
      <c r="Q50" s="58">
        <v>4.99</v>
      </c>
      <c r="R50" s="58">
        <f t="shared" si="21"/>
        <v>7.49</v>
      </c>
      <c r="S50" s="58"/>
      <c r="T50" s="58"/>
      <c r="U50" s="58">
        <v>5.03</v>
      </c>
      <c r="V50" s="58">
        <v>6.57</v>
      </c>
      <c r="W50" s="58">
        <f t="shared" si="10"/>
        <v>11.600000000000001</v>
      </c>
      <c r="X50" s="58"/>
      <c r="Y50" s="58">
        <v>4.99</v>
      </c>
      <c r="Z50" s="58">
        <v>0.37</v>
      </c>
      <c r="AA50" s="58"/>
      <c r="AB50" s="58">
        <f t="shared" si="25"/>
        <v>5.36</v>
      </c>
      <c r="AC50" s="58"/>
      <c r="AD50" s="58"/>
      <c r="AE50" s="58">
        <v>6.87</v>
      </c>
      <c r="AF50" s="58"/>
      <c r="AG50" s="58"/>
      <c r="AH50" s="58">
        <f t="shared" si="26"/>
        <v>6.87</v>
      </c>
      <c r="AI50" s="58"/>
      <c r="AJ50" s="58">
        <v>6.88</v>
      </c>
      <c r="AK50" s="58">
        <v>6.53</v>
      </c>
      <c r="AL50" s="58">
        <v>6.53</v>
      </c>
      <c r="AM50" s="58">
        <f t="shared" si="11"/>
        <v>19.940000000000001</v>
      </c>
      <c r="AN50" s="58"/>
      <c r="AO50" s="58"/>
      <c r="AP50" s="58">
        <v>8.1199999999999992</v>
      </c>
      <c r="AQ50" s="58"/>
      <c r="AR50" s="58"/>
      <c r="AS50" s="58">
        <f t="shared" si="27"/>
        <v>8.1199999999999992</v>
      </c>
      <c r="AT50" s="58"/>
      <c r="AU50" s="58"/>
      <c r="AV50" s="58">
        <v>6.86</v>
      </c>
      <c r="AW50" s="58"/>
      <c r="AX50" s="58">
        <f t="shared" si="12"/>
        <v>6.86</v>
      </c>
      <c r="AY50" s="58">
        <v>4.9400000000000004</v>
      </c>
      <c r="AZ50" s="58"/>
      <c r="BA50" s="58"/>
      <c r="BB50" s="58"/>
      <c r="BC50" s="58">
        <f t="shared" si="22"/>
        <v>4.9400000000000004</v>
      </c>
      <c r="BD50" s="58">
        <v>2.4700000000000002</v>
      </c>
      <c r="BE50" s="58"/>
      <c r="BF50" s="58"/>
      <c r="BG50" s="58"/>
      <c r="BH50" s="58">
        <v>4.9400000000000004</v>
      </c>
      <c r="BI50" s="58">
        <f t="shared" si="23"/>
        <v>7.41</v>
      </c>
      <c r="BJ50" s="58"/>
      <c r="BK50" s="58">
        <v>2.56</v>
      </c>
      <c r="BL50" s="58"/>
      <c r="BM50" s="58"/>
      <c r="BN50" s="58">
        <f t="shared" si="24"/>
        <v>2.56</v>
      </c>
      <c r="BO50" s="12">
        <f t="shared" si="13"/>
        <v>104.04</v>
      </c>
      <c r="BP50" s="38">
        <f t="shared" si="14"/>
        <v>104.04</v>
      </c>
    </row>
    <row r="51" spans="1:68" x14ac:dyDescent="0.25">
      <c r="A51" s="86" t="s">
        <v>65</v>
      </c>
      <c r="B51" s="13"/>
      <c r="C51" s="65">
        <v>12.19</v>
      </c>
      <c r="D51" s="65"/>
      <c r="E51" s="65">
        <v>12.48</v>
      </c>
      <c r="F51" s="65"/>
      <c r="G51" s="65">
        <f>SUM(C51:F51)</f>
        <v>24.67</v>
      </c>
      <c r="H51" s="65"/>
      <c r="I51" s="65">
        <v>15.61</v>
      </c>
      <c r="J51" s="65"/>
      <c r="K51" s="65">
        <v>12.48</v>
      </c>
      <c r="L51" s="65">
        <f>SUM(H51:K51)</f>
        <v>28.09</v>
      </c>
      <c r="M51" s="65"/>
      <c r="N51" s="65"/>
      <c r="O51" s="65">
        <v>14.52</v>
      </c>
      <c r="P51" s="65">
        <v>12.6</v>
      </c>
      <c r="Q51" s="65">
        <v>12.48</v>
      </c>
      <c r="R51" s="65">
        <f>SUM(M51:Q51)</f>
        <v>39.599999999999994</v>
      </c>
      <c r="S51" s="65"/>
      <c r="T51" s="65"/>
      <c r="U51" s="65"/>
      <c r="V51" s="65">
        <v>12.48</v>
      </c>
      <c r="W51" s="65">
        <f>SUM(S51:V51)</f>
        <v>12.48</v>
      </c>
      <c r="X51" s="65"/>
      <c r="Y51" s="65">
        <v>12.48</v>
      </c>
      <c r="Z51" s="65"/>
      <c r="AA51" s="65">
        <v>12.48</v>
      </c>
      <c r="AB51" s="65">
        <f>SUM(X51:AA51)</f>
        <v>24.96</v>
      </c>
      <c r="AC51" s="65"/>
      <c r="AD51" s="65"/>
      <c r="AE51" s="65">
        <v>12.38</v>
      </c>
      <c r="AF51" s="65"/>
      <c r="AG51" s="65">
        <v>14.94</v>
      </c>
      <c r="AH51" s="65">
        <f>SUM(AC51:AG51)</f>
        <v>27.32</v>
      </c>
      <c r="AI51" s="65"/>
      <c r="AJ51" s="65"/>
      <c r="AK51" s="65">
        <v>13.56</v>
      </c>
      <c r="AL51" s="65"/>
      <c r="AM51" s="65">
        <f>SUM(AI51:AL51)</f>
        <v>13.56</v>
      </c>
      <c r="AN51" s="65">
        <v>13.83</v>
      </c>
      <c r="AO51" s="65">
        <v>13.98</v>
      </c>
      <c r="AP51" s="65"/>
      <c r="AQ51" s="65"/>
      <c r="AR51" s="65"/>
      <c r="AS51" s="65">
        <f>SUM(AN51:AR51)</f>
        <v>27.810000000000002</v>
      </c>
      <c r="AT51" s="65">
        <v>14.96</v>
      </c>
      <c r="AU51" s="65"/>
      <c r="AV51" s="65">
        <v>14</v>
      </c>
      <c r="AW51" s="65"/>
      <c r="AX51" s="65">
        <f>SUM(AT51:AW51)</f>
        <v>28.96</v>
      </c>
      <c r="AY51" s="65"/>
      <c r="AZ51" s="65">
        <v>13.81</v>
      </c>
      <c r="BA51" s="65"/>
      <c r="BB51" s="65">
        <f>6.94+12.36</f>
        <v>19.3</v>
      </c>
      <c r="BC51" s="65">
        <f>SUM(AY51:BB51)</f>
        <v>33.11</v>
      </c>
      <c r="BD51" s="65"/>
      <c r="BE51" s="65"/>
      <c r="BF51" s="65">
        <f>0.41+11.94</f>
        <v>12.35</v>
      </c>
      <c r="BG51" s="65"/>
      <c r="BH51" s="65">
        <v>19.52</v>
      </c>
      <c r="BI51" s="65">
        <f>SUM(BD51:BH51)</f>
        <v>31.869999999999997</v>
      </c>
      <c r="BJ51" s="65"/>
      <c r="BK51" s="65"/>
      <c r="BL51" s="65">
        <v>16.8</v>
      </c>
      <c r="BM51" s="65"/>
      <c r="BN51" s="65">
        <f>SUM(BJ51:BM51)</f>
        <v>16.8</v>
      </c>
      <c r="BO51" s="14">
        <f>+G51+L51+R51+W51+AB51+AH51+AM51+AS51+AX51+BC51+BI51+BN51</f>
        <v>309.23</v>
      </c>
      <c r="BP51" s="38">
        <f t="shared" si="14"/>
        <v>309.23</v>
      </c>
    </row>
    <row r="52" spans="1:68" x14ac:dyDescent="0.25">
      <c r="A52" s="86" t="s">
        <v>66</v>
      </c>
      <c r="B52" s="13"/>
      <c r="C52" s="65">
        <v>24.12</v>
      </c>
      <c r="D52" s="65">
        <v>33.869999999999997</v>
      </c>
      <c r="E52" s="65">
        <v>21.45</v>
      </c>
      <c r="F52" s="65">
        <v>29.4</v>
      </c>
      <c r="G52" s="65">
        <f t="shared" si="9"/>
        <v>108.84</v>
      </c>
      <c r="H52" s="65">
        <v>32.61</v>
      </c>
      <c r="I52" s="65"/>
      <c r="J52" s="65">
        <v>23.93</v>
      </c>
      <c r="K52" s="65">
        <f>23.52+23.74</f>
        <v>47.26</v>
      </c>
      <c r="L52" s="65">
        <f t="shared" si="20"/>
        <v>103.8</v>
      </c>
      <c r="M52" s="65">
        <v>19.45</v>
      </c>
      <c r="N52" s="65"/>
      <c r="O52" s="65">
        <f>36.64+2.11</f>
        <v>38.75</v>
      </c>
      <c r="P52" s="65">
        <v>45.25</v>
      </c>
      <c r="Q52" s="65">
        <f>23.52+41.68+4.08+1.05</f>
        <v>70.33</v>
      </c>
      <c r="R52" s="65">
        <f t="shared" si="21"/>
        <v>173.78</v>
      </c>
      <c r="S52" s="65">
        <v>16.18</v>
      </c>
      <c r="T52" s="65">
        <v>60.95</v>
      </c>
      <c r="U52" s="65"/>
      <c r="V52" s="65">
        <f>62.51+1.12+29.4</f>
        <v>93.03</v>
      </c>
      <c r="W52" s="65">
        <f t="shared" si="10"/>
        <v>170.16</v>
      </c>
      <c r="X52" s="65"/>
      <c r="Y52" s="65"/>
      <c r="Z52" s="65">
        <v>19.93</v>
      </c>
      <c r="AA52" s="65">
        <f>16.1+23.52</f>
        <v>39.620000000000005</v>
      </c>
      <c r="AB52" s="65">
        <f t="shared" si="25"/>
        <v>59.550000000000004</v>
      </c>
      <c r="AC52" s="65"/>
      <c r="AD52" s="65">
        <v>19.37</v>
      </c>
      <c r="AE52" s="65"/>
      <c r="AF52" s="65"/>
      <c r="AG52" s="65">
        <v>23.96</v>
      </c>
      <c r="AH52" s="65">
        <f t="shared" si="26"/>
        <v>43.33</v>
      </c>
      <c r="AI52" s="65"/>
      <c r="AJ52" s="65"/>
      <c r="AK52" s="65"/>
      <c r="AL52" s="65">
        <v>30.25</v>
      </c>
      <c r="AM52" s="65">
        <f t="shared" si="11"/>
        <v>30.25</v>
      </c>
      <c r="AN52" s="65"/>
      <c r="AO52" s="65"/>
      <c r="AP52" s="65"/>
      <c r="AQ52" s="65"/>
      <c r="AR52" s="65">
        <v>24.2</v>
      </c>
      <c r="AS52" s="65">
        <f t="shared" si="27"/>
        <v>24.2</v>
      </c>
      <c r="AT52" s="65">
        <v>16.7</v>
      </c>
      <c r="AU52" s="65">
        <f>22.81+3.3</f>
        <v>26.11</v>
      </c>
      <c r="AV52" s="65">
        <f>42.75+1.2</f>
        <v>43.95</v>
      </c>
      <c r="AW52" s="65">
        <f>24.32+18.07</f>
        <v>42.39</v>
      </c>
      <c r="AX52" s="65">
        <f t="shared" si="12"/>
        <v>129.15</v>
      </c>
      <c r="AY52" s="65"/>
      <c r="AZ52" s="65">
        <f>17.71+1.94</f>
        <v>19.650000000000002</v>
      </c>
      <c r="BA52" s="65">
        <v>20.36</v>
      </c>
      <c r="BB52" s="65">
        <v>30.45</v>
      </c>
      <c r="BC52" s="65">
        <f t="shared" si="22"/>
        <v>70.460000000000008</v>
      </c>
      <c r="BD52" s="65">
        <v>18.239999999999998</v>
      </c>
      <c r="BE52" s="65">
        <v>41.97</v>
      </c>
      <c r="BF52" s="65">
        <v>11.26</v>
      </c>
      <c r="BG52" s="65"/>
      <c r="BH52" s="65">
        <v>27.56</v>
      </c>
      <c r="BI52" s="65">
        <f t="shared" si="23"/>
        <v>99.03</v>
      </c>
      <c r="BJ52" s="65">
        <v>15.16</v>
      </c>
      <c r="BK52" s="65">
        <v>25.95</v>
      </c>
      <c r="BL52" s="65">
        <v>21.37</v>
      </c>
      <c r="BM52" s="65">
        <f>14.27+34.65</f>
        <v>48.92</v>
      </c>
      <c r="BN52" s="65">
        <f t="shared" si="24"/>
        <v>111.4</v>
      </c>
      <c r="BO52" s="14">
        <f t="shared" si="13"/>
        <v>1123.95</v>
      </c>
      <c r="BP52" s="38">
        <f t="shared" si="14"/>
        <v>1123.95</v>
      </c>
    </row>
    <row r="53" spans="1:68" x14ac:dyDescent="0.25">
      <c r="A53" s="86" t="s">
        <v>67</v>
      </c>
      <c r="B53" s="13"/>
      <c r="C53" s="65">
        <v>34.15</v>
      </c>
      <c r="D53" s="65">
        <v>66.349999999999994</v>
      </c>
      <c r="E53" s="65">
        <v>24.73</v>
      </c>
      <c r="F53" s="65">
        <v>28.02</v>
      </c>
      <c r="G53" s="65">
        <f t="shared" si="9"/>
        <v>153.25</v>
      </c>
      <c r="H53" s="65">
        <v>74.760000000000005</v>
      </c>
      <c r="I53" s="65">
        <v>64.709999999999994</v>
      </c>
      <c r="J53" s="65">
        <v>61.44</v>
      </c>
      <c r="K53" s="65">
        <v>73.53</v>
      </c>
      <c r="L53" s="65">
        <f t="shared" si="20"/>
        <v>274.44</v>
      </c>
      <c r="M53" s="65">
        <v>40.770000000000003</v>
      </c>
      <c r="N53" s="65">
        <v>32.630000000000003</v>
      </c>
      <c r="O53" s="65">
        <v>63.31</v>
      </c>
      <c r="P53" s="65">
        <v>66.099999999999994</v>
      </c>
      <c r="Q53" s="65">
        <v>75.14</v>
      </c>
      <c r="R53" s="65">
        <f t="shared" si="21"/>
        <v>277.95</v>
      </c>
      <c r="S53" s="65">
        <v>84.69</v>
      </c>
      <c r="T53" s="65">
        <v>54.26</v>
      </c>
      <c r="U53" s="65">
        <v>40.69</v>
      </c>
      <c r="V53" s="65">
        <v>24.22</v>
      </c>
      <c r="W53" s="65">
        <f t="shared" si="10"/>
        <v>203.85999999999999</v>
      </c>
      <c r="X53" s="65">
        <v>65.09</v>
      </c>
      <c r="Y53" s="65">
        <v>69.61</v>
      </c>
      <c r="Z53" s="65">
        <v>71.709999999999994</v>
      </c>
      <c r="AA53" s="65">
        <v>30.35</v>
      </c>
      <c r="AB53" s="65">
        <f t="shared" si="25"/>
        <v>236.75999999999996</v>
      </c>
      <c r="AC53" s="65">
        <v>31.45</v>
      </c>
      <c r="AD53" s="65">
        <v>16.55</v>
      </c>
      <c r="AE53" s="65">
        <v>37.729999999999997</v>
      </c>
      <c r="AF53" s="65">
        <v>39.11</v>
      </c>
      <c r="AG53" s="65">
        <v>72.569999999999993</v>
      </c>
      <c r="AH53" s="65">
        <f t="shared" si="26"/>
        <v>197.40999999999997</v>
      </c>
      <c r="AI53" s="65">
        <v>22.63</v>
      </c>
      <c r="AJ53" s="65">
        <v>25.53</v>
      </c>
      <c r="AK53" s="65">
        <v>37.630000000000003</v>
      </c>
      <c r="AL53" s="65">
        <v>78.97</v>
      </c>
      <c r="AM53" s="65">
        <f t="shared" si="11"/>
        <v>164.76</v>
      </c>
      <c r="AN53" s="65">
        <v>21.53</v>
      </c>
      <c r="AO53" s="65">
        <v>81.099999999999994</v>
      </c>
      <c r="AP53" s="65">
        <v>66.52</v>
      </c>
      <c r="AQ53" s="65">
        <v>21.08</v>
      </c>
      <c r="AR53" s="65">
        <v>84.52</v>
      </c>
      <c r="AS53" s="65">
        <f t="shared" si="27"/>
        <v>274.74999999999994</v>
      </c>
      <c r="AT53" s="65"/>
      <c r="AU53" s="65">
        <v>33.380000000000003</v>
      </c>
      <c r="AV53" s="65">
        <f>75.8+7.2</f>
        <v>83</v>
      </c>
      <c r="AW53" s="65">
        <v>20.059999999999999</v>
      </c>
      <c r="AX53" s="65">
        <f t="shared" si="12"/>
        <v>136.44</v>
      </c>
      <c r="AY53" s="65">
        <v>31.45</v>
      </c>
      <c r="AZ53" s="65">
        <v>86.15</v>
      </c>
      <c r="BA53" s="65">
        <v>44.61</v>
      </c>
      <c r="BB53" s="65">
        <v>70.72</v>
      </c>
      <c r="BC53" s="65">
        <f t="shared" si="22"/>
        <v>232.93</v>
      </c>
      <c r="BD53" s="65">
        <f>32.42+2.53</f>
        <v>34.950000000000003</v>
      </c>
      <c r="BE53" s="65">
        <v>75.41</v>
      </c>
      <c r="BF53" s="65">
        <v>78.569999999999993</v>
      </c>
      <c r="BG53" s="65">
        <v>73.72</v>
      </c>
      <c r="BH53" s="65">
        <v>66.36</v>
      </c>
      <c r="BI53" s="65">
        <f t="shared" si="23"/>
        <v>329.01</v>
      </c>
      <c r="BJ53" s="65">
        <v>71.069999999999993</v>
      </c>
      <c r="BK53" s="65">
        <v>74.53</v>
      </c>
      <c r="BL53" s="65">
        <v>86.81</v>
      </c>
      <c r="BM53" s="65"/>
      <c r="BN53" s="65">
        <f t="shared" si="24"/>
        <v>232.41</v>
      </c>
      <c r="BO53" s="14">
        <f t="shared" si="13"/>
        <v>2713.9700000000003</v>
      </c>
      <c r="BP53" s="38">
        <f t="shared" si="14"/>
        <v>2713.9700000000003</v>
      </c>
    </row>
    <row r="54" spans="1:68" x14ac:dyDescent="0.25">
      <c r="A54" s="86" t="s">
        <v>68</v>
      </c>
      <c r="B54" s="13"/>
      <c r="C54" s="65">
        <v>13.36</v>
      </c>
      <c r="D54" s="65">
        <v>13.87</v>
      </c>
      <c r="E54" s="65">
        <v>17.670000000000002</v>
      </c>
      <c r="F54" s="65">
        <v>16.16</v>
      </c>
      <c r="G54" s="65">
        <f t="shared" si="9"/>
        <v>61.06</v>
      </c>
      <c r="H54" s="65">
        <v>14.29</v>
      </c>
      <c r="I54" s="65">
        <v>21.52</v>
      </c>
      <c r="J54" s="65">
        <v>18.98</v>
      </c>
      <c r="K54" s="65">
        <v>20.350000000000001</v>
      </c>
      <c r="L54" s="65">
        <f t="shared" si="20"/>
        <v>75.140000000000015</v>
      </c>
      <c r="M54" s="65">
        <v>17.940000000000001</v>
      </c>
      <c r="N54" s="65">
        <v>20.21</v>
      </c>
      <c r="O54" s="65">
        <v>5.81</v>
      </c>
      <c r="P54" s="65">
        <v>12.63</v>
      </c>
      <c r="Q54" s="65">
        <f>52.92+30.91</f>
        <v>83.83</v>
      </c>
      <c r="R54" s="65">
        <f t="shared" si="21"/>
        <v>140.42000000000002</v>
      </c>
      <c r="S54" s="65">
        <v>17.04</v>
      </c>
      <c r="T54" s="65">
        <v>19.07</v>
      </c>
      <c r="U54" s="65">
        <v>15.41</v>
      </c>
      <c r="V54" s="65">
        <v>4.92</v>
      </c>
      <c r="W54" s="65">
        <f t="shared" si="10"/>
        <v>56.44</v>
      </c>
      <c r="X54" s="65">
        <v>11.3</v>
      </c>
      <c r="Y54" s="65">
        <v>8.43</v>
      </c>
      <c r="Z54" s="65">
        <v>18.78</v>
      </c>
      <c r="AA54" s="65">
        <v>11.39</v>
      </c>
      <c r="AB54" s="65">
        <f t="shared" si="25"/>
        <v>49.900000000000006</v>
      </c>
      <c r="AC54" s="65">
        <v>13.76</v>
      </c>
      <c r="AD54" s="65">
        <v>19.53</v>
      </c>
      <c r="AE54" s="65">
        <v>17.399999999999999</v>
      </c>
      <c r="AF54" s="65">
        <v>23.86</v>
      </c>
      <c r="AG54" s="65">
        <v>16.89</v>
      </c>
      <c r="AH54" s="65">
        <f t="shared" si="26"/>
        <v>91.44</v>
      </c>
      <c r="AI54" s="65">
        <v>19.899999999999999</v>
      </c>
      <c r="AJ54" s="65">
        <v>24.13</v>
      </c>
      <c r="AK54" s="65"/>
      <c r="AL54" s="65">
        <v>28.05</v>
      </c>
      <c r="AM54" s="65">
        <f t="shared" si="11"/>
        <v>72.08</v>
      </c>
      <c r="AN54" s="65">
        <f>3.8+3.2</f>
        <v>7</v>
      </c>
      <c r="AO54" s="65">
        <v>17.27</v>
      </c>
      <c r="AP54" s="65">
        <v>24.12</v>
      </c>
      <c r="AQ54" s="65">
        <v>14.96</v>
      </c>
      <c r="AR54" s="65"/>
      <c r="AS54" s="65">
        <f t="shared" si="27"/>
        <v>63.35</v>
      </c>
      <c r="AT54" s="65">
        <v>18.260000000000002</v>
      </c>
      <c r="AU54" s="65">
        <v>17.190000000000001</v>
      </c>
      <c r="AV54" s="65">
        <v>27.56</v>
      </c>
      <c r="AW54" s="65">
        <v>6.84</v>
      </c>
      <c r="AX54" s="65">
        <f t="shared" si="12"/>
        <v>69.850000000000009</v>
      </c>
      <c r="AY54" s="65">
        <v>23.15</v>
      </c>
      <c r="AZ54" s="65">
        <v>16.329999999999998</v>
      </c>
      <c r="BA54" s="65"/>
      <c r="BB54" s="65">
        <f>18.77+8.65</f>
        <v>27.42</v>
      </c>
      <c r="BC54" s="65">
        <f t="shared" si="22"/>
        <v>66.900000000000006</v>
      </c>
      <c r="BD54" s="65">
        <v>24.62</v>
      </c>
      <c r="BE54" s="65">
        <v>11.57</v>
      </c>
      <c r="BF54" s="65">
        <f>7.7+4.94</f>
        <v>12.64</v>
      </c>
      <c r="BG54" s="65">
        <v>5.94</v>
      </c>
      <c r="BH54" s="65">
        <v>19.87</v>
      </c>
      <c r="BI54" s="65">
        <f t="shared" si="23"/>
        <v>74.64</v>
      </c>
      <c r="BJ54" s="65">
        <v>11.37</v>
      </c>
      <c r="BK54" s="65">
        <v>23.57</v>
      </c>
      <c r="BL54" s="65">
        <v>18.53</v>
      </c>
      <c r="BM54" s="65">
        <v>7.2</v>
      </c>
      <c r="BN54" s="65">
        <f t="shared" si="24"/>
        <v>60.67</v>
      </c>
      <c r="BO54" s="14">
        <f t="shared" si="13"/>
        <v>881.89</v>
      </c>
      <c r="BP54" s="38">
        <f t="shared" si="14"/>
        <v>881.89</v>
      </c>
    </row>
    <row r="55" spans="1:68" x14ac:dyDescent="0.25">
      <c r="A55" s="86" t="s">
        <v>69</v>
      </c>
      <c r="B55" s="13"/>
      <c r="C55" s="65">
        <v>12.41</v>
      </c>
      <c r="D55" s="65">
        <f>27.63+0.05+6.06</f>
        <v>33.74</v>
      </c>
      <c r="E55" s="65">
        <v>25.76</v>
      </c>
      <c r="F55" s="65">
        <f>21.03+0.1+52.92</f>
        <v>74.050000000000011</v>
      </c>
      <c r="G55" s="65">
        <f t="shared" si="9"/>
        <v>145.96000000000004</v>
      </c>
      <c r="H55" s="65">
        <f>64.69+0.15</f>
        <v>64.84</v>
      </c>
      <c r="I55" s="65">
        <v>18.600000000000001</v>
      </c>
      <c r="J55" s="65">
        <v>38.64</v>
      </c>
      <c r="K55" s="65">
        <f>47.04+17.6</f>
        <v>64.64</v>
      </c>
      <c r="L55" s="65">
        <f t="shared" si="20"/>
        <v>186.72</v>
      </c>
      <c r="M55" s="65">
        <f>17.72+5.22</f>
        <v>22.939999999999998</v>
      </c>
      <c r="N55" s="65">
        <v>15.03</v>
      </c>
      <c r="O55" s="65">
        <f>40.13+39.19</f>
        <v>79.319999999999993</v>
      </c>
      <c r="P55" s="65">
        <v>17.43</v>
      </c>
      <c r="Q55" s="65">
        <f>76.44+12.91+7.58+0.84</f>
        <v>97.77</v>
      </c>
      <c r="R55" s="65">
        <f t="shared" si="21"/>
        <v>232.49</v>
      </c>
      <c r="S55" s="65">
        <f>3.84+8.56</f>
        <v>12.4</v>
      </c>
      <c r="T55" s="65">
        <f>15.42+2.72</f>
        <v>18.14</v>
      </c>
      <c r="U55" s="65">
        <f>23.53+4.2+33.6</f>
        <v>61.33</v>
      </c>
      <c r="V55" s="65">
        <f>41.41+0.09+2.8+52.92</f>
        <v>97.22</v>
      </c>
      <c r="W55" s="65">
        <f t="shared" si="10"/>
        <v>189.09</v>
      </c>
      <c r="X55" s="65">
        <f>10.7+0.77</f>
        <v>11.469999999999999</v>
      </c>
      <c r="Y55" s="65">
        <v>15.18</v>
      </c>
      <c r="Z55" s="65">
        <v>31.7</v>
      </c>
      <c r="AA55" s="65">
        <f>11.87+52.92</f>
        <v>64.790000000000006</v>
      </c>
      <c r="AB55" s="65">
        <f t="shared" si="25"/>
        <v>123.14</v>
      </c>
      <c r="AC55" s="65">
        <v>18.34</v>
      </c>
      <c r="AD55" s="65">
        <v>24.85</v>
      </c>
      <c r="AE55" s="65">
        <v>22.09</v>
      </c>
      <c r="AF55" s="65">
        <v>68.03</v>
      </c>
      <c r="AG55" s="65">
        <f>47.92+25.06</f>
        <v>72.98</v>
      </c>
      <c r="AH55" s="65">
        <f t="shared" si="26"/>
        <v>206.29000000000002</v>
      </c>
      <c r="AI55" s="65">
        <v>19.38</v>
      </c>
      <c r="AJ55" s="65">
        <f>18.13+3.9</f>
        <v>22.029999999999998</v>
      </c>
      <c r="AK55" s="65">
        <v>16.12</v>
      </c>
      <c r="AL55" s="65">
        <v>54.45</v>
      </c>
      <c r="AM55" s="65">
        <f t="shared" si="11"/>
        <v>111.98</v>
      </c>
      <c r="AN55" s="65">
        <f>28.14+2.04</f>
        <v>30.18</v>
      </c>
      <c r="AO55" s="65">
        <f>78.56+3.2</f>
        <v>81.760000000000005</v>
      </c>
      <c r="AP55" s="65">
        <v>61.6</v>
      </c>
      <c r="AQ55" s="65">
        <v>15.98</v>
      </c>
      <c r="AR55" s="65">
        <f>54.45+103.99</f>
        <v>158.44</v>
      </c>
      <c r="AS55" s="65">
        <f t="shared" si="27"/>
        <v>347.96</v>
      </c>
      <c r="AT55" s="65">
        <f>12.69+0.3</f>
        <v>12.99</v>
      </c>
      <c r="AU55" s="65">
        <f>13.71+9.3+1.65</f>
        <v>24.66</v>
      </c>
      <c r="AV55" s="65">
        <f>22.66+0</f>
        <v>22.66</v>
      </c>
      <c r="AW55" s="65">
        <f>48.64+22.65+2.44</f>
        <v>73.72999999999999</v>
      </c>
      <c r="AX55" s="65">
        <f t="shared" si="12"/>
        <v>134.04</v>
      </c>
      <c r="AY55" s="65">
        <v>30.85</v>
      </c>
      <c r="AZ55" s="65">
        <v>26.43</v>
      </c>
      <c r="BA55" s="65">
        <v>27.93</v>
      </c>
      <c r="BB55" s="65">
        <f>23.83+54.81</f>
        <v>78.64</v>
      </c>
      <c r="BC55" s="65">
        <f t="shared" si="22"/>
        <v>163.85000000000002</v>
      </c>
      <c r="BD55" s="65">
        <v>11.66</v>
      </c>
      <c r="BE55" s="65">
        <f>8.38+1.6</f>
        <v>9.98</v>
      </c>
      <c r="BF55" s="65">
        <v>8.5500000000000007</v>
      </c>
      <c r="BG55" s="65">
        <f>17.8+6</f>
        <v>23.8</v>
      </c>
      <c r="BH55" s="65">
        <f>62.01+21.28</f>
        <v>83.289999999999992</v>
      </c>
      <c r="BI55" s="65">
        <f t="shared" si="23"/>
        <v>137.28</v>
      </c>
      <c r="BJ55" s="65">
        <v>71.02</v>
      </c>
      <c r="BK55" s="65">
        <v>30.61</v>
      </c>
      <c r="BL55" s="65">
        <f>4.08+29.91</f>
        <v>33.99</v>
      </c>
      <c r="BM55" s="65">
        <f>14.19+62.37</f>
        <v>76.56</v>
      </c>
      <c r="BN55" s="65">
        <f t="shared" si="24"/>
        <v>212.18</v>
      </c>
      <c r="BO55" s="14">
        <f t="shared" si="13"/>
        <v>2190.98</v>
      </c>
      <c r="BP55" s="38">
        <f t="shared" si="14"/>
        <v>2190.98</v>
      </c>
    </row>
    <row r="56" spans="1:68" x14ac:dyDescent="0.25">
      <c r="A56" s="86" t="s">
        <v>70</v>
      </c>
      <c r="B56" s="13"/>
      <c r="C56" s="65">
        <v>41.04</v>
      </c>
      <c r="D56" s="65">
        <v>95.62</v>
      </c>
      <c r="E56" s="65">
        <f>57.63+5.88</f>
        <v>63.510000000000005</v>
      </c>
      <c r="F56" s="65">
        <f>101.78+82.32</f>
        <v>184.1</v>
      </c>
      <c r="G56" s="65">
        <f t="shared" si="9"/>
        <v>384.27</v>
      </c>
      <c r="H56" s="65">
        <v>43.14</v>
      </c>
      <c r="I56" s="65">
        <v>55.13</v>
      </c>
      <c r="J56" s="65">
        <v>43.74</v>
      </c>
      <c r="K56" s="65">
        <f>70.56+53.47</f>
        <v>124.03</v>
      </c>
      <c r="L56" s="65">
        <f t="shared" si="20"/>
        <v>266.04000000000002</v>
      </c>
      <c r="M56" s="65">
        <f>112.21+3.34</f>
        <v>115.55</v>
      </c>
      <c r="N56" s="65">
        <v>69.290000000000006</v>
      </c>
      <c r="O56" s="65">
        <v>110.72</v>
      </c>
      <c r="P56" s="65">
        <v>45.56</v>
      </c>
      <c r="Q56" s="65">
        <f>58.06+1.26</f>
        <v>59.32</v>
      </c>
      <c r="R56" s="65">
        <f t="shared" si="21"/>
        <v>400.44</v>
      </c>
      <c r="S56" s="65">
        <f>10.4+106.1</f>
        <v>116.5</v>
      </c>
      <c r="T56" s="65">
        <v>84.73</v>
      </c>
      <c r="U56" s="65">
        <v>80.28</v>
      </c>
      <c r="V56" s="65">
        <f>96.17+7.15+82.32</f>
        <v>185.64</v>
      </c>
      <c r="W56" s="65">
        <f t="shared" si="10"/>
        <v>467.15</v>
      </c>
      <c r="X56" s="65">
        <f>94.46+7.12</f>
        <v>101.58</v>
      </c>
      <c r="Y56" s="65">
        <v>81.19</v>
      </c>
      <c r="Z56" s="65">
        <v>74.63</v>
      </c>
      <c r="AA56" s="65">
        <f>109.06+76.44</f>
        <v>185.5</v>
      </c>
      <c r="AB56" s="65">
        <f t="shared" si="25"/>
        <v>442.9</v>
      </c>
      <c r="AC56" s="65">
        <v>128.35</v>
      </c>
      <c r="AD56" s="65">
        <v>72.150000000000006</v>
      </c>
      <c r="AE56" s="65">
        <v>50.96</v>
      </c>
      <c r="AF56" s="65"/>
      <c r="AG56" s="65">
        <f>71.88+44.25</f>
        <v>116.13</v>
      </c>
      <c r="AH56" s="65">
        <f t="shared" si="26"/>
        <v>367.59000000000003</v>
      </c>
      <c r="AI56" s="65">
        <v>38.549999999999997</v>
      </c>
      <c r="AJ56" s="65">
        <v>80.64</v>
      </c>
      <c r="AK56" s="65">
        <v>59.69</v>
      </c>
      <c r="AL56" s="65">
        <f>50.43+84.7</f>
        <v>135.13</v>
      </c>
      <c r="AM56" s="65">
        <f t="shared" si="11"/>
        <v>314.01</v>
      </c>
      <c r="AN56" s="65">
        <v>102.15</v>
      </c>
      <c r="AO56" s="65">
        <v>126.28</v>
      </c>
      <c r="AP56" s="65">
        <f>53.43+0.78</f>
        <v>54.21</v>
      </c>
      <c r="AQ56" s="65">
        <v>94.13</v>
      </c>
      <c r="AR56" s="65">
        <f>78.65+62.24</f>
        <v>140.89000000000001</v>
      </c>
      <c r="AS56" s="65">
        <f t="shared" si="27"/>
        <v>517.66</v>
      </c>
      <c r="AT56" s="65"/>
      <c r="AU56" s="65">
        <v>120.82</v>
      </c>
      <c r="AV56" s="65">
        <f>58.57+3</f>
        <v>61.57</v>
      </c>
      <c r="AW56" s="65">
        <f>72.96+64.22</f>
        <v>137.18</v>
      </c>
      <c r="AX56" s="65">
        <f t="shared" si="12"/>
        <v>319.57</v>
      </c>
      <c r="AY56" s="65">
        <f>112.26+1.26</f>
        <v>113.52000000000001</v>
      </c>
      <c r="AZ56" s="65">
        <f>68.12+1.26</f>
        <v>69.38000000000001</v>
      </c>
      <c r="BA56" s="65">
        <v>106.72</v>
      </c>
      <c r="BB56" s="65">
        <f>56.44+7.41+85.26</f>
        <v>149.11000000000001</v>
      </c>
      <c r="BC56" s="65">
        <f t="shared" si="22"/>
        <v>438.73</v>
      </c>
      <c r="BD56" s="65">
        <v>111</v>
      </c>
      <c r="BE56" s="65">
        <v>143.56</v>
      </c>
      <c r="BF56" s="65">
        <f>34.53+13.3</f>
        <v>47.83</v>
      </c>
      <c r="BG56" s="65">
        <v>97.35</v>
      </c>
      <c r="BH56" s="65">
        <f>89.57+116.08</f>
        <v>205.64999999999998</v>
      </c>
      <c r="BI56" s="65">
        <f t="shared" si="23"/>
        <v>605.39</v>
      </c>
      <c r="BJ56" s="65">
        <v>119.93</v>
      </c>
      <c r="BK56" s="65">
        <f>162.94+2</f>
        <v>164.94</v>
      </c>
      <c r="BL56" s="65">
        <v>69.430000000000007</v>
      </c>
      <c r="BM56" s="65">
        <f>118.09+2.83+97.02</f>
        <v>217.94</v>
      </c>
      <c r="BN56" s="65">
        <f t="shared" si="24"/>
        <v>572.24</v>
      </c>
      <c r="BO56" s="14">
        <f t="shared" si="13"/>
        <v>5095.9900000000007</v>
      </c>
      <c r="BP56" s="38">
        <f t="shared" si="14"/>
        <v>5095.9900000000007</v>
      </c>
    </row>
    <row r="57" spans="1:68" x14ac:dyDescent="0.25">
      <c r="A57" s="86" t="s">
        <v>71</v>
      </c>
      <c r="B57" s="13"/>
      <c r="C57" s="65">
        <v>7.74</v>
      </c>
      <c r="D57" s="65">
        <v>6.23</v>
      </c>
      <c r="E57" s="65">
        <v>6.29</v>
      </c>
      <c r="F57" s="65">
        <v>7.55</v>
      </c>
      <c r="G57" s="65">
        <f>SUM(C57:F57)</f>
        <v>27.810000000000002</v>
      </c>
      <c r="H57" s="65">
        <v>6.29</v>
      </c>
      <c r="I57" s="65">
        <v>7.52</v>
      </c>
      <c r="J57" s="65">
        <v>6.23</v>
      </c>
      <c r="K57" s="65">
        <v>6.29</v>
      </c>
      <c r="L57" s="65">
        <f>SUM(H57:K57)</f>
        <v>26.33</v>
      </c>
      <c r="M57" s="65">
        <v>6.23</v>
      </c>
      <c r="N57" s="65">
        <v>6.95</v>
      </c>
      <c r="O57" s="65">
        <v>7.52</v>
      </c>
      <c r="P57" s="65">
        <v>6.23</v>
      </c>
      <c r="Q57" s="65">
        <v>6.29</v>
      </c>
      <c r="R57" s="65">
        <f>SUM(M57:Q57)</f>
        <v>33.22</v>
      </c>
      <c r="S57" s="65">
        <v>7.68</v>
      </c>
      <c r="T57" s="65">
        <v>6.95</v>
      </c>
      <c r="U57" s="65">
        <v>6.29</v>
      </c>
      <c r="V57" s="65">
        <v>6.23</v>
      </c>
      <c r="W57" s="65">
        <f>SUM(S57:V57)</f>
        <v>27.15</v>
      </c>
      <c r="X57" s="65">
        <v>7.55</v>
      </c>
      <c r="Y57" s="65">
        <v>6.82</v>
      </c>
      <c r="Z57" s="65">
        <v>7.52</v>
      </c>
      <c r="AA57" s="65">
        <v>6.29</v>
      </c>
      <c r="AB57" s="65">
        <f>SUM(X57:AA57)</f>
        <v>28.18</v>
      </c>
      <c r="AC57" s="65">
        <v>6.35</v>
      </c>
      <c r="AD57" s="65">
        <v>7.68</v>
      </c>
      <c r="AE57" s="65">
        <v>7</v>
      </c>
      <c r="AF57" s="65">
        <v>7.76</v>
      </c>
      <c r="AG57" s="65">
        <v>6.41</v>
      </c>
      <c r="AH57" s="65">
        <f>SUM(AC57:AG57)</f>
        <v>35.200000000000003</v>
      </c>
      <c r="AI57" s="65">
        <v>7.05</v>
      </c>
      <c r="AJ57" s="65">
        <v>7.79</v>
      </c>
      <c r="AK57" s="65">
        <f>6.42+9.66</f>
        <v>16.079999999999998</v>
      </c>
      <c r="AL57" s="65">
        <v>6.42</v>
      </c>
      <c r="AM57" s="65">
        <f>SUM(AI57:AL57)</f>
        <v>37.339999999999996</v>
      </c>
      <c r="AN57" s="65">
        <v>6.42</v>
      </c>
      <c r="AO57" s="65">
        <v>7.77</v>
      </c>
      <c r="AP57" s="65">
        <v>7.03</v>
      </c>
      <c r="AQ57" s="65">
        <v>5.69</v>
      </c>
      <c r="AR57" s="65">
        <v>11.74</v>
      </c>
      <c r="AS57" s="65">
        <f>SUM(AN57:AR57)</f>
        <v>38.65</v>
      </c>
      <c r="AT57" s="65">
        <v>6.37</v>
      </c>
      <c r="AU57" s="65">
        <v>7.78</v>
      </c>
      <c r="AV57" s="65">
        <v>5.44</v>
      </c>
      <c r="AW57" s="65">
        <v>7.06</v>
      </c>
      <c r="AX57" s="65">
        <f>SUM(AT57:AW57)</f>
        <v>26.65</v>
      </c>
      <c r="AY57" s="65">
        <v>6.41</v>
      </c>
      <c r="AZ57" s="65">
        <v>6.91</v>
      </c>
      <c r="BA57" s="65">
        <v>7.8</v>
      </c>
      <c r="BB57" s="65">
        <v>7.05</v>
      </c>
      <c r="BC57" s="65">
        <f>SUM(AY57:BB57)</f>
        <v>28.17</v>
      </c>
      <c r="BD57" s="65">
        <v>7.84</v>
      </c>
      <c r="BE57" s="65">
        <v>6.42</v>
      </c>
      <c r="BF57" s="65">
        <v>5.92</v>
      </c>
      <c r="BG57" s="65">
        <v>7.84</v>
      </c>
      <c r="BH57" s="65">
        <v>7.49</v>
      </c>
      <c r="BI57" s="65">
        <f>SUM(BD57:BH57)</f>
        <v>35.51</v>
      </c>
      <c r="BJ57" s="65">
        <v>7.84</v>
      </c>
      <c r="BK57" s="65">
        <f>8.78+10.26</f>
        <v>19.04</v>
      </c>
      <c r="BL57" s="65">
        <v>7.76</v>
      </c>
      <c r="BM57" s="65">
        <v>7.24</v>
      </c>
      <c r="BN57" s="65">
        <f>SUM(BJ57:BM57)</f>
        <v>41.88</v>
      </c>
      <c r="BO57" s="14">
        <f>+G57+L57+R57+W57+AB57+AH57+AM57+AS57+AX57+BC57+BI57+BN57</f>
        <v>386.09</v>
      </c>
      <c r="BP57" s="38">
        <f t="shared" si="14"/>
        <v>386.09</v>
      </c>
    </row>
    <row r="58" spans="1:68" ht="15.75" thickBot="1" x14ac:dyDescent="0.3">
      <c r="A58" s="86" t="s">
        <v>72</v>
      </c>
      <c r="B58" s="15"/>
      <c r="C58" s="68"/>
      <c r="D58" s="68"/>
      <c r="E58" s="68"/>
      <c r="F58" s="68"/>
      <c r="G58" s="68">
        <f>SUM(C58:F58)</f>
        <v>0</v>
      </c>
      <c r="H58" s="68"/>
      <c r="I58" s="68"/>
      <c r="J58" s="68"/>
      <c r="K58" s="68"/>
      <c r="L58" s="68">
        <f>SUM(H58:K58)</f>
        <v>0</v>
      </c>
      <c r="M58" s="68"/>
      <c r="N58" s="68"/>
      <c r="O58" s="68"/>
      <c r="P58" s="68"/>
      <c r="Q58" s="68"/>
      <c r="R58" s="68">
        <f>SUM(M58:Q58)</f>
        <v>0</v>
      </c>
      <c r="S58" s="68"/>
      <c r="T58" s="68"/>
      <c r="U58" s="68">
        <v>6.65</v>
      </c>
      <c r="V58" s="68"/>
      <c r="W58" s="68">
        <f>SUM(S58:V58)</f>
        <v>6.65</v>
      </c>
      <c r="X58" s="68"/>
      <c r="Y58" s="68"/>
      <c r="Z58" s="68"/>
      <c r="AA58" s="68"/>
      <c r="AB58" s="68">
        <f>SUM(X58:AA58)</f>
        <v>0</v>
      </c>
      <c r="AC58" s="68"/>
      <c r="AD58" s="68"/>
      <c r="AE58" s="68"/>
      <c r="AF58" s="68"/>
      <c r="AG58" s="68"/>
      <c r="AH58" s="68">
        <f>SUM(AC58:AG58)</f>
        <v>0</v>
      </c>
      <c r="AI58" s="68"/>
      <c r="AJ58" s="68"/>
      <c r="AK58" s="68"/>
      <c r="AL58" s="68"/>
      <c r="AM58" s="68">
        <f>SUM(AI58:AL58)</f>
        <v>0</v>
      </c>
      <c r="AN58" s="68"/>
      <c r="AO58" s="68"/>
      <c r="AP58" s="68"/>
      <c r="AQ58" s="68"/>
      <c r="AR58" s="68"/>
      <c r="AS58" s="68">
        <f>SUM(AN58:AR58)</f>
        <v>0</v>
      </c>
      <c r="AT58" s="68"/>
      <c r="AU58" s="68"/>
      <c r="AV58" s="68"/>
      <c r="AW58" s="68"/>
      <c r="AX58" s="68">
        <f>SUM(AT58:AW58)</f>
        <v>0</v>
      </c>
      <c r="AY58" s="68"/>
      <c r="AZ58" s="68"/>
      <c r="BA58" s="68"/>
      <c r="BB58" s="68"/>
      <c r="BC58" s="68">
        <f>SUM(AY58:BB58)</f>
        <v>0</v>
      </c>
      <c r="BD58" s="68"/>
      <c r="BE58" s="68"/>
      <c r="BF58" s="68"/>
      <c r="BG58" s="68"/>
      <c r="BH58" s="68"/>
      <c r="BI58" s="68">
        <f>SUM(BD58:BH58)</f>
        <v>0</v>
      </c>
      <c r="BJ58" s="68">
        <v>4.2699999999999996</v>
      </c>
      <c r="BK58" s="68"/>
      <c r="BL58" s="68"/>
      <c r="BM58" s="68"/>
      <c r="BN58" s="68">
        <f>SUM(BJ58:BM58)</f>
        <v>4.2699999999999996</v>
      </c>
      <c r="BO58" s="16">
        <f>+G58+L58+R58+W58+AB58+AH58+AM58+AS58+AX58+BC58+BI58+BN58</f>
        <v>10.92</v>
      </c>
      <c r="BP58" s="38">
        <f t="shared" si="14"/>
        <v>10.92</v>
      </c>
    </row>
    <row r="59" spans="1:68" ht="16.5" thickTop="1" thickBot="1" x14ac:dyDescent="0.3">
      <c r="A59" s="85" t="s">
        <v>73</v>
      </c>
      <c r="B59" s="42"/>
      <c r="C59" s="64"/>
      <c r="D59" s="64"/>
      <c r="E59" s="64"/>
      <c r="F59" s="64"/>
      <c r="G59" s="64">
        <f>SUM(G50:G58)</f>
        <v>916.23</v>
      </c>
      <c r="H59" s="64"/>
      <c r="I59" s="64"/>
      <c r="J59" s="64"/>
      <c r="K59" s="64"/>
      <c r="L59" s="64">
        <f>SUM(L50:L58)</f>
        <v>973.08</v>
      </c>
      <c r="M59" s="64"/>
      <c r="N59" s="64"/>
      <c r="O59" s="64"/>
      <c r="P59" s="64"/>
      <c r="Q59" s="64"/>
      <c r="R59" s="64">
        <f>SUM(R50:R58)</f>
        <v>1305.3900000000001</v>
      </c>
      <c r="S59" s="64"/>
      <c r="T59" s="64"/>
      <c r="U59" s="64"/>
      <c r="V59" s="64"/>
      <c r="W59" s="64">
        <f>SUM(W50:W58)</f>
        <v>1144.5800000000002</v>
      </c>
      <c r="X59" s="64"/>
      <c r="Y59" s="64"/>
      <c r="Z59" s="64"/>
      <c r="AA59" s="64"/>
      <c r="AB59" s="64">
        <f>SUM(AB50:AB58)</f>
        <v>970.74999999999989</v>
      </c>
      <c r="AC59" s="64"/>
      <c r="AD59" s="64"/>
      <c r="AE59" s="64"/>
      <c r="AF59" s="64"/>
      <c r="AG59" s="64"/>
      <c r="AH59" s="64">
        <f>SUM(AH50:AH58)</f>
        <v>975.45</v>
      </c>
      <c r="AI59" s="64"/>
      <c r="AJ59" s="64"/>
      <c r="AK59" s="64"/>
      <c r="AL59" s="64"/>
      <c r="AM59" s="64">
        <f>SUM(AM50:AM58)</f>
        <v>763.92</v>
      </c>
      <c r="AN59" s="64"/>
      <c r="AO59" s="64"/>
      <c r="AP59" s="64"/>
      <c r="AQ59" s="64"/>
      <c r="AR59" s="64"/>
      <c r="AS59" s="64">
        <f>SUM(AS50:AS58)</f>
        <v>1302.5</v>
      </c>
      <c r="AT59" s="64"/>
      <c r="AU59" s="64"/>
      <c r="AV59" s="64"/>
      <c r="AW59" s="64"/>
      <c r="AX59" s="64">
        <f>SUM(AX50:AX58)</f>
        <v>851.51999999999987</v>
      </c>
      <c r="AY59" s="64"/>
      <c r="AZ59" s="64"/>
      <c r="BA59" s="64"/>
      <c r="BB59" s="64"/>
      <c r="BC59" s="64">
        <f>SUM(BC50:BC58)</f>
        <v>1039.0900000000001</v>
      </c>
      <c r="BD59" s="64"/>
      <c r="BE59" s="64"/>
      <c r="BF59" s="64"/>
      <c r="BG59" s="64"/>
      <c r="BH59" s="64"/>
      <c r="BI59" s="64">
        <f>SUM(BI50:BI58)</f>
        <v>1320.14</v>
      </c>
      <c r="BJ59" s="64"/>
      <c r="BK59" s="64"/>
      <c r="BL59" s="64"/>
      <c r="BM59" s="64"/>
      <c r="BN59" s="64">
        <f>SUM(BN50:BN58)</f>
        <v>1254.4100000000001</v>
      </c>
      <c r="BO59" s="43">
        <f>SUM(BO50:BO58)</f>
        <v>12817.060000000003</v>
      </c>
      <c r="BP59" s="38"/>
    </row>
    <row r="60" spans="1:68" ht="15.75" thickTop="1" x14ac:dyDescent="0.25">
      <c r="A60" s="87" t="s">
        <v>74</v>
      </c>
      <c r="B60" s="11"/>
      <c r="C60" s="58"/>
      <c r="D60" s="58"/>
      <c r="E60" s="58"/>
      <c r="F60" s="58">
        <v>36.99</v>
      </c>
      <c r="G60" s="58">
        <f t="shared" si="9"/>
        <v>36.99</v>
      </c>
      <c r="H60" s="58"/>
      <c r="I60" s="58"/>
      <c r="J60" s="58"/>
      <c r="K60" s="58">
        <v>29.87</v>
      </c>
      <c r="L60" s="58">
        <f t="shared" si="20"/>
        <v>29.87</v>
      </c>
      <c r="M60" s="58"/>
      <c r="N60" s="58"/>
      <c r="O60" s="58"/>
      <c r="P60" s="58"/>
      <c r="Q60" s="58">
        <f>17.75+2.5</f>
        <v>20.25</v>
      </c>
      <c r="R60" s="58">
        <f t="shared" si="21"/>
        <v>20.25</v>
      </c>
      <c r="S60" s="58"/>
      <c r="T60" s="58"/>
      <c r="U60" s="58"/>
      <c r="V60" s="58"/>
      <c r="W60" s="58">
        <f t="shared" si="10"/>
        <v>0</v>
      </c>
      <c r="X60" s="58">
        <v>33.46</v>
      </c>
      <c r="Y60" s="58"/>
      <c r="Z60" s="58"/>
      <c r="AA60" s="58"/>
      <c r="AB60" s="58">
        <f t="shared" si="25"/>
        <v>33.46</v>
      </c>
      <c r="AC60" s="58"/>
      <c r="AD60" s="58"/>
      <c r="AE60" s="58"/>
      <c r="AF60" s="58">
        <v>41.28</v>
      </c>
      <c r="AG60" s="58"/>
      <c r="AH60" s="58">
        <f t="shared" si="26"/>
        <v>41.28</v>
      </c>
      <c r="AI60" s="58"/>
      <c r="AJ60" s="58"/>
      <c r="AK60" s="58"/>
      <c r="AL60" s="58"/>
      <c r="AM60" s="58">
        <f t="shared" si="11"/>
        <v>0</v>
      </c>
      <c r="AN60" s="58"/>
      <c r="AO60" s="58">
        <f>28.56+2.4+1.72</f>
        <v>32.68</v>
      </c>
      <c r="AP60" s="58"/>
      <c r="AQ60" s="58"/>
      <c r="AR60" s="58"/>
      <c r="AS60" s="58">
        <f t="shared" si="27"/>
        <v>32.68</v>
      </c>
      <c r="AT60" s="58"/>
      <c r="AU60" s="58"/>
      <c r="AV60" s="58"/>
      <c r="AW60" s="58"/>
      <c r="AX60" s="58">
        <f t="shared" si="12"/>
        <v>0</v>
      </c>
      <c r="AY60" s="58"/>
      <c r="AZ60" s="58"/>
      <c r="BA60" s="58">
        <v>21.23</v>
      </c>
      <c r="BB60" s="58"/>
      <c r="BC60" s="58">
        <f t="shared" si="22"/>
        <v>21.23</v>
      </c>
      <c r="BD60" s="58"/>
      <c r="BE60" s="58"/>
      <c r="BF60" s="58">
        <f>17.1+13.02</f>
        <v>30.12</v>
      </c>
      <c r="BG60" s="58"/>
      <c r="BH60" s="58"/>
      <c r="BI60" s="58">
        <f t="shared" si="23"/>
        <v>30.12</v>
      </c>
      <c r="BJ60" s="58"/>
      <c r="BK60" s="58"/>
      <c r="BL60" s="58"/>
      <c r="BM60" s="58">
        <v>31.19</v>
      </c>
      <c r="BN60" s="58">
        <f t="shared" si="24"/>
        <v>31.19</v>
      </c>
      <c r="BO60" s="12">
        <f t="shared" si="13"/>
        <v>277.07</v>
      </c>
      <c r="BP60" s="38">
        <f t="shared" si="14"/>
        <v>277.07</v>
      </c>
    </row>
    <row r="61" spans="1:68" x14ac:dyDescent="0.25">
      <c r="A61" s="87" t="s">
        <v>75</v>
      </c>
      <c r="B61" s="18"/>
      <c r="C61" s="65">
        <v>10.19</v>
      </c>
      <c r="D61" s="65">
        <v>4.99</v>
      </c>
      <c r="E61" s="65">
        <v>8.14</v>
      </c>
      <c r="F61" s="65">
        <f>13.02+1.5</f>
        <v>14.52</v>
      </c>
      <c r="G61" s="65">
        <f t="shared" ref="G61:G62" si="41">SUM(C61:F61)</f>
        <v>37.840000000000003</v>
      </c>
      <c r="H61" s="65">
        <v>7.77</v>
      </c>
      <c r="I61" s="65">
        <v>15.2</v>
      </c>
      <c r="J61" s="65">
        <v>14.43</v>
      </c>
      <c r="K61" s="65">
        <v>4.8499999999999996</v>
      </c>
      <c r="L61" s="65">
        <f t="shared" ref="L61:L62" si="42">SUM(H61:K61)</f>
        <v>42.25</v>
      </c>
      <c r="M61" s="65">
        <v>14.43</v>
      </c>
      <c r="N61" s="65"/>
      <c r="O61" s="65">
        <v>6.06</v>
      </c>
      <c r="P61" s="65">
        <v>10.54</v>
      </c>
      <c r="Q61" s="65"/>
      <c r="R61" s="65">
        <f t="shared" ref="R61:R62" si="43">SUM(M61:Q61)</f>
        <v>31.029999999999998</v>
      </c>
      <c r="S61" s="65">
        <v>10.050000000000001</v>
      </c>
      <c r="T61" s="65">
        <v>9.61</v>
      </c>
      <c r="U61" s="65">
        <v>9.2100000000000009</v>
      </c>
      <c r="V61" s="65"/>
      <c r="W61" s="65">
        <f t="shared" ref="W61:W62" si="44">SUM(S61:V61)</f>
        <v>28.87</v>
      </c>
      <c r="X61" s="65">
        <v>15.22</v>
      </c>
      <c r="Y61" s="65">
        <v>9.5299999999999994</v>
      </c>
      <c r="Z61" s="65"/>
      <c r="AA61" s="65">
        <v>14.46</v>
      </c>
      <c r="AB61" s="65">
        <f t="shared" ref="AB61:AB62" si="45">SUM(X61:AA61)</f>
        <v>39.21</v>
      </c>
      <c r="AC61" s="65">
        <v>9.18</v>
      </c>
      <c r="AD61" s="65">
        <v>10.16</v>
      </c>
      <c r="AE61" s="65">
        <v>9.7100000000000009</v>
      </c>
      <c r="AF61" s="65">
        <v>10.210000000000001</v>
      </c>
      <c r="AG61" s="65"/>
      <c r="AH61" s="65">
        <f t="shared" ref="AH61:AH62" si="46">SUM(AC61:AG61)</f>
        <v>39.260000000000005</v>
      </c>
      <c r="AI61" s="65"/>
      <c r="AJ61" s="65">
        <v>15.55</v>
      </c>
      <c r="AK61" s="65">
        <v>8</v>
      </c>
      <c r="AL61" s="65"/>
      <c r="AM61" s="65">
        <f t="shared" ref="AM61:AM62" si="47">SUM(AI61:AL61)</f>
        <v>23.55</v>
      </c>
      <c r="AN61" s="65">
        <v>8</v>
      </c>
      <c r="AO61" s="65"/>
      <c r="AP61" s="65">
        <v>5.8</v>
      </c>
      <c r="AQ61" s="65"/>
      <c r="AR61" s="65">
        <v>10.210000000000001</v>
      </c>
      <c r="AS61" s="65">
        <f t="shared" ref="AS61:AS62" si="48">SUM(AN61:AR61)</f>
        <v>24.01</v>
      </c>
      <c r="AT61" s="65">
        <v>10.67</v>
      </c>
      <c r="AU61" s="65">
        <v>10.210000000000001</v>
      </c>
      <c r="AV61" s="65">
        <v>15.08</v>
      </c>
      <c r="AW61" s="65">
        <v>14.68</v>
      </c>
      <c r="AX61" s="65">
        <f t="shared" ref="AX61:AX62" si="49">SUM(AT61:AW61)</f>
        <v>50.64</v>
      </c>
      <c r="AY61" s="65"/>
      <c r="AZ61" s="65">
        <v>9.7200000000000006</v>
      </c>
      <c r="BA61" s="65">
        <v>10.3</v>
      </c>
      <c r="BB61" s="65"/>
      <c r="BC61" s="65">
        <f>SUM(AY61:BB61)</f>
        <v>20.020000000000003</v>
      </c>
      <c r="BD61" s="65">
        <v>6.3</v>
      </c>
      <c r="BE61" s="65"/>
      <c r="BF61" s="65">
        <v>9.15</v>
      </c>
      <c r="BG61" s="65"/>
      <c r="BH61" s="65"/>
      <c r="BI61" s="65">
        <f t="shared" ref="BI61:BI62" si="50">SUM(BD61:BH61)</f>
        <v>15.45</v>
      </c>
      <c r="BJ61" s="65">
        <v>10.31</v>
      </c>
      <c r="BK61" s="65"/>
      <c r="BL61" s="65">
        <v>10.45</v>
      </c>
      <c r="BM61" s="65"/>
      <c r="BN61" s="65">
        <f t="shared" ref="BN61:BN62" si="51">SUM(BJ61:BM61)</f>
        <v>20.759999999999998</v>
      </c>
      <c r="BO61" s="14">
        <f t="shared" ref="BO61:BO62" si="52">+G61+L61+R61+W61+AB61+AH61+AM61+AS61+AX61+BC61+BI61+BN61</f>
        <v>372.89</v>
      </c>
      <c r="BP61" s="38">
        <f t="shared" si="14"/>
        <v>372.89</v>
      </c>
    </row>
    <row r="62" spans="1:68" x14ac:dyDescent="0.25">
      <c r="A62" s="87" t="s">
        <v>76</v>
      </c>
      <c r="B62" s="18"/>
      <c r="C62" s="65"/>
      <c r="D62" s="65"/>
      <c r="E62" s="65"/>
      <c r="F62" s="65">
        <f>4.4+3.78</f>
        <v>8.18</v>
      </c>
      <c r="G62" s="65">
        <f t="shared" si="41"/>
        <v>8.18</v>
      </c>
      <c r="H62" s="65">
        <v>4.99</v>
      </c>
      <c r="I62" s="65">
        <f>1.58+4.99</f>
        <v>6.57</v>
      </c>
      <c r="J62" s="65"/>
      <c r="K62" s="65"/>
      <c r="L62" s="65">
        <f t="shared" si="42"/>
        <v>11.56</v>
      </c>
      <c r="M62" s="65"/>
      <c r="N62" s="65">
        <v>2.52</v>
      </c>
      <c r="O62" s="65"/>
      <c r="P62" s="65"/>
      <c r="Q62" s="65"/>
      <c r="R62" s="65">
        <f t="shared" si="43"/>
        <v>2.52</v>
      </c>
      <c r="S62" s="65"/>
      <c r="T62" s="65"/>
      <c r="U62" s="65"/>
      <c r="V62" s="65"/>
      <c r="W62" s="65">
        <f t="shared" si="44"/>
        <v>0</v>
      </c>
      <c r="X62" s="65"/>
      <c r="Y62" s="65"/>
      <c r="Z62" s="65"/>
      <c r="AA62" s="65"/>
      <c r="AB62" s="65">
        <f t="shared" si="45"/>
        <v>0</v>
      </c>
      <c r="AC62" s="65"/>
      <c r="AD62" s="65"/>
      <c r="AE62" s="65"/>
      <c r="AF62" s="65"/>
      <c r="AG62" s="65"/>
      <c r="AH62" s="65">
        <f t="shared" si="46"/>
        <v>0</v>
      </c>
      <c r="AI62" s="65"/>
      <c r="AJ62" s="65"/>
      <c r="AK62" s="65"/>
      <c r="AL62" s="65"/>
      <c r="AM62" s="65">
        <f t="shared" si="47"/>
        <v>0</v>
      </c>
      <c r="AN62" s="65"/>
      <c r="AO62" s="65"/>
      <c r="AP62" s="65"/>
      <c r="AQ62" s="65"/>
      <c r="AR62" s="65"/>
      <c r="AS62" s="65">
        <f t="shared" si="48"/>
        <v>0</v>
      </c>
      <c r="AT62" s="65"/>
      <c r="AU62" s="65"/>
      <c r="AV62" s="65"/>
      <c r="AW62" s="65"/>
      <c r="AX62" s="65">
        <f t="shared" si="49"/>
        <v>0</v>
      </c>
      <c r="AY62" s="65"/>
      <c r="AZ62" s="65"/>
      <c r="BA62" s="65"/>
      <c r="BB62" s="65"/>
      <c r="BC62" s="65">
        <f>SUM(AY62:BB62)</f>
        <v>0</v>
      </c>
      <c r="BD62" s="65"/>
      <c r="BE62" s="65"/>
      <c r="BF62" s="65"/>
      <c r="BG62" s="65"/>
      <c r="BH62" s="65"/>
      <c r="BI62" s="65">
        <f t="shared" si="50"/>
        <v>0</v>
      </c>
      <c r="BJ62" s="65"/>
      <c r="BK62" s="65"/>
      <c r="BL62" s="65"/>
      <c r="BM62" s="65"/>
      <c r="BN62" s="65">
        <f t="shared" si="51"/>
        <v>0</v>
      </c>
      <c r="BO62" s="14">
        <f t="shared" si="52"/>
        <v>22.26</v>
      </c>
      <c r="BP62" s="38">
        <f t="shared" si="14"/>
        <v>22.26</v>
      </c>
    </row>
    <row r="63" spans="1:68" x14ac:dyDescent="0.25">
      <c r="A63" s="87" t="s">
        <v>77</v>
      </c>
      <c r="B63" s="13"/>
      <c r="C63" s="65"/>
      <c r="D63" s="65"/>
      <c r="E63" s="65">
        <v>2.5</v>
      </c>
      <c r="F63" s="65">
        <v>2.5</v>
      </c>
      <c r="G63" s="65">
        <f t="shared" si="9"/>
        <v>5</v>
      </c>
      <c r="H63" s="65">
        <v>2.5</v>
      </c>
      <c r="I63" s="65">
        <v>2.5</v>
      </c>
      <c r="J63" s="65">
        <v>2.5</v>
      </c>
      <c r="K63" s="65">
        <f>2.5+18</f>
        <v>20.5</v>
      </c>
      <c r="L63" s="65">
        <f t="shared" si="20"/>
        <v>28</v>
      </c>
      <c r="M63" s="65">
        <v>2.5</v>
      </c>
      <c r="N63" s="65">
        <v>2.5</v>
      </c>
      <c r="O63" s="65">
        <v>2.5</v>
      </c>
      <c r="P63" s="65">
        <f>2.5+2</f>
        <v>4.5</v>
      </c>
      <c r="Q63" s="65">
        <v>2.5</v>
      </c>
      <c r="R63" s="65">
        <f t="shared" si="21"/>
        <v>14.5</v>
      </c>
      <c r="S63" s="65">
        <v>2.5</v>
      </c>
      <c r="T63" s="65">
        <v>2.5</v>
      </c>
      <c r="U63" s="65">
        <v>3.74</v>
      </c>
      <c r="V63" s="65">
        <v>3.74</v>
      </c>
      <c r="W63" s="65">
        <f t="shared" si="10"/>
        <v>12.48</v>
      </c>
      <c r="X63" s="65">
        <v>3.74</v>
      </c>
      <c r="Y63" s="65">
        <v>3.74</v>
      </c>
      <c r="Z63" s="65">
        <v>3.74</v>
      </c>
      <c r="AA63" s="65">
        <f>3.74</f>
        <v>3.74</v>
      </c>
      <c r="AB63" s="65">
        <f t="shared" si="25"/>
        <v>14.96</v>
      </c>
      <c r="AC63" s="65">
        <v>3.74</v>
      </c>
      <c r="AD63" s="65">
        <v>3.74</v>
      </c>
      <c r="AE63" s="65">
        <v>3.71</v>
      </c>
      <c r="AF63" s="65">
        <v>3.71</v>
      </c>
      <c r="AG63" s="65"/>
      <c r="AH63" s="65">
        <f t="shared" si="26"/>
        <v>14.900000000000002</v>
      </c>
      <c r="AI63" s="65"/>
      <c r="AJ63" s="65"/>
      <c r="AK63" s="65">
        <v>3.71</v>
      </c>
      <c r="AL63" s="65">
        <v>3.71</v>
      </c>
      <c r="AM63" s="65">
        <f t="shared" si="11"/>
        <v>7.42</v>
      </c>
      <c r="AN63" s="65">
        <v>3.71</v>
      </c>
      <c r="AO63" s="65">
        <v>3.7</v>
      </c>
      <c r="AP63" s="65">
        <v>2.4700000000000002</v>
      </c>
      <c r="AQ63" s="65"/>
      <c r="AR63" s="65">
        <v>2.4700000000000002</v>
      </c>
      <c r="AS63" s="65">
        <f t="shared" si="27"/>
        <v>12.350000000000001</v>
      </c>
      <c r="AT63" s="65"/>
      <c r="AU63" s="65">
        <v>2.4700000000000002</v>
      </c>
      <c r="AV63" s="65">
        <v>2.4700000000000002</v>
      </c>
      <c r="AW63" s="65">
        <v>2.4700000000000002</v>
      </c>
      <c r="AX63" s="65">
        <f t="shared" si="12"/>
        <v>7.41</v>
      </c>
      <c r="AY63" s="65">
        <v>2.4700000000000002</v>
      </c>
      <c r="AZ63" s="65">
        <v>2.4700000000000002</v>
      </c>
      <c r="BA63" s="65"/>
      <c r="BB63" s="65">
        <v>2.4700000000000002</v>
      </c>
      <c r="BC63" s="65">
        <f t="shared" si="22"/>
        <v>7.41</v>
      </c>
      <c r="BD63" s="65">
        <v>2.4700000000000002</v>
      </c>
      <c r="BE63" s="65">
        <v>2.4700000000000002</v>
      </c>
      <c r="BF63" s="65">
        <v>2.4700000000000002</v>
      </c>
      <c r="BG63" s="65">
        <v>2.4700000000000002</v>
      </c>
      <c r="BH63" s="65">
        <v>2.4700000000000002</v>
      </c>
      <c r="BI63" s="65">
        <f t="shared" si="23"/>
        <v>12.350000000000001</v>
      </c>
      <c r="BJ63" s="65">
        <v>2.4700000000000002</v>
      </c>
      <c r="BK63" s="65">
        <v>2.56</v>
      </c>
      <c r="BL63" s="65">
        <v>2.65</v>
      </c>
      <c r="BM63" s="65">
        <v>2.65</v>
      </c>
      <c r="BN63" s="65">
        <f t="shared" si="24"/>
        <v>10.33</v>
      </c>
      <c r="BO63" s="14">
        <f t="shared" si="13"/>
        <v>147.11000000000001</v>
      </c>
      <c r="BP63" s="38">
        <f t="shared" si="14"/>
        <v>147.11000000000001</v>
      </c>
    </row>
    <row r="64" spans="1:68" x14ac:dyDescent="0.25">
      <c r="A64" s="87" t="s">
        <v>78</v>
      </c>
      <c r="B64" s="13"/>
      <c r="C64" s="65"/>
      <c r="D64" s="65"/>
      <c r="E64" s="65"/>
      <c r="F64" s="65"/>
      <c r="G64" s="65">
        <f t="shared" si="9"/>
        <v>0</v>
      </c>
      <c r="H64" s="65"/>
      <c r="I64" s="65"/>
      <c r="J64" s="65"/>
      <c r="K64" s="65"/>
      <c r="L64" s="65">
        <f t="shared" si="20"/>
        <v>0</v>
      </c>
      <c r="M64" s="65"/>
      <c r="N64" s="65"/>
      <c r="O64" s="65"/>
      <c r="P64" s="65"/>
      <c r="Q64" s="65"/>
      <c r="R64" s="65">
        <f t="shared" si="21"/>
        <v>0</v>
      </c>
      <c r="S64" s="65"/>
      <c r="T64" s="65"/>
      <c r="U64" s="65"/>
      <c r="V64" s="65"/>
      <c r="W64" s="65">
        <f t="shared" si="10"/>
        <v>0</v>
      </c>
      <c r="X64" s="65"/>
      <c r="Y64" s="65"/>
      <c r="Z64" s="65"/>
      <c r="AA64" s="65"/>
      <c r="AB64" s="65">
        <f t="shared" si="25"/>
        <v>0</v>
      </c>
      <c r="AC64" s="65"/>
      <c r="AD64" s="65"/>
      <c r="AE64" s="65"/>
      <c r="AF64" s="65"/>
      <c r="AG64" s="65"/>
      <c r="AH64" s="65">
        <f t="shared" si="26"/>
        <v>0</v>
      </c>
      <c r="AI64" s="65"/>
      <c r="AJ64" s="65"/>
      <c r="AK64" s="65"/>
      <c r="AL64" s="65"/>
      <c r="AM64" s="65">
        <f t="shared" si="11"/>
        <v>0</v>
      </c>
      <c r="AN64" s="65"/>
      <c r="AO64" s="65"/>
      <c r="AP64" s="65"/>
      <c r="AQ64" s="65"/>
      <c r="AR64" s="65"/>
      <c r="AS64" s="65">
        <f t="shared" si="27"/>
        <v>0</v>
      </c>
      <c r="AT64" s="65"/>
      <c r="AU64" s="65"/>
      <c r="AV64" s="65"/>
      <c r="AW64" s="65"/>
      <c r="AX64" s="65">
        <f t="shared" si="12"/>
        <v>0</v>
      </c>
      <c r="AY64" s="65"/>
      <c r="AZ64" s="65"/>
      <c r="BA64" s="65"/>
      <c r="BB64" s="65"/>
      <c r="BC64" s="65">
        <f t="shared" si="22"/>
        <v>0</v>
      </c>
      <c r="BD64" s="65"/>
      <c r="BE64" s="65"/>
      <c r="BF64" s="65"/>
      <c r="BG64" s="65"/>
      <c r="BH64" s="65"/>
      <c r="BI64" s="65">
        <f t="shared" si="23"/>
        <v>0</v>
      </c>
      <c r="BJ64" s="65"/>
      <c r="BK64" s="65"/>
      <c r="BL64" s="65"/>
      <c r="BM64" s="65"/>
      <c r="BN64" s="65">
        <f t="shared" si="24"/>
        <v>0</v>
      </c>
      <c r="BO64" s="14">
        <f t="shared" si="13"/>
        <v>0</v>
      </c>
      <c r="BP64" s="38">
        <f t="shared" si="14"/>
        <v>0</v>
      </c>
    </row>
    <row r="65" spans="1:68" x14ac:dyDescent="0.25">
      <c r="A65" s="87" t="s">
        <v>79</v>
      </c>
      <c r="B65" s="13"/>
      <c r="C65" s="65"/>
      <c r="D65" s="65"/>
      <c r="E65" s="65"/>
      <c r="F65" s="65"/>
      <c r="G65" s="65">
        <f t="shared" si="9"/>
        <v>0</v>
      </c>
      <c r="H65" s="65"/>
      <c r="I65" s="65"/>
      <c r="J65" s="65"/>
      <c r="K65" s="65"/>
      <c r="L65" s="65">
        <f t="shared" si="20"/>
        <v>0</v>
      </c>
      <c r="M65" s="65"/>
      <c r="N65" s="65"/>
      <c r="O65" s="65"/>
      <c r="P65" s="65"/>
      <c r="Q65" s="65"/>
      <c r="R65" s="65">
        <f t="shared" si="21"/>
        <v>0</v>
      </c>
      <c r="S65" s="65"/>
      <c r="T65" s="65"/>
      <c r="U65" s="65"/>
      <c r="V65" s="65"/>
      <c r="W65" s="65">
        <f t="shared" si="10"/>
        <v>0</v>
      </c>
      <c r="X65" s="65"/>
      <c r="Y65" s="65"/>
      <c r="Z65" s="65"/>
      <c r="AA65" s="65"/>
      <c r="AB65" s="65">
        <f t="shared" si="25"/>
        <v>0</v>
      </c>
      <c r="AC65" s="65"/>
      <c r="AD65" s="65"/>
      <c r="AE65" s="65"/>
      <c r="AF65" s="65"/>
      <c r="AG65" s="65"/>
      <c r="AH65" s="65">
        <f t="shared" si="26"/>
        <v>0</v>
      </c>
      <c r="AI65" s="65"/>
      <c r="AJ65" s="65"/>
      <c r="AK65" s="65"/>
      <c r="AL65" s="65"/>
      <c r="AM65" s="65">
        <f t="shared" si="11"/>
        <v>0</v>
      </c>
      <c r="AN65" s="65"/>
      <c r="AO65" s="65"/>
      <c r="AP65" s="65"/>
      <c r="AQ65" s="65"/>
      <c r="AR65" s="65"/>
      <c r="AS65" s="65">
        <f t="shared" si="27"/>
        <v>0</v>
      </c>
      <c r="AT65" s="65"/>
      <c r="AU65" s="65"/>
      <c r="AV65" s="65"/>
      <c r="AW65" s="65"/>
      <c r="AX65" s="65">
        <f t="shared" si="12"/>
        <v>0</v>
      </c>
      <c r="AY65" s="65"/>
      <c r="AZ65" s="65"/>
      <c r="BA65" s="65"/>
      <c r="BB65" s="65"/>
      <c r="BC65" s="65">
        <f t="shared" si="22"/>
        <v>0</v>
      </c>
      <c r="BD65" s="65"/>
      <c r="BE65" s="65"/>
      <c r="BF65" s="65"/>
      <c r="BG65" s="65"/>
      <c r="BH65" s="65"/>
      <c r="BI65" s="65">
        <f t="shared" si="23"/>
        <v>0</v>
      </c>
      <c r="BJ65" s="65"/>
      <c r="BK65" s="65"/>
      <c r="BL65" s="65"/>
      <c r="BM65" s="65"/>
      <c r="BN65" s="65">
        <f t="shared" si="24"/>
        <v>0</v>
      </c>
      <c r="BO65" s="14">
        <f t="shared" si="13"/>
        <v>0</v>
      </c>
      <c r="BP65" s="38">
        <f t="shared" si="14"/>
        <v>0</v>
      </c>
    </row>
    <row r="66" spans="1:68" x14ac:dyDescent="0.25">
      <c r="A66" s="87" t="s">
        <v>80</v>
      </c>
      <c r="B66" s="13"/>
      <c r="C66" s="65">
        <v>68.27</v>
      </c>
      <c r="D66" s="65">
        <v>114.24</v>
      </c>
      <c r="E66" s="65">
        <f>49.55+30</f>
        <v>79.55</v>
      </c>
      <c r="F66" s="65">
        <f>19.18+10.77+49.18</f>
        <v>79.13</v>
      </c>
      <c r="G66" s="65">
        <f t="shared" si="9"/>
        <v>341.19</v>
      </c>
      <c r="H66" s="65">
        <v>32.979999999999997</v>
      </c>
      <c r="I66" s="65">
        <v>65.06</v>
      </c>
      <c r="J66" s="65">
        <v>79.239999999999995</v>
      </c>
      <c r="K66" s="65">
        <f>46.6+31.09</f>
        <v>77.69</v>
      </c>
      <c r="L66" s="65">
        <f t="shared" si="20"/>
        <v>254.96999999999997</v>
      </c>
      <c r="M66" s="65">
        <v>24.93</v>
      </c>
      <c r="N66" s="65">
        <v>24.93</v>
      </c>
      <c r="O66" s="65">
        <v>16.489999999999998</v>
      </c>
      <c r="P66" s="65"/>
      <c r="Q66" s="65">
        <f>30.3+40.89+105.84</f>
        <v>177.03</v>
      </c>
      <c r="R66" s="65">
        <f t="shared" si="21"/>
        <v>243.38</v>
      </c>
      <c r="S66" s="65">
        <f>29.89+5.07</f>
        <v>34.96</v>
      </c>
      <c r="T66" s="65">
        <v>27.68</v>
      </c>
      <c r="U66" s="65">
        <v>32.979999999999997</v>
      </c>
      <c r="V66" s="65">
        <f>58.43+10.4</f>
        <v>68.83</v>
      </c>
      <c r="W66" s="65">
        <f t="shared" si="10"/>
        <v>164.45</v>
      </c>
      <c r="X66" s="65">
        <v>98.87</v>
      </c>
      <c r="Y66" s="65">
        <v>36.020000000000003</v>
      </c>
      <c r="Z66" s="65">
        <v>19.54</v>
      </c>
      <c r="AA66" s="65">
        <f>19.54+8.04+6.4</f>
        <v>33.979999999999997</v>
      </c>
      <c r="AB66" s="65">
        <f t="shared" si="25"/>
        <v>188.41</v>
      </c>
      <c r="AC66" s="65">
        <v>19.940000000000001</v>
      </c>
      <c r="AD66" s="65">
        <v>28.58</v>
      </c>
      <c r="AE66" s="65">
        <v>64.45</v>
      </c>
      <c r="AF66" s="65">
        <v>24.94</v>
      </c>
      <c r="AG66" s="65">
        <f>30.32+33.08</f>
        <v>63.4</v>
      </c>
      <c r="AH66" s="65">
        <f t="shared" si="26"/>
        <v>201.31</v>
      </c>
      <c r="AI66" s="65">
        <v>40.9</v>
      </c>
      <c r="AJ66" s="65"/>
      <c r="AK66" s="65">
        <v>19.690000000000001</v>
      </c>
      <c r="AL66" s="65">
        <f>50.26+31.96</f>
        <v>82.22</v>
      </c>
      <c r="AM66" s="65">
        <f t="shared" si="11"/>
        <v>142.81</v>
      </c>
      <c r="AN66" s="65">
        <v>45.73</v>
      </c>
      <c r="AO66" s="65">
        <v>26.97</v>
      </c>
      <c r="AP66" s="65">
        <f>76.7+8.05</f>
        <v>84.75</v>
      </c>
      <c r="AQ66" s="65"/>
      <c r="AR66" s="65">
        <v>30.96</v>
      </c>
      <c r="AS66" s="65">
        <f t="shared" si="27"/>
        <v>188.41</v>
      </c>
      <c r="AT66" s="65">
        <v>61.47</v>
      </c>
      <c r="AU66" s="65">
        <f>14.92+8.05</f>
        <v>22.97</v>
      </c>
      <c r="AV66" s="65">
        <v>61.13</v>
      </c>
      <c r="AW66" s="65">
        <f>39.28+33.46</f>
        <v>72.740000000000009</v>
      </c>
      <c r="AX66" s="65">
        <f t="shared" si="12"/>
        <v>218.31</v>
      </c>
      <c r="AY66" s="65">
        <v>42.9</v>
      </c>
      <c r="AZ66" s="65">
        <v>3.18</v>
      </c>
      <c r="BA66" s="65">
        <v>40.6</v>
      </c>
      <c r="BB66" s="65">
        <f>63.14+28.65</f>
        <v>91.789999999999992</v>
      </c>
      <c r="BC66" s="65">
        <f t="shared" si="22"/>
        <v>178.47</v>
      </c>
      <c r="BD66" s="65">
        <v>26.85</v>
      </c>
      <c r="BE66" s="65">
        <v>33.74</v>
      </c>
      <c r="BF66" s="65">
        <f>15.02+5.04</f>
        <v>20.059999999999999</v>
      </c>
      <c r="BG66" s="65">
        <v>52.82</v>
      </c>
      <c r="BH66" s="65">
        <f>29.74+13.31</f>
        <v>43.05</v>
      </c>
      <c r="BI66" s="65">
        <f t="shared" si="23"/>
        <v>176.51999999999998</v>
      </c>
      <c r="BJ66" s="65">
        <v>39.96</v>
      </c>
      <c r="BK66" s="65">
        <v>60.47</v>
      </c>
      <c r="BL66" s="65">
        <f>6.93+16.99</f>
        <v>23.919999999999998</v>
      </c>
      <c r="BM66" s="65">
        <f>11.6+5.39+19.97</f>
        <v>36.959999999999994</v>
      </c>
      <c r="BN66" s="65">
        <f t="shared" si="24"/>
        <v>161.31</v>
      </c>
      <c r="BO66" s="14">
        <f t="shared" si="13"/>
        <v>2459.54</v>
      </c>
      <c r="BP66" s="38">
        <f t="shared" si="14"/>
        <v>2459.54</v>
      </c>
    </row>
    <row r="67" spans="1:68" x14ac:dyDescent="0.25">
      <c r="A67" s="87" t="s">
        <v>81</v>
      </c>
      <c r="B67" s="13"/>
      <c r="C67" s="65"/>
      <c r="D67" s="65"/>
      <c r="E67" s="65"/>
      <c r="F67" s="65"/>
      <c r="G67" s="65">
        <f t="shared" si="9"/>
        <v>0</v>
      </c>
      <c r="H67" s="65"/>
      <c r="I67" s="65"/>
      <c r="J67" s="65"/>
      <c r="K67" s="65"/>
      <c r="L67" s="65">
        <f t="shared" si="20"/>
        <v>0</v>
      </c>
      <c r="M67" s="65"/>
      <c r="N67" s="65"/>
      <c r="O67" s="65"/>
      <c r="P67" s="65"/>
      <c r="Q67" s="65"/>
      <c r="R67" s="65">
        <f t="shared" si="21"/>
        <v>0</v>
      </c>
      <c r="S67" s="65"/>
      <c r="T67" s="65"/>
      <c r="U67" s="65"/>
      <c r="V67" s="65"/>
      <c r="W67" s="65">
        <f t="shared" si="10"/>
        <v>0</v>
      </c>
      <c r="X67" s="65"/>
      <c r="Y67" s="65"/>
      <c r="Z67" s="65"/>
      <c r="AA67" s="65"/>
      <c r="AB67" s="65">
        <f t="shared" si="25"/>
        <v>0</v>
      </c>
      <c r="AC67" s="65"/>
      <c r="AD67" s="65"/>
      <c r="AE67" s="65"/>
      <c r="AF67" s="65"/>
      <c r="AG67" s="65"/>
      <c r="AH67" s="65">
        <f t="shared" si="26"/>
        <v>0</v>
      </c>
      <c r="AI67" s="65"/>
      <c r="AJ67" s="65"/>
      <c r="AK67" s="65"/>
      <c r="AL67" s="65"/>
      <c r="AM67" s="65">
        <f t="shared" si="11"/>
        <v>0</v>
      </c>
      <c r="AN67" s="65"/>
      <c r="AO67" s="65"/>
      <c r="AP67" s="65"/>
      <c r="AQ67" s="65"/>
      <c r="AR67" s="65"/>
      <c r="AS67" s="65">
        <f t="shared" si="27"/>
        <v>0</v>
      </c>
      <c r="AT67" s="65"/>
      <c r="AU67" s="65"/>
      <c r="AV67" s="65"/>
      <c r="AW67" s="65"/>
      <c r="AX67" s="65">
        <f t="shared" si="12"/>
        <v>0</v>
      </c>
      <c r="AY67" s="65"/>
      <c r="AZ67" s="65"/>
      <c r="BA67" s="65"/>
      <c r="BB67" s="65"/>
      <c r="BC67" s="65">
        <f t="shared" si="22"/>
        <v>0</v>
      </c>
      <c r="BD67" s="65"/>
      <c r="BE67" s="65"/>
      <c r="BF67" s="65"/>
      <c r="BG67" s="65"/>
      <c r="BH67" s="65"/>
      <c r="BI67" s="65">
        <f t="shared" si="23"/>
        <v>0</v>
      </c>
      <c r="BJ67" s="65"/>
      <c r="BK67" s="65"/>
      <c r="BL67" s="65"/>
      <c r="BM67" s="65"/>
      <c r="BN67" s="65">
        <f t="shared" si="24"/>
        <v>0</v>
      </c>
      <c r="BO67" s="14">
        <f t="shared" si="13"/>
        <v>0</v>
      </c>
      <c r="BP67" s="38">
        <f t="shared" si="14"/>
        <v>0</v>
      </c>
    </row>
    <row r="68" spans="1:68" x14ac:dyDescent="0.25">
      <c r="A68" s="87" t="s">
        <v>82</v>
      </c>
      <c r="B68" s="13"/>
      <c r="C68" s="65"/>
      <c r="D68" s="65"/>
      <c r="E68" s="65"/>
      <c r="F68" s="65"/>
      <c r="G68" s="65">
        <f t="shared" si="9"/>
        <v>0</v>
      </c>
      <c r="H68" s="65"/>
      <c r="I68" s="65"/>
      <c r="J68" s="65"/>
      <c r="K68" s="65"/>
      <c r="L68" s="65">
        <f t="shared" si="20"/>
        <v>0</v>
      </c>
      <c r="M68" s="65"/>
      <c r="N68" s="65"/>
      <c r="O68" s="65"/>
      <c r="P68" s="65"/>
      <c r="Q68" s="65"/>
      <c r="R68" s="65">
        <f t="shared" si="21"/>
        <v>0</v>
      </c>
      <c r="S68" s="65"/>
      <c r="T68" s="65"/>
      <c r="U68" s="65"/>
      <c r="V68" s="65"/>
      <c r="W68" s="65">
        <f t="shared" si="10"/>
        <v>0</v>
      </c>
      <c r="X68" s="65"/>
      <c r="Y68" s="65"/>
      <c r="Z68" s="65"/>
      <c r="AA68" s="65"/>
      <c r="AB68" s="65">
        <f t="shared" si="25"/>
        <v>0</v>
      </c>
      <c r="AC68" s="65"/>
      <c r="AD68" s="65"/>
      <c r="AE68" s="65"/>
      <c r="AF68" s="65"/>
      <c r="AG68" s="65"/>
      <c r="AH68" s="65">
        <f t="shared" si="26"/>
        <v>0</v>
      </c>
      <c r="AI68" s="65"/>
      <c r="AJ68" s="65"/>
      <c r="AK68" s="65"/>
      <c r="AL68" s="65"/>
      <c r="AM68" s="65">
        <f t="shared" si="11"/>
        <v>0</v>
      </c>
      <c r="AN68" s="65"/>
      <c r="AO68" s="65"/>
      <c r="AP68" s="65"/>
      <c r="AQ68" s="65"/>
      <c r="AR68" s="65"/>
      <c r="AS68" s="65">
        <f t="shared" si="27"/>
        <v>0</v>
      </c>
      <c r="AT68" s="65"/>
      <c r="AU68" s="65"/>
      <c r="AV68" s="65"/>
      <c r="AW68" s="65"/>
      <c r="AX68" s="65">
        <f t="shared" si="12"/>
        <v>0</v>
      </c>
      <c r="AY68" s="65"/>
      <c r="AZ68" s="65"/>
      <c r="BA68" s="65"/>
      <c r="BB68" s="65"/>
      <c r="BC68" s="65">
        <f t="shared" si="22"/>
        <v>0</v>
      </c>
      <c r="BD68" s="65"/>
      <c r="BE68" s="65"/>
      <c r="BF68" s="65"/>
      <c r="BG68" s="65"/>
      <c r="BH68" s="65"/>
      <c r="BI68" s="65">
        <f t="shared" si="23"/>
        <v>0</v>
      </c>
      <c r="BJ68" s="65"/>
      <c r="BK68" s="65"/>
      <c r="BL68" s="65"/>
      <c r="BM68" s="65"/>
      <c r="BN68" s="65">
        <f t="shared" si="24"/>
        <v>0</v>
      </c>
      <c r="BO68" s="14">
        <f t="shared" si="13"/>
        <v>0</v>
      </c>
      <c r="BP68" s="38">
        <f t="shared" si="14"/>
        <v>0</v>
      </c>
    </row>
    <row r="69" spans="1:68" x14ac:dyDescent="0.25">
      <c r="A69" s="87" t="s">
        <v>83</v>
      </c>
      <c r="B69" s="18"/>
      <c r="C69" s="69">
        <v>18.29</v>
      </c>
      <c r="D69" s="69"/>
      <c r="E69" s="69"/>
      <c r="F69" s="69"/>
      <c r="G69" s="69">
        <f>SUM(C69:F69)</f>
        <v>18.29</v>
      </c>
      <c r="H69" s="69"/>
      <c r="I69" s="69">
        <v>18.72</v>
      </c>
      <c r="J69" s="69"/>
      <c r="K69" s="69"/>
      <c r="L69" s="69">
        <f>SUM(H69:K69)</f>
        <v>18.72</v>
      </c>
      <c r="M69" s="69"/>
      <c r="N69" s="69"/>
      <c r="O69" s="69">
        <v>18.72</v>
      </c>
      <c r="P69" s="69"/>
      <c r="Q69" s="69"/>
      <c r="R69" s="69">
        <f>SUM(M69:Q69)</f>
        <v>18.72</v>
      </c>
      <c r="S69" s="69">
        <v>18.72</v>
      </c>
      <c r="T69" s="69"/>
      <c r="U69" s="69"/>
      <c r="V69" s="69"/>
      <c r="W69" s="69">
        <f>SUM(S69:V69)</f>
        <v>18.72</v>
      </c>
      <c r="X69" s="69"/>
      <c r="Y69" s="69">
        <v>18.72</v>
      </c>
      <c r="Z69" s="69"/>
      <c r="AA69" s="69"/>
      <c r="AB69" s="69">
        <f>SUM(X69:AA69)</f>
        <v>18.72</v>
      </c>
      <c r="AC69" s="69"/>
      <c r="AD69" s="69">
        <v>18.57</v>
      </c>
      <c r="AE69" s="69"/>
      <c r="AF69" s="69"/>
      <c r="AG69" s="69">
        <v>18.53</v>
      </c>
      <c r="AH69" s="69">
        <f>SUM(AC69:AG69)</f>
        <v>37.1</v>
      </c>
      <c r="AI69" s="69"/>
      <c r="AJ69" s="69"/>
      <c r="AK69" s="69"/>
      <c r="AL69" s="69"/>
      <c r="AM69" s="69">
        <f>SUM(AI69:AL69)</f>
        <v>0</v>
      </c>
      <c r="AN69" s="69">
        <v>18.53</v>
      </c>
      <c r="AO69" s="69"/>
      <c r="AP69" s="69"/>
      <c r="AQ69" s="69">
        <v>18.489999999999998</v>
      </c>
      <c r="AR69" s="69"/>
      <c r="AS69" s="69">
        <f>SUM(AN69:AR69)</f>
        <v>37.019999999999996</v>
      </c>
      <c r="AT69" s="69"/>
      <c r="AU69" s="69">
        <v>18.52</v>
      </c>
      <c r="AV69" s="69"/>
      <c r="AW69" s="69"/>
      <c r="AX69" s="69">
        <f>SUM(AT69:AW69)</f>
        <v>18.52</v>
      </c>
      <c r="AY69" s="69"/>
      <c r="AZ69" s="69">
        <v>18.52</v>
      </c>
      <c r="BA69" s="69"/>
      <c r="BB69" s="69"/>
      <c r="BC69" s="69">
        <f>SUM(AY69:BB69)</f>
        <v>18.52</v>
      </c>
      <c r="BD69" s="69"/>
      <c r="BE69" s="69">
        <f>12.36+6.18</f>
        <v>18.54</v>
      </c>
      <c r="BF69" s="69"/>
      <c r="BG69" s="69"/>
      <c r="BH69" s="69"/>
      <c r="BI69" s="69">
        <f>SUM(BD69:BH69)</f>
        <v>18.54</v>
      </c>
      <c r="BJ69" s="69"/>
      <c r="BK69" s="69"/>
      <c r="BL69" s="69"/>
      <c r="BM69" s="69"/>
      <c r="BN69" s="69">
        <f>SUM(BJ69:BM69)</f>
        <v>0</v>
      </c>
      <c r="BO69" s="14">
        <f>+G69+L69+R69+W69+AB69+AH69+AM69+AS69+AX69+BC69+BI69+BN69</f>
        <v>222.86999999999998</v>
      </c>
      <c r="BP69" s="38">
        <f t="shared" si="14"/>
        <v>222.86999999999998</v>
      </c>
    </row>
    <row r="70" spans="1:68" x14ac:dyDescent="0.25">
      <c r="A70" s="87" t="s">
        <v>84</v>
      </c>
      <c r="B70" s="18"/>
      <c r="C70" s="69"/>
      <c r="D70" s="69"/>
      <c r="E70" s="69"/>
      <c r="F70" s="69"/>
      <c r="G70" s="69">
        <f>SUM(C70:F70)</f>
        <v>0</v>
      </c>
      <c r="H70" s="69"/>
      <c r="I70" s="69"/>
      <c r="J70" s="69"/>
      <c r="K70" s="69"/>
      <c r="L70" s="69">
        <f>SUM(H70:K70)</f>
        <v>0</v>
      </c>
      <c r="M70" s="69"/>
      <c r="N70" s="69"/>
      <c r="O70" s="69">
        <v>7.33</v>
      </c>
      <c r="P70" s="69"/>
      <c r="Q70" s="69"/>
      <c r="R70" s="69">
        <f>SUM(M70:Q70)</f>
        <v>7.33</v>
      </c>
      <c r="S70" s="69"/>
      <c r="T70" s="69"/>
      <c r="U70" s="69"/>
      <c r="V70" s="69"/>
      <c r="W70" s="69">
        <f>SUM(S70:V70)</f>
        <v>0</v>
      </c>
      <c r="X70" s="69"/>
      <c r="Y70" s="69"/>
      <c r="Z70" s="69"/>
      <c r="AA70" s="69">
        <v>15.68</v>
      </c>
      <c r="AB70" s="69">
        <f>SUM(X70:AA70)</f>
        <v>15.68</v>
      </c>
      <c r="AC70" s="69"/>
      <c r="AD70" s="69"/>
      <c r="AE70" s="69"/>
      <c r="AF70" s="69"/>
      <c r="AG70" s="69"/>
      <c r="AH70" s="69">
        <f>SUM(AC70:AG70)</f>
        <v>0</v>
      </c>
      <c r="AI70" s="69"/>
      <c r="AJ70" s="69"/>
      <c r="AK70" s="69"/>
      <c r="AL70" s="69"/>
      <c r="AM70" s="69">
        <f>SUM(AI70:AL70)</f>
        <v>0</v>
      </c>
      <c r="AN70" s="69"/>
      <c r="AO70" s="69"/>
      <c r="AP70" s="69"/>
      <c r="AQ70" s="69"/>
      <c r="AR70" s="69"/>
      <c r="AS70" s="69">
        <f>SUM(AN70:AR70)</f>
        <v>0</v>
      </c>
      <c r="AT70" s="69"/>
      <c r="AU70" s="69">
        <v>5.04</v>
      </c>
      <c r="AV70" s="69"/>
      <c r="AW70" s="69"/>
      <c r="AX70" s="69">
        <f>SUM(AT70:AW70)</f>
        <v>5.04</v>
      </c>
      <c r="AY70" s="69"/>
      <c r="AZ70" s="69"/>
      <c r="BA70" s="69"/>
      <c r="BB70" s="69"/>
      <c r="BC70" s="69">
        <f>SUM(AY70:BB70)</f>
        <v>0</v>
      </c>
      <c r="BD70" s="69"/>
      <c r="BE70" s="69"/>
      <c r="BF70" s="69"/>
      <c r="BG70" s="69"/>
      <c r="BH70" s="69"/>
      <c r="BI70" s="69">
        <f>SUM(BD70:BH70)</f>
        <v>0</v>
      </c>
      <c r="BJ70" s="69"/>
      <c r="BK70" s="69"/>
      <c r="BL70" s="69"/>
      <c r="BM70" s="69"/>
      <c r="BN70" s="69">
        <f>SUM(BJ70:BM70)</f>
        <v>0</v>
      </c>
      <c r="BO70" s="14">
        <f>+G70+L70+R70+W70+AB70+AH70+AM70+AS70+AX70+BC70+BI70+BN70</f>
        <v>28.049999999999997</v>
      </c>
      <c r="BP70" s="38">
        <f t="shared" si="14"/>
        <v>28.049999999999997</v>
      </c>
    </row>
    <row r="71" spans="1:68" x14ac:dyDescent="0.25">
      <c r="A71" s="87" t="s">
        <v>85</v>
      </c>
      <c r="B71" s="18"/>
      <c r="C71" s="69"/>
      <c r="D71" s="69"/>
      <c r="E71" s="69"/>
      <c r="F71" s="69"/>
      <c r="G71" s="69">
        <f>SUM(C71:F71)</f>
        <v>0</v>
      </c>
      <c r="H71" s="69"/>
      <c r="I71" s="69"/>
      <c r="J71" s="69"/>
      <c r="K71" s="69"/>
      <c r="L71" s="69">
        <f>SUM(H71:K71)</f>
        <v>0</v>
      </c>
      <c r="M71" s="69"/>
      <c r="N71" s="69">
        <v>18</v>
      </c>
      <c r="O71" s="69"/>
      <c r="P71" s="69"/>
      <c r="Q71" s="69"/>
      <c r="R71" s="69">
        <f>SUM(M71:Q71)</f>
        <v>18</v>
      </c>
      <c r="S71" s="69"/>
      <c r="T71" s="69"/>
      <c r="U71" s="69"/>
      <c r="V71" s="69"/>
      <c r="W71" s="69">
        <f>SUM(S71:V71)</f>
        <v>0</v>
      </c>
      <c r="X71" s="69"/>
      <c r="Y71" s="69"/>
      <c r="Z71" s="69"/>
      <c r="AA71" s="69"/>
      <c r="AB71" s="69">
        <f>SUM(X71:AA71)</f>
        <v>0</v>
      </c>
      <c r="AC71" s="69"/>
      <c r="AD71" s="69">
        <v>3.78</v>
      </c>
      <c r="AE71" s="69"/>
      <c r="AF71" s="69"/>
      <c r="AG71" s="69"/>
      <c r="AH71" s="69">
        <f>SUM(AC71:AG71)</f>
        <v>3.78</v>
      </c>
      <c r="AI71" s="69"/>
      <c r="AJ71" s="69"/>
      <c r="AK71" s="69"/>
      <c r="AL71" s="69"/>
      <c r="AM71" s="69">
        <f>SUM(AI71:AL71)</f>
        <v>0</v>
      </c>
      <c r="AN71" s="69"/>
      <c r="AO71" s="69"/>
      <c r="AP71" s="69"/>
      <c r="AQ71" s="69"/>
      <c r="AR71" s="69"/>
      <c r="AS71" s="69">
        <f>SUM(AN71:AR71)</f>
        <v>0</v>
      </c>
      <c r="AT71" s="69">
        <v>41.34</v>
      </c>
      <c r="AU71" s="69"/>
      <c r="AV71" s="69"/>
      <c r="AW71" s="69"/>
      <c r="AX71" s="69">
        <f>SUM(AT71:AW71)</f>
        <v>41.34</v>
      </c>
      <c r="AY71" s="69">
        <v>11.04</v>
      </c>
      <c r="AZ71" s="69"/>
      <c r="BA71" s="69"/>
      <c r="BB71" s="69"/>
      <c r="BC71" s="69">
        <f>SUM(AY71:BB71)</f>
        <v>11.04</v>
      </c>
      <c r="BD71" s="69"/>
      <c r="BE71" s="69"/>
      <c r="BF71" s="69"/>
      <c r="BG71" s="69"/>
      <c r="BH71" s="69"/>
      <c r="BI71" s="69">
        <f>SUM(BD71:BH71)</f>
        <v>0</v>
      </c>
      <c r="BJ71" s="69"/>
      <c r="BK71" s="69"/>
      <c r="BL71" s="69"/>
      <c r="BM71" s="69"/>
      <c r="BN71" s="69">
        <f>SUM(BJ71:BM71)</f>
        <v>0</v>
      </c>
      <c r="BO71" s="14">
        <f>+G71+L71+R71+W71+AB71+AH71+AM71+AS71+AX71+BC71+BI71+BN71</f>
        <v>74.16</v>
      </c>
      <c r="BP71" s="38">
        <f t="shared" si="14"/>
        <v>74.16</v>
      </c>
    </row>
    <row r="72" spans="1:68" x14ac:dyDescent="0.25">
      <c r="A72" s="87" t="s">
        <v>86</v>
      </c>
      <c r="B72" s="18"/>
      <c r="C72" s="65">
        <v>8.5299999999999994</v>
      </c>
      <c r="D72" s="65">
        <v>8.74</v>
      </c>
      <c r="E72" s="65">
        <v>8.74</v>
      </c>
      <c r="F72" s="65">
        <v>8.74</v>
      </c>
      <c r="G72" s="65">
        <f>SUM(C72:F72)</f>
        <v>34.75</v>
      </c>
      <c r="H72" s="65">
        <v>8.74</v>
      </c>
      <c r="I72" s="65">
        <v>8.74</v>
      </c>
      <c r="J72" s="65"/>
      <c r="K72" s="65"/>
      <c r="L72" s="65">
        <f>SUM(H72:K72)</f>
        <v>17.48</v>
      </c>
      <c r="M72" s="65">
        <v>14.98</v>
      </c>
      <c r="N72" s="65">
        <v>14.98</v>
      </c>
      <c r="O72" s="65">
        <v>9.98</v>
      </c>
      <c r="P72" s="65"/>
      <c r="Q72" s="65">
        <v>8.74</v>
      </c>
      <c r="R72" s="65">
        <f>SUM(M72:Q72)</f>
        <v>48.68</v>
      </c>
      <c r="S72" s="65">
        <v>8.74</v>
      </c>
      <c r="T72" s="65"/>
      <c r="U72" s="65"/>
      <c r="V72" s="65">
        <v>8.74</v>
      </c>
      <c r="W72" s="65">
        <f>SUM(S72:V72)</f>
        <v>17.48</v>
      </c>
      <c r="X72" s="65">
        <v>8.74</v>
      </c>
      <c r="Y72" s="65">
        <v>8.74</v>
      </c>
      <c r="Z72" s="65">
        <v>8.74</v>
      </c>
      <c r="AA72" s="65">
        <v>8.74</v>
      </c>
      <c r="AB72" s="65">
        <f>SUM(X72:AA72)</f>
        <v>34.96</v>
      </c>
      <c r="AC72" s="65"/>
      <c r="AD72" s="65">
        <v>8.67</v>
      </c>
      <c r="AE72" s="65">
        <v>8.67</v>
      </c>
      <c r="AF72" s="65">
        <v>7.42</v>
      </c>
      <c r="AG72" s="65"/>
      <c r="AH72" s="65">
        <f>SUM(AC72:AG72)</f>
        <v>24.759999999999998</v>
      </c>
      <c r="AI72" s="65"/>
      <c r="AJ72" s="65">
        <v>8.65</v>
      </c>
      <c r="AK72" s="65">
        <v>12.36</v>
      </c>
      <c r="AL72" s="65">
        <v>12.36</v>
      </c>
      <c r="AM72" s="65">
        <f>SUM(AI72:AL72)</f>
        <v>33.369999999999997</v>
      </c>
      <c r="AN72" s="65">
        <v>12.36</v>
      </c>
      <c r="AO72" s="65">
        <v>12.33</v>
      </c>
      <c r="AP72" s="65"/>
      <c r="AQ72" s="65">
        <v>12.33</v>
      </c>
      <c r="AR72" s="65">
        <v>12.33</v>
      </c>
      <c r="AS72" s="65">
        <f>SUM(AN72:AR72)</f>
        <v>49.349999999999994</v>
      </c>
      <c r="AT72" s="65"/>
      <c r="AU72" s="65">
        <v>7.4</v>
      </c>
      <c r="AV72" s="65">
        <v>8.64</v>
      </c>
      <c r="AW72" s="65">
        <v>8.64</v>
      </c>
      <c r="AX72" s="65">
        <f>SUM(AT72:AW72)</f>
        <v>24.68</v>
      </c>
      <c r="AY72" s="65">
        <f>7.41+1.23</f>
        <v>8.64</v>
      </c>
      <c r="AZ72" s="65">
        <v>7.41</v>
      </c>
      <c r="BA72" s="65"/>
      <c r="BB72" s="65">
        <v>12.36</v>
      </c>
      <c r="BC72" s="65">
        <f>SUM(AY72:BB72)</f>
        <v>28.41</v>
      </c>
      <c r="BD72" s="65">
        <v>8.65</v>
      </c>
      <c r="BE72" s="65">
        <v>7.69</v>
      </c>
      <c r="BF72" s="65"/>
      <c r="BG72" s="65"/>
      <c r="BH72" s="65">
        <v>8.65</v>
      </c>
      <c r="BI72" s="65">
        <f>SUM(BD72:BH72)</f>
        <v>24.990000000000002</v>
      </c>
      <c r="BJ72" s="65"/>
      <c r="BK72" s="65">
        <f>1.28+6.61</f>
        <v>7.8900000000000006</v>
      </c>
      <c r="BL72" s="65"/>
      <c r="BM72" s="65"/>
      <c r="BN72" s="65">
        <f>SUM(BJ72:BM72)</f>
        <v>7.8900000000000006</v>
      </c>
      <c r="BO72" s="14">
        <f>+G72+L72+R72+W72+AB72+AH72+AM72+AS72+AX72+BC72+BI72+BN72</f>
        <v>346.8</v>
      </c>
      <c r="BP72" s="38">
        <f t="shared" si="14"/>
        <v>346.8</v>
      </c>
    </row>
    <row r="73" spans="1:68" ht="15.75" thickBot="1" x14ac:dyDescent="0.3">
      <c r="A73" s="87" t="s">
        <v>87</v>
      </c>
      <c r="B73" s="41"/>
      <c r="C73" s="66"/>
      <c r="D73" s="66"/>
      <c r="E73" s="66"/>
      <c r="F73" s="66"/>
      <c r="G73" s="66">
        <f>SUM(C73:F73)</f>
        <v>0</v>
      </c>
      <c r="H73" s="66"/>
      <c r="I73" s="66"/>
      <c r="J73" s="66"/>
      <c r="K73" s="66"/>
      <c r="L73" s="66">
        <f>SUM(H73:K73)</f>
        <v>0</v>
      </c>
      <c r="M73" s="66">
        <v>7.41</v>
      </c>
      <c r="N73" s="66"/>
      <c r="O73" s="66"/>
      <c r="P73" s="66"/>
      <c r="Q73" s="66">
        <v>38.119999999999997</v>
      </c>
      <c r="R73" s="66">
        <f>SUM(M73:Q73)</f>
        <v>45.53</v>
      </c>
      <c r="S73" s="66"/>
      <c r="T73" s="66"/>
      <c r="U73" s="66"/>
      <c r="V73" s="66"/>
      <c r="W73" s="66">
        <f>SUM(S73:V73)</f>
        <v>0</v>
      </c>
      <c r="X73" s="66"/>
      <c r="Y73" s="66">
        <v>29.26</v>
      </c>
      <c r="Z73" s="66"/>
      <c r="AA73" s="66"/>
      <c r="AB73" s="66">
        <f>SUM(X73:AA73)</f>
        <v>29.26</v>
      </c>
      <c r="AC73" s="66"/>
      <c r="AD73" s="66"/>
      <c r="AE73" s="66"/>
      <c r="AF73" s="66"/>
      <c r="AG73" s="66"/>
      <c r="AH73" s="66">
        <f>SUM(AC73:AG73)</f>
        <v>0</v>
      </c>
      <c r="AI73" s="66"/>
      <c r="AJ73" s="66"/>
      <c r="AK73" s="66"/>
      <c r="AL73" s="66"/>
      <c r="AM73" s="66">
        <f>SUM(AI73:AL73)</f>
        <v>0</v>
      </c>
      <c r="AN73" s="66"/>
      <c r="AO73" s="66"/>
      <c r="AP73" s="66"/>
      <c r="AQ73" s="66"/>
      <c r="AR73" s="66"/>
      <c r="AS73" s="66">
        <f>SUM(AN73:AR73)</f>
        <v>0</v>
      </c>
      <c r="AT73" s="66"/>
      <c r="AU73" s="66"/>
      <c r="AV73" s="66"/>
      <c r="AW73" s="66"/>
      <c r="AX73" s="66">
        <f>SUM(AT73:AW73)</f>
        <v>0</v>
      </c>
      <c r="AY73" s="66">
        <v>16.96</v>
      </c>
      <c r="AZ73" s="66">
        <v>10.27</v>
      </c>
      <c r="BA73" s="66"/>
      <c r="BB73" s="66"/>
      <c r="BC73" s="66">
        <f>SUM(AY73:BB73)</f>
        <v>27.23</v>
      </c>
      <c r="BD73" s="66"/>
      <c r="BE73" s="66"/>
      <c r="BF73" s="66"/>
      <c r="BG73" s="66"/>
      <c r="BH73" s="66"/>
      <c r="BI73" s="66">
        <f>SUM(BD73:BH73)</f>
        <v>0</v>
      </c>
      <c r="BJ73" s="66"/>
      <c r="BK73" s="66"/>
      <c r="BL73" s="70">
        <v>0</v>
      </c>
      <c r="BM73" s="70">
        <v>0</v>
      </c>
      <c r="BN73" s="66">
        <f>SUM(BJ73:BM73)</f>
        <v>0</v>
      </c>
      <c r="BO73" s="16">
        <f>+G73+L73+R73+W73+AB73+AH73+AM73+AS73+AX73+BC73+BI73+BN73</f>
        <v>102.02000000000001</v>
      </c>
      <c r="BP73" s="38">
        <f t="shared" si="14"/>
        <v>102.02000000000001</v>
      </c>
    </row>
    <row r="74" spans="1:68" ht="16.5" thickTop="1" thickBot="1" x14ac:dyDescent="0.3">
      <c r="A74" s="88" t="s">
        <v>88</v>
      </c>
      <c r="B74" s="44"/>
      <c r="C74" s="67"/>
      <c r="D74" s="67"/>
      <c r="E74" s="67"/>
      <c r="F74" s="67"/>
      <c r="G74" s="67">
        <f>SUM(G60:G73)</f>
        <v>482.24000000000007</v>
      </c>
      <c r="H74" s="67"/>
      <c r="I74" s="67"/>
      <c r="J74" s="67"/>
      <c r="K74" s="67"/>
      <c r="L74" s="67">
        <f>SUM(L60:L73)</f>
        <v>402.85</v>
      </c>
      <c r="M74" s="67"/>
      <c r="N74" s="67"/>
      <c r="O74" s="67"/>
      <c r="P74" s="67"/>
      <c r="Q74" s="67"/>
      <c r="R74" s="67">
        <f>SUM(R60:R73)</f>
        <v>449.93999999999994</v>
      </c>
      <c r="S74" s="67"/>
      <c r="T74" s="67"/>
      <c r="U74" s="67"/>
      <c r="V74" s="67"/>
      <c r="W74" s="67">
        <f>SUM(W60:W73)</f>
        <v>241.99999999999997</v>
      </c>
      <c r="X74" s="67"/>
      <c r="Y74" s="67"/>
      <c r="Z74" s="67"/>
      <c r="AA74" s="67"/>
      <c r="AB74" s="67">
        <f>SUM(AB60:AB73)</f>
        <v>374.65999999999997</v>
      </c>
      <c r="AC74" s="67"/>
      <c r="AD74" s="67"/>
      <c r="AE74" s="67"/>
      <c r="AF74" s="67"/>
      <c r="AG74" s="67"/>
      <c r="AH74" s="67">
        <f>SUM(AH60:AH73)</f>
        <v>362.39</v>
      </c>
      <c r="AI74" s="67"/>
      <c r="AJ74" s="67"/>
      <c r="AK74" s="67"/>
      <c r="AL74" s="67"/>
      <c r="AM74" s="67">
        <f>SUM(AM60:AM73)</f>
        <v>207.15</v>
      </c>
      <c r="AN74" s="67"/>
      <c r="AO74" s="67"/>
      <c r="AP74" s="67"/>
      <c r="AQ74" s="67"/>
      <c r="AR74" s="67"/>
      <c r="AS74" s="67">
        <f>SUM(AS60:AS73)</f>
        <v>343.81999999999994</v>
      </c>
      <c r="AT74" s="67"/>
      <c r="AU74" s="67"/>
      <c r="AV74" s="67"/>
      <c r="AW74" s="67"/>
      <c r="AX74" s="67">
        <f>SUM(AX60:AX73)</f>
        <v>365.94</v>
      </c>
      <c r="AY74" s="67"/>
      <c r="AZ74" s="67"/>
      <c r="BA74" s="67"/>
      <c r="BB74" s="67"/>
      <c r="BC74" s="67">
        <f>SUM(BC60:BC73)</f>
        <v>312.33000000000004</v>
      </c>
      <c r="BD74" s="67"/>
      <c r="BE74" s="67"/>
      <c r="BF74" s="67"/>
      <c r="BG74" s="67"/>
      <c r="BH74" s="67"/>
      <c r="BI74" s="67">
        <f>SUM(BI60:BI73)</f>
        <v>277.96999999999997</v>
      </c>
      <c r="BJ74" s="67"/>
      <c r="BK74" s="67"/>
      <c r="BL74" s="67">
        <v>0</v>
      </c>
      <c r="BM74" s="67">
        <v>0</v>
      </c>
      <c r="BN74" s="71">
        <f>SUM(BN60:BN73)</f>
        <v>231.48000000000002</v>
      </c>
      <c r="BO74" s="43">
        <f>SUM(BO60:BO73)</f>
        <v>4052.77</v>
      </c>
    </row>
    <row r="75" spans="1:68" ht="16.5" thickTop="1" thickBot="1" x14ac:dyDescent="0.3">
      <c r="A75" s="91" t="s">
        <v>14</v>
      </c>
      <c r="B75" s="92"/>
      <c r="C75" s="61"/>
      <c r="D75" s="61"/>
      <c r="E75" s="61"/>
      <c r="F75" s="61"/>
      <c r="G75" s="61">
        <f>+G7+G28+G37+G45+G49+G59+G74</f>
        <v>10331.019999999999</v>
      </c>
      <c r="H75" s="61"/>
      <c r="I75" s="61"/>
      <c r="J75" s="61"/>
      <c r="K75" s="61"/>
      <c r="L75" s="61">
        <f>+L7+L28+L37+L45+L49+L59+L74</f>
        <v>10279.790000000001</v>
      </c>
      <c r="M75" s="61"/>
      <c r="N75" s="61"/>
      <c r="O75" s="61"/>
      <c r="P75" s="61"/>
      <c r="Q75" s="61"/>
      <c r="R75" s="61">
        <f>+R7+R28+R37+R45+R49+R59+R74</f>
        <v>14198.7</v>
      </c>
      <c r="S75" s="61"/>
      <c r="T75" s="61"/>
      <c r="U75" s="61"/>
      <c r="V75" s="61"/>
      <c r="W75" s="61">
        <f>+W7+W28+W37+W45+W49+W59+W74</f>
        <v>10968.34</v>
      </c>
      <c r="X75" s="61"/>
      <c r="Y75" s="61"/>
      <c r="Z75" s="61"/>
      <c r="AA75" s="61"/>
      <c r="AB75" s="61">
        <f>+AB7+AB28+AB37+AB45+AB49+AB59+AB74</f>
        <v>10762.170000000002</v>
      </c>
      <c r="AC75" s="61"/>
      <c r="AD75" s="61"/>
      <c r="AE75" s="61"/>
      <c r="AF75" s="61"/>
      <c r="AG75" s="61"/>
      <c r="AH75" s="61">
        <f>+AH7+AH28+AH37+AH45+AH49+AH59+AH74</f>
        <v>12705.14</v>
      </c>
      <c r="AI75" s="61"/>
      <c r="AJ75" s="61"/>
      <c r="AK75" s="61"/>
      <c r="AL75" s="61"/>
      <c r="AM75" s="61">
        <f>+AM7+AM28+AM37+AM45+AM49+AM59+AM74</f>
        <v>10534.98</v>
      </c>
      <c r="AN75" s="61"/>
      <c r="AO75" s="61"/>
      <c r="AP75" s="61"/>
      <c r="AQ75" s="61"/>
      <c r="AR75" s="61"/>
      <c r="AS75" s="61">
        <f>+AS7+AS28+AS37+AS45+AS49+AS59+AS74</f>
        <v>12535.32</v>
      </c>
      <c r="AT75" s="61"/>
      <c r="AU75" s="61"/>
      <c r="AV75" s="61"/>
      <c r="AW75" s="61"/>
      <c r="AX75" s="61">
        <f>+AX7+AX28+AX37+AX45+AX49+AX59+AX74</f>
        <v>10336.859999999999</v>
      </c>
      <c r="AY75" s="61"/>
      <c r="AZ75" s="61"/>
      <c r="BA75" s="61"/>
      <c r="BB75" s="61"/>
      <c r="BC75" s="61">
        <f>+BC7+BC28+BC37+BC45+BC49+BC59+BC74</f>
        <v>11417.010000000002</v>
      </c>
      <c r="BD75" s="61"/>
      <c r="BE75" s="61"/>
      <c r="BF75" s="61"/>
      <c r="BG75" s="61"/>
      <c r="BH75" s="61"/>
      <c r="BI75" s="61">
        <f>+BI7+BI28+BI37+BI45+BI49+BI59+BI74</f>
        <v>13947.92</v>
      </c>
      <c r="BJ75" s="61"/>
      <c r="BK75" s="61"/>
      <c r="BL75" s="72">
        <v>0</v>
      </c>
      <c r="BM75" s="72">
        <v>0</v>
      </c>
      <c r="BN75" s="61">
        <f>+BN7+BN28+BN37+BN45+BN49+BN59+BN74</f>
        <v>12630.949999999997</v>
      </c>
      <c r="BO75" s="17">
        <f>+BO7+BO28+BO37+BO45+BO49+BO59+BO74</f>
        <v>140648.20000000001</v>
      </c>
      <c r="BP75" s="38">
        <f>SUM(BP4:BP74)</f>
        <v>140648.19999999998</v>
      </c>
    </row>
    <row r="76" spans="1:68" x14ac:dyDescent="0.25">
      <c r="BO76" s="38">
        <f>+G75+L75+R75+W75+AB75+AH75+AM75+AS75+AX75+BC75+BI75+BN75</f>
        <v>140648.19999999998</v>
      </c>
    </row>
    <row r="78" spans="1:68" x14ac:dyDescent="0.25">
      <c r="AX78" s="49"/>
    </row>
  </sheetData>
  <protectedRanges>
    <protectedRange password="C1D4" sqref="AP40 AX2:BB2 A75:F75 AN2:AR19 X22:AA24 AT22:AW24 B22:F24 S22:V24 AI22:AL24 AC22:AG24 AY22:BB24 M22:Q24 BD22:BH24 BJ22:BM24 AN22:AR24 AQ38:AR40 AN38:AO40 AP38 BJ29:BM40 BD29:BH40 M29:Q40 AY29:BB40 AC29:AG40 AI29:AL40 S29:V40 B29:F40 AT29:AW40 X29:AA40 H29:K40 AN29:AR37 H22:K24 BJ2:BM19 BD2:BH19 M2:Q19 AY3:BB19 AC2:AG19 AI2:AL19 S2:V19 A2:F3 AT2:AW19 X2:AA19 H2:K19 H26:K26 BJ26:BM26 BD26:BH26 M26:Q26 AY26:BB26 AN26:AR26 AC26:AG26 AI26:AL26 S26:V26 AT26:AW26 X26:AA26 B26:F26 B42:F60 X42:AA60 AT42:AW60 S42:V60 AI42:AL60 AC42:AG60 AN42:AR60 AY42:BB60 M42:Q60 BD42:BH60 BJ42:BM60 H42:K60 B63:F68 H63:K68 BJ63:BM68 BD63:BH68 M63:Q68 AY63:BB68 AN63:AR68 AC63:AG68 AI63:AL68 S63:V68 AT63:AW68 X63:AA68 X75:AA75 AT75:AW75 S75:V75 AI75:AL75 AC75:AG75 AN75:AR75 AY75:BB75 M75:Q75 BD75:BH75 BJ75:BM75 H75:K75 B4:F19" name="Plage1"/>
    <protectedRange password="C1D4" sqref="H41:K41 X41:AA41 M41:Q41 S41:V41 C41:F41" name="Plage1_1"/>
    <protectedRange password="C1D4" sqref="AT41:AW41 AC41:AG41 AI41:AL41 AN41:AR41" name="Plage1_2"/>
    <protectedRange password="C1D4" sqref="AY41:BB41 BJ41:BM41 BD41:BH41" name="Plage1_2_1"/>
    <protectedRange password="C1D4" sqref="A4:A27 A29:A73" name="Plage1_3"/>
  </protectedRanges>
  <mergeCells count="3">
    <mergeCell ref="A2:A3"/>
    <mergeCell ref="B2:B3"/>
    <mergeCell ref="G2:BN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27" sqref="H27"/>
    </sheetView>
  </sheetViews>
  <sheetFormatPr baseColWidth="10" defaultRowHeight="15" x14ac:dyDescent="0.25"/>
  <cols>
    <col min="1" max="1" width="15.28515625" bestFit="1" customWidth="1"/>
    <col min="2" max="2" width="2.140625" customWidth="1"/>
    <col min="3" max="14" width="11.85546875" bestFit="1" customWidth="1"/>
    <col min="15" max="15" width="14.7109375" bestFit="1" customWidth="1"/>
    <col min="16" max="16" width="12.85546875" bestFit="1" customWidth="1"/>
  </cols>
  <sheetData>
    <row r="1" spans="1:16" x14ac:dyDescent="0.25">
      <c r="B1" s="19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/>
      <c r="O1" s="4"/>
    </row>
    <row r="2" spans="1:16" x14ac:dyDescent="0.25">
      <c r="A2" s="52" t="s">
        <v>0</v>
      </c>
      <c r="B2" s="95"/>
      <c r="C2" s="48"/>
      <c r="D2" s="48"/>
      <c r="E2" s="23"/>
      <c r="F2" s="23"/>
      <c r="G2" s="23"/>
      <c r="H2" s="23"/>
      <c r="I2" s="23"/>
      <c r="J2" s="23"/>
      <c r="K2" s="23"/>
      <c r="L2" s="23"/>
      <c r="M2" s="23"/>
      <c r="N2" s="24"/>
      <c r="O2" s="54" t="s">
        <v>1</v>
      </c>
    </row>
    <row r="3" spans="1:16" ht="15.75" thickBot="1" x14ac:dyDescent="0.3">
      <c r="A3" s="53"/>
      <c r="B3" s="96"/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55"/>
      <c r="P3" s="36" t="s">
        <v>17</v>
      </c>
    </row>
    <row r="4" spans="1:16" x14ac:dyDescent="0.25">
      <c r="A4" s="104">
        <v>1</v>
      </c>
      <c r="B4" s="25"/>
      <c r="C4" s="58">
        <f>VLOOKUP(A4,'1'!$A$4:$BN$16,7,FALSE)</f>
        <v>1193.98</v>
      </c>
      <c r="D4" s="58">
        <f>+VLOOKUP(A4,'1'!$A$4:$BN$16,12,FALSE)</f>
        <v>1257.4099999999999</v>
      </c>
      <c r="E4" s="58">
        <f>+VLOOKUP(A4,'1'!$A$4:$BN$16,18,FALSE)</f>
        <v>1489.04</v>
      </c>
      <c r="F4" s="58">
        <f>+VLOOKUP(A4,'1'!$A$4:$BN$16,23,FALSE)</f>
        <v>1132.49</v>
      </c>
      <c r="G4" s="58">
        <f>+VLOOKUP(A4,'1'!$A$4:$BN$16,28,FALSE)</f>
        <v>1356.6200000000001</v>
      </c>
      <c r="H4" s="58">
        <f>+VLOOKUP(A4,'1'!$A$4:$BN$16,34,FALSE)</f>
        <v>1615.7800000000002</v>
      </c>
      <c r="I4" s="58">
        <f>+VLOOKUP(A4,'1'!$A$4:$BN$16,39,FALSE)</f>
        <v>887.69999999999982</v>
      </c>
      <c r="J4" s="58">
        <f>+VLOOKUP(A4,'1'!$A$4:$BN$16,45,FALSE)</f>
        <v>1737.5500000000002</v>
      </c>
      <c r="K4" s="58">
        <f>+VLOOKUP(A4,'1'!$A$4:$BN$16,50,FALSE)</f>
        <v>1504.98</v>
      </c>
      <c r="L4" s="58">
        <f>+VLOOKUP(A4,'1'!$A$4:$BN$16,55,FALSE)</f>
        <v>1128.5300000000002</v>
      </c>
      <c r="M4" s="58">
        <f>+VLOOKUP(A4,'1'!$A$4:$BN$16,61,FALSE)</f>
        <v>1460.6899999999998</v>
      </c>
      <c r="N4" s="58">
        <f>+VLOOKUP(A4,'1'!$A$4:$BN$16,66,FALSE)</f>
        <v>1369.85</v>
      </c>
      <c r="O4" s="59">
        <f t="shared" ref="O4:O16" si="0">+C4+D4+E4+F4+G4+H4+I4+J4+K4+L4+M4+N4</f>
        <v>16134.62</v>
      </c>
      <c r="P4" s="38"/>
    </row>
    <row r="5" spans="1:16" x14ac:dyDescent="0.25">
      <c r="A5" s="104">
        <v>2</v>
      </c>
      <c r="B5" s="25"/>
      <c r="C5" s="58">
        <f>VLOOKUP(A5,'1'!$A$4:$BN$16,7,FALSE)</f>
        <v>1103.74</v>
      </c>
      <c r="D5" s="58">
        <f>+VLOOKUP(A5,'1'!$A$4:$BN$16,12,FALSE)</f>
        <v>1176.7</v>
      </c>
      <c r="E5" s="58">
        <f>+VLOOKUP(A5,'1'!$A$4:$BN$16,18,FALSE)</f>
        <v>1324.4499999999998</v>
      </c>
      <c r="F5" s="58">
        <f>+VLOOKUP(A5,'1'!$A$4:$BN$16,23,FALSE)</f>
        <v>1221.33</v>
      </c>
      <c r="G5" s="58">
        <f>+VLOOKUP(A5,'1'!$A$4:$BN$16,28,FALSE)</f>
        <v>1468.29</v>
      </c>
      <c r="H5" s="58">
        <f>+VLOOKUP(A5,'1'!$A$4:$BN$16,34,FALSE)</f>
        <v>1870.36</v>
      </c>
      <c r="I5" s="58">
        <f>+VLOOKUP(A5,'1'!$A$4:$BN$16,39,FALSE)</f>
        <v>1048.57</v>
      </c>
      <c r="J5" s="58">
        <f>+VLOOKUP(A5,'1'!$A$4:$BN$16,45,FALSE)</f>
        <v>1643.65</v>
      </c>
      <c r="K5" s="58">
        <f>+VLOOKUP(A5,'1'!$A$4:$BN$16,50,FALSE)</f>
        <v>1657.46</v>
      </c>
      <c r="L5" s="58">
        <f>+VLOOKUP(A5,'1'!$A$4:$BN$16,55,FALSE)</f>
        <v>1262.04</v>
      </c>
      <c r="M5" s="58">
        <f>+VLOOKUP(A5,'1'!$A$4:$BN$16,61,FALSE)</f>
        <v>1258.4199999999998</v>
      </c>
      <c r="N5" s="58">
        <f>+VLOOKUP(A5,'1'!$A$4:$BN$16,66,FALSE)</f>
        <v>1320.72</v>
      </c>
      <c r="O5" s="60">
        <f t="shared" si="0"/>
        <v>16355.73</v>
      </c>
      <c r="P5" s="38"/>
    </row>
    <row r="6" spans="1:16" x14ac:dyDescent="0.25">
      <c r="A6" s="105">
        <v>3</v>
      </c>
      <c r="B6" s="26"/>
      <c r="C6" s="58">
        <f>VLOOKUP(A6,'1'!$A$4:$BN$16,7,FALSE)</f>
        <v>1469.56</v>
      </c>
      <c r="D6" s="58">
        <f>+VLOOKUP(A6,'1'!$A$4:$BN$16,12,FALSE)</f>
        <v>1621.78</v>
      </c>
      <c r="E6" s="58">
        <f>+VLOOKUP(A6,'1'!$A$4:$BN$16,18,FALSE)</f>
        <v>1797.75</v>
      </c>
      <c r="F6" s="58">
        <f>+VLOOKUP(A6,'1'!$A$4:$BN$16,23,FALSE)</f>
        <v>1481.32</v>
      </c>
      <c r="G6" s="58">
        <f>+VLOOKUP(A6,'1'!$A$4:$BN$16,28,FALSE)</f>
        <v>578.3900000000001</v>
      </c>
      <c r="H6" s="58">
        <f>+VLOOKUP(A6,'1'!$A$4:$BN$16,34,FALSE)</f>
        <v>1670.31</v>
      </c>
      <c r="I6" s="58">
        <f>+VLOOKUP(A6,'1'!$A$4:$BN$16,39,FALSE)</f>
        <v>1617.8700000000001</v>
      </c>
      <c r="J6" s="58">
        <f>+VLOOKUP(A6,'1'!$A$4:$BN$16,45,FALSE)</f>
        <v>2073.6000000000004</v>
      </c>
      <c r="K6" s="58">
        <f>+VLOOKUP(A6,'1'!$A$4:$BN$16,50,FALSE)</f>
        <v>1831.06</v>
      </c>
      <c r="L6" s="58">
        <f>+VLOOKUP(A6,'1'!$A$4:$BN$16,55,FALSE)</f>
        <v>1663.09</v>
      </c>
      <c r="M6" s="58">
        <f>+VLOOKUP(A6,'1'!$A$4:$BN$16,61,FALSE)</f>
        <v>2370.9299999999998</v>
      </c>
      <c r="N6" s="58">
        <f>+VLOOKUP(A6,'1'!$A$4:$BN$16,66,FALSE)</f>
        <v>1875.1499999999999</v>
      </c>
      <c r="O6" s="60">
        <f t="shared" si="0"/>
        <v>20050.810000000001</v>
      </c>
      <c r="P6" s="38"/>
    </row>
    <row r="7" spans="1:16" x14ac:dyDescent="0.25">
      <c r="A7" s="106">
        <v>4</v>
      </c>
      <c r="B7" s="45"/>
      <c r="C7" s="58">
        <f>VLOOKUP(A7,'1'!$A$4:$BN$16,7,FALSE)</f>
        <v>690.59999999999991</v>
      </c>
      <c r="D7" s="58">
        <f>+VLOOKUP(A7,'1'!$A$4:$BN$16,12,FALSE)</f>
        <v>940.79000000000008</v>
      </c>
      <c r="E7" s="58">
        <f>+VLOOKUP(A7,'1'!$A$4:$BN$16,18,FALSE)</f>
        <v>800.82999999999993</v>
      </c>
      <c r="F7" s="58">
        <f>+VLOOKUP(A7,'1'!$A$4:$BN$16,23,FALSE)</f>
        <v>809.56</v>
      </c>
      <c r="G7" s="58">
        <f>+VLOOKUP(A7,'1'!$A$4:$BN$16,28,FALSE)</f>
        <v>1969.15</v>
      </c>
      <c r="H7" s="58">
        <f>+VLOOKUP(A7,'1'!$A$4:$BN$16,34,FALSE)</f>
        <v>1138.6199999999999</v>
      </c>
      <c r="I7" s="58">
        <f>+VLOOKUP(A7,'1'!$A$4:$BN$16,39,FALSE)</f>
        <v>933.53</v>
      </c>
      <c r="J7" s="58">
        <f>+VLOOKUP(A7,'1'!$A$4:$BN$16,45,FALSE)</f>
        <v>1037.5500000000002</v>
      </c>
      <c r="K7" s="58">
        <f>+VLOOKUP(A7,'1'!$A$4:$BN$16,50,FALSE)</f>
        <v>1048.17</v>
      </c>
      <c r="L7" s="58">
        <f>+VLOOKUP(A7,'1'!$A$4:$BN$16,55,FALSE)</f>
        <v>573.03</v>
      </c>
      <c r="M7" s="58">
        <f>+VLOOKUP(A7,'1'!$A$4:$BN$16,61,FALSE)</f>
        <v>910.43000000000006</v>
      </c>
      <c r="N7" s="58">
        <f>+VLOOKUP(A7,'1'!$A$4:$BN$16,66,FALSE)</f>
        <v>670.64999999999986</v>
      </c>
      <c r="O7" s="60">
        <f t="shared" si="0"/>
        <v>11522.910000000002</v>
      </c>
      <c r="P7" s="38"/>
    </row>
    <row r="8" spans="1:16" x14ac:dyDescent="0.25">
      <c r="A8" s="106">
        <v>5</v>
      </c>
      <c r="B8" s="28"/>
      <c r="C8" s="58">
        <f>VLOOKUP(A8,'1'!$A$4:$BN$16,7,FALSE)</f>
        <v>1507.83</v>
      </c>
      <c r="D8" s="58">
        <f>+VLOOKUP(A8,'1'!$A$4:$BN$16,12,FALSE)</f>
        <v>1614.36</v>
      </c>
      <c r="E8" s="58">
        <f>+VLOOKUP(A8,'1'!$A$4:$BN$16,18,FALSE)</f>
        <v>2029.2799999999997</v>
      </c>
      <c r="F8" s="58">
        <f>+VLOOKUP(A8,'1'!$A$4:$BN$16,23,FALSE)</f>
        <v>1840.4199999999998</v>
      </c>
      <c r="G8" s="58">
        <f>+VLOOKUP(A8,'1'!$A$4:$BN$16,28,FALSE)</f>
        <v>1750.5899999999997</v>
      </c>
      <c r="H8" s="58">
        <f>+VLOOKUP(A8,'1'!$A$4:$BN$16,34,FALSE)</f>
        <v>2439.3999999999996</v>
      </c>
      <c r="I8" s="58">
        <f>+VLOOKUP(A8,'1'!$A$4:$BN$16,39,FALSE)</f>
        <v>1949.6499999999999</v>
      </c>
      <c r="J8" s="58">
        <f>+VLOOKUP(A8,'1'!$A$4:$BN$16,45,FALSE)</f>
        <v>2624.87</v>
      </c>
      <c r="K8" s="58">
        <f>+VLOOKUP(A8,'1'!$A$4:$BN$16,50,FALSE)</f>
        <v>2218.33</v>
      </c>
      <c r="L8" s="58">
        <f>+VLOOKUP(A8,'1'!$A$4:$BN$16,55,FALSE)</f>
        <v>1730.3999999999999</v>
      </c>
      <c r="M8" s="58">
        <f>+VLOOKUP(A8,'1'!$A$4:$BN$16,61,FALSE)</f>
        <v>2245.06</v>
      </c>
      <c r="N8" s="58">
        <f>+VLOOKUP(A8,'1'!$A$4:$BN$16,66,FALSE)</f>
        <v>1567.8600000000001</v>
      </c>
      <c r="O8" s="60">
        <f t="shared" si="0"/>
        <v>23518.05</v>
      </c>
      <c r="P8" s="38"/>
    </row>
    <row r="9" spans="1:16" x14ac:dyDescent="0.25">
      <c r="A9" s="106">
        <v>6</v>
      </c>
      <c r="B9" s="28"/>
      <c r="C9" s="58">
        <f>VLOOKUP(A9,'1'!$A$4:$BN$16,7,FALSE)</f>
        <v>1713.3999999999999</v>
      </c>
      <c r="D9" s="58">
        <f>+VLOOKUP(A9,'1'!$A$4:$BN$16,12,FALSE)</f>
        <v>1814.61</v>
      </c>
      <c r="E9" s="58">
        <f>+VLOOKUP(A9,'1'!$A$4:$BN$16,18,FALSE)</f>
        <v>2150.36</v>
      </c>
      <c r="F9" s="58">
        <f>+VLOOKUP(A9,'1'!$A$4:$BN$16,23,FALSE)</f>
        <v>1739.93</v>
      </c>
      <c r="G9" s="58">
        <f>+VLOOKUP(A9,'1'!$A$4:$BN$16,28,FALSE)</f>
        <v>1715.1</v>
      </c>
      <c r="H9" s="58">
        <f>+VLOOKUP(A9,'1'!$A$4:$BN$16,34,FALSE)</f>
        <v>2170.23</v>
      </c>
      <c r="I9" s="58">
        <f>+VLOOKUP(A9,'1'!$A$4:$BN$16,39,FALSE)</f>
        <v>1818.4399999999998</v>
      </c>
      <c r="J9" s="58">
        <f>+VLOOKUP(A9,'1'!$A$4:$BN$16,45,FALSE)</f>
        <v>2601.9</v>
      </c>
      <c r="K9" s="58">
        <f>+VLOOKUP(A9,'1'!$A$4:$BN$16,50,FALSE)</f>
        <v>2528.7799999999997</v>
      </c>
      <c r="L9" s="58">
        <f>+VLOOKUP(A9,'1'!$A$4:$BN$16,55,FALSE)</f>
        <v>1833.3</v>
      </c>
      <c r="M9" s="58">
        <f>+VLOOKUP(A9,'1'!$A$4:$BN$16,61,FALSE)</f>
        <v>2131.79</v>
      </c>
      <c r="N9" s="58">
        <f>+VLOOKUP(A9,'1'!$A$4:$BN$16,66,FALSE)</f>
        <v>2321.8700000000003</v>
      </c>
      <c r="O9" s="60">
        <f t="shared" si="0"/>
        <v>24539.71</v>
      </c>
      <c r="P9" s="38"/>
    </row>
    <row r="10" spans="1:16" x14ac:dyDescent="0.25">
      <c r="A10" s="106">
        <v>7</v>
      </c>
      <c r="B10" s="25"/>
      <c r="C10" s="58">
        <f>VLOOKUP(A10,'1'!$A$4:$BN$16,7,FALSE)</f>
        <v>2002.31</v>
      </c>
      <c r="D10" s="58">
        <f>+VLOOKUP(A10,'1'!$A$4:$BN$16,12,FALSE)</f>
        <v>1626.03</v>
      </c>
      <c r="E10" s="58">
        <f>+VLOOKUP(A10,'1'!$A$4:$BN$16,18,FALSE)</f>
        <v>2206</v>
      </c>
      <c r="F10" s="58">
        <f>+VLOOKUP(A10,'1'!$A$4:$BN$16,23,FALSE)</f>
        <v>1895.4899999999998</v>
      </c>
      <c r="G10" s="58">
        <f>+VLOOKUP(A10,'1'!$A$4:$BN$16,28,FALSE)</f>
        <v>1975.3200000000002</v>
      </c>
      <c r="H10" s="58">
        <f>+VLOOKUP(A10,'1'!$A$4:$BN$16,34,FALSE)</f>
        <v>2205.65</v>
      </c>
      <c r="I10" s="58">
        <f>+VLOOKUP(A10,'1'!$A$4:$BN$16,39,FALSE)</f>
        <v>1560.0400000000002</v>
      </c>
      <c r="J10" s="58">
        <f>+VLOOKUP(A10,'1'!$A$4:$BN$16,45,FALSE)</f>
        <v>3383.04</v>
      </c>
      <c r="K10" s="58">
        <f>+VLOOKUP(A10,'1'!$A$4:$BN$16,50,FALSE)</f>
        <v>2258.6800000000003</v>
      </c>
      <c r="L10" s="58">
        <f>+VLOOKUP(A10,'1'!$A$4:$BN$16,55,FALSE)</f>
        <v>2112.62</v>
      </c>
      <c r="M10" s="58">
        <f>+VLOOKUP(A10,'1'!$A$4:$BN$16,61,FALSE)</f>
        <v>2972.8100000000004</v>
      </c>
      <c r="N10" s="58">
        <f>+VLOOKUP(A10,'1'!$A$4:$BN$16,66,FALSE)</f>
        <v>2177.75</v>
      </c>
      <c r="O10" s="60">
        <f t="shared" si="0"/>
        <v>26375.74</v>
      </c>
      <c r="P10" s="38"/>
    </row>
    <row r="11" spans="1:16" x14ac:dyDescent="0.25">
      <c r="A11" s="106">
        <v>8</v>
      </c>
      <c r="B11" s="29"/>
      <c r="C11" s="58">
        <f>VLOOKUP(A11,'1'!$A$4:$BN$16,7,FALSE)</f>
        <v>451.20000000000005</v>
      </c>
      <c r="D11" s="58">
        <f>+VLOOKUP(A11,'1'!$A$4:$BN$16,12,FALSE)</f>
        <v>506.46999999999997</v>
      </c>
      <c r="E11" s="58">
        <f>+VLOOKUP(A11,'1'!$A$4:$BN$16,18,FALSE)</f>
        <v>475.65</v>
      </c>
      <c r="F11" s="58">
        <f>+VLOOKUP(A11,'1'!$A$4:$BN$16,23,FALSE)</f>
        <v>392.27000000000004</v>
      </c>
      <c r="G11" s="58">
        <f>+VLOOKUP(A11,'1'!$A$4:$BN$16,28,FALSE)</f>
        <v>462.72</v>
      </c>
      <c r="H11" s="58">
        <f>+VLOOKUP(A11,'1'!$A$4:$BN$16,34,FALSE)</f>
        <v>600.28</v>
      </c>
      <c r="I11" s="58">
        <f>+VLOOKUP(A11,'1'!$A$4:$BN$16,39,FALSE)</f>
        <v>398.98</v>
      </c>
      <c r="J11" s="58">
        <f>+VLOOKUP(A11,'1'!$A$4:$BN$16,45,FALSE)</f>
        <v>610.51</v>
      </c>
      <c r="K11" s="58">
        <f>+VLOOKUP(A11,'1'!$A$4:$BN$16,50,FALSE)</f>
        <v>331.76</v>
      </c>
      <c r="L11" s="58">
        <f>+VLOOKUP(A11,'1'!$A$4:$BN$16,55,FALSE)</f>
        <v>725.21</v>
      </c>
      <c r="M11" s="58">
        <f>+VLOOKUP(A11,'1'!$A$4:$BN$16,61,FALSE)</f>
        <v>612.37</v>
      </c>
      <c r="N11" s="58">
        <f>+VLOOKUP(A11,'1'!$A$4:$BN$16,66,FALSE)</f>
        <v>492.47</v>
      </c>
      <c r="O11" s="60">
        <f t="shared" si="0"/>
        <v>6059.89</v>
      </c>
      <c r="P11" s="38"/>
    </row>
    <row r="12" spans="1:16" x14ac:dyDescent="0.25">
      <c r="A12" s="106">
        <v>9</v>
      </c>
      <c r="B12" s="30"/>
      <c r="C12" s="58">
        <f>VLOOKUP(A12,'1'!$A$4:$BN$16,7,FALSE)</f>
        <v>85.6</v>
      </c>
      <c r="D12" s="58">
        <f>+VLOOKUP(A12,'1'!$A$4:$BN$16,12,FALSE)</f>
        <v>85.110000000000014</v>
      </c>
      <c r="E12" s="58">
        <f>+VLOOKUP(A12,'1'!$A$4:$BN$16,18,FALSE)</f>
        <v>112.89999999999999</v>
      </c>
      <c r="F12" s="58">
        <f>+VLOOKUP(A12,'1'!$A$4:$BN$16,23,FALSE)</f>
        <v>88.419999999999987</v>
      </c>
      <c r="G12" s="58">
        <f>+VLOOKUP(A12,'1'!$A$4:$BN$16,28,FALSE)</f>
        <v>112.47</v>
      </c>
      <c r="H12" s="58">
        <f>+VLOOKUP(A12,'1'!$A$4:$BN$16,34,FALSE)</f>
        <v>109.17</v>
      </c>
      <c r="I12" s="58">
        <f>+VLOOKUP(A12,'1'!$A$4:$BN$16,39,FALSE)</f>
        <v>113.81</v>
      </c>
      <c r="J12" s="58">
        <f>+VLOOKUP(A12,'1'!$A$4:$BN$16,45,FALSE)</f>
        <v>95.550000000000011</v>
      </c>
      <c r="K12" s="58">
        <f>+VLOOKUP(A12,'1'!$A$4:$BN$16,50,FALSE)</f>
        <v>116.61999999999999</v>
      </c>
      <c r="L12" s="58">
        <f>+VLOOKUP(A12,'1'!$A$4:$BN$16,55,FALSE)</f>
        <v>97.11</v>
      </c>
      <c r="M12" s="58">
        <f>+VLOOKUP(A12,'1'!$A$4:$BN$16,61,FALSE)</f>
        <v>131.13</v>
      </c>
      <c r="N12" s="58">
        <f>+VLOOKUP(A12,'1'!$A$4:$BN$16,66,FALSE)</f>
        <v>96.53</v>
      </c>
      <c r="O12" s="60">
        <f t="shared" si="0"/>
        <v>1244.4199999999998</v>
      </c>
      <c r="P12" s="38"/>
    </row>
    <row r="13" spans="1:16" x14ac:dyDescent="0.25">
      <c r="A13" s="106">
        <v>10</v>
      </c>
      <c r="B13" s="25"/>
      <c r="C13" s="58">
        <f>VLOOKUP(A13,'1'!$A$4:$BN$16,7,FALSE)</f>
        <v>37.35</v>
      </c>
      <c r="D13" s="58">
        <f>+VLOOKUP(A13,'1'!$A$4:$BN$16,12,FALSE)</f>
        <v>44.17</v>
      </c>
      <c r="E13" s="58">
        <f>+VLOOKUP(A13,'1'!$A$4:$BN$16,18,FALSE)</f>
        <v>62.54</v>
      </c>
      <c r="F13" s="58">
        <f>+VLOOKUP(A13,'1'!$A$4:$BN$16,23,FALSE)</f>
        <v>33.299999999999997</v>
      </c>
      <c r="G13" s="58">
        <f>+VLOOKUP(A13,'1'!$A$4:$BN$16,28,FALSE)</f>
        <v>41.370000000000005</v>
      </c>
      <c r="H13" s="58">
        <f>+VLOOKUP(A13,'1'!$A$4:$BN$16,34,FALSE)</f>
        <v>69.699999999999989</v>
      </c>
      <c r="I13" s="58">
        <f>+VLOOKUP(A13,'1'!$A$4:$BN$16,39,FALSE)</f>
        <v>29.63</v>
      </c>
      <c r="J13" s="58">
        <f>+VLOOKUP(A13,'1'!$A$4:$BN$16,45,FALSE)</f>
        <v>36.770000000000003</v>
      </c>
      <c r="K13" s="58">
        <f>+VLOOKUP(A13,'1'!$A$4:$BN$16,50,FALSE)</f>
        <v>56.39</v>
      </c>
      <c r="L13" s="58">
        <f>+VLOOKUP(A13,'1'!$A$4:$BN$16,55,FALSE)</f>
        <v>55.17</v>
      </c>
      <c r="M13" s="58">
        <f>+VLOOKUP(A13,'1'!$A$4:$BN$16,61,FALSE)</f>
        <v>62.66</v>
      </c>
      <c r="N13" s="58">
        <f>+VLOOKUP(A13,'1'!$A$4:$BN$16,66,FALSE)</f>
        <v>51.4</v>
      </c>
      <c r="O13" s="60">
        <f t="shared" si="0"/>
        <v>580.44999999999993</v>
      </c>
      <c r="P13" s="38"/>
    </row>
    <row r="14" spans="1:16" x14ac:dyDescent="0.25">
      <c r="A14" s="106">
        <v>11</v>
      </c>
      <c r="B14" s="29"/>
      <c r="C14" s="58">
        <f>VLOOKUP(A14,'1'!$A$4:$BN$16,7,FALSE)</f>
        <v>106.32</v>
      </c>
      <c r="D14" s="58">
        <f>+VLOOKUP(A14,'1'!$A$4:$BN$16,12,FALSE)</f>
        <v>52.97</v>
      </c>
      <c r="E14" s="58">
        <f>+VLOOKUP(A14,'1'!$A$4:$BN$16,18,FALSE)</f>
        <v>75.53</v>
      </c>
      <c r="F14" s="58">
        <f>+VLOOKUP(A14,'1'!$A$4:$BN$16,23,FALSE)</f>
        <v>46.29</v>
      </c>
      <c r="G14" s="58">
        <f>+VLOOKUP(A14,'1'!$A$4:$BN$16,28,FALSE)</f>
        <v>125.12</v>
      </c>
      <c r="H14" s="58">
        <f>+VLOOKUP(A14,'1'!$A$4:$BN$16,34,FALSE)</f>
        <v>70.44</v>
      </c>
      <c r="I14" s="58">
        <f>+VLOOKUP(A14,'1'!$A$4:$BN$16,39,FALSE)</f>
        <v>213.67999999999998</v>
      </c>
      <c r="J14" s="58">
        <f>+VLOOKUP(A14,'1'!$A$4:$BN$16,45,FALSE)</f>
        <v>226.50000000000003</v>
      </c>
      <c r="K14" s="58">
        <f>+VLOOKUP(A14,'1'!$A$4:$BN$16,50,FALSE)</f>
        <v>232.47000000000003</v>
      </c>
      <c r="L14" s="58">
        <f>+VLOOKUP(A14,'1'!$A$4:$BN$16,55,FALSE)</f>
        <v>230.56</v>
      </c>
      <c r="M14" s="58">
        <f>+VLOOKUP(A14,'1'!$A$4:$BN$16,61,FALSE)</f>
        <v>404.34999999999997</v>
      </c>
      <c r="N14" s="58">
        <f>+VLOOKUP(A14,'1'!$A$4:$BN$16,66,FALSE)</f>
        <v>240.82999999999998</v>
      </c>
      <c r="O14" s="60">
        <f t="shared" si="0"/>
        <v>2025.06</v>
      </c>
      <c r="P14" s="38"/>
    </row>
    <row r="15" spans="1:16" x14ac:dyDescent="0.25">
      <c r="A15" s="107">
        <v>12</v>
      </c>
      <c r="B15" s="29"/>
      <c r="C15" s="58">
        <f>VLOOKUP(A15,'1'!$A$4:$BN$16,7,FALSE)</f>
        <v>0</v>
      </c>
      <c r="D15" s="58">
        <f>+VLOOKUP(A15,'1'!$A$4:$BN$16,12,FALSE)</f>
        <v>0</v>
      </c>
      <c r="E15" s="58">
        <f>+VLOOKUP(A15,'1'!$A$4:$BN$16,18,FALSE)</f>
        <v>0</v>
      </c>
      <c r="F15" s="58">
        <f>+VLOOKUP(A15,'1'!$A$4:$BN$16,23,FALSE)</f>
        <v>0</v>
      </c>
      <c r="G15" s="58">
        <f>+VLOOKUP(A15,'1'!$A$4:$BN$16,28,FALSE)</f>
        <v>0</v>
      </c>
      <c r="H15" s="58">
        <f>+VLOOKUP(A15,'1'!$A$4:$BN$16,34,FALSE)</f>
        <v>0</v>
      </c>
      <c r="I15" s="58">
        <f>+VLOOKUP(A15,'1'!$A$4:$BN$16,39,FALSE)</f>
        <v>0</v>
      </c>
      <c r="J15" s="58">
        <f>+VLOOKUP(A15,'1'!$A$4:$BN$16,45,FALSE)</f>
        <v>0</v>
      </c>
      <c r="K15" s="58">
        <f>+VLOOKUP(A15,'1'!$A$4:$BN$16,50,FALSE)</f>
        <v>0</v>
      </c>
      <c r="L15" s="58">
        <f>+VLOOKUP(A15,'1'!$A$4:$BN$16,55,FALSE)</f>
        <v>0</v>
      </c>
      <c r="M15" s="58">
        <f>+VLOOKUP(A15,'1'!$A$4:$BN$16,61,FALSE)</f>
        <v>0</v>
      </c>
      <c r="N15" s="58">
        <f>+VLOOKUP(A15,'1'!$A$4:$BN$16,66,FALSE)</f>
        <v>0</v>
      </c>
      <c r="O15" s="60">
        <f t="shared" si="0"/>
        <v>0</v>
      </c>
      <c r="P15" s="38"/>
    </row>
    <row r="16" spans="1:16" ht="15.75" thickBot="1" x14ac:dyDescent="0.3">
      <c r="A16" s="107">
        <v>13</v>
      </c>
      <c r="B16" s="29"/>
      <c r="C16" s="58">
        <f>VLOOKUP(A16,'1'!$A$4:$BN$16,7,FALSE)</f>
        <v>0</v>
      </c>
      <c r="D16" s="58">
        <f>+VLOOKUP(A16,'1'!$A$4:$BN$16,12,FALSE)</f>
        <v>0</v>
      </c>
      <c r="E16" s="58">
        <f>+VLOOKUP(A16,'1'!$A$4:$BN$16,18,FALSE)</f>
        <v>0</v>
      </c>
      <c r="F16" s="58">
        <f>+VLOOKUP(A16,'1'!$A$4:$BN$16,23,FALSE)</f>
        <v>0</v>
      </c>
      <c r="G16" s="58">
        <f>+VLOOKUP(A16,'1'!$A$4:$BN$16,28,FALSE)</f>
        <v>0</v>
      </c>
      <c r="H16" s="58">
        <f>+VLOOKUP(A16,'1'!$A$4:$BN$16,34,FALSE)</f>
        <v>0</v>
      </c>
      <c r="I16" s="58">
        <f>+VLOOKUP(A16,'1'!$A$4:$BN$16,39,FALSE)</f>
        <v>0</v>
      </c>
      <c r="J16" s="58">
        <f>+VLOOKUP(A16,'1'!$A$4:$BN$16,45,FALSE)</f>
        <v>0</v>
      </c>
      <c r="K16" s="58">
        <f>+VLOOKUP(A16,'1'!$A$4:$BN$16,50,FALSE)</f>
        <v>0</v>
      </c>
      <c r="L16" s="58">
        <f>+VLOOKUP(A16,'1'!$A$4:$BN$16,55,FALSE)</f>
        <v>0</v>
      </c>
      <c r="M16" s="58">
        <f>+VLOOKUP(A16,'1'!$A$4:$BN$16,61,FALSE)</f>
        <v>0</v>
      </c>
      <c r="N16" s="58">
        <f>+VLOOKUP(A16,'1'!$A$4:$BN$16,66,FALSE)</f>
        <v>0</v>
      </c>
      <c r="O16" s="60">
        <f t="shared" si="0"/>
        <v>0</v>
      </c>
      <c r="P16" s="38"/>
    </row>
    <row r="17" spans="1:16" ht="15.75" thickBot="1" x14ac:dyDescent="0.3">
      <c r="A17" s="89" t="s">
        <v>14</v>
      </c>
      <c r="B17" s="90"/>
      <c r="C17" s="61">
        <f t="shared" ref="C17:O17" si="1">SUM(C4:C16)</f>
        <v>10361.890000000001</v>
      </c>
      <c r="D17" s="61">
        <f t="shared" si="1"/>
        <v>10740.4</v>
      </c>
      <c r="E17" s="61">
        <f t="shared" si="1"/>
        <v>12524.33</v>
      </c>
      <c r="F17" s="61">
        <f t="shared" si="1"/>
        <v>10680.82</v>
      </c>
      <c r="G17" s="61">
        <f t="shared" si="1"/>
        <v>11555.140000000001</v>
      </c>
      <c r="H17" s="61">
        <f t="shared" si="1"/>
        <v>13959.940000000002</v>
      </c>
      <c r="I17" s="61">
        <f t="shared" si="1"/>
        <v>10571.9</v>
      </c>
      <c r="J17" s="61">
        <f t="shared" si="1"/>
        <v>16071.49</v>
      </c>
      <c r="K17" s="61">
        <f t="shared" si="1"/>
        <v>13784.699999999999</v>
      </c>
      <c r="L17" s="61">
        <f t="shared" si="1"/>
        <v>11411.059999999998</v>
      </c>
      <c r="M17" s="61">
        <f t="shared" si="1"/>
        <v>14560.640000000001</v>
      </c>
      <c r="N17" s="61">
        <f t="shared" si="1"/>
        <v>12185.08</v>
      </c>
      <c r="O17" s="62">
        <f t="shared" si="1"/>
        <v>148407.39000000004</v>
      </c>
      <c r="P17" s="38">
        <f>+C17+D17+E17+F17+G17+H17+I17+J17+K17+L17+M17+N17</f>
        <v>148407.38999999998</v>
      </c>
    </row>
    <row r="18" spans="1:16" x14ac:dyDescent="0.25">
      <c r="P18" s="36" t="str">
        <f>+IF(O17=P17,"OK","Erreur")</f>
        <v>OK</v>
      </c>
    </row>
  </sheetData>
  <mergeCells count="3">
    <mergeCell ref="A2:A3"/>
    <mergeCell ref="B2:B3"/>
    <mergeCell ref="O2:O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6"/>
  <sheetViews>
    <sheetView workbookViewId="0">
      <pane xSplit="1" ySplit="3" topLeftCell="B41" activePane="bottomRight" state="frozen"/>
      <selection pane="topRight" activeCell="B1" sqref="B1"/>
      <selection pane="bottomLeft" activeCell="A4" sqref="A4"/>
      <selection pane="bottomRight" activeCell="F69" sqref="F69"/>
    </sheetView>
  </sheetViews>
  <sheetFormatPr baseColWidth="10" defaultColWidth="9.140625" defaultRowHeight="15" x14ac:dyDescent="0.25"/>
  <cols>
    <col min="1" max="1" width="15.28515625" bestFit="1" customWidth="1"/>
    <col min="2" max="2" width="1.5703125" customWidth="1"/>
    <col min="3" max="14" width="11.85546875" bestFit="1" customWidth="1"/>
    <col min="15" max="15" width="14.7109375" bestFit="1" customWidth="1"/>
    <col min="16" max="16" width="12.85546875" bestFit="1" customWidth="1"/>
  </cols>
  <sheetData>
    <row r="1" spans="1:16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</row>
    <row r="2" spans="1:16" x14ac:dyDescent="0.25">
      <c r="A2" s="52" t="s">
        <v>0</v>
      </c>
      <c r="B2" s="93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7"/>
      <c r="O2" s="46" t="s">
        <v>1</v>
      </c>
    </row>
    <row r="3" spans="1:16" ht="15.75" thickBot="1" x14ac:dyDescent="0.3">
      <c r="A3" s="53"/>
      <c r="B3" s="94"/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47"/>
      <c r="P3" s="36" t="s">
        <v>17</v>
      </c>
    </row>
    <row r="4" spans="1:16" x14ac:dyDescent="0.25">
      <c r="A4" s="83" t="s">
        <v>18</v>
      </c>
      <c r="B4" s="13"/>
      <c r="C4" s="58">
        <f>VLOOKUP(A4,'2'!$A$4:$BN$74,7,FALSE)</f>
        <v>463.72</v>
      </c>
      <c r="D4" s="58">
        <f>+VLOOKUP(A4,'2'!$A$4:$BN$74,12,FALSE)</f>
        <v>559.57000000000005</v>
      </c>
      <c r="E4" s="58">
        <f>+VLOOKUP(A4,'2'!$A$4:$BN$74,18,FALSE)</f>
        <v>629.67000000000007</v>
      </c>
      <c r="F4" s="58">
        <f>+VLOOKUP(A4,'2'!$A$4:$BN$74,23,FALSE)</f>
        <v>517.31000000000006</v>
      </c>
      <c r="G4" s="58">
        <f>+VLOOKUP(A4,'2'!$A$4:$BN$74,28,FALSE)</f>
        <v>528.49</v>
      </c>
      <c r="H4" s="58">
        <f>+VLOOKUP(A4,'2'!$A$4:$BN$74,34,FALSE)</f>
        <v>617.24</v>
      </c>
      <c r="I4" s="58">
        <f>+VLOOKUP(A4,'2'!$A$4:$BN$74,39,FALSE)</f>
        <v>605.45000000000005</v>
      </c>
      <c r="J4" s="58">
        <f>+VLOOKUP(A4,'2'!$A$4:$BN$74,45,FALSE)</f>
        <v>664.78000000000009</v>
      </c>
      <c r="K4" s="58">
        <f>+VLOOKUP(A4,'2'!$A$4:$BN$746,50,FALSE)</f>
        <v>561.15</v>
      </c>
      <c r="L4" s="58">
        <f>+VLOOKUP(A4,'2'!$A$4:$BN$74,55,FALSE)</f>
        <v>611.59</v>
      </c>
      <c r="M4" s="58">
        <f>+VLOOKUP(A4,'2'!$A$4:$BN$74,61,FALSE)</f>
        <v>539.29999999999995</v>
      </c>
      <c r="N4" s="58">
        <f>+VLOOKUP(A4,'2'!$A$4:$BN$74,66,FALSE)</f>
        <v>700.98</v>
      </c>
      <c r="O4" s="60">
        <f>+C4+D4+E4+F4+G4+H4+I4+J4+K4+L4+M4+N4</f>
        <v>6999.25</v>
      </c>
      <c r="P4" s="38">
        <f>+O4</f>
        <v>6999.25</v>
      </c>
    </row>
    <row r="5" spans="1:16" x14ac:dyDescent="0.25">
      <c r="A5" s="83" t="s">
        <v>19</v>
      </c>
      <c r="B5" s="13"/>
      <c r="C5" s="65">
        <f>VLOOKUP(A5,'2'!$A$4:$BN$74,7,FALSE)</f>
        <v>486.28</v>
      </c>
      <c r="D5" s="65">
        <f>+VLOOKUP(A5,'2'!$A$4:$BN$74,12,FALSE)</f>
        <v>379.56</v>
      </c>
      <c r="E5" s="65">
        <f>+VLOOKUP(A5,'2'!$A$4:$BN$74,18,FALSE)</f>
        <v>488.32000000000005</v>
      </c>
      <c r="F5" s="65">
        <f>+VLOOKUP(A5,'2'!$A$4:$BN$74,23,FALSE)</f>
        <v>440.35</v>
      </c>
      <c r="G5" s="65">
        <f>+VLOOKUP(A5,'2'!$A$4:$BN$74,28,FALSE)</f>
        <v>460.03</v>
      </c>
      <c r="H5" s="65">
        <f>+VLOOKUP(A5,'2'!$A$4:$BN$74,34,FALSE)</f>
        <v>492.54</v>
      </c>
      <c r="I5" s="65">
        <f>+VLOOKUP(A5,'2'!$A$4:$BN$74,39,FALSE)</f>
        <v>402.94</v>
      </c>
      <c r="J5" s="65">
        <f>+VLOOKUP(A5,'2'!$A$4:$BN$74,45,FALSE)</f>
        <v>464.86</v>
      </c>
      <c r="K5" s="65">
        <f>+VLOOKUP(A5,'2'!$A$4:$BN$746,50,FALSE)</f>
        <v>379.91999999999996</v>
      </c>
      <c r="L5" s="65">
        <f>+VLOOKUP(A5,'2'!$A$4:$BN$74,55,FALSE)</f>
        <v>484.38</v>
      </c>
      <c r="M5" s="58">
        <f>+VLOOKUP(A5,'2'!$A$4:$BN$74,61,FALSE)</f>
        <v>505</v>
      </c>
      <c r="N5" s="58">
        <f>+VLOOKUP(A5,'2'!$A$4:$BN$74,66,FALSE)</f>
        <v>528.89</v>
      </c>
      <c r="O5" s="60">
        <f>+C5+D5+E5+F5+G5+H5+I5+J5+K5+L5+M5+N5</f>
        <v>5513.0700000000006</v>
      </c>
      <c r="P5" s="38">
        <f t="shared" ref="P5:P9" si="0">+O5</f>
        <v>5513.0700000000006</v>
      </c>
    </row>
    <row r="6" spans="1:16" ht="15.75" thickBot="1" x14ac:dyDescent="0.3">
      <c r="A6" s="84" t="s">
        <v>20</v>
      </c>
      <c r="B6" s="15"/>
      <c r="C6" s="68">
        <f>VLOOKUP(A6,'2'!$A$4:$BN$74,7,FALSE)</f>
        <v>402.77</v>
      </c>
      <c r="D6" s="68">
        <f>+VLOOKUP(A6,'2'!$A$4:$BN$74,12,FALSE)</f>
        <v>342.87</v>
      </c>
      <c r="E6" s="68">
        <f>+VLOOKUP(A6,'2'!$A$4:$BN$74,18,FALSE)</f>
        <v>443.02</v>
      </c>
      <c r="F6" s="68">
        <f>+VLOOKUP(A6,'2'!$A$4:$BN$74,23,FALSE)</f>
        <v>253.91000000000003</v>
      </c>
      <c r="G6" s="68">
        <f>+VLOOKUP(A6,'2'!$A$4:$BN$74,28,FALSE)</f>
        <v>325.76</v>
      </c>
      <c r="H6" s="68">
        <f>+VLOOKUP(A6,'2'!$A$4:$BN$74,34,FALSE)</f>
        <v>282.7</v>
      </c>
      <c r="I6" s="68">
        <f>+VLOOKUP(A6,'2'!$A$4:$BN$74,39,FALSE)</f>
        <v>86.81</v>
      </c>
      <c r="J6" s="68">
        <f>+VLOOKUP(A6,'2'!$A$4:$BN$74,45,FALSE)</f>
        <v>51.24</v>
      </c>
      <c r="K6" s="68">
        <f>+VLOOKUP(A6,'2'!$A$4:$BN$746,50,FALSE)</f>
        <v>306.65999999999997</v>
      </c>
      <c r="L6" s="68">
        <f>+VLOOKUP(A6,'2'!$A$4:$BN$74,55,FALSE)</f>
        <v>240.9</v>
      </c>
      <c r="M6" s="63">
        <f>+VLOOKUP(A6,'2'!$A$4:$BN$74,61,FALSE)</f>
        <v>390.55</v>
      </c>
      <c r="N6" s="63">
        <f>+VLOOKUP(A6,'2'!$A$4:$BN$74,66,FALSE)</f>
        <v>309.74</v>
      </c>
      <c r="O6" s="79">
        <f>+C6+D6+E6+F6+G6+H6+I6+J6+K6+L6+M6+N6</f>
        <v>3436.9299999999994</v>
      </c>
      <c r="P6" s="38">
        <f t="shared" si="0"/>
        <v>3436.9299999999994</v>
      </c>
    </row>
    <row r="7" spans="1:16" ht="16.5" thickTop="1" thickBot="1" x14ac:dyDescent="0.3">
      <c r="A7" s="85" t="s">
        <v>21</v>
      </c>
      <c r="B7" s="42"/>
      <c r="C7" s="64">
        <f t="shared" ref="C7:O7" si="1">SUM(C4:C6)</f>
        <v>1352.77</v>
      </c>
      <c r="D7" s="64">
        <f t="shared" si="1"/>
        <v>1282</v>
      </c>
      <c r="E7" s="64">
        <f t="shared" si="1"/>
        <v>1561.0100000000002</v>
      </c>
      <c r="F7" s="64">
        <f t="shared" si="1"/>
        <v>1211.5700000000002</v>
      </c>
      <c r="G7" s="64">
        <f t="shared" si="1"/>
        <v>1314.28</v>
      </c>
      <c r="H7" s="64">
        <f t="shared" si="1"/>
        <v>1392.48</v>
      </c>
      <c r="I7" s="64">
        <f t="shared" si="1"/>
        <v>1095.2</v>
      </c>
      <c r="J7" s="64">
        <f t="shared" si="1"/>
        <v>1180.8800000000001</v>
      </c>
      <c r="K7" s="64">
        <f t="shared" si="1"/>
        <v>1247.73</v>
      </c>
      <c r="L7" s="64">
        <f t="shared" si="1"/>
        <v>1336.8700000000001</v>
      </c>
      <c r="M7" s="64">
        <f t="shared" si="1"/>
        <v>1434.85</v>
      </c>
      <c r="N7" s="64">
        <f t="shared" si="1"/>
        <v>1539.61</v>
      </c>
      <c r="O7" s="80">
        <f t="shared" si="1"/>
        <v>15949.25</v>
      </c>
      <c r="P7" s="38"/>
    </row>
    <row r="8" spans="1:16" ht="15.75" thickTop="1" x14ac:dyDescent="0.25">
      <c r="A8" s="86" t="s">
        <v>22</v>
      </c>
      <c r="B8" s="11"/>
      <c r="C8" s="58">
        <f>VLOOKUP(A8,'2'!$A$4:$BN$74,7,FALSE)</f>
        <v>534.70000000000005</v>
      </c>
      <c r="D8" s="58">
        <f>+VLOOKUP(A8,'2'!$A$4:$BN$74,12,FALSE)</f>
        <v>342.66999999999996</v>
      </c>
      <c r="E8" s="58">
        <f>+VLOOKUP(A8,'2'!$A$4:$BN$74,18,FALSE)</f>
        <v>659.37999999999988</v>
      </c>
      <c r="F8" s="58">
        <f>+VLOOKUP(A8,'2'!$A$4:$BN$74,23,FALSE)</f>
        <v>441.34999999999997</v>
      </c>
      <c r="G8" s="58">
        <f>+VLOOKUP(A8,'2'!$A$4:$BN$74,28,FALSE)</f>
        <v>451.5</v>
      </c>
      <c r="H8" s="58">
        <f>+VLOOKUP(A8,'2'!$A$4:$BN$74,34,FALSE)</f>
        <v>343.07</v>
      </c>
      <c r="I8" s="58">
        <f>+VLOOKUP(A8,'2'!$A$4:$BN$74,39,FALSE)</f>
        <v>491.4</v>
      </c>
      <c r="J8" s="58">
        <f>+VLOOKUP(A8,'2'!$A$4:$BN$74,45,FALSE)</f>
        <v>379.79999999999995</v>
      </c>
      <c r="K8" s="58">
        <f>+VLOOKUP(A8,'2'!$A$4:$BN$746,50,FALSE)</f>
        <v>283.39</v>
      </c>
      <c r="L8" s="58">
        <f>+VLOOKUP(A8,'2'!$A$4:$BN$74,55,FALSE)</f>
        <v>503.82000000000005</v>
      </c>
      <c r="M8" s="58">
        <f>+VLOOKUP(A8,'2'!$A$4:$BN$74,61,FALSE)</f>
        <v>536.75</v>
      </c>
      <c r="N8" s="58">
        <f>+VLOOKUP(A8,'2'!$A$4:$BN$74,66,FALSE)</f>
        <v>492.78</v>
      </c>
      <c r="O8" s="59">
        <f t="shared" ref="O8:O27" si="2">+C8+D8+E8+F8+G8+H8+I8+J8+K8+L8+M8+N8</f>
        <v>5460.61</v>
      </c>
      <c r="P8" s="38">
        <f t="shared" si="0"/>
        <v>5460.61</v>
      </c>
    </row>
    <row r="9" spans="1:16" x14ac:dyDescent="0.25">
      <c r="A9" s="86" t="s">
        <v>23</v>
      </c>
      <c r="B9" s="13"/>
      <c r="C9" s="65">
        <f>VLOOKUP(A9,'2'!$A$4:$BN$74,7,FALSE)</f>
        <v>498.03</v>
      </c>
      <c r="D9" s="65">
        <f>+VLOOKUP(A9,'2'!$A$4:$BN$74,12,FALSE)</f>
        <v>519.46</v>
      </c>
      <c r="E9" s="65">
        <f>+VLOOKUP(A9,'2'!$A$4:$BN$74,18,FALSE)</f>
        <v>864.22</v>
      </c>
      <c r="F9" s="65">
        <f>+VLOOKUP(A9,'2'!$A$4:$BN$74,23,FALSE)</f>
        <v>493.71000000000004</v>
      </c>
      <c r="G9" s="65">
        <f>+VLOOKUP(A9,'2'!$A$4:$BN$74,28,FALSE)</f>
        <v>488.84000000000003</v>
      </c>
      <c r="H9" s="65">
        <f>+VLOOKUP(A9,'2'!$A$4:$BN$74,34,FALSE)</f>
        <v>603.32999999999993</v>
      </c>
      <c r="I9" s="65">
        <f>+VLOOKUP(A9,'2'!$A$4:$BN$74,39,FALSE)</f>
        <v>566.79</v>
      </c>
      <c r="J9" s="65">
        <f>+VLOOKUP(A9,'2'!$A$4:$BN$74,45,FALSE)</f>
        <v>659.23</v>
      </c>
      <c r="K9" s="65">
        <f>+VLOOKUP(A9,'2'!$A$4:$BN$746,50,FALSE)</f>
        <v>574.79999999999995</v>
      </c>
      <c r="L9" s="65">
        <f>+VLOOKUP(A9,'2'!$A$4:$BN$74,55,FALSE)</f>
        <v>500.32000000000005</v>
      </c>
      <c r="M9" s="58">
        <f>+VLOOKUP(A9,'2'!$A$4:$BN$74,61,FALSE)</f>
        <v>799.67999999999984</v>
      </c>
      <c r="N9" s="58">
        <f>+VLOOKUP(A9,'2'!$A$4:$BN$74,66,FALSE)</f>
        <v>517.04000000000008</v>
      </c>
      <c r="O9" s="60">
        <f t="shared" si="2"/>
        <v>7085.45</v>
      </c>
      <c r="P9" s="38">
        <f t="shared" si="0"/>
        <v>7085.45</v>
      </c>
    </row>
    <row r="10" spans="1:16" x14ac:dyDescent="0.25">
      <c r="A10" s="86" t="s">
        <v>24</v>
      </c>
      <c r="B10" s="13"/>
      <c r="C10" s="65">
        <f>VLOOKUP(A10,'2'!$A$4:$BN$74,7,FALSE)</f>
        <v>0</v>
      </c>
      <c r="D10" s="65">
        <f>+VLOOKUP(A10,'2'!$A$4:$BN$74,12,FALSE)</f>
        <v>0</v>
      </c>
      <c r="E10" s="65">
        <f>+VLOOKUP(A10,'2'!$A$4:$BN$74,18,FALSE)</f>
        <v>25.759999999999998</v>
      </c>
      <c r="F10" s="65">
        <f>+VLOOKUP(A10,'2'!$A$4:$BN$74,23,FALSE)</f>
        <v>16.309999999999999</v>
      </c>
      <c r="G10" s="65">
        <f>+VLOOKUP(A10,'2'!$A$4:$BN$74,28,FALSE)</f>
        <v>10.55</v>
      </c>
      <c r="H10" s="65">
        <f>+VLOOKUP(A10,'2'!$A$4:$BN$74,34,FALSE)</f>
        <v>27.740000000000002</v>
      </c>
      <c r="I10" s="65">
        <f>+VLOOKUP(A10,'2'!$A$4:$BN$74,39,FALSE)</f>
        <v>12.96</v>
      </c>
      <c r="J10" s="65">
        <f>+VLOOKUP(A10,'2'!$A$4:$BN$74,45,FALSE)</f>
        <v>14.4</v>
      </c>
      <c r="K10" s="65">
        <f>+VLOOKUP(A10,'2'!$A$4:$BN$746,50,FALSE)</f>
        <v>18.02</v>
      </c>
      <c r="L10" s="65">
        <f>+VLOOKUP(A10,'2'!$A$4:$BN$74,55,FALSE)</f>
        <v>17.27</v>
      </c>
      <c r="M10" s="65">
        <f>+VLOOKUP(A10,'2'!$A$4:$BN$74,61,FALSE)</f>
        <v>9.1</v>
      </c>
      <c r="N10" s="65">
        <f>+VLOOKUP(A10,'2'!$A$4:$BN$74,66,FALSE)</f>
        <v>26.79</v>
      </c>
      <c r="O10" s="60">
        <f t="shared" si="2"/>
        <v>178.89999999999998</v>
      </c>
      <c r="P10" s="38">
        <f>+O10</f>
        <v>178.89999999999998</v>
      </c>
    </row>
    <row r="11" spans="1:16" x14ac:dyDescent="0.25">
      <c r="A11" s="86" t="s">
        <v>25</v>
      </c>
      <c r="B11" s="13"/>
      <c r="C11" s="65">
        <f>VLOOKUP(A11,'2'!$A$4:$BN$74,7,FALSE)</f>
        <v>0</v>
      </c>
      <c r="D11" s="65">
        <f>+VLOOKUP(A11,'2'!$A$4:$BN$74,12,FALSE)</f>
        <v>0</v>
      </c>
      <c r="E11" s="65">
        <f>+VLOOKUP(A11,'2'!$A$4:$BN$74,18,FALSE)</f>
        <v>0</v>
      </c>
      <c r="F11" s="65">
        <f>+VLOOKUP(A11,'2'!$A$4:$BN$74,23,FALSE)</f>
        <v>0</v>
      </c>
      <c r="G11" s="65">
        <f>+VLOOKUP(A11,'2'!$A$4:$BN$74,28,FALSE)</f>
        <v>0</v>
      </c>
      <c r="H11" s="65">
        <f>+VLOOKUP(A11,'2'!$A$4:$BN$74,34,FALSE)</f>
        <v>0</v>
      </c>
      <c r="I11" s="65">
        <f>+VLOOKUP(A11,'2'!$A$4:$BN$74,39,FALSE)</f>
        <v>0</v>
      </c>
      <c r="J11" s="65">
        <f>+VLOOKUP(A11,'2'!$A$4:$BN$74,45,FALSE)</f>
        <v>0</v>
      </c>
      <c r="K11" s="77">
        <f>+VLOOKUP(A11,'2'!$A$4:$BN$746,50,FALSE)</f>
        <v>5.4</v>
      </c>
      <c r="L11" s="65">
        <f>+VLOOKUP(A11,'2'!$A$4:$BN$74,55,FALSE)</f>
        <v>0</v>
      </c>
      <c r="M11" s="65">
        <f>+VLOOKUP(A11,'2'!$A$4:$BN$74,61,FALSE)</f>
        <v>1.94</v>
      </c>
      <c r="N11" s="65">
        <f>+VLOOKUP(A11,'2'!$A$4:$BN$74,66,FALSE)</f>
        <v>0</v>
      </c>
      <c r="O11" s="60">
        <f t="shared" si="2"/>
        <v>7.34</v>
      </c>
      <c r="P11" s="38">
        <f t="shared" ref="P11:P73" si="3">+O11</f>
        <v>7.34</v>
      </c>
    </row>
    <row r="12" spans="1:16" x14ac:dyDescent="0.25">
      <c r="A12" s="86" t="s">
        <v>26</v>
      </c>
      <c r="B12" s="13"/>
      <c r="C12" s="65">
        <f>VLOOKUP(A12,'2'!$A$4:$BN$74,7,FALSE)</f>
        <v>81.790000000000006</v>
      </c>
      <c r="D12" s="65">
        <f>+VLOOKUP(A12,'2'!$A$4:$BN$74,12,FALSE)</f>
        <v>179.85000000000002</v>
      </c>
      <c r="E12" s="65">
        <f>+VLOOKUP(A12,'2'!$A$4:$BN$74,18,FALSE)</f>
        <v>225.02</v>
      </c>
      <c r="F12" s="65">
        <f>+VLOOKUP(A12,'2'!$A$4:$BN$74,23,FALSE)</f>
        <v>132.47000000000003</v>
      </c>
      <c r="G12" s="65">
        <f>+VLOOKUP(A12,'2'!$A$4:$BN$74,28,FALSE)</f>
        <v>110.32000000000001</v>
      </c>
      <c r="H12" s="65">
        <f>+VLOOKUP(A12,'2'!$A$4:$BN$74,34,FALSE)</f>
        <v>160.81</v>
      </c>
      <c r="I12" s="65">
        <f>+VLOOKUP(A12,'2'!$A$4:$BN$74,39,FALSE)</f>
        <v>174.25</v>
      </c>
      <c r="J12" s="65">
        <f>+VLOOKUP(A12,'2'!$A$4:$BN$74,45,FALSE)</f>
        <v>212.21</v>
      </c>
      <c r="K12" s="65">
        <f>+VLOOKUP(A12,'2'!$A$4:$BN$746,50,FALSE)</f>
        <v>151.99</v>
      </c>
      <c r="L12" s="65">
        <f>+VLOOKUP(A12,'2'!$A$4:$BN$74,55,FALSE)</f>
        <v>166.04000000000002</v>
      </c>
      <c r="M12" s="65">
        <f>+VLOOKUP(A12,'2'!$A$4:$BN$74,61,FALSE)</f>
        <v>217.81</v>
      </c>
      <c r="N12" s="65">
        <f>+VLOOKUP(A12,'2'!$A$4:$BN$74,66,FALSE)</f>
        <v>329.07</v>
      </c>
      <c r="O12" s="60">
        <f t="shared" si="2"/>
        <v>2141.63</v>
      </c>
      <c r="P12" s="38">
        <f t="shared" si="3"/>
        <v>2141.63</v>
      </c>
    </row>
    <row r="13" spans="1:16" x14ac:dyDescent="0.25">
      <c r="A13" s="86" t="s">
        <v>27</v>
      </c>
      <c r="B13" s="13"/>
      <c r="C13" s="65">
        <f>VLOOKUP(A13,'2'!$A$4:$BN$74,7,FALSE)</f>
        <v>504.92</v>
      </c>
      <c r="D13" s="65">
        <f>+VLOOKUP(A13,'2'!$A$4:$BN$74,12,FALSE)</f>
        <v>504.59000000000003</v>
      </c>
      <c r="E13" s="65">
        <f>+VLOOKUP(A13,'2'!$A$4:$BN$74,18,FALSE)</f>
        <v>645.9</v>
      </c>
      <c r="F13" s="65">
        <f>+VLOOKUP(A13,'2'!$A$4:$BN$74,23,FALSE)</f>
        <v>553.71</v>
      </c>
      <c r="G13" s="65">
        <f>+VLOOKUP(A13,'2'!$A$4:$BN$74,28,FALSE)</f>
        <v>484.94</v>
      </c>
      <c r="H13" s="65">
        <f>+VLOOKUP(A13,'2'!$A$4:$BN$74,34,FALSE)</f>
        <v>569.1099999999999</v>
      </c>
      <c r="I13" s="65">
        <f>+VLOOKUP(A13,'2'!$A$4:$BN$74,39,FALSE)</f>
        <v>562.29</v>
      </c>
      <c r="J13" s="65">
        <f>+VLOOKUP(A13,'2'!$A$4:$BN$74,45,FALSE)</f>
        <v>650.05000000000007</v>
      </c>
      <c r="K13" s="65">
        <f>+VLOOKUP(A13,'2'!$A$4:$BN$746,50,FALSE)</f>
        <v>388.7</v>
      </c>
      <c r="L13" s="65">
        <f>+VLOOKUP(A13,'2'!$A$4:$BN$74,55,FALSE)</f>
        <v>538.22</v>
      </c>
      <c r="M13" s="65">
        <f>+VLOOKUP(A13,'2'!$A$4:$BN$74,61,FALSE)</f>
        <v>623.81000000000006</v>
      </c>
      <c r="N13" s="65">
        <f>+VLOOKUP(A13,'2'!$A$4:$BN$74,66,FALSE)</f>
        <v>590.29</v>
      </c>
      <c r="O13" s="60">
        <f t="shared" si="2"/>
        <v>6616.5300000000007</v>
      </c>
      <c r="P13" s="38">
        <f t="shared" si="3"/>
        <v>6616.5300000000007</v>
      </c>
    </row>
    <row r="14" spans="1:16" x14ac:dyDescent="0.25">
      <c r="A14" s="86" t="s">
        <v>28</v>
      </c>
      <c r="B14" s="13"/>
      <c r="C14" s="65">
        <f>VLOOKUP(A14,'2'!$A$4:$BN$74,7,FALSE)</f>
        <v>0</v>
      </c>
      <c r="D14" s="65">
        <f>+VLOOKUP(A14,'2'!$A$4:$BN$74,12,FALSE)</f>
        <v>0</v>
      </c>
      <c r="E14" s="65">
        <f>+VLOOKUP(A14,'2'!$A$4:$BN$74,18,FALSE)</f>
        <v>0</v>
      </c>
      <c r="F14" s="65">
        <f>+VLOOKUP(A14,'2'!$A$4:$BN$74,23,FALSE)</f>
        <v>0</v>
      </c>
      <c r="G14" s="65">
        <f>+VLOOKUP(A14,'2'!$A$4:$BN$74,28,FALSE)</f>
        <v>0</v>
      </c>
      <c r="H14" s="65">
        <f>+VLOOKUP(A14,'2'!$A$4:$BN$74,34,FALSE)</f>
        <v>0</v>
      </c>
      <c r="I14" s="65">
        <f>+VLOOKUP(A14,'2'!$A$4:$BN$74,39,FALSE)</f>
        <v>0</v>
      </c>
      <c r="J14" s="65">
        <f>+VLOOKUP(A14,'2'!$A$4:$BN$74,45,FALSE)</f>
        <v>0</v>
      </c>
      <c r="K14" s="77">
        <f>+VLOOKUP(A14,'2'!$A$4:$BN$746,50,FALSE)</f>
        <v>0</v>
      </c>
      <c r="L14" s="65">
        <f>+VLOOKUP(A14,'2'!$A$4:$BN$74,55,FALSE)</f>
        <v>0</v>
      </c>
      <c r="M14" s="65">
        <f>+VLOOKUP(A14,'2'!$A$4:$BN$74,61,FALSE)</f>
        <v>0</v>
      </c>
      <c r="N14" s="65">
        <f>+VLOOKUP(A14,'2'!$A$4:$BN$74,66,FALSE)</f>
        <v>0</v>
      </c>
      <c r="O14" s="60">
        <f t="shared" si="2"/>
        <v>0</v>
      </c>
      <c r="P14" s="38">
        <f t="shared" si="3"/>
        <v>0</v>
      </c>
    </row>
    <row r="15" spans="1:16" x14ac:dyDescent="0.25">
      <c r="A15" s="86" t="s">
        <v>29</v>
      </c>
      <c r="B15" s="13"/>
      <c r="C15" s="65">
        <f>VLOOKUP(A15,'2'!$A$4:$BN$74,7,FALSE)</f>
        <v>563.01</v>
      </c>
      <c r="D15" s="65">
        <f>+VLOOKUP(A15,'2'!$A$4:$BN$74,12,FALSE)</f>
        <v>559.1</v>
      </c>
      <c r="E15" s="65">
        <f>+VLOOKUP(A15,'2'!$A$4:$BN$74,18,FALSE)</f>
        <v>682.91000000000008</v>
      </c>
      <c r="F15" s="65">
        <f>+VLOOKUP(A15,'2'!$A$4:$BN$74,23,FALSE)</f>
        <v>633.46</v>
      </c>
      <c r="G15" s="65">
        <f>+VLOOKUP(A15,'2'!$A$4:$BN$74,28,FALSE)</f>
        <v>671.32999999999993</v>
      </c>
      <c r="H15" s="65">
        <f>+VLOOKUP(A15,'2'!$A$4:$BN$74,34,FALSE)</f>
        <v>761.89</v>
      </c>
      <c r="I15" s="65">
        <f>+VLOOKUP(A15,'2'!$A$4:$BN$74,39,FALSE)</f>
        <v>641.28</v>
      </c>
      <c r="J15" s="65">
        <f>+VLOOKUP(A15,'2'!$A$4:$BN$74,45,FALSE)</f>
        <v>827.79</v>
      </c>
      <c r="K15" s="65">
        <f>+VLOOKUP(A15,'2'!$A$4:$BN$746,50,FALSE)</f>
        <v>624.09</v>
      </c>
      <c r="L15" s="65">
        <f>+VLOOKUP(A15,'2'!$A$4:$BN$74,55,FALSE)</f>
        <v>659.35</v>
      </c>
      <c r="M15" s="65">
        <f>+VLOOKUP(A15,'2'!$A$4:$BN$74,61,FALSE)</f>
        <v>791.86999999999989</v>
      </c>
      <c r="N15" s="65">
        <f>+VLOOKUP(A15,'2'!$A$4:$BN$74,66,FALSE)</f>
        <v>740.3900000000001</v>
      </c>
      <c r="O15" s="60">
        <f t="shared" si="2"/>
        <v>8156.4700000000012</v>
      </c>
      <c r="P15" s="38">
        <f t="shared" si="3"/>
        <v>8156.4700000000012</v>
      </c>
    </row>
    <row r="16" spans="1:16" x14ac:dyDescent="0.25">
      <c r="A16" s="86" t="s">
        <v>30</v>
      </c>
      <c r="B16" s="13"/>
      <c r="C16" s="65">
        <f>VLOOKUP(A16,'2'!$A$4:$BN$74,7,FALSE)</f>
        <v>0</v>
      </c>
      <c r="D16" s="65">
        <f>+VLOOKUP(A16,'2'!$A$4:$BN$74,12,FALSE)</f>
        <v>0</v>
      </c>
      <c r="E16" s="65">
        <f>+VLOOKUP(A16,'2'!$A$4:$BN$74,18,FALSE)</f>
        <v>0</v>
      </c>
      <c r="F16" s="65">
        <f>+VLOOKUP(A16,'2'!$A$4:$BN$74,23,FALSE)</f>
        <v>0</v>
      </c>
      <c r="G16" s="65">
        <f>+VLOOKUP(A16,'2'!$A$4:$BN$74,28,FALSE)</f>
        <v>0</v>
      </c>
      <c r="H16" s="65">
        <f>+VLOOKUP(A16,'2'!$A$4:$BN$74,34,FALSE)</f>
        <v>0</v>
      </c>
      <c r="I16" s="65">
        <f>+VLOOKUP(A16,'2'!$A$4:$BN$74,39,FALSE)</f>
        <v>0</v>
      </c>
      <c r="J16" s="65">
        <f>+VLOOKUP(A16,'2'!$A$4:$BN$74,45,FALSE)</f>
        <v>0</v>
      </c>
      <c r="K16" s="77">
        <f>+VLOOKUP(A16,'2'!$A$4:$BN$746,50,FALSE)</f>
        <v>0</v>
      </c>
      <c r="L16" s="65">
        <f>+VLOOKUP(A16,'2'!$A$4:$BN$74,55,FALSE)</f>
        <v>0</v>
      </c>
      <c r="M16" s="65">
        <f>+VLOOKUP(A16,'2'!$A$4:$BN$74,61,FALSE)</f>
        <v>0</v>
      </c>
      <c r="N16" s="65">
        <f>+VLOOKUP(A16,'2'!$A$4:$BN$74,66,FALSE)</f>
        <v>0</v>
      </c>
      <c r="O16" s="60">
        <f t="shared" si="2"/>
        <v>0</v>
      </c>
      <c r="P16" s="38">
        <f t="shared" si="3"/>
        <v>0</v>
      </c>
    </row>
    <row r="17" spans="1:16" x14ac:dyDescent="0.25">
      <c r="A17" s="86" t="s">
        <v>31</v>
      </c>
      <c r="B17" s="13"/>
      <c r="C17" s="65">
        <f>VLOOKUP(A17,'2'!$A$4:$BN$74,7,FALSE)</f>
        <v>1083.4499999999998</v>
      </c>
      <c r="D17" s="65">
        <f>+VLOOKUP(A17,'2'!$A$4:$BN$74,12,FALSE)</f>
        <v>912.23</v>
      </c>
      <c r="E17" s="65">
        <f>+VLOOKUP(A17,'2'!$A$4:$BN$74,18,FALSE)</f>
        <v>1475.23</v>
      </c>
      <c r="F17" s="65">
        <f>+VLOOKUP(A17,'2'!$A$4:$BN$74,23,FALSE)</f>
        <v>1075.1300000000001</v>
      </c>
      <c r="G17" s="65">
        <f>+VLOOKUP(A17,'2'!$A$4:$BN$74,28,FALSE)</f>
        <v>1014.38</v>
      </c>
      <c r="H17" s="65">
        <f>+VLOOKUP(A17,'2'!$A$4:$BN$74,34,FALSE)</f>
        <v>1279.6300000000001</v>
      </c>
      <c r="I17" s="65">
        <f>+VLOOKUP(A17,'2'!$A$4:$BN$74,39,FALSE)</f>
        <v>1014.4100000000001</v>
      </c>
      <c r="J17" s="65">
        <f>+VLOOKUP(A17,'2'!$A$4:$BN$74,45,FALSE)</f>
        <v>1252.0899999999999</v>
      </c>
      <c r="K17" s="65">
        <f>+VLOOKUP(A17,'2'!$A$4:$BN$746,50,FALSE)</f>
        <v>955.83</v>
      </c>
      <c r="L17" s="65">
        <f>+VLOOKUP(A17,'2'!$A$4:$BN$74,55,FALSE)</f>
        <v>1111.5999999999999</v>
      </c>
      <c r="M17" s="65">
        <f>+VLOOKUP(A17,'2'!$A$4:$BN$74,61,FALSE)</f>
        <v>1341.27</v>
      </c>
      <c r="N17" s="65">
        <f>+VLOOKUP(A17,'2'!$A$4:$BN$74,66,FALSE)</f>
        <v>1075.58</v>
      </c>
      <c r="O17" s="60">
        <f t="shared" si="2"/>
        <v>13590.83</v>
      </c>
      <c r="P17" s="38">
        <f t="shared" si="3"/>
        <v>13590.83</v>
      </c>
    </row>
    <row r="18" spans="1:16" x14ac:dyDescent="0.25">
      <c r="A18" s="86" t="s">
        <v>32</v>
      </c>
      <c r="B18" s="13"/>
      <c r="C18" s="65">
        <f>VLOOKUP(A18,'2'!$A$4:$BN$74,7,FALSE)</f>
        <v>0</v>
      </c>
      <c r="D18" s="65">
        <f>+VLOOKUP(A18,'2'!$A$4:$BN$74,12,FALSE)</f>
        <v>0</v>
      </c>
      <c r="E18" s="65">
        <f>+VLOOKUP(A18,'2'!$A$4:$BN$74,18,FALSE)</f>
        <v>0</v>
      </c>
      <c r="F18" s="65">
        <f>+VLOOKUP(A18,'2'!$A$4:$BN$74,23,FALSE)</f>
        <v>0</v>
      </c>
      <c r="G18" s="65">
        <f>+VLOOKUP(A18,'2'!$A$4:$BN$74,28,FALSE)</f>
        <v>0</v>
      </c>
      <c r="H18" s="65">
        <f>+VLOOKUP(A18,'2'!$A$4:$BN$74,34,FALSE)</f>
        <v>0</v>
      </c>
      <c r="I18" s="65">
        <f>+VLOOKUP(A18,'2'!$A$4:$BN$74,39,FALSE)</f>
        <v>0</v>
      </c>
      <c r="J18" s="65">
        <f>+VLOOKUP(A18,'2'!$A$4:$BN$74,45,FALSE)</f>
        <v>0</v>
      </c>
      <c r="K18" s="65">
        <f>+VLOOKUP(A18,'2'!$A$4:$BN$746,50,FALSE)</f>
        <v>0</v>
      </c>
      <c r="L18" s="65">
        <f>+VLOOKUP(A18,'2'!$A$4:$BN$74,55,FALSE)</f>
        <v>0</v>
      </c>
      <c r="M18" s="65">
        <f>+VLOOKUP(A18,'2'!$A$4:$BN$74,61,FALSE)</f>
        <v>0</v>
      </c>
      <c r="N18" s="65">
        <f>+VLOOKUP(A18,'2'!$A$4:$BN$74,66,FALSE)</f>
        <v>0</v>
      </c>
      <c r="O18" s="60">
        <f t="shared" si="2"/>
        <v>0</v>
      </c>
      <c r="P18" s="38">
        <f t="shared" si="3"/>
        <v>0</v>
      </c>
    </row>
    <row r="19" spans="1:16" x14ac:dyDescent="0.25">
      <c r="A19" s="86" t="s">
        <v>33</v>
      </c>
      <c r="B19" s="13"/>
      <c r="C19" s="65">
        <f>VLOOKUP(A19,'2'!$A$4:$BN$74,7,FALSE)</f>
        <v>82.32</v>
      </c>
      <c r="D19" s="65">
        <f>+VLOOKUP(A19,'2'!$A$4:$BN$74,12,FALSE)</f>
        <v>70.56</v>
      </c>
      <c r="E19" s="65">
        <f>+VLOOKUP(A19,'2'!$A$4:$BN$74,18,FALSE)</f>
        <v>76.44</v>
      </c>
      <c r="F19" s="65">
        <f>+VLOOKUP(A19,'2'!$A$4:$BN$74,23,FALSE)</f>
        <v>82.32</v>
      </c>
      <c r="G19" s="65">
        <f>+VLOOKUP(A19,'2'!$A$4:$BN$74,28,FALSE)</f>
        <v>76.44</v>
      </c>
      <c r="H19" s="65">
        <f>+VLOOKUP(A19,'2'!$A$4:$BN$74,34,FALSE)</f>
        <v>71.88</v>
      </c>
      <c r="I19" s="65">
        <f>+VLOOKUP(A19,'2'!$A$4:$BN$74,39,FALSE)</f>
        <v>84.7</v>
      </c>
      <c r="J19" s="65">
        <f>+VLOOKUP(A19,'2'!$A$4:$BN$74,45,FALSE)</f>
        <v>78.650000000000006</v>
      </c>
      <c r="K19" s="65">
        <f>+VLOOKUP(A19,'2'!$A$4:$BN$746,50,FALSE)</f>
        <v>72.959999999999994</v>
      </c>
      <c r="L19" s="65">
        <f>+VLOOKUP(A19,'2'!$A$4:$BN$74,55,FALSE)</f>
        <v>85.26</v>
      </c>
      <c r="M19" s="65">
        <f>+VLOOKUP(A19,'2'!$A$4:$BN$74,61,FALSE)</f>
        <v>89.57</v>
      </c>
      <c r="N19" s="65">
        <f>+VLOOKUP(A19,'2'!$A$4:$BN$74,66,FALSE)</f>
        <v>97.02</v>
      </c>
      <c r="O19" s="60">
        <f t="shared" si="2"/>
        <v>968.11999999999989</v>
      </c>
      <c r="P19" s="38">
        <f t="shared" si="3"/>
        <v>968.11999999999989</v>
      </c>
    </row>
    <row r="20" spans="1:16" x14ac:dyDescent="0.25">
      <c r="A20" s="86" t="s">
        <v>34</v>
      </c>
      <c r="B20" s="18"/>
      <c r="C20" s="65">
        <f>VLOOKUP(A20,'2'!$A$4:$BN$74,7,FALSE)</f>
        <v>0</v>
      </c>
      <c r="D20" s="65">
        <f>+VLOOKUP(A20,'2'!$A$4:$BN$74,12,FALSE)</f>
        <v>0</v>
      </c>
      <c r="E20" s="65">
        <f>+VLOOKUP(A20,'2'!$A$4:$BN$74,18,FALSE)</f>
        <v>0</v>
      </c>
      <c r="F20" s="65">
        <f>+VLOOKUP(A20,'2'!$A$4:$BN$74,23,FALSE)</f>
        <v>0</v>
      </c>
      <c r="G20" s="65">
        <f>+VLOOKUP(A20,'2'!$A$4:$BN$74,28,FALSE)</f>
        <v>0</v>
      </c>
      <c r="H20" s="65">
        <f>+VLOOKUP(A20,'2'!$A$4:$BN$74,34,FALSE)</f>
        <v>0</v>
      </c>
      <c r="I20" s="65">
        <f>+VLOOKUP(A20,'2'!$A$4:$BN$74,39,FALSE)</f>
        <v>0</v>
      </c>
      <c r="J20" s="65">
        <f>+VLOOKUP(A20,'2'!$A$4:$BN$74,45,FALSE)</f>
        <v>0</v>
      </c>
      <c r="K20" s="65">
        <f>+VLOOKUP(A20,'2'!$A$4:$BN$746,50,FALSE)</f>
        <v>0</v>
      </c>
      <c r="L20" s="65">
        <f>+VLOOKUP(A20,'2'!$A$4:$BN$74,55,FALSE)</f>
        <v>0</v>
      </c>
      <c r="M20" s="65">
        <f>+VLOOKUP(A20,'2'!$A$4:$BN$74,61,FALSE)</f>
        <v>0</v>
      </c>
      <c r="N20" s="65">
        <f>+VLOOKUP(A20,'2'!$A$4:$BN$74,66,FALSE)</f>
        <v>0</v>
      </c>
      <c r="O20" s="60">
        <f t="shared" si="2"/>
        <v>0</v>
      </c>
      <c r="P20" s="38">
        <f t="shared" si="3"/>
        <v>0</v>
      </c>
    </row>
    <row r="21" spans="1:16" x14ac:dyDescent="0.25">
      <c r="A21" s="86" t="s">
        <v>35</v>
      </c>
      <c r="B21" s="18"/>
      <c r="C21" s="65">
        <f>VLOOKUP(A21,'2'!$A$4:$BN$74,7,FALSE)</f>
        <v>0</v>
      </c>
      <c r="D21" s="65">
        <f>+VLOOKUP(A21,'2'!$A$4:$BN$74,12,FALSE)</f>
        <v>0</v>
      </c>
      <c r="E21" s="65">
        <f>+VLOOKUP(A21,'2'!$A$4:$BN$74,18,FALSE)</f>
        <v>0</v>
      </c>
      <c r="F21" s="65">
        <f>+VLOOKUP(A21,'2'!$A$4:$BN$74,23,FALSE)</f>
        <v>0</v>
      </c>
      <c r="G21" s="65">
        <f>+VLOOKUP(A21,'2'!$A$4:$BN$74,28,FALSE)</f>
        <v>0</v>
      </c>
      <c r="H21" s="65">
        <f>+VLOOKUP(A21,'2'!$A$4:$BN$74,34,FALSE)</f>
        <v>0</v>
      </c>
      <c r="I21" s="65">
        <f>+VLOOKUP(A21,'2'!$A$4:$BN$74,39,FALSE)</f>
        <v>0</v>
      </c>
      <c r="J21" s="65">
        <f>+VLOOKUP(A21,'2'!$A$4:$BN$74,45,FALSE)</f>
        <v>0</v>
      </c>
      <c r="K21" s="65">
        <f>+VLOOKUP(A21,'2'!$A$4:$BN$746,50,FALSE)</f>
        <v>0</v>
      </c>
      <c r="L21" s="65">
        <f>+VLOOKUP(A21,'2'!$A$4:$BN$74,55,FALSE)</f>
        <v>0</v>
      </c>
      <c r="M21" s="65">
        <f>+VLOOKUP(A21,'2'!$A$4:$BN$74,61,FALSE)</f>
        <v>0</v>
      </c>
      <c r="N21" s="65">
        <f>+VLOOKUP(A21,'2'!$A$4:$BN$74,66,FALSE)</f>
        <v>0</v>
      </c>
      <c r="O21" s="60">
        <f t="shared" si="2"/>
        <v>0</v>
      </c>
      <c r="P21" s="38">
        <f t="shared" si="3"/>
        <v>0</v>
      </c>
    </row>
    <row r="22" spans="1:16" x14ac:dyDescent="0.25">
      <c r="A22" s="86" t="s">
        <v>36</v>
      </c>
      <c r="B22" s="13"/>
      <c r="C22" s="65">
        <f>VLOOKUP(A22,'2'!$A$4:$BN$74,7,FALSE)</f>
        <v>129.72999999999999</v>
      </c>
      <c r="D22" s="65">
        <f>+VLOOKUP(A22,'2'!$A$4:$BN$74,12,FALSE)</f>
        <v>138.26</v>
      </c>
      <c r="E22" s="65">
        <f>+VLOOKUP(A22,'2'!$A$4:$BN$74,18,FALSE)</f>
        <v>213.96</v>
      </c>
      <c r="F22" s="65">
        <f>+VLOOKUP(A22,'2'!$A$4:$BN$74,23,FALSE)</f>
        <v>209.23000000000002</v>
      </c>
      <c r="G22" s="65">
        <f>+VLOOKUP(A22,'2'!$A$4:$BN$74,28,FALSE)</f>
        <v>184.69</v>
      </c>
      <c r="H22" s="65">
        <f>+VLOOKUP(A22,'2'!$A$4:$BN$74,34,FALSE)</f>
        <v>311.11</v>
      </c>
      <c r="I22" s="65">
        <f>+VLOOKUP(A22,'2'!$A$4:$BN$74,39,FALSE)</f>
        <v>135.41999999999999</v>
      </c>
      <c r="J22" s="65">
        <f>+VLOOKUP(A22,'2'!$A$4:$BN$74,45,FALSE)</f>
        <v>248.64999999999998</v>
      </c>
      <c r="K22" s="77">
        <f>+VLOOKUP(A22,'2'!$A$4:$BN$746,50,FALSE)</f>
        <v>181.32999999999998</v>
      </c>
      <c r="L22" s="65">
        <f>+VLOOKUP(A22,'2'!$A$4:$BN$74,55,FALSE)</f>
        <v>241.37</v>
      </c>
      <c r="M22" s="65">
        <f>+VLOOKUP(A22,'2'!$A$4:$BN$74,61,FALSE)</f>
        <v>167.79000000000002</v>
      </c>
      <c r="N22" s="65">
        <f>+VLOOKUP(A22,'2'!$A$4:$BN$74,66,FALSE)</f>
        <v>254.69</v>
      </c>
      <c r="O22" s="60">
        <f t="shared" si="2"/>
        <v>2416.23</v>
      </c>
      <c r="P22" s="38">
        <f t="shared" si="3"/>
        <v>2416.23</v>
      </c>
    </row>
    <row r="23" spans="1:16" x14ac:dyDescent="0.25">
      <c r="A23" s="86" t="s">
        <v>37</v>
      </c>
      <c r="B23" s="13"/>
      <c r="C23" s="65">
        <f>VLOOKUP(A23,'2'!$A$4:$BN$74,7,FALSE)</f>
        <v>149.22</v>
      </c>
      <c r="D23" s="65">
        <f>+VLOOKUP(A23,'2'!$A$4:$BN$74,12,FALSE)</f>
        <v>124.88</v>
      </c>
      <c r="E23" s="65">
        <f>+VLOOKUP(A23,'2'!$A$4:$BN$74,18,FALSE)</f>
        <v>214.05</v>
      </c>
      <c r="F23" s="65">
        <f>+VLOOKUP(A23,'2'!$A$4:$BN$74,23,FALSE)</f>
        <v>229.52999999999997</v>
      </c>
      <c r="G23" s="65">
        <f>+VLOOKUP(A23,'2'!$A$4:$BN$74,28,FALSE)</f>
        <v>194.74</v>
      </c>
      <c r="H23" s="65">
        <f>+VLOOKUP(A23,'2'!$A$4:$BN$74,34,FALSE)</f>
        <v>201.69</v>
      </c>
      <c r="I23" s="65">
        <f>+VLOOKUP(A23,'2'!$A$4:$BN$74,39,FALSE)</f>
        <v>327.04000000000002</v>
      </c>
      <c r="J23" s="65">
        <f>+VLOOKUP(A23,'2'!$A$4:$BN$74,45,FALSE)</f>
        <v>196.57</v>
      </c>
      <c r="K23" s="65">
        <f>+VLOOKUP(A23,'2'!$A$4:$BN$746,50,FALSE)</f>
        <v>208.16</v>
      </c>
      <c r="L23" s="65">
        <f>+VLOOKUP(A23,'2'!$A$4:$BN$74,55,FALSE)</f>
        <v>191.9</v>
      </c>
      <c r="M23" s="65">
        <f>+VLOOKUP(A23,'2'!$A$4:$BN$74,61,FALSE)</f>
        <v>269.64</v>
      </c>
      <c r="N23" s="65">
        <f>+VLOOKUP(A23,'2'!$A$4:$BN$74,66,FALSE)</f>
        <v>202.89999999999998</v>
      </c>
      <c r="O23" s="60">
        <f t="shared" si="2"/>
        <v>2510.3200000000002</v>
      </c>
      <c r="P23" s="38">
        <f t="shared" si="3"/>
        <v>2510.3200000000002</v>
      </c>
    </row>
    <row r="24" spans="1:16" x14ac:dyDescent="0.25">
      <c r="A24" s="86" t="s">
        <v>38</v>
      </c>
      <c r="B24" s="13"/>
      <c r="C24" s="65">
        <f>VLOOKUP(A24,'2'!$A$4:$BN$74,7,FALSE)</f>
        <v>0</v>
      </c>
      <c r="D24" s="65">
        <f>+VLOOKUP(A24,'2'!$A$4:$BN$74,12,FALSE)</f>
        <v>4.34</v>
      </c>
      <c r="E24" s="65">
        <f>+VLOOKUP(A24,'2'!$A$4:$BN$74,18,FALSE)</f>
        <v>11.11</v>
      </c>
      <c r="F24" s="65">
        <f>+VLOOKUP(A24,'2'!$A$4:$BN$74,23,FALSE)</f>
        <v>6.62</v>
      </c>
      <c r="G24" s="65">
        <f>+VLOOKUP(A24,'2'!$A$4:$BN$74,28,FALSE)</f>
        <v>0</v>
      </c>
      <c r="H24" s="65">
        <f>+VLOOKUP(A24,'2'!$A$4:$BN$74,34,FALSE)</f>
        <v>0</v>
      </c>
      <c r="I24" s="65">
        <f>+VLOOKUP(A24,'2'!$A$4:$BN$74,39,FALSE)</f>
        <v>0</v>
      </c>
      <c r="J24" s="65">
        <f>+VLOOKUP(A24,'2'!$A$4:$BN$74,45,FALSE)</f>
        <v>0</v>
      </c>
      <c r="K24" s="65">
        <f>+VLOOKUP(A24,'2'!$A$4:$BN$746,50,FALSE)</f>
        <v>0</v>
      </c>
      <c r="L24" s="65">
        <f>+VLOOKUP(A24,'2'!$A$4:$BN$74,55,FALSE)</f>
        <v>0</v>
      </c>
      <c r="M24" s="65">
        <f>+VLOOKUP(A24,'2'!$A$4:$BN$74,61,FALSE)</f>
        <v>0</v>
      </c>
      <c r="N24" s="65">
        <f>+VLOOKUP(A24,'2'!$A$4:$BN$74,66,FALSE)</f>
        <v>0</v>
      </c>
      <c r="O24" s="60">
        <f t="shared" si="2"/>
        <v>22.07</v>
      </c>
      <c r="P24" s="38">
        <f t="shared" si="3"/>
        <v>22.07</v>
      </c>
    </row>
    <row r="25" spans="1:16" x14ac:dyDescent="0.25">
      <c r="A25" s="86" t="s">
        <v>39</v>
      </c>
      <c r="B25" s="18"/>
      <c r="C25" s="65">
        <f>VLOOKUP(A25,'2'!$A$4:$BN$74,7,FALSE)</f>
        <v>0</v>
      </c>
      <c r="D25" s="65">
        <f>+VLOOKUP(A25,'2'!$A$4:$BN$74,12,FALSE)</f>
        <v>0</v>
      </c>
      <c r="E25" s="65">
        <f>+VLOOKUP(A25,'2'!$A$4:$BN$74,18,FALSE)</f>
        <v>0</v>
      </c>
      <c r="F25" s="65">
        <f>+VLOOKUP(A25,'2'!$A$4:$BN$74,23,FALSE)</f>
        <v>0</v>
      </c>
      <c r="G25" s="65">
        <f>+VLOOKUP(A25,'2'!$A$4:$BN$74,28,FALSE)</f>
        <v>38.35</v>
      </c>
      <c r="H25" s="65">
        <f>+VLOOKUP(A25,'2'!$A$4:$BN$74,34,FALSE)</f>
        <v>97.74</v>
      </c>
      <c r="I25" s="65">
        <f>+VLOOKUP(A25,'2'!$A$4:$BN$74,39,FALSE)</f>
        <v>6.47</v>
      </c>
      <c r="J25" s="65">
        <f>+VLOOKUP(A25,'2'!$A$4:$BN$74,45,FALSE)</f>
        <v>54.11</v>
      </c>
      <c r="K25" s="65">
        <f>+VLOOKUP(A25,'2'!$A$4:$BN$746,50,FALSE)</f>
        <v>19.75</v>
      </c>
      <c r="L25" s="65">
        <f>+VLOOKUP(A25,'2'!$A$4:$BN$74,55,FALSE)</f>
        <v>77.839999999999989</v>
      </c>
      <c r="M25" s="65">
        <f>+VLOOKUP(A25,'2'!$A$4:$BN$74,61,FALSE)</f>
        <v>101.53</v>
      </c>
      <c r="N25" s="65">
        <f>+VLOOKUP(A25,'2'!$A$4:$BN$74,66,FALSE)</f>
        <v>79.569999999999993</v>
      </c>
      <c r="O25" s="60">
        <f t="shared" si="2"/>
        <v>475.35999999999996</v>
      </c>
      <c r="P25" s="38">
        <f t="shared" si="3"/>
        <v>475.35999999999996</v>
      </c>
    </row>
    <row r="26" spans="1:16" x14ac:dyDescent="0.25">
      <c r="A26" s="86" t="s">
        <v>40</v>
      </c>
      <c r="B26" s="13"/>
      <c r="C26" s="65">
        <f>VLOOKUP(A26,'2'!$A$4:$BN$74,7,FALSE)</f>
        <v>13.030000000000001</v>
      </c>
      <c r="D26" s="65">
        <f>+VLOOKUP(A26,'2'!$A$4:$BN$74,12,FALSE)</f>
        <v>4.5</v>
      </c>
      <c r="E26" s="65">
        <f>+VLOOKUP(A26,'2'!$A$4:$BN$74,18,FALSE)</f>
        <v>6.5</v>
      </c>
      <c r="F26" s="65">
        <f>+VLOOKUP(A26,'2'!$A$4:$BN$74,23,FALSE)</f>
        <v>4.4400000000000004</v>
      </c>
      <c r="G26" s="65">
        <f>+VLOOKUP(A26,'2'!$A$4:$BN$74,28,FALSE)</f>
        <v>7.79</v>
      </c>
      <c r="H26" s="65">
        <f>+VLOOKUP(A26,'2'!$A$4:$BN$74,34,FALSE)</f>
        <v>4.46</v>
      </c>
      <c r="I26" s="65">
        <f>+VLOOKUP(A26,'2'!$A$4:$BN$74,39,FALSE)</f>
        <v>0</v>
      </c>
      <c r="J26" s="65">
        <f>+VLOOKUP(A26,'2'!$A$4:$BN$74,45,FALSE)</f>
        <v>7.34</v>
      </c>
      <c r="K26" s="65">
        <f>+VLOOKUP(A26,'2'!$A$4:$BN$746,50,FALSE)</f>
        <v>7.38</v>
      </c>
      <c r="L26" s="65">
        <f>+VLOOKUP(A26,'2'!$A$4:$BN$74,55,FALSE)</f>
        <v>0</v>
      </c>
      <c r="M26" s="65">
        <f>+VLOOKUP(A26,'2'!$A$4:$BN$74,61,FALSE)</f>
        <v>6.86</v>
      </c>
      <c r="N26" s="65">
        <f>+VLOOKUP(A26,'2'!$A$4:$BN$74,66,FALSE)</f>
        <v>4.71</v>
      </c>
      <c r="O26" s="60">
        <f t="shared" si="2"/>
        <v>67.010000000000005</v>
      </c>
      <c r="P26" s="38">
        <f t="shared" si="3"/>
        <v>67.010000000000005</v>
      </c>
    </row>
    <row r="27" spans="1:16" ht="15.75" thickBot="1" x14ac:dyDescent="0.3">
      <c r="A27" s="86" t="s">
        <v>41</v>
      </c>
      <c r="B27" s="41"/>
      <c r="C27" s="66">
        <f>VLOOKUP(A27,'2'!$A$4:$BN$74,7,FALSE)</f>
        <v>0</v>
      </c>
      <c r="D27" s="66">
        <f>+VLOOKUP(A27,'2'!$A$4:$BN$74,12,FALSE)</f>
        <v>0</v>
      </c>
      <c r="E27" s="66">
        <f>+VLOOKUP(A27,'2'!$A$4:$BN$74,18,FALSE)</f>
        <v>0</v>
      </c>
      <c r="F27" s="66">
        <f>+VLOOKUP(A27,'2'!$A$4:$BN$74,23,FALSE)</f>
        <v>0</v>
      </c>
      <c r="G27" s="66">
        <f>+VLOOKUP(A27,'2'!$A$4:$BN$74,28,FALSE)</f>
        <v>0</v>
      </c>
      <c r="H27" s="66">
        <f>+VLOOKUP(A27,'2'!$A$4:$BN$74,34,FALSE)</f>
        <v>0</v>
      </c>
      <c r="I27" s="68">
        <f>+VLOOKUP(A27,'2'!$A$4:$BN$74,39,FALSE)</f>
        <v>0</v>
      </c>
      <c r="J27" s="66">
        <f>+VLOOKUP(A27,'2'!$A$4:$BN$74,45,FALSE)</f>
        <v>0</v>
      </c>
      <c r="K27" s="66">
        <f>+VLOOKUP(A27,'2'!$A$4:$BN$746,50,FALSE)</f>
        <v>0</v>
      </c>
      <c r="L27" s="66">
        <f>+VLOOKUP(A27,'2'!$A$4:$BN$74,55,FALSE)</f>
        <v>0</v>
      </c>
      <c r="M27" s="66">
        <f>+VLOOKUP(A27,'2'!$A$4:$BN$74,61,FALSE)</f>
        <v>0</v>
      </c>
      <c r="N27" s="66">
        <f>+VLOOKUP(A27,'2'!$A$4:$BN$74,66,FALSE)</f>
        <v>0</v>
      </c>
      <c r="O27" s="79">
        <f t="shared" si="2"/>
        <v>0</v>
      </c>
      <c r="P27" s="38">
        <f t="shared" si="3"/>
        <v>0</v>
      </c>
    </row>
    <row r="28" spans="1:16" ht="16.5" thickTop="1" thickBot="1" x14ac:dyDescent="0.3">
      <c r="A28" s="85" t="s">
        <v>42</v>
      </c>
      <c r="B28" s="44"/>
      <c r="C28" s="67">
        <f t="shared" ref="C28:O28" si="4">SUM(C8:C27)</f>
        <v>3640.2</v>
      </c>
      <c r="D28" s="67">
        <f t="shared" si="4"/>
        <v>3360.4400000000005</v>
      </c>
      <c r="E28" s="67">
        <f t="shared" si="4"/>
        <v>5100.4799999999996</v>
      </c>
      <c r="F28" s="67">
        <f t="shared" si="4"/>
        <v>3878.28</v>
      </c>
      <c r="G28" s="67">
        <f t="shared" si="4"/>
        <v>3733.8700000000003</v>
      </c>
      <c r="H28" s="67">
        <f t="shared" si="4"/>
        <v>4432.4599999999991</v>
      </c>
      <c r="I28" s="67">
        <f t="shared" si="4"/>
        <v>4017.0099999999998</v>
      </c>
      <c r="J28" s="67">
        <f t="shared" si="4"/>
        <v>4580.8899999999994</v>
      </c>
      <c r="K28" s="67">
        <f t="shared" si="4"/>
        <v>3491.7999999999997</v>
      </c>
      <c r="L28" s="67">
        <f t="shared" si="4"/>
        <v>4092.9900000000002</v>
      </c>
      <c r="M28" s="67">
        <f t="shared" si="4"/>
        <v>4957.619999999999</v>
      </c>
      <c r="N28" s="67">
        <f t="shared" si="4"/>
        <v>4410.829999999999</v>
      </c>
      <c r="O28" s="80">
        <f t="shared" si="4"/>
        <v>49696.87000000001</v>
      </c>
      <c r="P28" s="38"/>
    </row>
    <row r="29" spans="1:16" ht="15.75" thickTop="1" x14ac:dyDescent="0.25">
      <c r="A29" s="86" t="s">
        <v>43</v>
      </c>
      <c r="B29" s="11"/>
      <c r="C29" s="58">
        <f>VLOOKUP(A29,'2'!$A$4:$BN$74,7,FALSE)</f>
        <v>201.5</v>
      </c>
      <c r="D29" s="58">
        <f>+VLOOKUP(A29,'2'!$A$4:$BN$74,12,FALSE)</f>
        <v>170.01999999999998</v>
      </c>
      <c r="E29" s="58">
        <f>+VLOOKUP(A29,'2'!$A$4:$BN$74,18,FALSE)</f>
        <v>222.14999999999998</v>
      </c>
      <c r="F29" s="58">
        <f>+VLOOKUP(A29,'2'!$A$4:$BN$74,23,FALSE)</f>
        <v>195.80999999999997</v>
      </c>
      <c r="G29" s="58">
        <f>+VLOOKUP(A29,'2'!$A$4:$BN$74,28,FALSE)</f>
        <v>199.66</v>
      </c>
      <c r="H29" s="58">
        <f>+VLOOKUP(A29,'2'!$A$4:$BN$74,34,FALSE)</f>
        <v>286.53999999999996</v>
      </c>
      <c r="I29" s="58">
        <f>+VLOOKUP(A29,'2'!$A$4:$BN$74,39,FALSE)</f>
        <v>217.34</v>
      </c>
      <c r="J29" s="58">
        <f>+VLOOKUP(A29,'2'!$A$4:$BN$74,45,FALSE)</f>
        <v>235.3</v>
      </c>
      <c r="K29" s="58">
        <f>+VLOOKUP(A29,'2'!$A$4:$BN$746,50,FALSE)</f>
        <v>204.91</v>
      </c>
      <c r="L29" s="58">
        <f>+VLOOKUP(A29,'2'!$A$4:$BN$74,55,FALSE)</f>
        <v>196.29</v>
      </c>
      <c r="M29" s="58">
        <f>+VLOOKUP(A29,'2'!$A$4:$BN$74,61,FALSE)</f>
        <v>243.55999999999997</v>
      </c>
      <c r="N29" s="58">
        <f>+VLOOKUP(A29,'2'!$A$4:$BN$74,66,FALSE)</f>
        <v>131.74</v>
      </c>
      <c r="O29" s="59">
        <f t="shared" ref="O29:O36" si="5">+C29+D29+E29+F29+G29+H29+I29+J29+K29+L29+M29+N29</f>
        <v>2504.8199999999997</v>
      </c>
      <c r="P29" s="38">
        <f t="shared" si="3"/>
        <v>2504.8199999999997</v>
      </c>
    </row>
    <row r="30" spans="1:16" x14ac:dyDescent="0.25">
      <c r="A30" s="86" t="s">
        <v>44</v>
      </c>
      <c r="B30" s="13"/>
      <c r="C30" s="65">
        <f>VLOOKUP(A30,'2'!$A$4:$BN$74,7,FALSE)</f>
        <v>0</v>
      </c>
      <c r="D30" s="65">
        <f>+VLOOKUP(A30,'2'!$A$4:$BN$74,12,FALSE)</f>
        <v>0</v>
      </c>
      <c r="E30" s="65">
        <f>+VLOOKUP(A30,'2'!$A$4:$BN$74,18,FALSE)</f>
        <v>0</v>
      </c>
      <c r="F30" s="65">
        <f>+VLOOKUP(A30,'2'!$A$4:$BN$74,23,FALSE)</f>
        <v>0</v>
      </c>
      <c r="G30" s="65">
        <f>+VLOOKUP(A30,'2'!$A$4:$BN$74,28,FALSE)</f>
        <v>0</v>
      </c>
      <c r="H30" s="65">
        <f>+VLOOKUP(A30,'2'!$A$4:$BN$74,34,FALSE)</f>
        <v>0</v>
      </c>
      <c r="I30" s="65">
        <f>+VLOOKUP(A30,'2'!$A$4:$BN$74,39,FALSE)</f>
        <v>0</v>
      </c>
      <c r="J30" s="65">
        <f>+VLOOKUP(A30,'2'!$A$4:$BN$74,45,FALSE)</f>
        <v>0</v>
      </c>
      <c r="K30" s="65">
        <f>+VLOOKUP(A30,'2'!$A$4:$BN$746,50,FALSE)</f>
        <v>0</v>
      </c>
      <c r="L30" s="77">
        <f>+VLOOKUP(A30,'2'!$A$4:$BN$74,55,FALSE)</f>
        <v>0</v>
      </c>
      <c r="M30" s="65">
        <f>+VLOOKUP(A30,'2'!$A$4:$BN$74,61,FALSE)</f>
        <v>0</v>
      </c>
      <c r="N30" s="65">
        <f>+VLOOKUP(A30,'2'!$A$4:$BN$74,66,FALSE)</f>
        <v>0</v>
      </c>
      <c r="O30" s="60">
        <f t="shared" si="5"/>
        <v>0</v>
      </c>
      <c r="P30" s="38">
        <f t="shared" si="3"/>
        <v>0</v>
      </c>
    </row>
    <row r="31" spans="1:16" x14ac:dyDescent="0.25">
      <c r="A31" s="86" t="s">
        <v>45</v>
      </c>
      <c r="B31" s="13"/>
      <c r="C31" s="65">
        <f>VLOOKUP(A31,'2'!$A$4:$BN$74,7,FALSE)</f>
        <v>228.97</v>
      </c>
      <c r="D31" s="65">
        <f>+VLOOKUP(A31,'2'!$A$4:$BN$74,12,FALSE)</f>
        <v>335.38</v>
      </c>
      <c r="E31" s="65">
        <f>+VLOOKUP(A31,'2'!$A$4:$BN$74,18,FALSE)</f>
        <v>489.71999999999997</v>
      </c>
      <c r="F31" s="65">
        <f>+VLOOKUP(A31,'2'!$A$4:$BN$74,23,FALSE)</f>
        <v>357.98</v>
      </c>
      <c r="G31" s="65">
        <f>+VLOOKUP(A31,'2'!$A$4:$BN$74,28,FALSE)</f>
        <v>333.57</v>
      </c>
      <c r="H31" s="65">
        <f>+VLOOKUP(A31,'2'!$A$4:$BN$74,34,FALSE)</f>
        <v>304.77999999999997</v>
      </c>
      <c r="I31" s="65">
        <f>+VLOOKUP(A31,'2'!$A$4:$BN$74,39,FALSE)</f>
        <v>455.55</v>
      </c>
      <c r="J31" s="65">
        <f>+VLOOKUP(A31,'2'!$A$4:$BN$74,45,FALSE)</f>
        <v>339.44</v>
      </c>
      <c r="K31" s="65">
        <f>+VLOOKUP(A31,'2'!$A$4:$BN$746,50,FALSE)</f>
        <v>288.35000000000002</v>
      </c>
      <c r="L31" s="65">
        <f>+VLOOKUP(A31,'2'!$A$4:$BN$74,55,FALSE)</f>
        <v>317.83000000000004</v>
      </c>
      <c r="M31" s="65">
        <f>+VLOOKUP(A31,'2'!$A$4:$BN$74,61,FALSE)</f>
        <v>396.24</v>
      </c>
      <c r="N31" s="65">
        <f>+VLOOKUP(A31,'2'!$A$4:$BN$74,66,FALSE)</f>
        <v>385.08</v>
      </c>
      <c r="O31" s="60">
        <f t="shared" si="5"/>
        <v>4232.8899999999994</v>
      </c>
      <c r="P31" s="38">
        <f t="shared" si="3"/>
        <v>4232.8899999999994</v>
      </c>
    </row>
    <row r="32" spans="1:16" x14ac:dyDescent="0.25">
      <c r="A32" s="86" t="s">
        <v>46</v>
      </c>
      <c r="B32" s="13"/>
      <c r="C32" s="65">
        <f>VLOOKUP(A32,'2'!$A$4:$BN$74,7,FALSE)</f>
        <v>317.93</v>
      </c>
      <c r="D32" s="65">
        <f>+VLOOKUP(A32,'2'!$A$4:$BN$74,12,FALSE)</f>
        <v>305.40999999999997</v>
      </c>
      <c r="E32" s="65">
        <f>+VLOOKUP(A32,'2'!$A$4:$BN$74,18,FALSE)</f>
        <v>509.03</v>
      </c>
      <c r="F32" s="65">
        <f>+VLOOKUP(A32,'2'!$A$4:$BN$74,23,FALSE)</f>
        <v>345.21000000000004</v>
      </c>
      <c r="G32" s="65">
        <f>+VLOOKUP(A32,'2'!$A$4:$BN$74,28,FALSE)</f>
        <v>359.03</v>
      </c>
      <c r="H32" s="65">
        <f>+VLOOKUP(A32,'2'!$A$4:$BN$74,34,FALSE)</f>
        <v>498.16000000000008</v>
      </c>
      <c r="I32" s="65">
        <f>+VLOOKUP(A32,'2'!$A$4:$BN$74,39,FALSE)</f>
        <v>336.53000000000003</v>
      </c>
      <c r="J32" s="65">
        <f>+VLOOKUP(A32,'2'!$A$4:$BN$74,45,FALSE)</f>
        <v>425.44</v>
      </c>
      <c r="K32" s="65">
        <f>+VLOOKUP(A32,'2'!$A$4:$BN$746,50,FALSE)</f>
        <v>436.45</v>
      </c>
      <c r="L32" s="65">
        <f>+VLOOKUP(A32,'2'!$A$4:$BN$74,55,FALSE)</f>
        <v>354.97</v>
      </c>
      <c r="M32" s="65">
        <f>+VLOOKUP(A32,'2'!$A$4:$BN$74,61,FALSE)</f>
        <v>456.28999999999996</v>
      </c>
      <c r="N32" s="65">
        <f>+VLOOKUP(A32,'2'!$A$4:$BN$74,66,FALSE)</f>
        <v>404.26</v>
      </c>
      <c r="O32" s="60">
        <f t="shared" si="5"/>
        <v>4748.71</v>
      </c>
      <c r="P32" s="38">
        <f t="shared" si="3"/>
        <v>4748.71</v>
      </c>
    </row>
    <row r="33" spans="1:16" x14ac:dyDescent="0.25">
      <c r="A33" s="86" t="s">
        <v>47</v>
      </c>
      <c r="B33" s="13"/>
      <c r="C33" s="65">
        <f>VLOOKUP(A33,'2'!$A$4:$BN$74,7,FALSE)</f>
        <v>550.41</v>
      </c>
      <c r="D33" s="65">
        <f>+VLOOKUP(A33,'2'!$A$4:$BN$74,12,FALSE)</f>
        <v>559.34</v>
      </c>
      <c r="E33" s="65">
        <f>+VLOOKUP(A33,'2'!$A$4:$BN$74,18,FALSE)</f>
        <v>604.70000000000005</v>
      </c>
      <c r="F33" s="65">
        <f>+VLOOKUP(A33,'2'!$A$4:$BN$74,23,FALSE)</f>
        <v>576.20000000000005</v>
      </c>
      <c r="G33" s="65">
        <f>+VLOOKUP(A33,'2'!$A$4:$BN$74,28,FALSE)</f>
        <v>519.74</v>
      </c>
      <c r="H33" s="65">
        <f>+VLOOKUP(A33,'2'!$A$4:$BN$74,34,FALSE)</f>
        <v>713.23</v>
      </c>
      <c r="I33" s="65">
        <f>+VLOOKUP(A33,'2'!$A$4:$BN$74,39,FALSE)</f>
        <v>570.78</v>
      </c>
      <c r="J33" s="65">
        <f>+VLOOKUP(A33,'2'!$A$4:$BN$74,45,FALSE)</f>
        <v>720.22</v>
      </c>
      <c r="K33" s="65">
        <f>+VLOOKUP(A33,'2'!$A$4:$BN$746,50,FALSE)</f>
        <v>503.71000000000004</v>
      </c>
      <c r="L33" s="65">
        <f>+VLOOKUP(A33,'2'!$A$4:$BN$74,55,FALSE)</f>
        <v>634.55999999999995</v>
      </c>
      <c r="M33" s="65">
        <f>+VLOOKUP(A33,'2'!$A$4:$BN$74,61,FALSE)</f>
        <v>779.44</v>
      </c>
      <c r="N33" s="65">
        <f>+VLOOKUP(A33,'2'!$A$4:$BN$74,66,FALSE)</f>
        <v>594.18999999999994</v>
      </c>
      <c r="O33" s="60">
        <f t="shared" si="5"/>
        <v>7326.5200000000013</v>
      </c>
      <c r="P33" s="38">
        <f t="shared" si="3"/>
        <v>7326.5200000000013</v>
      </c>
    </row>
    <row r="34" spans="1:16" x14ac:dyDescent="0.25">
      <c r="A34" s="86" t="s">
        <v>48</v>
      </c>
      <c r="B34" s="13"/>
      <c r="C34" s="65">
        <f>VLOOKUP(A34,'2'!$A$4:$BN$74,7,FALSE)</f>
        <v>14.9</v>
      </c>
      <c r="D34" s="65">
        <f>+VLOOKUP(A34,'2'!$A$4:$BN$74,12,FALSE)</f>
        <v>13.15</v>
      </c>
      <c r="E34" s="65">
        <f>+VLOOKUP(A34,'2'!$A$4:$BN$74,18,FALSE)</f>
        <v>52.57</v>
      </c>
      <c r="F34" s="65">
        <f>+VLOOKUP(A34,'2'!$A$4:$BN$74,23,FALSE)</f>
        <v>14.07</v>
      </c>
      <c r="G34" s="65">
        <f>+VLOOKUP(A34,'2'!$A$4:$BN$74,28,FALSE)</f>
        <v>16.03</v>
      </c>
      <c r="H34" s="65">
        <f>+VLOOKUP(A34,'2'!$A$4:$BN$74,34,FALSE)</f>
        <v>59.84</v>
      </c>
      <c r="I34" s="65">
        <f>+VLOOKUP(A34,'2'!$A$4:$BN$74,39,FALSE)</f>
        <v>22.36</v>
      </c>
      <c r="J34" s="65">
        <f>+VLOOKUP(A34,'2'!$A$4:$BN$74,45,FALSE)</f>
        <v>25.75</v>
      </c>
      <c r="K34" s="65">
        <f>+VLOOKUP(A34,'2'!$A$4:$BN$746,50,FALSE)</f>
        <v>56.010000000000005</v>
      </c>
      <c r="L34" s="65">
        <f>+VLOOKUP(A34,'2'!$A$4:$BN$74,55,FALSE)</f>
        <v>12.82</v>
      </c>
      <c r="M34" s="65">
        <f>+VLOOKUP(A34,'2'!$A$4:$BN$74,61,FALSE)</f>
        <v>15.92</v>
      </c>
      <c r="N34" s="65">
        <f>+VLOOKUP(A34,'2'!$A$4:$BN$74,66,FALSE)</f>
        <v>13.14</v>
      </c>
      <c r="O34" s="60">
        <f t="shared" si="5"/>
        <v>316.56</v>
      </c>
      <c r="P34" s="38">
        <f t="shared" si="3"/>
        <v>316.56</v>
      </c>
    </row>
    <row r="35" spans="1:16" x14ac:dyDescent="0.25">
      <c r="A35" s="86" t="s">
        <v>49</v>
      </c>
      <c r="B35" s="13"/>
      <c r="C35" s="65">
        <f>VLOOKUP(A35,'2'!$A$4:$BN$74,7,FALSE)</f>
        <v>15.23</v>
      </c>
      <c r="D35" s="65">
        <f>+VLOOKUP(A35,'2'!$A$4:$BN$74,12,FALSE)</f>
        <v>15.43</v>
      </c>
      <c r="E35" s="65">
        <f>+VLOOKUP(A35,'2'!$A$4:$BN$74,18,FALSE)</f>
        <v>12.89</v>
      </c>
      <c r="F35" s="65">
        <f>+VLOOKUP(A35,'2'!$A$4:$BN$74,23,FALSE)</f>
        <v>15.18</v>
      </c>
      <c r="G35" s="65">
        <f>+VLOOKUP(A35,'2'!$A$4:$BN$74,28,FALSE)</f>
        <v>9.82</v>
      </c>
      <c r="H35" s="65">
        <f>+VLOOKUP(A35,'2'!$A$4:$BN$74,34,FALSE)</f>
        <v>11.990000000000002</v>
      </c>
      <c r="I35" s="65">
        <f>+VLOOKUP(A35,'2'!$A$4:$BN$74,39,FALSE)</f>
        <v>13.530000000000001</v>
      </c>
      <c r="J35" s="65">
        <f>+VLOOKUP(A35,'2'!$A$4:$BN$74,45,FALSE)</f>
        <v>13.75</v>
      </c>
      <c r="K35" s="65">
        <f>+VLOOKUP(A35,'2'!$A$4:$BN$746,50,FALSE)</f>
        <v>9.86</v>
      </c>
      <c r="L35" s="65">
        <f>+VLOOKUP(A35,'2'!$A$4:$BN$74,55,FALSE)</f>
        <v>19.72</v>
      </c>
      <c r="M35" s="65">
        <f>+VLOOKUP(A35,'2'!$A$4:$BN$74,61,FALSE)</f>
        <v>9.51</v>
      </c>
      <c r="N35" s="65">
        <f>+VLOOKUP(A35,'2'!$A$4:$BN$74,66,FALSE)</f>
        <v>26.42</v>
      </c>
      <c r="O35" s="60">
        <f t="shared" si="5"/>
        <v>173.32999999999998</v>
      </c>
      <c r="P35" s="38">
        <f t="shared" si="3"/>
        <v>173.32999999999998</v>
      </c>
    </row>
    <row r="36" spans="1:16" ht="15.75" thickBot="1" x14ac:dyDescent="0.3">
      <c r="A36" s="86" t="s">
        <v>50</v>
      </c>
      <c r="B36" s="15"/>
      <c r="C36" s="68">
        <f>VLOOKUP(A36,'2'!$A$4:$BN$74,7,FALSE)</f>
        <v>32.94</v>
      </c>
      <c r="D36" s="68">
        <f>+VLOOKUP(A36,'2'!$A$4:$BN$74,12,FALSE)</f>
        <v>27.15</v>
      </c>
      <c r="E36" s="68">
        <f>+VLOOKUP(A36,'2'!$A$4:$BN$74,18,FALSE)</f>
        <v>105.55999999999999</v>
      </c>
      <c r="F36" s="68">
        <f>+VLOOKUP(A36,'2'!$A$4:$BN$74,23,FALSE)</f>
        <v>29.419999999999998</v>
      </c>
      <c r="G36" s="68">
        <f>+VLOOKUP(A36,'2'!$A$4:$BN$74,28,FALSE)</f>
        <v>20.2</v>
      </c>
      <c r="H36" s="68">
        <f>+VLOOKUP(A36,'2'!$A$4:$BN$74,34,FALSE)</f>
        <v>43.6</v>
      </c>
      <c r="I36" s="68">
        <f>+VLOOKUP(A36,'2'!$A$4:$BN$74,39,FALSE)</f>
        <v>38.01</v>
      </c>
      <c r="J36" s="68">
        <f>+VLOOKUP(A36,'2'!$A$4:$BN$74,45,FALSE)</f>
        <v>23.73</v>
      </c>
      <c r="K36" s="68">
        <f>+VLOOKUP(A36,'2'!$A$4:$BN$746,50,FALSE)</f>
        <v>21.9</v>
      </c>
      <c r="L36" s="68">
        <f>+VLOOKUP(A36,'2'!$A$4:$BN$74,55,FALSE)</f>
        <v>9.74</v>
      </c>
      <c r="M36" s="68">
        <f>+VLOOKUP(A36,'2'!$A$4:$BN$74,61,FALSE)</f>
        <v>31.49</v>
      </c>
      <c r="N36" s="68">
        <f>+VLOOKUP(A36,'2'!$A$4:$BN$74,66,FALSE)</f>
        <v>27.990000000000002</v>
      </c>
      <c r="O36" s="79">
        <f t="shared" si="5"/>
        <v>411.72999999999996</v>
      </c>
      <c r="P36" s="38">
        <f t="shared" si="3"/>
        <v>411.72999999999996</v>
      </c>
    </row>
    <row r="37" spans="1:16" ht="16.5" thickTop="1" thickBot="1" x14ac:dyDescent="0.3">
      <c r="A37" s="85" t="s">
        <v>51</v>
      </c>
      <c r="B37" s="42"/>
      <c r="C37" s="64">
        <f t="shared" ref="C37:O37" si="6">SUM(C29:C36)</f>
        <v>1361.88</v>
      </c>
      <c r="D37" s="64">
        <f t="shared" si="6"/>
        <v>1425.8800000000003</v>
      </c>
      <c r="E37" s="64">
        <f t="shared" si="6"/>
        <v>1996.62</v>
      </c>
      <c r="F37" s="64">
        <f t="shared" si="6"/>
        <v>1533.8700000000001</v>
      </c>
      <c r="G37" s="64">
        <f t="shared" si="6"/>
        <v>1458.05</v>
      </c>
      <c r="H37" s="64">
        <f t="shared" si="6"/>
        <v>1918.1399999999999</v>
      </c>
      <c r="I37" s="64">
        <f t="shared" si="6"/>
        <v>1654.1</v>
      </c>
      <c r="J37" s="64">
        <f t="shared" si="6"/>
        <v>1783.63</v>
      </c>
      <c r="K37" s="64">
        <f t="shared" si="6"/>
        <v>1521.19</v>
      </c>
      <c r="L37" s="64">
        <f t="shared" si="6"/>
        <v>1545.93</v>
      </c>
      <c r="M37" s="64">
        <f t="shared" si="6"/>
        <v>1932.45</v>
      </c>
      <c r="N37" s="64">
        <f t="shared" si="6"/>
        <v>1582.8200000000002</v>
      </c>
      <c r="O37" s="80">
        <f t="shared" si="6"/>
        <v>19714.560000000001</v>
      </c>
      <c r="P37" s="38"/>
    </row>
    <row r="38" spans="1:16" ht="15.75" thickTop="1" x14ac:dyDescent="0.25">
      <c r="A38" s="86" t="s">
        <v>52</v>
      </c>
      <c r="B38" s="11"/>
      <c r="C38" s="58">
        <f>VLOOKUP(A38,'2'!$A$4:$BN$74,7,FALSE)</f>
        <v>345.44</v>
      </c>
      <c r="D38" s="58">
        <f>+VLOOKUP(A38,'2'!$A$4:$BN$74,12,FALSE)</f>
        <v>483.48</v>
      </c>
      <c r="E38" s="58">
        <f>+VLOOKUP(A38,'2'!$A$4:$BN$74,18,FALSE)</f>
        <v>753.87999999999988</v>
      </c>
      <c r="F38" s="58">
        <f>+VLOOKUP(A38,'2'!$A$4:$BN$74,23,FALSE)</f>
        <v>443.57</v>
      </c>
      <c r="G38" s="58">
        <f>+VLOOKUP(A38,'2'!$A$4:$BN$74,28,FALSE)</f>
        <v>462.02</v>
      </c>
      <c r="H38" s="58">
        <f>+VLOOKUP(A38,'2'!$A$4:$BN$74,34,FALSE)</f>
        <v>542.53</v>
      </c>
      <c r="I38" s="58">
        <f>+VLOOKUP(A38,'2'!$A$4:$BN$74,39,FALSE)</f>
        <v>445.6</v>
      </c>
      <c r="J38" s="58">
        <f>+VLOOKUP(A38,'2'!$A$4:$BN$74,45,FALSE)</f>
        <v>786.67000000000007</v>
      </c>
      <c r="K38" s="58">
        <f>+VLOOKUP(A38,'2'!$A$4:$BN$746,50,FALSE)</f>
        <v>595.39</v>
      </c>
      <c r="L38" s="58">
        <f>+VLOOKUP(A38,'2'!$A$4:$BN$74,55,FALSE)</f>
        <v>475.04999999999995</v>
      </c>
      <c r="M38" s="58">
        <f>+VLOOKUP(A38,'2'!$A$4:$BN$74,61,FALSE)</f>
        <v>728.4</v>
      </c>
      <c r="N38" s="58">
        <f>+VLOOKUP(A38,'2'!$A$4:$BN$74,66,FALSE)</f>
        <v>650.16000000000008</v>
      </c>
      <c r="O38" s="59">
        <f t="shared" ref="O38:O44" si="7">+C38+D38+E38+F38+G38+H38+I38+J38+K38+L38+M38+N38</f>
        <v>6712.1900000000005</v>
      </c>
      <c r="P38" s="38">
        <f t="shared" si="3"/>
        <v>6712.1900000000005</v>
      </c>
    </row>
    <row r="39" spans="1:16" x14ac:dyDescent="0.25">
      <c r="A39" s="86" t="s">
        <v>53</v>
      </c>
      <c r="B39" s="13"/>
      <c r="C39" s="65">
        <f>VLOOKUP(A39,'2'!$A$4:$BN$74,7,FALSE)</f>
        <v>394.08</v>
      </c>
      <c r="D39" s="65">
        <f>+VLOOKUP(A39,'2'!$A$4:$BN$74,12,FALSE)</f>
        <v>359.89</v>
      </c>
      <c r="E39" s="65">
        <f>+VLOOKUP(A39,'2'!$A$4:$BN$74,18,FALSE)</f>
        <v>550.20000000000005</v>
      </c>
      <c r="F39" s="65">
        <f>+VLOOKUP(A39,'2'!$A$4:$BN$74,23,FALSE)</f>
        <v>364.9</v>
      </c>
      <c r="G39" s="65">
        <f>+VLOOKUP(A39,'2'!$A$4:$BN$74,28,FALSE)</f>
        <v>336.81</v>
      </c>
      <c r="H39" s="65">
        <f>+VLOOKUP(A39,'2'!$A$4:$BN$74,34,FALSE)</f>
        <v>498.77</v>
      </c>
      <c r="I39" s="65">
        <f>+VLOOKUP(A39,'2'!$A$4:$BN$74,39,FALSE)</f>
        <v>290.32</v>
      </c>
      <c r="J39" s="65">
        <f>+VLOOKUP(A39,'2'!$A$4:$BN$74,45,FALSE)</f>
        <v>131.55000000000001</v>
      </c>
      <c r="K39" s="65">
        <f>+VLOOKUP(A39,'2'!$A$4:$BN$746,50,FALSE)</f>
        <v>414.3</v>
      </c>
      <c r="L39" s="65">
        <f>+VLOOKUP(A39,'2'!$A$4:$BN$74,55,FALSE)</f>
        <v>387.48</v>
      </c>
      <c r="M39" s="65">
        <f>+VLOOKUP(A39,'2'!$A$4:$BN$74,61,FALSE)</f>
        <v>559.80000000000007</v>
      </c>
      <c r="N39" s="65">
        <f>+VLOOKUP(A39,'2'!$A$4:$BN$74,66,FALSE)</f>
        <v>535.94000000000005</v>
      </c>
      <c r="O39" s="60">
        <f t="shared" si="7"/>
        <v>4824.0400000000009</v>
      </c>
      <c r="P39" s="38">
        <f t="shared" si="3"/>
        <v>4824.0400000000009</v>
      </c>
    </row>
    <row r="40" spans="1:16" x14ac:dyDescent="0.25">
      <c r="A40" s="86" t="s">
        <v>54</v>
      </c>
      <c r="B40" s="13"/>
      <c r="C40" s="65">
        <f>VLOOKUP(A40,'2'!$A$4:$BN$74,7,FALSE)</f>
        <v>557.72</v>
      </c>
      <c r="D40" s="65">
        <f>+VLOOKUP(A40,'2'!$A$4:$BN$74,12,FALSE)</f>
        <v>495.47</v>
      </c>
      <c r="E40" s="65">
        <f>+VLOOKUP(A40,'2'!$A$4:$BN$74,18,FALSE)</f>
        <v>634.06999999999994</v>
      </c>
      <c r="F40" s="65">
        <f>+VLOOKUP(A40,'2'!$A$4:$BN$74,23,FALSE)</f>
        <v>659.67000000000007</v>
      </c>
      <c r="G40" s="65">
        <f>+VLOOKUP(A40,'2'!$A$4:$BN$74,28,FALSE)</f>
        <v>593.64</v>
      </c>
      <c r="H40" s="65">
        <f>+VLOOKUP(A40,'2'!$A$4:$BN$74,34,FALSE)</f>
        <v>859.25999999999988</v>
      </c>
      <c r="I40" s="65">
        <f>+VLOOKUP(A40,'2'!$A$4:$BN$74,39,FALSE)</f>
        <v>444.17999999999995</v>
      </c>
      <c r="J40" s="65">
        <f>+VLOOKUP(A40,'2'!$A$4:$BN$74,45,FALSE)</f>
        <v>722.3</v>
      </c>
      <c r="K40" s="65">
        <f>+VLOOKUP(A40,'2'!$A$4:$BN$746,50,FALSE)</f>
        <v>518.06000000000006</v>
      </c>
      <c r="L40" s="65">
        <f>+VLOOKUP(A40,'2'!$A$4:$BN$74,55,FALSE)</f>
        <v>620.67000000000007</v>
      </c>
      <c r="M40" s="65">
        <f>+VLOOKUP(A40,'2'!$A$4:$BN$74,61,FALSE)</f>
        <v>689.95</v>
      </c>
      <c r="N40" s="65">
        <f>+VLOOKUP(A40,'2'!$A$4:$BN$74,66,FALSE)</f>
        <v>618.70000000000005</v>
      </c>
      <c r="O40" s="60">
        <f t="shared" si="7"/>
        <v>7413.6900000000005</v>
      </c>
      <c r="P40" s="38">
        <f t="shared" si="3"/>
        <v>7413.6900000000005</v>
      </c>
    </row>
    <row r="41" spans="1:16" x14ac:dyDescent="0.25">
      <c r="A41" s="86" t="s">
        <v>55</v>
      </c>
      <c r="B41" s="13"/>
      <c r="C41" s="65">
        <f>VLOOKUP(A41,'2'!$A$4:$BN$74,7,FALSE)</f>
        <v>193.03</v>
      </c>
      <c r="D41" s="65">
        <f>+VLOOKUP(A41,'2'!$A$4:$BN$74,12,FALSE)</f>
        <v>249.46000000000004</v>
      </c>
      <c r="E41" s="65">
        <f>+VLOOKUP(A41,'2'!$A$4:$BN$74,18,FALSE)</f>
        <v>310.18</v>
      </c>
      <c r="F41" s="65">
        <f>+VLOOKUP(A41,'2'!$A$4:$BN$74,23,FALSE)</f>
        <v>157.87</v>
      </c>
      <c r="G41" s="65">
        <f>+VLOOKUP(A41,'2'!$A$4:$BN$74,28,FALSE)</f>
        <v>331.63</v>
      </c>
      <c r="H41" s="65">
        <f>+VLOOKUP(A41,'2'!$A$4:$BN$74,34,FALSE)</f>
        <v>252.98</v>
      </c>
      <c r="I41" s="65">
        <f>+VLOOKUP(A41,'2'!$A$4:$BN$74,39,FALSE)</f>
        <v>333.22</v>
      </c>
      <c r="J41" s="65">
        <f>+VLOOKUP(A41,'2'!$A$4:$BN$74,45,FALSE)</f>
        <v>306.84000000000003</v>
      </c>
      <c r="K41" s="65">
        <f>+VLOOKUP(A41,'2'!$A$4:$BN$746,50,FALSE)</f>
        <v>314.79000000000002</v>
      </c>
      <c r="L41" s="65">
        <f>+VLOOKUP(A41,'2'!$A$4:$BN$74,55,FALSE)</f>
        <v>343.72</v>
      </c>
      <c r="M41" s="65">
        <f>+VLOOKUP(A41,'2'!$A$4:$BN$74,61,FALSE)</f>
        <v>379.80999999999995</v>
      </c>
      <c r="N41" s="65">
        <f>+VLOOKUP(A41,'2'!$A$4:$BN$74,66,FALSE)</f>
        <v>282.06</v>
      </c>
      <c r="O41" s="60">
        <f t="shared" si="7"/>
        <v>3455.59</v>
      </c>
      <c r="P41" s="38">
        <f t="shared" si="3"/>
        <v>3455.59</v>
      </c>
    </row>
    <row r="42" spans="1:16" x14ac:dyDescent="0.25">
      <c r="A42" s="86" t="s">
        <v>56</v>
      </c>
      <c r="B42" s="13"/>
      <c r="C42" s="65">
        <f>VLOOKUP(A42,'2'!$A$4:$BN$74,7,FALSE)</f>
        <v>0</v>
      </c>
      <c r="D42" s="65">
        <f>+VLOOKUP(A42,'2'!$A$4:$BN$74,12,FALSE)</f>
        <v>0</v>
      </c>
      <c r="E42" s="65">
        <f>+VLOOKUP(A42,'2'!$A$4:$BN$74,18,FALSE)</f>
        <v>0</v>
      </c>
      <c r="F42" s="65">
        <f>+VLOOKUP(A42,'2'!$A$4:$BN$74,23,FALSE)</f>
        <v>0</v>
      </c>
      <c r="G42" s="65">
        <f>+VLOOKUP(A42,'2'!$A$4:$BN$74,28,FALSE)</f>
        <v>0</v>
      </c>
      <c r="H42" s="65">
        <f>+VLOOKUP(A42,'2'!$A$4:$BN$74,34,FALSE)</f>
        <v>0</v>
      </c>
      <c r="I42" s="65">
        <f>+VLOOKUP(A42,'2'!$A$4:$BN$74,39,FALSE)</f>
        <v>0</v>
      </c>
      <c r="J42" s="65">
        <f>+VLOOKUP(A42,'2'!$A$4:$BN$74,45,FALSE)</f>
        <v>0</v>
      </c>
      <c r="K42" s="65">
        <f>+VLOOKUP(A42,'2'!$A$4:$BN$746,50,FALSE)</f>
        <v>0</v>
      </c>
      <c r="L42" s="65">
        <f>+VLOOKUP(A42,'2'!$A$4:$BN$74,55,FALSE)</f>
        <v>0</v>
      </c>
      <c r="M42" s="65">
        <f>+VLOOKUP(A42,'2'!$A$4:$BN$74,61,FALSE)</f>
        <v>0</v>
      </c>
      <c r="N42" s="65">
        <f>+VLOOKUP(A42,'2'!$A$4:$BN$74,66,FALSE)</f>
        <v>0</v>
      </c>
      <c r="O42" s="60">
        <f t="shared" si="7"/>
        <v>0</v>
      </c>
      <c r="P42" s="38">
        <f t="shared" si="3"/>
        <v>0</v>
      </c>
    </row>
    <row r="43" spans="1:16" x14ac:dyDescent="0.25">
      <c r="A43" s="86" t="s">
        <v>57</v>
      </c>
      <c r="B43" s="13"/>
      <c r="C43" s="65">
        <f>VLOOKUP(A43,'2'!$A$4:$BN$74,7,FALSE)</f>
        <v>126.43</v>
      </c>
      <c r="D43" s="65">
        <f>+VLOOKUP(A43,'2'!$A$4:$BN$74,12,FALSE)</f>
        <v>110.44999999999999</v>
      </c>
      <c r="E43" s="65">
        <f>+VLOOKUP(A43,'2'!$A$4:$BN$74,18,FALSE)</f>
        <v>168.78</v>
      </c>
      <c r="F43" s="65">
        <f>+VLOOKUP(A43,'2'!$A$4:$BN$74,23,FALSE)</f>
        <v>211.31</v>
      </c>
      <c r="G43" s="65">
        <f>+VLOOKUP(A43,'2'!$A$4:$BN$74,28,FALSE)</f>
        <v>107.67</v>
      </c>
      <c r="H43" s="65">
        <f>+VLOOKUP(A43,'2'!$A$4:$BN$74,34,FALSE)</f>
        <v>165.55</v>
      </c>
      <c r="I43" s="65">
        <f>+VLOOKUP(A43,'2'!$A$4:$BN$74,39,FALSE)</f>
        <v>180.51999999999998</v>
      </c>
      <c r="J43" s="65">
        <f>+VLOOKUP(A43,'2'!$A$4:$BN$74,45,FALSE)</f>
        <v>213.01000000000002</v>
      </c>
      <c r="K43" s="65">
        <f>+VLOOKUP(A43,'2'!$A$4:$BN$746,50,FALSE)</f>
        <v>117.56</v>
      </c>
      <c r="L43" s="65">
        <f>+VLOOKUP(A43,'2'!$A$4:$BN$74,55,FALSE)</f>
        <v>134.62</v>
      </c>
      <c r="M43" s="65">
        <f>+VLOOKUP(A43,'2'!$A$4:$BN$74,61,FALSE)</f>
        <v>205.22</v>
      </c>
      <c r="N43" s="65">
        <f>+VLOOKUP(A43,'2'!$A$4:$BN$74,66,FALSE)</f>
        <v>178.3</v>
      </c>
      <c r="O43" s="60">
        <f t="shared" si="7"/>
        <v>1919.42</v>
      </c>
      <c r="P43" s="38">
        <f t="shared" si="3"/>
        <v>1919.42</v>
      </c>
    </row>
    <row r="44" spans="1:16" ht="15.75" thickBot="1" x14ac:dyDescent="0.3">
      <c r="A44" s="86" t="s">
        <v>58</v>
      </c>
      <c r="B44" s="15"/>
      <c r="C44" s="68">
        <f>VLOOKUP(A44,'2'!$A$4:$BN$74,7,FALSE)</f>
        <v>0</v>
      </c>
      <c r="D44" s="68">
        <f>+VLOOKUP(A44,'2'!$A$4:$BN$74,12,FALSE)</f>
        <v>0</v>
      </c>
      <c r="E44" s="68">
        <f>+VLOOKUP(A44,'2'!$A$4:$BN$74,18,FALSE)</f>
        <v>0</v>
      </c>
      <c r="F44" s="68">
        <f>+VLOOKUP(A44,'2'!$A$4:$BN$74,23,FALSE)</f>
        <v>0</v>
      </c>
      <c r="G44" s="68">
        <f>+VLOOKUP(A44,'2'!$A$4:$BN$74,28,FALSE)</f>
        <v>0</v>
      </c>
      <c r="H44" s="68">
        <f>+VLOOKUP(A44,'2'!$A$4:$BN$74,34,FALSE)</f>
        <v>0</v>
      </c>
      <c r="I44" s="68">
        <f>+VLOOKUP(A44,'2'!$A$4:$BN$74,39,FALSE)</f>
        <v>0</v>
      </c>
      <c r="J44" s="68">
        <f>+VLOOKUP(A44,'2'!$A$4:$BN$74,45,FALSE)</f>
        <v>0</v>
      </c>
      <c r="K44" s="68">
        <f>+VLOOKUP(A44,'2'!$A$4:$BN$746,50,FALSE)</f>
        <v>46.62</v>
      </c>
      <c r="L44" s="68">
        <f>+VLOOKUP(A44,'2'!$A$4:$BN$74,55,FALSE)</f>
        <v>0</v>
      </c>
      <c r="M44" s="68">
        <f>+VLOOKUP(A44,'2'!$A$4:$BN$74,61,FALSE)</f>
        <v>32.42</v>
      </c>
      <c r="N44" s="68">
        <f>+VLOOKUP(A44,'2'!$A$4:$BN$74,66,FALSE)</f>
        <v>0</v>
      </c>
      <c r="O44" s="79">
        <f t="shared" si="7"/>
        <v>79.039999999999992</v>
      </c>
      <c r="P44" s="38">
        <f t="shared" si="3"/>
        <v>79.039999999999992</v>
      </c>
    </row>
    <row r="45" spans="1:16" ht="16.5" thickTop="1" thickBot="1" x14ac:dyDescent="0.3">
      <c r="A45" s="85" t="s">
        <v>59</v>
      </c>
      <c r="B45" s="42"/>
      <c r="C45" s="64">
        <f t="shared" ref="C45:O45" si="8">SUM(C38:C44)</f>
        <v>1616.7</v>
      </c>
      <c r="D45" s="64">
        <f t="shared" si="8"/>
        <v>1698.7500000000002</v>
      </c>
      <c r="E45" s="64">
        <f t="shared" si="8"/>
        <v>2417.11</v>
      </c>
      <c r="F45" s="64">
        <f t="shared" si="8"/>
        <v>1837.3200000000002</v>
      </c>
      <c r="G45" s="64">
        <f t="shared" si="8"/>
        <v>1831.77</v>
      </c>
      <c r="H45" s="64">
        <f t="shared" si="8"/>
        <v>2319.09</v>
      </c>
      <c r="I45" s="64">
        <f t="shared" si="8"/>
        <v>1693.84</v>
      </c>
      <c r="J45" s="64">
        <f t="shared" si="8"/>
        <v>2160.3700000000003</v>
      </c>
      <c r="K45" s="64">
        <f t="shared" si="8"/>
        <v>2006.7199999999998</v>
      </c>
      <c r="L45" s="64">
        <f t="shared" si="8"/>
        <v>1961.54</v>
      </c>
      <c r="M45" s="64">
        <f t="shared" si="8"/>
        <v>2595.6</v>
      </c>
      <c r="N45" s="64">
        <f t="shared" si="8"/>
        <v>2265.1600000000003</v>
      </c>
      <c r="O45" s="80">
        <f t="shared" si="8"/>
        <v>24403.97</v>
      </c>
      <c r="P45" s="38"/>
    </row>
    <row r="46" spans="1:16" ht="15.75" thickTop="1" x14ac:dyDescent="0.25">
      <c r="A46" s="86" t="s">
        <v>60</v>
      </c>
      <c r="B46" s="11"/>
      <c r="C46" s="58">
        <f>VLOOKUP(A46,'2'!$A$4:$BN$74,7,FALSE)</f>
        <v>528.49</v>
      </c>
      <c r="D46" s="58">
        <f>+VLOOKUP(A46,'2'!$A$4:$BN$74,12,FALSE)</f>
        <v>704.3</v>
      </c>
      <c r="E46" s="58">
        <f>+VLOOKUP(A46,'2'!$A$4:$BN$74,18,FALSE)</f>
        <v>784.67000000000007</v>
      </c>
      <c r="F46" s="58">
        <f>+VLOOKUP(A46,'2'!$A$4:$BN$74,23,FALSE)</f>
        <v>623.73</v>
      </c>
      <c r="G46" s="58">
        <f>+VLOOKUP(A46,'2'!$A$4:$BN$74,28,FALSE)</f>
        <v>545.65</v>
      </c>
      <c r="H46" s="58">
        <f>+VLOOKUP(A46,'2'!$A$4:$BN$74,34,FALSE)</f>
        <v>784.11000000000013</v>
      </c>
      <c r="I46" s="58">
        <f>+VLOOKUP(A46,'2'!$A$4:$BN$74,39,FALSE)</f>
        <v>622.79</v>
      </c>
      <c r="J46" s="58">
        <f>+VLOOKUP(A46,'2'!$A$4:$BN$74,45,FALSE)</f>
        <v>792.81</v>
      </c>
      <c r="K46" s="58">
        <f>+VLOOKUP(A46,'2'!$A$4:$BN$746,50,FALSE)</f>
        <v>456.77</v>
      </c>
      <c r="L46" s="58">
        <f>+VLOOKUP(A46,'2'!$A$4:$BN$74,55,FALSE)</f>
        <v>633.91000000000008</v>
      </c>
      <c r="M46" s="58">
        <f>+VLOOKUP(A46,'2'!$A$4:$BN$74,61,FALSE)</f>
        <v>776.8</v>
      </c>
      <c r="N46" s="58">
        <f>+VLOOKUP(A46,'2'!$A$4:$BN$74,66,FALSE)</f>
        <v>770.74</v>
      </c>
      <c r="O46" s="59">
        <f>+C46+D46+E46+F46+G46+H46+I46+J46+K46+L46+M46+N46</f>
        <v>8024.7699999999995</v>
      </c>
      <c r="P46" s="38">
        <f t="shared" si="3"/>
        <v>8024.7699999999995</v>
      </c>
    </row>
    <row r="47" spans="1:16" x14ac:dyDescent="0.25">
      <c r="A47" s="83" t="s">
        <v>61</v>
      </c>
      <c r="B47" s="13"/>
      <c r="C47" s="65">
        <f>VLOOKUP(A47,'2'!$A$4:$BN$74,7,FALSE)</f>
        <v>368.82</v>
      </c>
      <c r="D47" s="65">
        <f>+VLOOKUP(A47,'2'!$A$4:$BN$74,12,FALSE)</f>
        <v>361.98</v>
      </c>
      <c r="E47" s="65">
        <f>+VLOOKUP(A47,'2'!$A$4:$BN$74,18,FALSE)</f>
        <v>507.66</v>
      </c>
      <c r="F47" s="65">
        <f>+VLOOKUP(A47,'2'!$A$4:$BN$74,23,FALSE)</f>
        <v>429.26</v>
      </c>
      <c r="G47" s="65">
        <f>+VLOOKUP(A47,'2'!$A$4:$BN$74,28,FALSE)</f>
        <v>443.02</v>
      </c>
      <c r="H47" s="65">
        <f>+VLOOKUP(A47,'2'!$A$4:$BN$74,34,FALSE)</f>
        <v>445.32000000000005</v>
      </c>
      <c r="I47" s="65">
        <f>+VLOOKUP(A47,'2'!$A$4:$BN$74,39,FALSE)</f>
        <v>402.36</v>
      </c>
      <c r="J47" s="65">
        <f>+VLOOKUP(A47,'2'!$A$4:$BN$74,45,FALSE)</f>
        <v>312.22000000000003</v>
      </c>
      <c r="K47" s="65">
        <f>+VLOOKUP(A47,'2'!$A$4:$BN$746,50,FALSE)</f>
        <v>338.58</v>
      </c>
      <c r="L47" s="65">
        <f>+VLOOKUP(A47,'2'!$A$4:$BN$74,55,FALSE)</f>
        <v>409.09000000000003</v>
      </c>
      <c r="M47" s="65">
        <f>+VLOOKUP(A47,'2'!$A$4:$BN$74,61,FALSE)</f>
        <v>562.24</v>
      </c>
      <c r="N47" s="65">
        <f>+VLOOKUP(A47,'2'!$A$4:$BN$74,66,FALSE)</f>
        <v>519.83999999999992</v>
      </c>
      <c r="O47" s="60">
        <f>+C47+D47+E47+F47+G47+H47+I47+J47+K47+L47+M47+N47</f>
        <v>5100.3900000000003</v>
      </c>
      <c r="P47" s="38">
        <f t="shared" si="3"/>
        <v>5100.3900000000003</v>
      </c>
    </row>
    <row r="48" spans="1:16" ht="15.75" thickBot="1" x14ac:dyDescent="0.3">
      <c r="A48" s="84" t="s">
        <v>62</v>
      </c>
      <c r="B48" s="15"/>
      <c r="C48" s="68">
        <f>VLOOKUP(A48,'2'!$A$4:$BN$74,7,FALSE)</f>
        <v>63.69</v>
      </c>
      <c r="D48" s="68">
        <f>+VLOOKUP(A48,'2'!$A$4:$BN$74,12,FALSE)</f>
        <v>70.509999999999991</v>
      </c>
      <c r="E48" s="68">
        <f>+VLOOKUP(A48,'2'!$A$4:$BN$74,18,FALSE)</f>
        <v>75.819999999999993</v>
      </c>
      <c r="F48" s="68">
        <f>+VLOOKUP(A48,'2'!$A$4:$BN$74,23,FALSE)</f>
        <v>67.73</v>
      </c>
      <c r="G48" s="68">
        <f>+VLOOKUP(A48,'2'!$A$4:$BN$74,28,FALSE)</f>
        <v>90.12</v>
      </c>
      <c r="H48" s="68">
        <f>+VLOOKUP(A48,'2'!$A$4:$BN$74,34,FALSE)</f>
        <v>75.7</v>
      </c>
      <c r="I48" s="68">
        <f>+VLOOKUP(A48,'2'!$A$4:$BN$74,39,FALSE)</f>
        <v>78.609999999999985</v>
      </c>
      <c r="J48" s="68">
        <f>+VLOOKUP(A48,'2'!$A$4:$BN$74,45,FALSE)</f>
        <v>78.199999999999989</v>
      </c>
      <c r="K48" s="68">
        <f>+VLOOKUP(A48,'2'!$A$4:$BN$746,50,FALSE)</f>
        <v>56.61</v>
      </c>
      <c r="L48" s="68">
        <f>+VLOOKUP(A48,'2'!$A$4:$BN$74,55,FALSE)</f>
        <v>85.259999999999991</v>
      </c>
      <c r="M48" s="68">
        <f>+VLOOKUP(A48,'2'!$A$4:$BN$74,61,FALSE)</f>
        <v>90.25</v>
      </c>
      <c r="N48" s="68">
        <f>+VLOOKUP(A48,'2'!$A$4:$BN$74,66,FALSE)</f>
        <v>56.06</v>
      </c>
      <c r="O48" s="79">
        <f>+C48+D48+E48+F48+G48+H48+I48+J48+K48+L48+M48+N48</f>
        <v>888.56</v>
      </c>
      <c r="P48" s="38">
        <f t="shared" si="3"/>
        <v>888.56</v>
      </c>
    </row>
    <row r="49" spans="1:16" ht="16.5" thickTop="1" thickBot="1" x14ac:dyDescent="0.3">
      <c r="A49" s="85" t="s">
        <v>63</v>
      </c>
      <c r="B49" s="42"/>
      <c r="C49" s="64">
        <f t="shared" ref="C49:O49" si="9">SUM(C46:C48)</f>
        <v>961</v>
      </c>
      <c r="D49" s="64">
        <f t="shared" si="9"/>
        <v>1136.79</v>
      </c>
      <c r="E49" s="64">
        <f t="shared" si="9"/>
        <v>1368.15</v>
      </c>
      <c r="F49" s="64">
        <f t="shared" si="9"/>
        <v>1120.72</v>
      </c>
      <c r="G49" s="64">
        <f t="shared" si="9"/>
        <v>1078.79</v>
      </c>
      <c r="H49" s="64">
        <f t="shared" si="9"/>
        <v>1305.1300000000003</v>
      </c>
      <c r="I49" s="64">
        <f t="shared" si="9"/>
        <v>1103.76</v>
      </c>
      <c r="J49" s="64">
        <f t="shared" si="9"/>
        <v>1183.23</v>
      </c>
      <c r="K49" s="64">
        <f t="shared" si="9"/>
        <v>851.95999999999992</v>
      </c>
      <c r="L49" s="64">
        <f t="shared" si="9"/>
        <v>1128.26</v>
      </c>
      <c r="M49" s="64">
        <f t="shared" si="9"/>
        <v>1429.29</v>
      </c>
      <c r="N49" s="64">
        <f t="shared" si="9"/>
        <v>1346.6399999999999</v>
      </c>
      <c r="O49" s="80">
        <f t="shared" si="9"/>
        <v>14013.72</v>
      </c>
      <c r="P49" s="38"/>
    </row>
    <row r="50" spans="1:16" ht="15.75" thickTop="1" x14ac:dyDescent="0.25">
      <c r="A50" s="86" t="s">
        <v>64</v>
      </c>
      <c r="B50" s="11"/>
      <c r="C50" s="58">
        <f>VLOOKUP(A50,'2'!$A$4:$BN$74,7,FALSE)</f>
        <v>10.37</v>
      </c>
      <c r="D50" s="58">
        <f>+VLOOKUP(A50,'2'!$A$4:$BN$74,12,FALSE)</f>
        <v>12.52</v>
      </c>
      <c r="E50" s="58">
        <f>+VLOOKUP(A50,'2'!$A$4:$BN$74,18,FALSE)</f>
        <v>7.49</v>
      </c>
      <c r="F50" s="58">
        <f>+VLOOKUP(A50,'2'!$A$4:$BN$74,23,FALSE)</f>
        <v>11.600000000000001</v>
      </c>
      <c r="G50" s="58">
        <f>+VLOOKUP(A50,'2'!$A$4:$BN$74,28,FALSE)</f>
        <v>5.36</v>
      </c>
      <c r="H50" s="58">
        <f>+VLOOKUP(A50,'2'!$A$4:$BN$74,34,FALSE)</f>
        <v>6.87</v>
      </c>
      <c r="I50" s="58">
        <f>+VLOOKUP(A50,'2'!$A$4:$BN$74,39,FALSE)</f>
        <v>19.940000000000001</v>
      </c>
      <c r="J50" s="58">
        <f>+VLOOKUP(A50,'2'!$A$4:$BN$74,45,FALSE)</f>
        <v>8.1199999999999992</v>
      </c>
      <c r="K50" s="58">
        <f>+VLOOKUP(A50,'2'!$A$4:$BN$746,50,FALSE)</f>
        <v>6.86</v>
      </c>
      <c r="L50" s="58">
        <f>+VLOOKUP(A50,'2'!$A$4:$BN$74,55,FALSE)</f>
        <v>4.9400000000000004</v>
      </c>
      <c r="M50" s="58">
        <f>+VLOOKUP(A50,'2'!$A$4:$BN$74,61,FALSE)</f>
        <v>7.41</v>
      </c>
      <c r="N50" s="58">
        <f>+VLOOKUP(A50,'2'!$A$4:$BN$74,66,FALSE)</f>
        <v>2.56</v>
      </c>
      <c r="O50" s="59">
        <f t="shared" ref="O50:O58" si="10">+C50+D50+E50+F50+G50+H50+I50+J50+K50+L50+M50+N50</f>
        <v>104.04</v>
      </c>
      <c r="P50" s="38">
        <f t="shared" si="3"/>
        <v>104.04</v>
      </c>
    </row>
    <row r="51" spans="1:16" x14ac:dyDescent="0.25">
      <c r="A51" s="86" t="s">
        <v>65</v>
      </c>
      <c r="B51" s="13"/>
      <c r="C51" s="65">
        <f>VLOOKUP(A51,'2'!$A$4:$BN$74,7,FALSE)</f>
        <v>24.67</v>
      </c>
      <c r="D51" s="65">
        <f>+VLOOKUP(A51,'2'!$A$4:$BN$74,12,FALSE)</f>
        <v>28.09</v>
      </c>
      <c r="E51" s="65">
        <f>+VLOOKUP(A51,'2'!$A$4:$BN$74,18,FALSE)</f>
        <v>39.599999999999994</v>
      </c>
      <c r="F51" s="65">
        <f>+VLOOKUP(A51,'2'!$A$4:$BN$74,23,FALSE)</f>
        <v>12.48</v>
      </c>
      <c r="G51" s="65">
        <f>+VLOOKUP(A51,'2'!$A$4:$BN$74,28,FALSE)</f>
        <v>24.96</v>
      </c>
      <c r="H51" s="65">
        <f>+VLOOKUP(A51,'2'!$A$4:$BN$74,34,FALSE)</f>
        <v>27.32</v>
      </c>
      <c r="I51" s="65">
        <f>+VLOOKUP(A51,'2'!$A$4:$BN$74,39,FALSE)</f>
        <v>13.56</v>
      </c>
      <c r="J51" s="65">
        <f>+VLOOKUP(A51,'2'!$A$4:$BN$74,45,FALSE)</f>
        <v>27.810000000000002</v>
      </c>
      <c r="K51" s="65">
        <f>+VLOOKUP(A51,'2'!$A$4:$BN$746,50,FALSE)</f>
        <v>28.96</v>
      </c>
      <c r="L51" s="65">
        <f>+VLOOKUP(A51,'2'!$A$4:$BN$74,55,FALSE)</f>
        <v>33.11</v>
      </c>
      <c r="M51" s="65">
        <f>+VLOOKUP(A51,'2'!$A$4:$BN$74,61,FALSE)</f>
        <v>31.869999999999997</v>
      </c>
      <c r="N51" s="65">
        <f>+VLOOKUP(A51,'2'!$A$4:$BN$74,66,FALSE)</f>
        <v>16.8</v>
      </c>
      <c r="O51" s="60">
        <f t="shared" si="10"/>
        <v>309.23</v>
      </c>
      <c r="P51" s="38">
        <f t="shared" si="3"/>
        <v>309.23</v>
      </c>
    </row>
    <row r="52" spans="1:16" x14ac:dyDescent="0.25">
      <c r="A52" s="86" t="s">
        <v>66</v>
      </c>
      <c r="B52" s="13"/>
      <c r="C52" s="65">
        <f>VLOOKUP(A52,'2'!$A$4:$BN$74,7,FALSE)</f>
        <v>108.84</v>
      </c>
      <c r="D52" s="65">
        <f>+VLOOKUP(A52,'2'!$A$4:$BN$74,12,FALSE)</f>
        <v>103.8</v>
      </c>
      <c r="E52" s="65">
        <f>+VLOOKUP(A52,'2'!$A$4:$BN$74,18,FALSE)</f>
        <v>173.78</v>
      </c>
      <c r="F52" s="65">
        <f>+VLOOKUP(A52,'2'!$A$4:$BN$74,23,FALSE)</f>
        <v>170.16</v>
      </c>
      <c r="G52" s="65">
        <f>+VLOOKUP(A52,'2'!$A$4:$BN$74,28,FALSE)</f>
        <v>59.550000000000004</v>
      </c>
      <c r="H52" s="65">
        <f>+VLOOKUP(A52,'2'!$A$4:$BN$74,34,FALSE)</f>
        <v>43.33</v>
      </c>
      <c r="I52" s="65">
        <f>+VLOOKUP(A52,'2'!$A$4:$BN$74,39,FALSE)</f>
        <v>30.25</v>
      </c>
      <c r="J52" s="65">
        <f>+VLOOKUP(A52,'2'!$A$4:$BN$74,45,FALSE)</f>
        <v>24.2</v>
      </c>
      <c r="K52" s="65">
        <f>+VLOOKUP(A52,'2'!$A$4:$BN$746,50,FALSE)</f>
        <v>129.15</v>
      </c>
      <c r="L52" s="65">
        <f>+VLOOKUP(A52,'2'!$A$4:$BN$74,55,FALSE)</f>
        <v>70.460000000000008</v>
      </c>
      <c r="M52" s="65">
        <f>+VLOOKUP(A52,'2'!$A$4:$BN$74,61,FALSE)</f>
        <v>99.03</v>
      </c>
      <c r="N52" s="65">
        <f>+VLOOKUP(A52,'2'!$A$4:$BN$74,66,FALSE)</f>
        <v>111.4</v>
      </c>
      <c r="O52" s="60">
        <f t="shared" si="10"/>
        <v>1123.95</v>
      </c>
      <c r="P52" s="38">
        <f t="shared" si="3"/>
        <v>1123.95</v>
      </c>
    </row>
    <row r="53" spans="1:16" x14ac:dyDescent="0.25">
      <c r="A53" s="86" t="s">
        <v>67</v>
      </c>
      <c r="B53" s="13"/>
      <c r="C53" s="65">
        <f>VLOOKUP(A53,'2'!$A$4:$BN$74,7,FALSE)</f>
        <v>153.25</v>
      </c>
      <c r="D53" s="65">
        <f>+VLOOKUP(A53,'2'!$A$4:$BN$74,12,FALSE)</f>
        <v>274.44</v>
      </c>
      <c r="E53" s="65">
        <f>+VLOOKUP(A53,'2'!$A$4:$BN$74,18,FALSE)</f>
        <v>277.95</v>
      </c>
      <c r="F53" s="65">
        <f>+VLOOKUP(A53,'2'!$A$4:$BN$74,23,FALSE)</f>
        <v>203.85999999999999</v>
      </c>
      <c r="G53" s="65">
        <f>+VLOOKUP(A53,'2'!$A$4:$BN$74,28,FALSE)</f>
        <v>236.75999999999996</v>
      </c>
      <c r="H53" s="65">
        <f>+VLOOKUP(A53,'2'!$A$4:$BN$74,34,FALSE)</f>
        <v>197.40999999999997</v>
      </c>
      <c r="I53" s="65">
        <f>+VLOOKUP(A53,'2'!$A$4:$BN$74,39,FALSE)</f>
        <v>164.76</v>
      </c>
      <c r="J53" s="65">
        <f>+VLOOKUP(A53,'2'!$A$4:$BN$74,45,FALSE)</f>
        <v>274.74999999999994</v>
      </c>
      <c r="K53" s="65">
        <f>+VLOOKUP(A53,'2'!$A$4:$BN$746,50,FALSE)</f>
        <v>136.44</v>
      </c>
      <c r="L53" s="65">
        <f>+VLOOKUP(A53,'2'!$A$4:$BN$74,55,FALSE)</f>
        <v>232.93</v>
      </c>
      <c r="M53" s="65">
        <f>+VLOOKUP(A53,'2'!$A$4:$BN$74,61,FALSE)</f>
        <v>329.01</v>
      </c>
      <c r="N53" s="65">
        <f>+VLOOKUP(A53,'2'!$A$4:$BN$74,66,FALSE)</f>
        <v>232.41</v>
      </c>
      <c r="O53" s="60">
        <f t="shared" si="10"/>
        <v>2713.9700000000003</v>
      </c>
      <c r="P53" s="38">
        <f t="shared" si="3"/>
        <v>2713.9700000000003</v>
      </c>
    </row>
    <row r="54" spans="1:16" x14ac:dyDescent="0.25">
      <c r="A54" s="86" t="s">
        <v>68</v>
      </c>
      <c r="B54" s="13"/>
      <c r="C54" s="65">
        <f>VLOOKUP(A54,'2'!$A$4:$BN$74,7,FALSE)</f>
        <v>61.06</v>
      </c>
      <c r="D54" s="65">
        <f>+VLOOKUP(A54,'2'!$A$4:$BN$74,12,FALSE)</f>
        <v>75.140000000000015</v>
      </c>
      <c r="E54" s="65">
        <f>+VLOOKUP(A54,'2'!$A$4:$BN$74,18,FALSE)</f>
        <v>140.42000000000002</v>
      </c>
      <c r="F54" s="65">
        <f>+VLOOKUP(A54,'2'!$A$4:$BN$74,23,FALSE)</f>
        <v>56.44</v>
      </c>
      <c r="G54" s="65">
        <f>+VLOOKUP(A54,'2'!$A$4:$BN$74,28,FALSE)</f>
        <v>49.900000000000006</v>
      </c>
      <c r="H54" s="65">
        <f>+VLOOKUP(A54,'2'!$A$4:$BN$74,34,FALSE)</f>
        <v>91.44</v>
      </c>
      <c r="I54" s="65">
        <f>+VLOOKUP(A54,'2'!$A$4:$BN$74,39,FALSE)</f>
        <v>72.08</v>
      </c>
      <c r="J54" s="65">
        <f>+VLOOKUP(A54,'2'!$A$4:$BN$74,45,FALSE)</f>
        <v>63.35</v>
      </c>
      <c r="K54" s="65">
        <f>+VLOOKUP(A54,'2'!$A$4:$BN$746,50,FALSE)</f>
        <v>69.850000000000009</v>
      </c>
      <c r="L54" s="65">
        <f>+VLOOKUP(A54,'2'!$A$4:$BN$74,55,FALSE)</f>
        <v>66.900000000000006</v>
      </c>
      <c r="M54" s="65">
        <f>+VLOOKUP(A54,'2'!$A$4:$BN$74,61,FALSE)</f>
        <v>74.64</v>
      </c>
      <c r="N54" s="65">
        <f>+VLOOKUP(A54,'2'!$A$4:$BN$74,66,FALSE)</f>
        <v>60.67</v>
      </c>
      <c r="O54" s="60">
        <f t="shared" si="10"/>
        <v>881.89</v>
      </c>
      <c r="P54" s="38">
        <f t="shared" si="3"/>
        <v>881.89</v>
      </c>
    </row>
    <row r="55" spans="1:16" x14ac:dyDescent="0.25">
      <c r="A55" s="86" t="s">
        <v>69</v>
      </c>
      <c r="B55" s="13"/>
      <c r="C55" s="65">
        <f>VLOOKUP(A55,'2'!$A$4:$BN$74,7,FALSE)</f>
        <v>145.96000000000004</v>
      </c>
      <c r="D55" s="65">
        <f>+VLOOKUP(A55,'2'!$A$4:$BN$74,12,FALSE)</f>
        <v>186.72</v>
      </c>
      <c r="E55" s="65">
        <f>+VLOOKUP(A55,'2'!$A$4:$BN$74,18,FALSE)</f>
        <v>232.49</v>
      </c>
      <c r="F55" s="65">
        <f>+VLOOKUP(A55,'2'!$A$4:$BN$74,23,FALSE)</f>
        <v>189.09</v>
      </c>
      <c r="G55" s="65">
        <f>+VLOOKUP(A55,'2'!$A$4:$BN$74,28,FALSE)</f>
        <v>123.14</v>
      </c>
      <c r="H55" s="65">
        <f>+VLOOKUP(A55,'2'!$A$4:$BN$74,34,FALSE)</f>
        <v>206.29000000000002</v>
      </c>
      <c r="I55" s="65">
        <f>+VLOOKUP(A55,'2'!$A$4:$BN$74,39,FALSE)</f>
        <v>111.98</v>
      </c>
      <c r="J55" s="65">
        <f>+VLOOKUP(A55,'2'!$A$4:$BN$74,45,FALSE)</f>
        <v>347.96</v>
      </c>
      <c r="K55" s="65">
        <f>+VLOOKUP(A55,'2'!$A$4:$BN$746,50,FALSE)</f>
        <v>134.04</v>
      </c>
      <c r="L55" s="65">
        <f>+VLOOKUP(A55,'2'!$A$4:$BN$74,55,FALSE)</f>
        <v>163.85000000000002</v>
      </c>
      <c r="M55" s="65">
        <f>+VLOOKUP(A55,'2'!$A$4:$BN$74,61,FALSE)</f>
        <v>137.28</v>
      </c>
      <c r="N55" s="65">
        <f>+VLOOKUP(A55,'2'!$A$4:$BN$74,66,FALSE)</f>
        <v>212.18</v>
      </c>
      <c r="O55" s="60">
        <f t="shared" si="10"/>
        <v>2190.98</v>
      </c>
      <c r="P55" s="38">
        <f t="shared" si="3"/>
        <v>2190.98</v>
      </c>
    </row>
    <row r="56" spans="1:16" x14ac:dyDescent="0.25">
      <c r="A56" s="86" t="s">
        <v>70</v>
      </c>
      <c r="B56" s="13"/>
      <c r="C56" s="65">
        <f>VLOOKUP(A56,'2'!$A$4:$BN$74,7,FALSE)</f>
        <v>384.27</v>
      </c>
      <c r="D56" s="65">
        <f>+VLOOKUP(A56,'2'!$A$4:$BN$74,12,FALSE)</f>
        <v>266.04000000000002</v>
      </c>
      <c r="E56" s="65">
        <f>+VLOOKUP(A56,'2'!$A$4:$BN$74,18,FALSE)</f>
        <v>400.44</v>
      </c>
      <c r="F56" s="65">
        <f>+VLOOKUP(A56,'2'!$A$4:$BN$74,23,FALSE)</f>
        <v>467.15</v>
      </c>
      <c r="G56" s="65">
        <f>+VLOOKUP(A56,'2'!$A$4:$BN$74,28,FALSE)</f>
        <v>442.9</v>
      </c>
      <c r="H56" s="65">
        <f>+VLOOKUP(A56,'2'!$A$4:$BN$74,34,FALSE)</f>
        <v>367.59000000000003</v>
      </c>
      <c r="I56" s="65">
        <f>+VLOOKUP(A56,'2'!$A$4:$BN$74,39,FALSE)</f>
        <v>314.01</v>
      </c>
      <c r="J56" s="65">
        <f>+VLOOKUP(A56,'2'!$A$4:$BN$74,45,FALSE)</f>
        <v>517.66</v>
      </c>
      <c r="K56" s="65">
        <f>+VLOOKUP(A56,'2'!$A$4:$BN$746,50,FALSE)</f>
        <v>319.57</v>
      </c>
      <c r="L56" s="65">
        <f>+VLOOKUP(A56,'2'!$A$4:$BN$74,55,FALSE)</f>
        <v>438.73</v>
      </c>
      <c r="M56" s="65">
        <f>+VLOOKUP(A56,'2'!$A$4:$BN$74,61,FALSE)</f>
        <v>605.39</v>
      </c>
      <c r="N56" s="65">
        <f>+VLOOKUP(A56,'2'!$A$4:$BN$74,66,FALSE)</f>
        <v>572.24</v>
      </c>
      <c r="O56" s="60">
        <f t="shared" si="10"/>
        <v>5095.9900000000007</v>
      </c>
      <c r="P56" s="38">
        <f t="shared" si="3"/>
        <v>5095.9900000000007</v>
      </c>
    </row>
    <row r="57" spans="1:16" x14ac:dyDescent="0.25">
      <c r="A57" s="86" t="s">
        <v>71</v>
      </c>
      <c r="B57" s="13"/>
      <c r="C57" s="65">
        <f>VLOOKUP(A57,'2'!$A$4:$BN$74,7,FALSE)</f>
        <v>27.810000000000002</v>
      </c>
      <c r="D57" s="65">
        <f>+VLOOKUP(A57,'2'!$A$4:$BN$74,12,FALSE)</f>
        <v>26.33</v>
      </c>
      <c r="E57" s="65">
        <f>+VLOOKUP(A57,'2'!$A$4:$BN$74,18,FALSE)</f>
        <v>33.22</v>
      </c>
      <c r="F57" s="65">
        <f>+VLOOKUP(A57,'2'!$A$4:$BN$74,23,FALSE)</f>
        <v>27.15</v>
      </c>
      <c r="G57" s="65">
        <f>+VLOOKUP(A57,'2'!$A$4:$BN$74,28,FALSE)</f>
        <v>28.18</v>
      </c>
      <c r="H57" s="65">
        <f>+VLOOKUP(A57,'2'!$A$4:$BN$74,34,FALSE)</f>
        <v>35.200000000000003</v>
      </c>
      <c r="I57" s="65">
        <f>+VLOOKUP(A57,'2'!$A$4:$BN$74,39,FALSE)</f>
        <v>37.339999999999996</v>
      </c>
      <c r="J57" s="65">
        <f>+VLOOKUP(A57,'2'!$A$4:$BN$74,45,FALSE)</f>
        <v>38.65</v>
      </c>
      <c r="K57" s="65">
        <f>+VLOOKUP(A57,'2'!$A$4:$BN$746,50,FALSE)</f>
        <v>26.65</v>
      </c>
      <c r="L57" s="65">
        <f>+VLOOKUP(A57,'2'!$A$4:$BN$74,55,FALSE)</f>
        <v>28.17</v>
      </c>
      <c r="M57" s="65">
        <f>+VLOOKUP(A57,'2'!$A$4:$BN$74,61,FALSE)</f>
        <v>35.51</v>
      </c>
      <c r="N57" s="65">
        <f>+VLOOKUP(A57,'2'!$A$4:$BN$74,66,FALSE)</f>
        <v>41.88</v>
      </c>
      <c r="O57" s="60">
        <f t="shared" si="10"/>
        <v>386.09</v>
      </c>
      <c r="P57" s="38">
        <f t="shared" si="3"/>
        <v>386.09</v>
      </c>
    </row>
    <row r="58" spans="1:16" ht="15.75" thickBot="1" x14ac:dyDescent="0.3">
      <c r="A58" s="86" t="s">
        <v>72</v>
      </c>
      <c r="B58" s="15"/>
      <c r="C58" s="68">
        <f>VLOOKUP(A58,'2'!$A$4:$BN$74,7,FALSE)</f>
        <v>0</v>
      </c>
      <c r="D58" s="68">
        <f>+VLOOKUP(A58,'2'!$A$4:$BN$74,12,FALSE)</f>
        <v>0</v>
      </c>
      <c r="E58" s="68">
        <f>+VLOOKUP(A58,'2'!$A$4:$BN$74,18,FALSE)</f>
        <v>0</v>
      </c>
      <c r="F58" s="68">
        <f>+VLOOKUP(A58,'2'!$A$4:$BN$74,23,FALSE)</f>
        <v>6.65</v>
      </c>
      <c r="G58" s="68">
        <f>+VLOOKUP(A58,'2'!$A$4:$BN$74,28,FALSE)</f>
        <v>0</v>
      </c>
      <c r="H58" s="68">
        <f>+VLOOKUP(A58,'2'!$A$4:$BN$74,34,FALSE)</f>
        <v>0</v>
      </c>
      <c r="I58" s="68">
        <f>+VLOOKUP(A58,'2'!$A$4:$BN$74,39,FALSE)</f>
        <v>0</v>
      </c>
      <c r="J58" s="68">
        <f>+VLOOKUP(A58,'2'!$A$4:$BN$74,45,FALSE)</f>
        <v>0</v>
      </c>
      <c r="K58" s="68">
        <f>+VLOOKUP(A58,'2'!$A$4:$BN$746,50,FALSE)</f>
        <v>0</v>
      </c>
      <c r="L58" s="68">
        <f>+VLOOKUP(A58,'2'!$A$4:$BN$74,55,FALSE)</f>
        <v>0</v>
      </c>
      <c r="M58" s="68">
        <f>+VLOOKUP(A58,'2'!$A$4:$BN$74,61,FALSE)</f>
        <v>0</v>
      </c>
      <c r="N58" s="68">
        <f>+VLOOKUP(A58,'2'!$A$4:$BN$74,66,FALSE)</f>
        <v>4.2699999999999996</v>
      </c>
      <c r="O58" s="79">
        <f t="shared" si="10"/>
        <v>10.92</v>
      </c>
      <c r="P58" s="38">
        <f t="shared" si="3"/>
        <v>10.92</v>
      </c>
    </row>
    <row r="59" spans="1:16" ht="16.5" thickTop="1" thickBot="1" x14ac:dyDescent="0.3">
      <c r="A59" s="85" t="s">
        <v>73</v>
      </c>
      <c r="B59" s="42"/>
      <c r="C59" s="64">
        <f t="shared" ref="C59:O59" si="11">SUM(C50:C58)</f>
        <v>916.23</v>
      </c>
      <c r="D59" s="64">
        <f t="shared" si="11"/>
        <v>973.08</v>
      </c>
      <c r="E59" s="64">
        <f t="shared" si="11"/>
        <v>1305.3900000000001</v>
      </c>
      <c r="F59" s="64">
        <f t="shared" si="11"/>
        <v>1144.5800000000002</v>
      </c>
      <c r="G59" s="64">
        <f t="shared" si="11"/>
        <v>970.74999999999989</v>
      </c>
      <c r="H59" s="64">
        <f t="shared" si="11"/>
        <v>975.45</v>
      </c>
      <c r="I59" s="64">
        <f t="shared" si="11"/>
        <v>763.92</v>
      </c>
      <c r="J59" s="64">
        <f t="shared" si="11"/>
        <v>1302.5</v>
      </c>
      <c r="K59" s="64">
        <f t="shared" si="11"/>
        <v>851.51999999999987</v>
      </c>
      <c r="L59" s="64">
        <f t="shared" si="11"/>
        <v>1039.0900000000001</v>
      </c>
      <c r="M59" s="64">
        <f t="shared" si="11"/>
        <v>1320.14</v>
      </c>
      <c r="N59" s="64">
        <f t="shared" si="11"/>
        <v>1254.4100000000001</v>
      </c>
      <c r="O59" s="80">
        <f t="shared" si="11"/>
        <v>12817.060000000003</v>
      </c>
      <c r="P59" s="38"/>
    </row>
    <row r="60" spans="1:16" ht="15.75" thickTop="1" x14ac:dyDescent="0.25">
      <c r="A60" s="87" t="s">
        <v>74</v>
      </c>
      <c r="B60" s="11"/>
      <c r="C60" s="58">
        <f>VLOOKUP(A60,'2'!$A$4:$BN$74,7,FALSE)</f>
        <v>36.99</v>
      </c>
      <c r="D60" s="58">
        <f>+VLOOKUP(A60,'2'!$A$4:$BN$74,12,FALSE)</f>
        <v>29.87</v>
      </c>
      <c r="E60" s="58">
        <f>+VLOOKUP(A60,'2'!$A$4:$BN$74,18,FALSE)</f>
        <v>20.25</v>
      </c>
      <c r="F60" s="58">
        <f>+VLOOKUP(A60,'2'!$A$4:$BN$74,23,FALSE)</f>
        <v>0</v>
      </c>
      <c r="G60" s="58">
        <f>+VLOOKUP(A60,'2'!$A$4:$BN$74,28,FALSE)</f>
        <v>33.46</v>
      </c>
      <c r="H60" s="58">
        <f>+VLOOKUP(A60,'2'!$A$4:$BN$74,34,FALSE)</f>
        <v>41.28</v>
      </c>
      <c r="I60" s="58">
        <f>+VLOOKUP(A60,'2'!$A$4:$BN$74,39,FALSE)</f>
        <v>0</v>
      </c>
      <c r="J60" s="58">
        <f>+VLOOKUP(A60,'2'!$A$4:$BN$74,45,FALSE)</f>
        <v>32.68</v>
      </c>
      <c r="K60" s="58">
        <f>+VLOOKUP(A60,'2'!$A$4:$BN$746,50,FALSE)</f>
        <v>0</v>
      </c>
      <c r="L60" s="58">
        <f>+VLOOKUP(A60,'2'!$A$4:$BN$74,55,FALSE)</f>
        <v>21.23</v>
      </c>
      <c r="M60" s="58">
        <f>+VLOOKUP(A60,'2'!$A$4:$BN$74,61,FALSE)</f>
        <v>30.12</v>
      </c>
      <c r="N60" s="58">
        <f>+VLOOKUP(A60,'2'!$A$4:$BN$74,66,FALSE)</f>
        <v>31.19</v>
      </c>
      <c r="O60" s="59">
        <f t="shared" ref="O60:O73" si="12">+C60+D60+E60+F60+G60+H60+I60+J60+K60+L60+M60+N60</f>
        <v>277.07</v>
      </c>
      <c r="P60" s="38">
        <f t="shared" si="3"/>
        <v>277.07</v>
      </c>
    </row>
    <row r="61" spans="1:16" x14ac:dyDescent="0.25">
      <c r="A61" s="87" t="s">
        <v>75</v>
      </c>
      <c r="B61" s="18"/>
      <c r="C61" s="65">
        <f>VLOOKUP(A61,'2'!$A$4:$BN$74,7,FALSE)</f>
        <v>37.840000000000003</v>
      </c>
      <c r="D61" s="65">
        <f>+VLOOKUP(A61,'2'!$A$4:$BN$74,12,FALSE)</f>
        <v>42.25</v>
      </c>
      <c r="E61" s="65">
        <f>+VLOOKUP(A61,'2'!$A$4:$BN$74,18,FALSE)</f>
        <v>31.029999999999998</v>
      </c>
      <c r="F61" s="65">
        <f>+VLOOKUP(A61,'2'!$A$4:$BN$74,23,FALSE)</f>
        <v>28.87</v>
      </c>
      <c r="G61" s="65">
        <f>+VLOOKUP(A61,'2'!$A$4:$BN$74,28,FALSE)</f>
        <v>39.21</v>
      </c>
      <c r="H61" s="65">
        <f>+VLOOKUP(A61,'2'!$A$4:$BN$74,34,FALSE)</f>
        <v>39.260000000000005</v>
      </c>
      <c r="I61" s="65">
        <f>+VLOOKUP(A61,'2'!$A$4:$BN$74,39,FALSE)</f>
        <v>23.55</v>
      </c>
      <c r="J61" s="65">
        <f>+VLOOKUP(A61,'2'!$A$4:$BN$74,45,FALSE)</f>
        <v>24.01</v>
      </c>
      <c r="K61" s="65">
        <f>+VLOOKUP(A61,'2'!$A$4:$BN$746,50,FALSE)</f>
        <v>50.64</v>
      </c>
      <c r="L61" s="65">
        <f>+VLOOKUP(A61,'2'!$A$4:$BN$74,55,FALSE)</f>
        <v>20.020000000000003</v>
      </c>
      <c r="M61" s="65">
        <f>+VLOOKUP(A61,'2'!$A$4:$BN$74,61,FALSE)</f>
        <v>15.45</v>
      </c>
      <c r="N61" s="65">
        <f>+VLOOKUP(A61,'2'!$A$4:$BN$74,66,FALSE)</f>
        <v>20.759999999999998</v>
      </c>
      <c r="O61" s="60">
        <f t="shared" si="12"/>
        <v>372.89</v>
      </c>
      <c r="P61" s="38">
        <f t="shared" si="3"/>
        <v>372.89</v>
      </c>
    </row>
    <row r="62" spans="1:16" x14ac:dyDescent="0.25">
      <c r="A62" s="87" t="s">
        <v>76</v>
      </c>
      <c r="B62" s="18"/>
      <c r="C62" s="65">
        <f>VLOOKUP(A62,'2'!$A$4:$BN$74,7,FALSE)</f>
        <v>8.18</v>
      </c>
      <c r="D62" s="65">
        <f>+VLOOKUP(A62,'2'!$A$4:$BN$74,12,FALSE)</f>
        <v>11.56</v>
      </c>
      <c r="E62" s="65">
        <f>+VLOOKUP(A62,'2'!$A$4:$BN$74,18,FALSE)</f>
        <v>2.52</v>
      </c>
      <c r="F62" s="65">
        <f>+VLOOKUP(A62,'2'!$A$4:$BN$74,23,FALSE)</f>
        <v>0</v>
      </c>
      <c r="G62" s="65">
        <f>+VLOOKUP(A62,'2'!$A$4:$BN$74,28,FALSE)</f>
        <v>0</v>
      </c>
      <c r="H62" s="65">
        <f>+VLOOKUP(A62,'2'!$A$4:$BN$74,34,FALSE)</f>
        <v>0</v>
      </c>
      <c r="I62" s="65">
        <f>+VLOOKUP(A62,'2'!$A$4:$BN$74,39,FALSE)</f>
        <v>0</v>
      </c>
      <c r="J62" s="65">
        <f>+VLOOKUP(A62,'2'!$A$4:$BN$74,45,FALSE)</f>
        <v>0</v>
      </c>
      <c r="K62" s="65">
        <f>+VLOOKUP(A62,'2'!$A$4:$BN$746,50,FALSE)</f>
        <v>0</v>
      </c>
      <c r="L62" s="65">
        <f>+VLOOKUP(A62,'2'!$A$4:$BN$74,55,FALSE)</f>
        <v>0</v>
      </c>
      <c r="M62" s="65">
        <f>+VLOOKUP(A62,'2'!$A$4:$BN$74,61,FALSE)</f>
        <v>0</v>
      </c>
      <c r="N62" s="65">
        <f>+VLOOKUP(A62,'2'!$A$4:$BN$74,66,FALSE)</f>
        <v>0</v>
      </c>
      <c r="O62" s="60">
        <f t="shared" si="12"/>
        <v>22.26</v>
      </c>
      <c r="P62" s="38">
        <f t="shared" si="3"/>
        <v>22.26</v>
      </c>
    </row>
    <row r="63" spans="1:16" x14ac:dyDescent="0.25">
      <c r="A63" s="87" t="s">
        <v>77</v>
      </c>
      <c r="B63" s="13"/>
      <c r="C63" s="65">
        <f>VLOOKUP(A63,'2'!$A$4:$BN$74,7,FALSE)</f>
        <v>5</v>
      </c>
      <c r="D63" s="65">
        <f>+VLOOKUP(A63,'2'!$A$4:$BN$74,12,FALSE)</f>
        <v>28</v>
      </c>
      <c r="E63" s="65">
        <f>+VLOOKUP(A63,'2'!$A$4:$BN$74,18,FALSE)</f>
        <v>14.5</v>
      </c>
      <c r="F63" s="65">
        <f>+VLOOKUP(A63,'2'!$A$4:$BN$74,23,FALSE)</f>
        <v>12.48</v>
      </c>
      <c r="G63" s="65">
        <f>+VLOOKUP(A63,'2'!$A$4:$BN$74,28,FALSE)</f>
        <v>14.96</v>
      </c>
      <c r="H63" s="65">
        <f>+VLOOKUP(A63,'2'!$A$4:$BN$74,34,FALSE)</f>
        <v>14.900000000000002</v>
      </c>
      <c r="I63" s="65">
        <f>+VLOOKUP(A63,'2'!$A$4:$BN$74,39,FALSE)</f>
        <v>7.42</v>
      </c>
      <c r="J63" s="65">
        <f>+VLOOKUP(A63,'2'!$A$4:$BN$74,45,FALSE)</f>
        <v>12.350000000000001</v>
      </c>
      <c r="K63" s="65">
        <f>+VLOOKUP(A63,'2'!$A$4:$BN$746,50,FALSE)</f>
        <v>7.41</v>
      </c>
      <c r="L63" s="65">
        <f>+VLOOKUP(A63,'2'!$A$4:$BN$74,55,FALSE)</f>
        <v>7.41</v>
      </c>
      <c r="M63" s="65">
        <f>+VLOOKUP(A63,'2'!$A$4:$BN$74,61,FALSE)</f>
        <v>12.350000000000001</v>
      </c>
      <c r="N63" s="65">
        <f>+VLOOKUP(A63,'2'!$A$4:$BN$74,66,FALSE)</f>
        <v>10.33</v>
      </c>
      <c r="O63" s="60">
        <f t="shared" si="12"/>
        <v>147.11000000000001</v>
      </c>
      <c r="P63" s="38">
        <f t="shared" si="3"/>
        <v>147.11000000000001</v>
      </c>
    </row>
    <row r="64" spans="1:16" x14ac:dyDescent="0.25">
      <c r="A64" s="87" t="s">
        <v>78</v>
      </c>
      <c r="B64" s="13"/>
      <c r="C64" s="65">
        <f>VLOOKUP(A64,'2'!$A$4:$BN$74,7,FALSE)</f>
        <v>0</v>
      </c>
      <c r="D64" s="65">
        <f>+VLOOKUP(A64,'2'!$A$4:$BN$74,12,FALSE)</f>
        <v>0</v>
      </c>
      <c r="E64" s="65">
        <f>+VLOOKUP(A64,'2'!$A$4:$BN$74,18,FALSE)</f>
        <v>0</v>
      </c>
      <c r="F64" s="65">
        <f>+VLOOKUP(A64,'2'!$A$4:$BN$74,23,FALSE)</f>
        <v>0</v>
      </c>
      <c r="G64" s="65">
        <f>+VLOOKUP(A64,'2'!$A$4:$BN$74,28,FALSE)</f>
        <v>0</v>
      </c>
      <c r="H64" s="65">
        <f>+VLOOKUP(A64,'2'!$A$4:$BN$74,34,FALSE)</f>
        <v>0</v>
      </c>
      <c r="I64" s="65">
        <f>+VLOOKUP(A64,'2'!$A$4:$BN$74,39,FALSE)</f>
        <v>0</v>
      </c>
      <c r="J64" s="65">
        <f>+VLOOKUP(A64,'2'!$A$4:$BN$74,45,FALSE)</f>
        <v>0</v>
      </c>
      <c r="K64" s="65">
        <f>+VLOOKUP(A64,'2'!$A$4:$BN$746,50,FALSE)</f>
        <v>0</v>
      </c>
      <c r="L64" s="65">
        <f>+VLOOKUP(A64,'2'!$A$4:$BN$74,55,FALSE)</f>
        <v>0</v>
      </c>
      <c r="M64" s="65">
        <f>+VLOOKUP(A64,'2'!$A$4:$BN$74,61,FALSE)</f>
        <v>0</v>
      </c>
      <c r="N64" s="65">
        <f>+VLOOKUP(A64,'2'!$A$4:$BN$74,66,FALSE)</f>
        <v>0</v>
      </c>
      <c r="O64" s="60">
        <f t="shared" si="12"/>
        <v>0</v>
      </c>
      <c r="P64" s="38">
        <f t="shared" si="3"/>
        <v>0</v>
      </c>
    </row>
    <row r="65" spans="1:16" x14ac:dyDescent="0.25">
      <c r="A65" s="87" t="s">
        <v>79</v>
      </c>
      <c r="B65" s="13"/>
      <c r="C65" s="65">
        <f>VLOOKUP(A65,'2'!$A$4:$BN$74,7,FALSE)</f>
        <v>0</v>
      </c>
      <c r="D65" s="65">
        <f>+VLOOKUP(A65,'2'!$A$4:$BN$74,12,FALSE)</f>
        <v>0</v>
      </c>
      <c r="E65" s="65">
        <f>+VLOOKUP(A65,'2'!$A$4:$BN$74,18,FALSE)</f>
        <v>0</v>
      </c>
      <c r="F65" s="65">
        <f>+VLOOKUP(A65,'2'!$A$4:$BN$74,23,FALSE)</f>
        <v>0</v>
      </c>
      <c r="G65" s="65">
        <f>+VLOOKUP(A65,'2'!$A$4:$BN$74,28,FALSE)</f>
        <v>0</v>
      </c>
      <c r="H65" s="65">
        <f>+VLOOKUP(A65,'2'!$A$4:$BN$74,34,FALSE)</f>
        <v>0</v>
      </c>
      <c r="I65" s="65">
        <f>+VLOOKUP(A65,'2'!$A$4:$BN$74,39,FALSE)</f>
        <v>0</v>
      </c>
      <c r="J65" s="65">
        <f>+VLOOKUP(A65,'2'!$A$4:$BN$74,45,FALSE)</f>
        <v>0</v>
      </c>
      <c r="K65" s="65">
        <f>+VLOOKUP(A65,'2'!$A$4:$BN$746,50,FALSE)</f>
        <v>0</v>
      </c>
      <c r="L65" s="65">
        <f>+VLOOKUP(A65,'2'!$A$4:$BN$74,55,FALSE)</f>
        <v>0</v>
      </c>
      <c r="M65" s="65">
        <f>+VLOOKUP(A65,'2'!$A$4:$BN$74,61,FALSE)</f>
        <v>0</v>
      </c>
      <c r="N65" s="65">
        <f>+VLOOKUP(A65,'2'!$A$4:$BN$74,66,FALSE)</f>
        <v>0</v>
      </c>
      <c r="O65" s="60">
        <f t="shared" si="12"/>
        <v>0</v>
      </c>
      <c r="P65" s="38">
        <f t="shared" si="3"/>
        <v>0</v>
      </c>
    </row>
    <row r="66" spans="1:16" x14ac:dyDescent="0.25">
      <c r="A66" s="87" t="s">
        <v>80</v>
      </c>
      <c r="B66" s="13"/>
      <c r="C66" s="65">
        <f>VLOOKUP(A66,'2'!$A$4:$BN$74,7,FALSE)</f>
        <v>341.19</v>
      </c>
      <c r="D66" s="65">
        <f>+VLOOKUP(A66,'2'!$A$4:$BN$74,12,FALSE)</f>
        <v>254.96999999999997</v>
      </c>
      <c r="E66" s="65">
        <f>+VLOOKUP(A66,'2'!$A$4:$BN$74,18,FALSE)</f>
        <v>243.38</v>
      </c>
      <c r="F66" s="65">
        <f>+VLOOKUP(A66,'2'!$A$4:$BN$74,23,FALSE)</f>
        <v>164.45</v>
      </c>
      <c r="G66" s="65">
        <f>+VLOOKUP(A66,'2'!$A$4:$BN$74,28,FALSE)</f>
        <v>188.41</v>
      </c>
      <c r="H66" s="65">
        <f>+VLOOKUP(A66,'2'!$A$4:$BN$74,34,FALSE)</f>
        <v>201.31</v>
      </c>
      <c r="I66" s="65">
        <f>+VLOOKUP(A66,'2'!$A$4:$BN$74,39,FALSE)</f>
        <v>142.81</v>
      </c>
      <c r="J66" s="65">
        <f>+VLOOKUP(A66,'2'!$A$4:$BN$74,45,FALSE)</f>
        <v>188.41</v>
      </c>
      <c r="K66" s="65">
        <f>+VLOOKUP(A66,'2'!$A$4:$BN$746,50,FALSE)</f>
        <v>218.31</v>
      </c>
      <c r="L66" s="65">
        <f>+VLOOKUP(A66,'2'!$A$4:$BN$74,55,FALSE)</f>
        <v>178.47</v>
      </c>
      <c r="M66" s="65">
        <f>+VLOOKUP(A66,'2'!$A$4:$BN$74,61,FALSE)</f>
        <v>176.51999999999998</v>
      </c>
      <c r="N66" s="65">
        <f>+VLOOKUP(A66,'2'!$A$4:$BN$74,66,FALSE)</f>
        <v>161.31</v>
      </c>
      <c r="O66" s="60">
        <f t="shared" si="12"/>
        <v>2459.54</v>
      </c>
      <c r="P66" s="38">
        <f t="shared" si="3"/>
        <v>2459.54</v>
      </c>
    </row>
    <row r="67" spans="1:16" x14ac:dyDescent="0.25">
      <c r="A67" s="87" t="s">
        <v>81</v>
      </c>
      <c r="B67" s="13"/>
      <c r="C67" s="65">
        <f>VLOOKUP(A67,'2'!$A$4:$BN$74,7,FALSE)</f>
        <v>0</v>
      </c>
      <c r="D67" s="65">
        <f>+VLOOKUP(A67,'2'!$A$4:$BN$74,12,FALSE)</f>
        <v>0</v>
      </c>
      <c r="E67" s="65">
        <f>+VLOOKUP(A67,'2'!$A$4:$BN$74,18,FALSE)</f>
        <v>0</v>
      </c>
      <c r="F67" s="65">
        <f>+VLOOKUP(A67,'2'!$A$4:$BN$74,23,FALSE)</f>
        <v>0</v>
      </c>
      <c r="G67" s="65">
        <f>+VLOOKUP(A67,'2'!$A$4:$BN$74,28,FALSE)</f>
        <v>0</v>
      </c>
      <c r="H67" s="65">
        <f>+VLOOKUP(A67,'2'!$A$4:$BN$74,34,FALSE)</f>
        <v>0</v>
      </c>
      <c r="I67" s="65">
        <f>+VLOOKUP(A67,'2'!$A$4:$BN$74,39,FALSE)</f>
        <v>0</v>
      </c>
      <c r="J67" s="65">
        <f>+VLOOKUP(A67,'2'!$A$4:$BN$74,45,FALSE)</f>
        <v>0</v>
      </c>
      <c r="K67" s="65">
        <f>+VLOOKUP(A67,'2'!$A$4:$BN$746,50,FALSE)</f>
        <v>0</v>
      </c>
      <c r="L67" s="65">
        <f>+VLOOKUP(A67,'2'!$A$4:$BN$74,55,FALSE)</f>
        <v>0</v>
      </c>
      <c r="M67" s="65">
        <f>+VLOOKUP(A67,'2'!$A$4:$BN$74,61,FALSE)</f>
        <v>0</v>
      </c>
      <c r="N67" s="65">
        <f>+VLOOKUP(A67,'2'!$A$4:$BN$74,66,FALSE)</f>
        <v>0</v>
      </c>
      <c r="O67" s="60">
        <f t="shared" si="12"/>
        <v>0</v>
      </c>
      <c r="P67" s="38">
        <f t="shared" si="3"/>
        <v>0</v>
      </c>
    </row>
    <row r="68" spans="1:16" x14ac:dyDescent="0.25">
      <c r="A68" s="87" t="s">
        <v>82</v>
      </c>
      <c r="B68" s="13"/>
      <c r="C68" s="65">
        <f>VLOOKUP(A68,'2'!$A$4:$BN$74,7,FALSE)</f>
        <v>0</v>
      </c>
      <c r="D68" s="65">
        <f>+VLOOKUP(A68,'2'!$A$4:$BN$74,12,FALSE)</f>
        <v>0</v>
      </c>
      <c r="E68" s="65">
        <f>+VLOOKUP(A68,'2'!$A$4:$BN$74,18,FALSE)</f>
        <v>0</v>
      </c>
      <c r="F68" s="65">
        <f>+VLOOKUP(A68,'2'!$A$4:$BN$74,23,FALSE)</f>
        <v>0</v>
      </c>
      <c r="G68" s="65">
        <f>+VLOOKUP(A68,'2'!$A$4:$BN$74,28,FALSE)</f>
        <v>0</v>
      </c>
      <c r="H68" s="65">
        <f>+VLOOKUP(A68,'2'!$A$4:$BN$74,34,FALSE)</f>
        <v>0</v>
      </c>
      <c r="I68" s="65">
        <f>+VLOOKUP(A68,'2'!$A$4:$BN$74,39,FALSE)</f>
        <v>0</v>
      </c>
      <c r="J68" s="65">
        <f>+VLOOKUP(A68,'2'!$A$4:$BN$74,45,FALSE)</f>
        <v>0</v>
      </c>
      <c r="K68" s="65">
        <f>+VLOOKUP(A68,'2'!$A$4:$BN$746,50,FALSE)</f>
        <v>0</v>
      </c>
      <c r="L68" s="65">
        <f>+VLOOKUP(A68,'2'!$A$4:$BN$74,55,FALSE)</f>
        <v>0</v>
      </c>
      <c r="M68" s="65">
        <f>+VLOOKUP(A68,'2'!$A$4:$BN$74,61,FALSE)</f>
        <v>0</v>
      </c>
      <c r="N68" s="65">
        <f>+VLOOKUP(A68,'2'!$A$4:$BN$74,66,FALSE)</f>
        <v>0</v>
      </c>
      <c r="O68" s="60">
        <f t="shared" si="12"/>
        <v>0</v>
      </c>
      <c r="P68" s="38">
        <f t="shared" si="3"/>
        <v>0</v>
      </c>
    </row>
    <row r="69" spans="1:16" x14ac:dyDescent="0.25">
      <c r="A69" s="87" t="s">
        <v>83</v>
      </c>
      <c r="B69" s="18"/>
      <c r="C69" s="69">
        <f>VLOOKUP(A69,'2'!$A$4:$BN$74,7,FALSE)</f>
        <v>18.29</v>
      </c>
      <c r="D69" s="69">
        <f>+VLOOKUP(A69,'2'!$A$4:$BN$74,12,FALSE)</f>
        <v>18.72</v>
      </c>
      <c r="E69" s="69">
        <f>+VLOOKUP(A69,'2'!$A$4:$BN$74,18,FALSE)</f>
        <v>18.72</v>
      </c>
      <c r="F69" s="69">
        <f>+VLOOKUP(A69,'2'!$A$4:$BN$74,23,FALSE)</f>
        <v>18.72</v>
      </c>
      <c r="G69" s="69">
        <f>+VLOOKUP(A69,'2'!$A$4:$BN$74,28,FALSE)</f>
        <v>18.72</v>
      </c>
      <c r="H69" s="69">
        <f>+VLOOKUP(A69,'2'!$A$4:$BN$74,34,FALSE)</f>
        <v>37.1</v>
      </c>
      <c r="I69" s="69">
        <f>+VLOOKUP(A69,'2'!$A$4:$BN$74,39,FALSE)</f>
        <v>0</v>
      </c>
      <c r="J69" s="69">
        <f>+VLOOKUP(A69,'2'!$A$4:$BN$74,45,FALSE)</f>
        <v>37.019999999999996</v>
      </c>
      <c r="K69" s="69">
        <f>+VLOOKUP(A69,'2'!$A$4:$BN$746,50,FALSE)</f>
        <v>18.52</v>
      </c>
      <c r="L69" s="69">
        <f>+VLOOKUP(A69,'2'!$A$4:$BN$74,55,FALSE)</f>
        <v>18.52</v>
      </c>
      <c r="M69" s="69">
        <f>+VLOOKUP(A69,'2'!$A$4:$BN$74,61,FALSE)</f>
        <v>18.54</v>
      </c>
      <c r="N69" s="69">
        <f>+VLOOKUP(A69,'2'!$A$4:$BN$74,66,FALSE)</f>
        <v>0</v>
      </c>
      <c r="O69" s="60">
        <f t="shared" si="12"/>
        <v>222.86999999999998</v>
      </c>
      <c r="P69" s="38">
        <f t="shared" si="3"/>
        <v>222.86999999999998</v>
      </c>
    </row>
    <row r="70" spans="1:16" x14ac:dyDescent="0.25">
      <c r="A70" s="87" t="s">
        <v>84</v>
      </c>
      <c r="B70" s="18"/>
      <c r="C70" s="69">
        <f>VLOOKUP(A70,'2'!$A$4:$BN$74,7,FALSE)</f>
        <v>0</v>
      </c>
      <c r="D70" s="69">
        <f>+VLOOKUP(A70,'2'!$A$4:$BN$74,12,FALSE)</f>
        <v>0</v>
      </c>
      <c r="E70" s="69">
        <f>+VLOOKUP(A70,'2'!$A$4:$BN$74,18,FALSE)</f>
        <v>7.33</v>
      </c>
      <c r="F70" s="69">
        <f>+VLOOKUP(A70,'2'!$A$4:$BN$74,23,FALSE)</f>
        <v>0</v>
      </c>
      <c r="G70" s="69">
        <f>+VLOOKUP(A70,'2'!$A$4:$BN$74,28,FALSE)</f>
        <v>15.68</v>
      </c>
      <c r="H70" s="69">
        <f>+VLOOKUP(A70,'2'!$A$4:$BN$74,34,FALSE)</f>
        <v>0</v>
      </c>
      <c r="I70" s="69">
        <f>+VLOOKUP(A70,'2'!$A$4:$BN$74,39,FALSE)</f>
        <v>0</v>
      </c>
      <c r="J70" s="69">
        <f>+VLOOKUP(A70,'2'!$A$4:$BN$74,45,FALSE)</f>
        <v>0</v>
      </c>
      <c r="K70" s="69">
        <f>+VLOOKUP(A70,'2'!$A$4:$BN$746,50,FALSE)</f>
        <v>5.04</v>
      </c>
      <c r="L70" s="69">
        <f>+VLOOKUP(A70,'2'!$A$4:$BN$74,55,FALSE)</f>
        <v>0</v>
      </c>
      <c r="M70" s="69">
        <f>+VLOOKUP(A70,'2'!$A$4:$BN$74,61,FALSE)</f>
        <v>0</v>
      </c>
      <c r="N70" s="69">
        <f>+VLOOKUP(A70,'2'!$A$4:$BN$74,66,FALSE)</f>
        <v>0</v>
      </c>
      <c r="O70" s="60">
        <f t="shared" si="12"/>
        <v>28.049999999999997</v>
      </c>
      <c r="P70" s="38">
        <f t="shared" si="3"/>
        <v>28.049999999999997</v>
      </c>
    </row>
    <row r="71" spans="1:16" x14ac:dyDescent="0.25">
      <c r="A71" s="87" t="s">
        <v>85</v>
      </c>
      <c r="B71" s="18"/>
      <c r="C71" s="69">
        <f>VLOOKUP(A71,'2'!$A$4:$BN$74,7,FALSE)</f>
        <v>0</v>
      </c>
      <c r="D71" s="69">
        <f>+VLOOKUP(A71,'2'!$A$4:$BN$74,12,FALSE)</f>
        <v>0</v>
      </c>
      <c r="E71" s="69">
        <f>+VLOOKUP(A71,'2'!$A$4:$BN$74,18,FALSE)</f>
        <v>18</v>
      </c>
      <c r="F71" s="69">
        <f>+VLOOKUP(A71,'2'!$A$4:$BN$74,23,FALSE)</f>
        <v>0</v>
      </c>
      <c r="G71" s="69">
        <f>+VLOOKUP(A71,'2'!$A$4:$BN$74,28,FALSE)</f>
        <v>0</v>
      </c>
      <c r="H71" s="69">
        <f>+VLOOKUP(A71,'2'!$A$4:$BN$74,34,FALSE)</f>
        <v>3.78</v>
      </c>
      <c r="I71" s="69">
        <f>+VLOOKUP(A71,'2'!$A$4:$BN$74,39,FALSE)</f>
        <v>0</v>
      </c>
      <c r="J71" s="69">
        <f>+VLOOKUP(A71,'2'!$A$4:$BN$74,45,FALSE)</f>
        <v>0</v>
      </c>
      <c r="K71" s="69">
        <f>+VLOOKUP(A71,'2'!$A$4:$BN$746,50,FALSE)</f>
        <v>41.34</v>
      </c>
      <c r="L71" s="69">
        <f>+VLOOKUP(A71,'2'!$A$4:$BN$74,55,FALSE)</f>
        <v>11.04</v>
      </c>
      <c r="M71" s="69">
        <f>+VLOOKUP(A71,'2'!$A$4:$BN$74,61,FALSE)</f>
        <v>0</v>
      </c>
      <c r="N71" s="69">
        <f>+VLOOKUP(A71,'2'!$A$4:$BN$74,66,FALSE)</f>
        <v>0</v>
      </c>
      <c r="O71" s="60">
        <f t="shared" si="12"/>
        <v>74.16</v>
      </c>
      <c r="P71" s="38">
        <f t="shared" si="3"/>
        <v>74.16</v>
      </c>
    </row>
    <row r="72" spans="1:16" x14ac:dyDescent="0.25">
      <c r="A72" s="87" t="s">
        <v>86</v>
      </c>
      <c r="B72" s="18"/>
      <c r="C72" s="65">
        <f>VLOOKUP(A72,'2'!$A$4:$BN$74,7,FALSE)</f>
        <v>34.75</v>
      </c>
      <c r="D72" s="65">
        <f>+VLOOKUP(A72,'2'!$A$4:$BN$74,12,FALSE)</f>
        <v>17.48</v>
      </c>
      <c r="E72" s="65">
        <f>+VLOOKUP(A72,'2'!$A$4:$BN$74,18,FALSE)</f>
        <v>48.68</v>
      </c>
      <c r="F72" s="65">
        <f>+VLOOKUP(A72,'2'!$A$4:$BN$74,23,FALSE)</f>
        <v>17.48</v>
      </c>
      <c r="G72" s="65">
        <f>+VLOOKUP(A72,'2'!$A$4:$BN$74,28,FALSE)</f>
        <v>34.96</v>
      </c>
      <c r="H72" s="65">
        <f>+VLOOKUP(A72,'2'!$A$4:$BN$74,34,FALSE)</f>
        <v>24.759999999999998</v>
      </c>
      <c r="I72" s="65">
        <f>+VLOOKUP(A72,'2'!$A$4:$BN$74,39,FALSE)</f>
        <v>33.369999999999997</v>
      </c>
      <c r="J72" s="65">
        <f>+VLOOKUP(A72,'2'!$A$4:$BN$74,45,FALSE)</f>
        <v>49.349999999999994</v>
      </c>
      <c r="K72" s="65">
        <f>+VLOOKUP(A72,'2'!$A$4:$BN$746,50,FALSE)</f>
        <v>24.68</v>
      </c>
      <c r="L72" s="65">
        <f>+VLOOKUP(A72,'2'!$A$4:$BN$74,55,FALSE)</f>
        <v>28.41</v>
      </c>
      <c r="M72" s="65">
        <f>+VLOOKUP(A72,'2'!$A$4:$BN$74,61,FALSE)</f>
        <v>24.990000000000002</v>
      </c>
      <c r="N72" s="65">
        <f>+VLOOKUP(A72,'2'!$A$4:$BN$74,66,FALSE)</f>
        <v>7.8900000000000006</v>
      </c>
      <c r="O72" s="60">
        <f t="shared" si="12"/>
        <v>346.8</v>
      </c>
      <c r="P72" s="38">
        <f t="shared" si="3"/>
        <v>346.8</v>
      </c>
    </row>
    <row r="73" spans="1:16" ht="15.75" thickBot="1" x14ac:dyDescent="0.3">
      <c r="A73" s="87" t="s">
        <v>87</v>
      </c>
      <c r="B73" s="41"/>
      <c r="C73" s="66">
        <f>VLOOKUP(A73,'2'!$A$4:$BN$74,7,FALSE)</f>
        <v>0</v>
      </c>
      <c r="D73" s="66">
        <f>+VLOOKUP(A73,'2'!$A$4:$BN$74,12,FALSE)</f>
        <v>0</v>
      </c>
      <c r="E73" s="66">
        <f>+VLOOKUP(A73,'2'!$A$4:$BN$74,18,FALSE)</f>
        <v>45.53</v>
      </c>
      <c r="F73" s="66">
        <f>+VLOOKUP(A73,'2'!$A$4:$BN$74,23,FALSE)</f>
        <v>0</v>
      </c>
      <c r="G73" s="66">
        <f>+VLOOKUP(A73,'2'!$A$4:$BN$74,28,FALSE)</f>
        <v>29.26</v>
      </c>
      <c r="H73" s="66">
        <f>+VLOOKUP(A73,'2'!$A$4:$BN$74,34,FALSE)</f>
        <v>0</v>
      </c>
      <c r="I73" s="66">
        <f>+VLOOKUP(A73,'2'!$A$4:$BN$74,39,FALSE)</f>
        <v>0</v>
      </c>
      <c r="J73" s="66">
        <f>+VLOOKUP(A73,'2'!$A$4:$BN$74,45,FALSE)</f>
        <v>0</v>
      </c>
      <c r="K73" s="66">
        <f>+VLOOKUP(A73,'2'!$A$4:$BN$746,50,FALSE)</f>
        <v>0</v>
      </c>
      <c r="L73" s="66">
        <f>+VLOOKUP(A73,'2'!$A$4:$BN$74,55,FALSE)</f>
        <v>27.23</v>
      </c>
      <c r="M73" s="66">
        <f>+VLOOKUP(A73,'2'!$A$4:$BN$74,61,FALSE)</f>
        <v>0</v>
      </c>
      <c r="N73" s="66">
        <f>+VLOOKUP(A73,'2'!$A$4:$BN$74,66,FALSE)</f>
        <v>0</v>
      </c>
      <c r="O73" s="79">
        <f t="shared" si="12"/>
        <v>102.02000000000001</v>
      </c>
      <c r="P73" s="38">
        <f t="shared" si="3"/>
        <v>102.02000000000001</v>
      </c>
    </row>
    <row r="74" spans="1:16" ht="16.5" thickTop="1" thickBot="1" x14ac:dyDescent="0.3">
      <c r="A74" s="88" t="s">
        <v>88</v>
      </c>
      <c r="B74" s="44"/>
      <c r="C74" s="67">
        <f t="shared" ref="C74:O74" si="13">SUM(C60:C73)</f>
        <v>482.24000000000007</v>
      </c>
      <c r="D74" s="67">
        <f t="shared" si="13"/>
        <v>402.85</v>
      </c>
      <c r="E74" s="67">
        <f t="shared" si="13"/>
        <v>449.93999999999994</v>
      </c>
      <c r="F74" s="67">
        <f t="shared" si="13"/>
        <v>241.99999999999997</v>
      </c>
      <c r="G74" s="67">
        <f t="shared" si="13"/>
        <v>374.65999999999997</v>
      </c>
      <c r="H74" s="67">
        <f t="shared" si="13"/>
        <v>362.39</v>
      </c>
      <c r="I74" s="67">
        <f t="shared" si="13"/>
        <v>207.15</v>
      </c>
      <c r="J74" s="67">
        <f t="shared" si="13"/>
        <v>343.81999999999994</v>
      </c>
      <c r="K74" s="67">
        <f t="shared" si="13"/>
        <v>365.94</v>
      </c>
      <c r="L74" s="67">
        <f t="shared" si="13"/>
        <v>312.33000000000004</v>
      </c>
      <c r="M74" s="67">
        <f t="shared" si="13"/>
        <v>277.96999999999997</v>
      </c>
      <c r="N74" s="67">
        <f t="shared" si="13"/>
        <v>231.48000000000002</v>
      </c>
      <c r="O74" s="80">
        <f t="shared" si="13"/>
        <v>4052.77</v>
      </c>
    </row>
    <row r="75" spans="1:16" ht="16.5" thickTop="1" thickBot="1" x14ac:dyDescent="0.3">
      <c r="A75" s="91" t="s">
        <v>14</v>
      </c>
      <c r="B75" s="92"/>
      <c r="C75" s="61">
        <f t="shared" ref="C75:O75" si="14">+C7+C28+C37+C45+C49+C59+C74</f>
        <v>10331.019999999999</v>
      </c>
      <c r="D75" s="61">
        <f t="shared" si="14"/>
        <v>10279.790000000001</v>
      </c>
      <c r="E75" s="61">
        <f t="shared" si="14"/>
        <v>14198.7</v>
      </c>
      <c r="F75" s="61">
        <f t="shared" si="14"/>
        <v>10968.34</v>
      </c>
      <c r="G75" s="61">
        <f t="shared" si="14"/>
        <v>10762.170000000002</v>
      </c>
      <c r="H75" s="61">
        <f t="shared" si="14"/>
        <v>12705.14</v>
      </c>
      <c r="I75" s="61">
        <f t="shared" si="14"/>
        <v>10534.98</v>
      </c>
      <c r="J75" s="61">
        <f t="shared" si="14"/>
        <v>12535.32</v>
      </c>
      <c r="K75" s="61">
        <f t="shared" si="14"/>
        <v>10336.859999999999</v>
      </c>
      <c r="L75" s="61">
        <f t="shared" si="14"/>
        <v>11417.010000000002</v>
      </c>
      <c r="M75" s="61">
        <f t="shared" si="14"/>
        <v>13947.92</v>
      </c>
      <c r="N75" s="61">
        <f t="shared" si="14"/>
        <v>12630.949999999997</v>
      </c>
      <c r="O75" s="81">
        <f t="shared" si="14"/>
        <v>140648.20000000001</v>
      </c>
      <c r="P75" s="38">
        <f>SUM(P4:P74)</f>
        <v>140648.19999999998</v>
      </c>
    </row>
    <row r="76" spans="1:16" x14ac:dyDescent="0.25">
      <c r="O76" s="38">
        <f>+C75+D75+E75+F75+G75+H75+I75+J75+K75+L75+M75+N75</f>
        <v>140648.19999999998</v>
      </c>
    </row>
  </sheetData>
  <protectedRanges>
    <protectedRange password="C1D4" sqref="A75:B75 B22:B24 B26 B63:B68 A2:B8 K2 B9:B19 A9:A27 A29:B38 B42:B44 B39:B40 A39:A44 A45:B60 A61:A73" name="Plage1"/>
  </protectedRanges>
  <mergeCells count="3">
    <mergeCell ref="A2:A3"/>
    <mergeCell ref="B2:B3"/>
    <mergeCell ref="C2:N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E27" sqref="E27"/>
    </sheetView>
  </sheetViews>
  <sheetFormatPr baseColWidth="10" defaultRowHeight="15" x14ac:dyDescent="0.25"/>
  <cols>
    <col min="1" max="1" width="21.140625" customWidth="1"/>
    <col min="2" max="2" width="15.5703125" bestFit="1" customWidth="1"/>
    <col min="3" max="3" width="12.85546875" bestFit="1" customWidth="1"/>
    <col min="4" max="4" width="2.42578125" customWidth="1"/>
    <col min="5" max="5" width="12.85546875" bestFit="1" customWidth="1"/>
    <col min="6" max="6" width="23.85546875" bestFit="1" customWidth="1"/>
  </cols>
  <sheetData>
    <row r="1" spans="1:6" x14ac:dyDescent="0.25">
      <c r="A1" s="31"/>
      <c r="B1" s="32"/>
      <c r="C1" s="32"/>
    </row>
    <row r="2" spans="1:6" ht="15.75" thickBot="1" x14ac:dyDescent="0.3">
      <c r="A2" s="33"/>
      <c r="B2" s="33"/>
      <c r="C2" s="32"/>
    </row>
    <row r="3" spans="1:6" ht="15.75" thickBot="1" x14ac:dyDescent="0.3">
      <c r="A3" s="34" t="s">
        <v>15</v>
      </c>
      <c r="B3" s="35" t="s">
        <v>16</v>
      </c>
      <c r="C3" s="97" t="s">
        <v>17</v>
      </c>
      <c r="D3" s="36"/>
      <c r="E3" s="98" t="s">
        <v>89</v>
      </c>
      <c r="F3" s="98" t="s">
        <v>90</v>
      </c>
    </row>
    <row r="4" spans="1:6" x14ac:dyDescent="0.25">
      <c r="A4" s="37" t="s">
        <v>2</v>
      </c>
      <c r="B4" s="59">
        <f>+'1'!G17+'2'!G75</f>
        <v>20692.91</v>
      </c>
      <c r="C4" s="38">
        <f>+'1 - Mensuel'!C17+'2 - Mensuel'!C75</f>
        <v>20692.91</v>
      </c>
      <c r="D4" s="38"/>
      <c r="E4" s="82">
        <f>'1 - Mensuel'!C17+'2 - Mensuel'!C7+'2 - Mensuel'!C28+'2 - Mensuel'!C37+'2 - Mensuel'!C45+'2 - Mensuel'!C49+'2 - Mensuel'!C59</f>
        <v>20210.670000000002</v>
      </c>
      <c r="F4" s="38"/>
    </row>
    <row r="5" spans="1:6" x14ac:dyDescent="0.25">
      <c r="A5" s="39" t="s">
        <v>3</v>
      </c>
      <c r="B5" s="60">
        <f>+'1'!L17+'2'!L75</f>
        <v>21020.190000000002</v>
      </c>
      <c r="C5" s="38">
        <f>+'1 - Mensuel'!D17+'2 - Mensuel'!D75</f>
        <v>21020.190000000002</v>
      </c>
      <c r="D5" s="38"/>
      <c r="E5" s="82">
        <f>'1 - Mensuel'!D17+'2 - Mensuel'!D7+'2 - Mensuel'!D28+'2 - Mensuel'!D37+'2 - Mensuel'!D45+'2 - Mensuel'!D49+'2 - Mensuel'!D59</f>
        <v>20617.340000000004</v>
      </c>
      <c r="F5" s="38"/>
    </row>
    <row r="6" spans="1:6" x14ac:dyDescent="0.25">
      <c r="A6" s="39" t="s">
        <v>4</v>
      </c>
      <c r="B6" s="60">
        <f>+'1'!R17+'2'!R75</f>
        <v>26723.03</v>
      </c>
      <c r="C6" s="38">
        <f>+'1 - Mensuel'!E17+'2 - Mensuel'!E75</f>
        <v>26723.03</v>
      </c>
      <c r="D6" s="38"/>
      <c r="E6" s="82">
        <f>'1 - Mensuel'!E17+'2 - Mensuel'!E7+'2 - Mensuel'!E28+'2 - Mensuel'!E37+'2 - Mensuel'!E45+'2 - Mensuel'!E49+'2 - Mensuel'!E59</f>
        <v>26273.09</v>
      </c>
      <c r="F6" s="38"/>
    </row>
    <row r="7" spans="1:6" x14ac:dyDescent="0.25">
      <c r="A7" s="39" t="s">
        <v>5</v>
      </c>
      <c r="B7" s="60">
        <f>+'1'!W17+'2'!W75</f>
        <v>21649.16</v>
      </c>
      <c r="C7" s="38">
        <f>+'1 - Mensuel'!F17+'2 - Mensuel'!F75</f>
        <v>21649.16</v>
      </c>
      <c r="D7" s="38"/>
      <c r="E7" s="82">
        <f>'1 - Mensuel'!F17+'2 - Mensuel'!F7+'2 - Mensuel'!F28+'2 - Mensuel'!F37+'2 - Mensuel'!F45+'2 - Mensuel'!F49+'2 - Mensuel'!F59</f>
        <v>21407.160000000003</v>
      </c>
      <c r="F7" s="38"/>
    </row>
    <row r="8" spans="1:6" x14ac:dyDescent="0.25">
      <c r="A8" s="39" t="s">
        <v>6</v>
      </c>
      <c r="B8" s="60">
        <f>+'1'!AB17+'2'!AB75</f>
        <v>22317.310000000005</v>
      </c>
      <c r="C8" s="38">
        <f>+'1 - Mensuel'!G17+'2 - Mensuel'!G75</f>
        <v>22317.310000000005</v>
      </c>
      <c r="D8" s="38"/>
      <c r="E8" s="82">
        <f>'1 - Mensuel'!G17+'2 - Mensuel'!G7+'2 - Mensuel'!G28+'2 - Mensuel'!G37+'2 - Mensuel'!G45+'2 - Mensuel'!G49+'2 - Mensuel'!G59</f>
        <v>21942.65</v>
      </c>
      <c r="F8" s="38"/>
    </row>
    <row r="9" spans="1:6" x14ac:dyDescent="0.25">
      <c r="A9" s="39" t="s">
        <v>7</v>
      </c>
      <c r="B9" s="60">
        <f>+'1'!AH17+'2'!AH75</f>
        <v>26665.08</v>
      </c>
      <c r="C9" s="38">
        <f>+'1 - Mensuel'!H17+'2 - Mensuel'!H75</f>
        <v>26665.08</v>
      </c>
      <c r="D9" s="38"/>
      <c r="E9" s="82">
        <f>'1 - Mensuel'!H17+'2 - Mensuel'!H7+'2 - Mensuel'!H28+'2 - Mensuel'!H37+'2 - Mensuel'!H45+'2 - Mensuel'!H49+'2 - Mensuel'!H59</f>
        <v>26302.690000000002</v>
      </c>
      <c r="F9" s="38"/>
    </row>
    <row r="10" spans="1:6" x14ac:dyDescent="0.25">
      <c r="A10" s="39" t="s">
        <v>8</v>
      </c>
      <c r="B10" s="60">
        <f>+'1'!AM17+'2'!AM75</f>
        <v>21106.879999999997</v>
      </c>
      <c r="C10" s="38">
        <f>+'1 - Mensuel'!I17+'2 - Mensuel'!I75</f>
        <v>21106.879999999997</v>
      </c>
      <c r="D10" s="38"/>
      <c r="E10" s="82">
        <f>'1 - Mensuel'!I17++'2 - Mensuel'!I7+'2 - Mensuel'!I28+'2 - Mensuel'!I37+'2 - Mensuel'!I45+'2 - Mensuel'!I49+'2 - Mensuel'!I59</f>
        <v>20899.729999999996</v>
      </c>
      <c r="F10" s="38"/>
    </row>
    <row r="11" spans="1:6" x14ac:dyDescent="0.25">
      <c r="A11" s="39" t="s">
        <v>9</v>
      </c>
      <c r="B11" s="60">
        <f>+'1'!AS17+'2'!AS75</f>
        <v>28606.809999999998</v>
      </c>
      <c r="C11" s="38">
        <f>+'1 - Mensuel'!J17+'2 - Mensuel'!J75</f>
        <v>28606.809999999998</v>
      </c>
      <c r="D11" s="38"/>
      <c r="E11" s="82">
        <f>'1 - Mensuel'!J17+'2 - Mensuel'!J7+'2 - Mensuel'!J28+'2 - Mensuel'!J37+'2 - Mensuel'!J45+'2 - Mensuel'!J49+'2 - Mensuel'!J59</f>
        <v>28262.989999999998</v>
      </c>
      <c r="F11" s="38"/>
    </row>
    <row r="12" spans="1:6" x14ac:dyDescent="0.25">
      <c r="A12" s="39" t="s">
        <v>10</v>
      </c>
      <c r="B12" s="60">
        <f>+'1'!AX17+'2'!AX75</f>
        <v>24121.559999999998</v>
      </c>
      <c r="C12" s="38">
        <f>+'1 - Mensuel'!K17+'2 - Mensuel'!K75</f>
        <v>24121.559999999998</v>
      </c>
      <c r="D12" s="38"/>
      <c r="E12" s="82">
        <f>'1 - Mensuel'!K17+'2 - Mensuel'!K7+'2 - Mensuel'!K28+'2 - Mensuel'!K37+'2 - Mensuel'!K45+'2 - Mensuel'!K49+'2 - Mensuel'!K59</f>
        <v>23755.62</v>
      </c>
      <c r="F12" s="38"/>
    </row>
    <row r="13" spans="1:6" x14ac:dyDescent="0.25">
      <c r="A13" s="39" t="s">
        <v>11</v>
      </c>
      <c r="B13" s="60">
        <f>+'1'!BC17+'2'!BC75</f>
        <v>22828.07</v>
      </c>
      <c r="C13" s="38">
        <f>+'1 - Mensuel'!L17+'2 - Mensuel'!L75</f>
        <v>22828.07</v>
      </c>
      <c r="D13" s="38"/>
      <c r="E13" s="82">
        <f>'1 - Mensuel'!L17+'2 - Mensuel'!L7+'2 - Mensuel'!L28+'2 - Mensuel'!L37+'2 - Mensuel'!L45+'2 - Mensuel'!L49+'2 - Mensuel'!L59</f>
        <v>22515.739999999998</v>
      </c>
      <c r="F13" s="38"/>
    </row>
    <row r="14" spans="1:6" x14ac:dyDescent="0.25">
      <c r="A14" s="39" t="s">
        <v>12</v>
      </c>
      <c r="B14" s="60">
        <f>+'1'!BI17+'2'!BI75</f>
        <v>28508.560000000001</v>
      </c>
      <c r="C14" s="38">
        <f>+'1 - Mensuel'!M17+'2 - Mensuel'!M75</f>
        <v>28508.560000000001</v>
      </c>
      <c r="D14" s="38"/>
      <c r="E14" s="82">
        <f>'1 - Mensuel'!M17+'2 - Mensuel'!M7+'2 - Mensuel'!M28+'2 - Mensuel'!M37+'2 - Mensuel'!M45+'2 - Mensuel'!M49+'2 - Mensuel'!M59</f>
        <v>28230.59</v>
      </c>
      <c r="F14" s="38"/>
    </row>
    <row r="15" spans="1:6" ht="15.75" thickBot="1" x14ac:dyDescent="0.3">
      <c r="A15" s="40" t="s">
        <v>13</v>
      </c>
      <c r="B15" s="79">
        <f>+'1'!BN17+'2'!BN75</f>
        <v>24816.03</v>
      </c>
      <c r="C15" s="38">
        <f>+'1 - Mensuel'!N17+'2 - Mensuel'!N75</f>
        <v>24816.03</v>
      </c>
      <c r="D15" s="38"/>
      <c r="E15" s="82">
        <f>'1 - Mensuel'!N17+'2 - Mensuel'!N7+'2 - Mensuel'!N28+'2 - Mensuel'!N37+'2 - Mensuel'!N45+'2 - Mensuel'!N49+'2 - Mensuel'!N59</f>
        <v>24584.55</v>
      </c>
      <c r="F15" s="99">
        <f>'2 - Mensuel'!O74</f>
        <v>4052.77</v>
      </c>
    </row>
    <row r="16" spans="1:6" ht="15.75" thickBot="1" x14ac:dyDescent="0.3">
      <c r="A16" s="34" t="s">
        <v>1</v>
      </c>
      <c r="B16" s="81">
        <f>SUM(B4:B15)</f>
        <v>289055.58999999997</v>
      </c>
      <c r="C16" s="38">
        <f>SUM(C4:C15)</f>
        <v>289055.58999999997</v>
      </c>
      <c r="D16" s="38"/>
      <c r="E16" s="82">
        <f>SUM(E4:E15)</f>
        <v>285002.82</v>
      </c>
      <c r="F16" s="51">
        <f>B16-E16</f>
        <v>4052.7699999999604</v>
      </c>
    </row>
    <row r="17" spans="3:6" x14ac:dyDescent="0.25">
      <c r="C17" s="36" t="str">
        <f>+IF(B16=C16,"OK","Erreur")</f>
        <v>OK</v>
      </c>
      <c r="F17" s="50">
        <f>F16-'2 - Mensuel'!O74</f>
        <v>-3.9563019527122378E-11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2</vt:lpstr>
      <vt:lpstr>1 - Mensuel</vt:lpstr>
      <vt:lpstr>2 - Mensuel</vt:lpstr>
      <vt:lpstr>Total mensuel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2023-02-24T13:28:47Z</dcterms:modified>
</cp:coreProperties>
</file>