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mc:AlternateContent xmlns:mc="http://schemas.openxmlformats.org/markup-compatibility/2006">
    <mc:Choice Requires="x15">
      <x15ac:absPath xmlns:x15ac="http://schemas.microsoft.com/office/spreadsheetml/2010/11/ac" url="H:\Téléchargements\"/>
    </mc:Choice>
  </mc:AlternateContent>
  <xr:revisionPtr revIDLastSave="0" documentId="13_ncr:1_{7B3A6397-7507-41FC-8323-59294842EE6D}" xr6:coauthVersionLast="47" xr6:coauthVersionMax="47" xr10:uidLastSave="{00000000-0000-0000-0000-000000000000}"/>
  <bookViews>
    <workbookView xWindow="-120" yWindow="-120" windowWidth="29040" windowHeight="15720" tabRatio="802" activeTab="1" xr2:uid="{00000000-000D-0000-FFFF-FFFF00000000}"/>
  </bookViews>
  <sheets>
    <sheet name="Détails" sheetId="17" r:id="rId1"/>
    <sheet name="Absences" sheetId="18" r:id="rId2"/>
  </sheets>
  <externalReferences>
    <externalReference r:id="rId3"/>
  </externalReferences>
  <definedNames>
    <definedName name="d">#REF!</definedName>
    <definedName name="f">#REF!</definedName>
    <definedName name="Fériés">[1]Détails!$B$2:$L$16</definedName>
    <definedName name="MesFeries">Détails!$H$2:$H$16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 i="18" l="1"/>
  <c r="K4" i="18"/>
  <c r="L4" i="18"/>
  <c r="M4" i="18"/>
  <c r="N4" i="18"/>
  <c r="J3" i="18"/>
  <c r="K3" i="18"/>
  <c r="L3" i="18"/>
  <c r="M3" i="18"/>
  <c r="N3" i="18"/>
  <c r="K2" i="18"/>
  <c r="L2" i="18"/>
  <c r="M2" i="18"/>
  <c r="N2" i="18"/>
  <c r="J2" i="18"/>
  <c r="C2" i="18"/>
  <c r="E7" i="17" l="1"/>
  <c r="E10" i="18"/>
  <c r="E7" i="18" l="1"/>
  <c r="F15" i="18" l="1"/>
  <c r="F16" i="18"/>
  <c r="F17" i="18"/>
  <c r="F18" i="18"/>
  <c r="F19" i="18"/>
  <c r="F20" i="18"/>
  <c r="F21" i="18"/>
  <c r="F22" i="18"/>
  <c r="F23" i="18"/>
  <c r="F14" i="18"/>
  <c r="C23" i="18"/>
  <c r="C22" i="18"/>
  <c r="C21" i="18"/>
  <c r="C20" i="18"/>
  <c r="C19" i="18"/>
  <c r="C18" i="18"/>
  <c r="C17" i="18"/>
  <c r="C16" i="18"/>
  <c r="C15" i="18"/>
  <c r="C14" i="18"/>
  <c r="E14" i="18" l="1"/>
  <c r="O13" i="17"/>
  <c r="N13" i="17"/>
  <c r="M13" i="17"/>
  <c r="O12" i="17"/>
  <c r="N12" i="17"/>
  <c r="M12" i="17"/>
  <c r="O11" i="17"/>
  <c r="N11" i="17"/>
  <c r="M11" i="17"/>
  <c r="O10" i="17"/>
  <c r="N10" i="17"/>
  <c r="M10" i="17"/>
  <c r="O9" i="17"/>
  <c r="N9" i="17"/>
  <c r="M9" i="17"/>
  <c r="O8" i="17"/>
  <c r="N8" i="17"/>
  <c r="M8" i="17"/>
  <c r="O7" i="17"/>
  <c r="N7" i="17"/>
  <c r="M7" i="17"/>
  <c r="O6" i="17"/>
  <c r="N6" i="17"/>
  <c r="M6" i="17"/>
  <c r="O5" i="17"/>
  <c r="N5" i="17"/>
  <c r="M5" i="17"/>
  <c r="O4" i="17"/>
  <c r="N4" i="17"/>
  <c r="O3" i="17"/>
  <c r="N3" i="17"/>
  <c r="M4" i="17"/>
  <c r="M3" i="17"/>
  <c r="K13" i="17"/>
  <c r="K12" i="17"/>
  <c r="K11" i="17"/>
  <c r="K10" i="17"/>
  <c r="K9" i="17"/>
  <c r="K8" i="17"/>
  <c r="K7" i="17"/>
  <c r="K6" i="17"/>
  <c r="K5" i="17"/>
  <c r="K4" i="17"/>
  <c r="K3" i="17"/>
  <c r="B13" i="17"/>
  <c r="B15" i="17" l="1"/>
  <c r="B3" i="17"/>
  <c r="B2" i="17"/>
  <c r="B4" i="17" l="1"/>
  <c r="B6" i="17"/>
  <c r="E5" i="17"/>
  <c r="O2" i="17" l="1"/>
  <c r="M2" i="17"/>
  <c r="N2" i="17"/>
  <c r="K2" i="17"/>
  <c r="H15" i="17" l="1"/>
  <c r="H14" i="17"/>
  <c r="H13" i="17"/>
  <c r="H11" i="17"/>
  <c r="H7" i="17"/>
  <c r="H6" i="17"/>
  <c r="H4" i="17"/>
  <c r="H2" i="17"/>
  <c r="H12" i="17" l="1"/>
  <c r="A19" i="17"/>
  <c r="A20" i="17" s="1"/>
  <c r="E2" i="17" l="1"/>
  <c r="H8" i="17" l="1"/>
  <c r="H16" i="17"/>
  <c r="H9" i="17" l="1"/>
  <c r="H10" i="17" s="1"/>
  <c r="H5" i="17"/>
  <c r="H3" i="17"/>
  <c r="F9" i="18" l="1"/>
  <c r="F10" i="18"/>
  <c r="C11" i="18"/>
  <c r="C4" i="18"/>
  <c r="C10" i="18"/>
  <c r="F3" i="18"/>
  <c r="F5" i="18"/>
  <c r="C9" i="18"/>
  <c r="F6" i="18"/>
  <c r="C6" i="18"/>
  <c r="C8" i="18"/>
  <c r="F11" i="18"/>
  <c r="C5" i="18"/>
  <c r="C7" i="18"/>
  <c r="F7" i="18"/>
  <c r="F2" i="18"/>
  <c r="C3" i="18"/>
  <c r="F8" i="18"/>
  <c r="F4" i="18"/>
  <c r="Q13" i="17"/>
  <c r="Q5" i="17"/>
  <c r="L3" i="17"/>
  <c r="Q8" i="17"/>
  <c r="L11" i="17"/>
  <c r="P8" i="17"/>
  <c r="P7" i="17"/>
  <c r="L2" i="17"/>
  <c r="P10" i="17"/>
  <c r="L12" i="17"/>
  <c r="P13" i="17"/>
  <c r="P5" i="17"/>
  <c r="L7" i="17"/>
  <c r="Q7" i="17"/>
  <c r="L6" i="17"/>
  <c r="Q6" i="17"/>
  <c r="P2" i="17"/>
  <c r="L13" i="17"/>
  <c r="Q9" i="17"/>
  <c r="L8" i="17"/>
  <c r="Q12" i="17"/>
  <c r="Q4" i="17"/>
  <c r="P12" i="17"/>
  <c r="P4" i="17"/>
  <c r="P11" i="17"/>
  <c r="P6" i="17"/>
  <c r="L4" i="17"/>
  <c r="P9" i="17"/>
  <c r="Q3" i="17"/>
  <c r="Q11" i="17"/>
  <c r="P3" i="17"/>
  <c r="Q10" i="17"/>
  <c r="L9" i="17"/>
  <c r="Q2" i="17"/>
  <c r="L10" i="17"/>
  <c r="L5" i="17"/>
  <c r="B14" i="17"/>
  <c r="B16" i="17"/>
  <c r="B17" i="17"/>
  <c r="B5" i="17"/>
  <c r="B7" i="17"/>
  <c r="B8" i="17"/>
  <c r="E2" i="18" l="1"/>
  <c r="E3" i="18"/>
  <c r="E6" i="18" l="1"/>
  <c r="E11" i="18" s="1"/>
  <c r="E15" i="18" l="1"/>
</calcChain>
</file>

<file path=xl/sharedStrings.xml><?xml version="1.0" encoding="utf-8"?>
<sst xmlns="http://schemas.openxmlformats.org/spreadsheetml/2006/main" count="73" uniqueCount="69">
  <si>
    <t>Janvier</t>
  </si>
  <si>
    <t>Février</t>
  </si>
  <si>
    <t>Mars</t>
  </si>
  <si>
    <t>Avril</t>
  </si>
  <si>
    <t>Mai</t>
  </si>
  <si>
    <t>Juin</t>
  </si>
  <si>
    <t>Juillet</t>
  </si>
  <si>
    <t>Août</t>
  </si>
  <si>
    <t>Septembre</t>
  </si>
  <si>
    <t>Octobre</t>
  </si>
  <si>
    <t>Novembre</t>
  </si>
  <si>
    <t>Décembre</t>
  </si>
  <si>
    <t>Heures de nuit</t>
  </si>
  <si>
    <t xml:space="preserve">Jours fériés </t>
  </si>
  <si>
    <t>Jour de l'an</t>
  </si>
  <si>
    <t>Vendredi saint</t>
  </si>
  <si>
    <t>Lundi de Pâques</t>
  </si>
  <si>
    <t>Fête du travail</t>
  </si>
  <si>
    <t xml:space="preserve">Ascension </t>
  </si>
  <si>
    <t>Lundi de Pentecôte</t>
  </si>
  <si>
    <t>Fête Nationale</t>
  </si>
  <si>
    <t>Assomption</t>
  </si>
  <si>
    <t>Toussaint</t>
  </si>
  <si>
    <t>Commémoration de la victoire de 1945</t>
  </si>
  <si>
    <t>Commémoration de la victoire de 1918</t>
  </si>
  <si>
    <t>Noël</t>
  </si>
  <si>
    <t>Saint-Étienne</t>
  </si>
  <si>
    <t>Pentecôte</t>
  </si>
  <si>
    <t>Pâques</t>
  </si>
  <si>
    <t>Contrat</t>
  </si>
  <si>
    <t>Journalier</t>
  </si>
  <si>
    <t>Hedomadaire</t>
  </si>
  <si>
    <t>Mensuel</t>
  </si>
  <si>
    <t>du</t>
  </si>
  <si>
    <t>au</t>
  </si>
  <si>
    <t>Premier jour de l'année</t>
  </si>
  <si>
    <t>Dernier jour de l'année</t>
  </si>
  <si>
    <t>Nombre de jour dans l'année</t>
  </si>
  <si>
    <t>Nombre de samedi et dimanche</t>
  </si>
  <si>
    <t>Nombre de jours ouvrés</t>
  </si>
  <si>
    <t>Nombre de jours fériés en semaine</t>
  </si>
  <si>
    <t>Nombre de jours fériés le week-end</t>
  </si>
  <si>
    <t>Calcul entre deux dates</t>
  </si>
  <si>
    <t>Nombre de jours</t>
  </si>
  <si>
    <t>Congés annuel</t>
  </si>
  <si>
    <t>Congés payés</t>
  </si>
  <si>
    <t>Jours</t>
  </si>
  <si>
    <t>Jours ouvrables</t>
  </si>
  <si>
    <t>Samedi</t>
  </si>
  <si>
    <t>Dimanche</t>
  </si>
  <si>
    <t>Week-end</t>
  </si>
  <si>
    <t>Jours fériés</t>
  </si>
  <si>
    <t>Jours fériés le week-end</t>
  </si>
  <si>
    <t>Arrêts maladie</t>
  </si>
  <si>
    <t>Congés pour évènements familiaux</t>
  </si>
  <si>
    <t>Congés payés pris</t>
  </si>
  <si>
    <t>Congés pour évènements familiaux pris</t>
  </si>
  <si>
    <t>Jours en arrêt maladie</t>
  </si>
  <si>
    <t>Jours en accident du travail</t>
  </si>
  <si>
    <t>Accidents du travail</t>
  </si>
  <si>
    <t>Jour travaillé par semaine</t>
  </si>
  <si>
    <t>Congés en cours d'acquisition</t>
  </si>
  <si>
    <t>Congés payés acquis N-1</t>
  </si>
  <si>
    <t>Congés payés acquis</t>
  </si>
  <si>
    <t>Solde congés payés</t>
  </si>
  <si>
    <t>Solde congés payés N-1</t>
  </si>
  <si>
    <t xml:space="preserve">Nombre de jours avant la perte définitive </t>
  </si>
  <si>
    <t>Congés acquis fin de mois</t>
  </si>
  <si>
    <t>Jour de travail prévu par la convention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</si>
</sst>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F800]dddd\,\ mmmm\ dd\,\ yyyy"/>
    <numFmt numFmtId="165" formatCode="h:mm;@"/>
    <numFmt numFmtId="166" formatCode="[hh]:mm"/>
    <numFmt numFmtId="167" formatCode="#,##0.00\ _€"/>
    <numFmt numFmtId="168" formatCode="mmmm"/>
  </numFmts>
  <fonts count="10" x14ac:knownFonts="1">
    <font>
      <sz val="11"/>
      <color theme="1"/>
      <name val="Calibri"/>
      <family val="2"/>
      <scheme val="minor"/>
    </font>
    <font>
      <b/>
      <sz val="9"/>
      <color theme="1"/>
      <name val="Bahnschrift"/>
      <family val="2"/>
    </font>
    <font>
      <sz val="9"/>
      <color theme="1"/>
      <name val="Bahnschrift"/>
      <family val="2"/>
    </font>
    <font>
      <sz val="9"/>
      <color theme="0"/>
      <name val="Bahnschrift"/>
      <family val="2"/>
    </font>
    <font>
      <b/>
      <sz val="12"/>
      <color theme="1"/>
      <name val="Bahnschrift"/>
      <family val="2"/>
    </font>
    <font>
      <b/>
      <sz val="16"/>
      <color theme="0"/>
      <name val="Bahnschrift"/>
      <family val="2"/>
    </font>
    <font>
      <b/>
      <sz val="12"/>
      <color theme="0"/>
      <name val="Bahnschrift"/>
      <family val="2"/>
    </font>
    <font>
      <b/>
      <sz val="8"/>
      <color rgb="FFFF0000"/>
      <name val="Bahnschrift"/>
      <family val="2"/>
    </font>
    <font>
      <i/>
      <sz val="9"/>
      <color theme="1"/>
      <name val="Bahnschrift"/>
      <family val="2"/>
    </font>
    <font>
      <b/>
      <sz val="16"/>
      <color theme="1"/>
      <name val="Bahnschrift"/>
      <family val="2"/>
    </font>
  </fonts>
  <fills count="7">
    <fill>
      <patternFill patternType="none"/>
    </fill>
    <fill>
      <patternFill patternType="gray125"/>
    </fill>
    <fill>
      <patternFill patternType="solid">
        <fgColor rgb="FF92D050"/>
        <bgColor indexed="64"/>
      </patternFill>
    </fill>
    <fill>
      <patternFill patternType="solid">
        <fgColor rgb="FFFFC000"/>
        <bgColor indexed="64"/>
      </patternFill>
    </fill>
    <fill>
      <patternFill patternType="solid">
        <fgColor rgb="FF0070C0"/>
        <bgColor indexed="64"/>
      </patternFill>
    </fill>
    <fill>
      <patternFill patternType="solid">
        <fgColor rgb="FFFF0000"/>
        <bgColor indexed="64"/>
      </patternFill>
    </fill>
    <fill>
      <patternFill patternType="solid">
        <fgColor theme="0"/>
        <bgColor indexed="64"/>
      </patternFill>
    </fill>
  </fills>
  <borders count="7">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s>
  <cellStyleXfs count="1">
    <xf numFmtId="0" fontId="0" fillId="0" borderId="0"/>
  </cellStyleXfs>
  <cellXfs count="35">
    <xf numFmtId="0" fontId="0" fillId="0" borderId="0" xfId="0"/>
    <xf numFmtId="0" fontId="1" fillId="6" borderId="0" xfId="0" applyFont="1" applyFill="1" applyAlignment="1">
      <alignment horizontal="center" vertical="center"/>
    </xf>
    <xf numFmtId="0" fontId="4" fillId="6" borderId="0" xfId="0" applyFont="1" applyFill="1" applyAlignment="1">
      <alignment horizontal="center" vertical="center"/>
    </xf>
    <xf numFmtId="0" fontId="2" fillId="6" borderId="0" xfId="0" applyFont="1" applyFill="1" applyAlignment="1">
      <alignment horizontal="center" vertical="center"/>
    </xf>
    <xf numFmtId="164" fontId="2" fillId="6" borderId="1" xfId="0" applyNumberFormat="1" applyFont="1" applyFill="1" applyBorder="1" applyAlignment="1">
      <alignment horizontal="center" vertical="center"/>
    </xf>
    <xf numFmtId="164" fontId="2" fillId="6" borderId="0" xfId="0" applyNumberFormat="1" applyFont="1" applyFill="1" applyAlignment="1">
      <alignment horizontal="center" vertical="center"/>
    </xf>
    <xf numFmtId="0" fontId="2" fillId="6" borderId="1" xfId="0" applyFont="1" applyFill="1" applyBorder="1" applyAlignment="1">
      <alignment horizontal="center" vertical="center"/>
    </xf>
    <xf numFmtId="166" fontId="2" fillId="6" borderId="1" xfId="0" applyNumberFormat="1" applyFont="1" applyFill="1" applyBorder="1" applyAlignment="1">
      <alignment horizontal="center" vertical="center"/>
    </xf>
    <xf numFmtId="0" fontId="3" fillId="6" borderId="0" xfId="0" applyFont="1" applyFill="1" applyAlignment="1">
      <alignment horizontal="center" vertical="center"/>
    </xf>
    <xf numFmtId="0" fontId="1" fillId="6" borderId="1" xfId="0" applyFont="1" applyFill="1" applyBorder="1" applyAlignment="1">
      <alignment horizontal="center" vertical="center"/>
    </xf>
    <xf numFmtId="165" fontId="2" fillId="6" borderId="1" xfId="0" applyNumberFormat="1" applyFont="1" applyFill="1" applyBorder="1" applyAlignment="1">
      <alignment horizontal="center" vertical="center"/>
    </xf>
    <xf numFmtId="1" fontId="2" fillId="6" borderId="1" xfId="0" applyNumberFormat="1" applyFont="1" applyFill="1" applyBorder="1" applyAlignment="1">
      <alignment horizontal="center" vertical="center"/>
    </xf>
    <xf numFmtId="1" fontId="2" fillId="6" borderId="0" xfId="0" applyNumberFormat="1" applyFont="1" applyFill="1" applyAlignment="1">
      <alignment horizontal="center" vertical="center"/>
    </xf>
    <xf numFmtId="167" fontId="2" fillId="6" borderId="0" xfId="0" applyNumberFormat="1" applyFont="1" applyFill="1" applyAlignment="1">
      <alignment horizontal="center" vertical="center"/>
    </xf>
    <xf numFmtId="0" fontId="2" fillId="6" borderId="0" xfId="0" applyFont="1" applyFill="1" applyAlignment="1">
      <alignment horizontal="center" vertical="center" wrapText="1"/>
    </xf>
    <xf numFmtId="0" fontId="2" fillId="6" borderId="1" xfId="0" applyFont="1" applyFill="1" applyBorder="1" applyAlignment="1">
      <alignment horizontal="center" vertical="center" wrapText="1"/>
    </xf>
    <xf numFmtId="0" fontId="7" fillId="6" borderId="0" xfId="0" applyFont="1" applyFill="1" applyAlignment="1">
      <alignment horizontal="center" vertical="center" wrapText="1"/>
    </xf>
    <xf numFmtId="0" fontId="8" fillId="6" borderId="0" xfId="0" applyFont="1" applyFill="1" applyAlignment="1">
      <alignment horizontal="center" vertical="center" wrapText="1"/>
    </xf>
    <xf numFmtId="0" fontId="8" fillId="6" borderId="0" xfId="0" applyFont="1" applyFill="1" applyAlignment="1">
      <alignment horizontal="center" vertical="center"/>
    </xf>
    <xf numFmtId="2" fontId="2" fillId="6" borderId="1" xfId="0" applyNumberFormat="1" applyFont="1" applyFill="1" applyBorder="1" applyAlignment="1">
      <alignment horizontal="center" vertical="center"/>
    </xf>
    <xf numFmtId="0" fontId="9" fillId="6" borderId="1" xfId="0" applyFont="1" applyFill="1" applyBorder="1" applyAlignment="1">
      <alignment horizontal="center" vertical="center"/>
    </xf>
    <xf numFmtId="0" fontId="0" fillId="6" borderId="0" xfId="0" applyFill="1"/>
    <xf numFmtId="168" fontId="2" fillId="6" borderId="0" xfId="0" applyNumberFormat="1" applyFont="1" applyFill="1" applyAlignment="1">
      <alignment horizontal="center" vertical="center"/>
    </xf>
    <xf numFmtId="0" fontId="6" fillId="4" borderId="1" xfId="0" applyFont="1" applyFill="1" applyBorder="1" applyAlignment="1">
      <alignment horizontal="center" vertical="center"/>
    </xf>
    <xf numFmtId="0" fontId="6" fillId="2" borderId="1" xfId="0" applyFont="1" applyFill="1" applyBorder="1" applyAlignment="1">
      <alignment horizontal="center" vertical="center"/>
    </xf>
    <xf numFmtId="0" fontId="6" fillId="3" borderId="1" xfId="0" applyFont="1" applyFill="1" applyBorder="1" applyAlignment="1">
      <alignment horizontal="center" vertical="center"/>
    </xf>
    <xf numFmtId="0" fontId="2" fillId="6" borderId="2" xfId="0" applyFont="1" applyFill="1" applyBorder="1" applyAlignment="1">
      <alignment horizontal="center" vertical="center"/>
    </xf>
    <xf numFmtId="0" fontId="5" fillId="4" borderId="1" xfId="0" applyFont="1" applyFill="1" applyBorder="1" applyAlignment="1">
      <alignment horizontal="center" vertical="center"/>
    </xf>
    <xf numFmtId="0" fontId="6" fillId="3" borderId="5" xfId="0" applyFont="1" applyFill="1" applyBorder="1" applyAlignment="1">
      <alignment horizontal="center" vertical="center"/>
    </xf>
    <xf numFmtId="0" fontId="6" fillId="3" borderId="6" xfId="0" applyFont="1" applyFill="1" applyBorder="1" applyAlignment="1">
      <alignment horizontal="center" vertical="center"/>
    </xf>
    <xf numFmtId="0" fontId="4" fillId="5" borderId="1" xfId="0" applyFont="1" applyFill="1" applyBorder="1" applyAlignment="1">
      <alignment horizontal="center" vertical="center"/>
    </xf>
    <xf numFmtId="0" fontId="2" fillId="6" borderId="0" xfId="0" applyFont="1" applyFill="1" applyAlignment="1">
      <alignment horizontal="center" vertical="center"/>
    </xf>
    <xf numFmtId="0" fontId="4" fillId="4" borderId="1" xfId="0" applyFont="1" applyFill="1" applyBorder="1" applyAlignment="1">
      <alignment horizontal="center" vertical="center"/>
    </xf>
    <xf numFmtId="0" fontId="4" fillId="4" borderId="3" xfId="0" applyFont="1" applyFill="1" applyBorder="1" applyAlignment="1">
      <alignment horizontal="center" vertical="center"/>
    </xf>
    <xf numFmtId="0" fontId="4" fillId="4" borderId="4"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398370</xdr:colOff>
      <xdr:row>10</xdr:row>
      <xdr:rowOff>34738</xdr:rowOff>
    </xdr:from>
    <xdr:to>
      <xdr:col>14</xdr:col>
      <xdr:colOff>537322</xdr:colOff>
      <xdr:row>17</xdr:row>
      <xdr:rowOff>182096</xdr:rowOff>
    </xdr:to>
    <xdr:sp macro="" textlink="">
      <xdr:nvSpPr>
        <xdr:cNvPr id="2" name="Rectangle 1">
          <a:extLst>
            <a:ext uri="{FF2B5EF4-FFF2-40B4-BE49-F238E27FC236}">
              <a16:creationId xmlns:a16="http://schemas.microsoft.com/office/drawing/2014/main" id="{FED94EA7-8EB5-1859-1E02-E0F305F07801}"/>
            </a:ext>
          </a:extLst>
        </xdr:cNvPr>
        <xdr:cNvSpPr/>
      </xdr:nvSpPr>
      <xdr:spPr>
        <a:xfrm>
          <a:off x="12733245" y="1939738"/>
          <a:ext cx="4434727" cy="1480858"/>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r>
            <a:rPr lang="fr-FR"/>
            <a:t>En A2, j'ai une date de début (1er janvier 2024). En B2, une date de fin (28 mars 2024). Je souhaiterais savoir combien de jours de congés (ouvrés) ont été pris sur chaque mois. Cela est-il possible ? A noter qu'en C2, je dispose déjà du nombre de jours ouvrés sur ladite période.</a:t>
          </a:r>
        </a:p>
        <a:p>
          <a:endParaRPr lang="fr-FR"/>
        </a:p>
        <a:p>
          <a:r>
            <a:rPr lang="fr-FR"/>
            <a:t>Je souhaite également une formule similaire pour calculer le nombre de jours sur chaque mois, mais pour les arrêts maladie cette fois (tous les jours, et non plus seulement les jours ouvrés). Je dispose également d'une formule en C14 sur ladite période.</a:t>
          </a:r>
        </a:p>
        <a:p>
          <a:pPr algn="l"/>
          <a:endParaRPr lang="fr-FR" sz="1100"/>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P:\Jonathan\RoyalForm\Perso\Suivi%20des%20heures\pointage%20test%20final.xlsx" TargetMode="External"/><Relationship Id="rId1" Type="http://schemas.openxmlformats.org/officeDocument/2006/relationships/externalLinkPath" Target="file:///P:\Jonathan\RoyalForm\Perso\Suivi%20des%20heures\pointage%20test%20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étails"/>
      <sheetName val="Synthèse"/>
      <sheetName val="Heures"/>
    </sheetNames>
    <sheetDataSet>
      <sheetData sheetId="0" refreshError="1">
        <row r="2">
          <cell r="B2">
            <v>45292</v>
          </cell>
          <cell r="C2">
            <v>45658</v>
          </cell>
          <cell r="D2">
            <v>46023</v>
          </cell>
          <cell r="E2">
            <v>46388</v>
          </cell>
          <cell r="F2">
            <v>46753</v>
          </cell>
          <cell r="G2">
            <v>47119</v>
          </cell>
          <cell r="H2">
            <v>47484</v>
          </cell>
          <cell r="I2">
            <v>47849</v>
          </cell>
          <cell r="J2">
            <v>48214</v>
          </cell>
          <cell r="K2">
            <v>48580</v>
          </cell>
          <cell r="L2">
            <v>48945</v>
          </cell>
        </row>
        <row r="3">
          <cell r="B3">
            <v>45380</v>
          </cell>
          <cell r="C3">
            <v>45765</v>
          </cell>
          <cell r="D3">
            <v>46115</v>
          </cell>
          <cell r="E3">
            <v>46472</v>
          </cell>
          <cell r="F3">
            <v>46857</v>
          </cell>
          <cell r="G3">
            <v>47207</v>
          </cell>
          <cell r="H3">
            <v>47592</v>
          </cell>
          <cell r="I3">
            <v>47949</v>
          </cell>
          <cell r="J3">
            <v>48299</v>
          </cell>
          <cell r="K3">
            <v>48684</v>
          </cell>
          <cell r="L3">
            <v>49041</v>
          </cell>
        </row>
        <row r="4">
          <cell r="B4">
            <v>45382</v>
          </cell>
          <cell r="C4">
            <v>45767</v>
          </cell>
          <cell r="D4">
            <v>46117</v>
          </cell>
          <cell r="E4">
            <v>46474</v>
          </cell>
          <cell r="F4">
            <v>46859</v>
          </cell>
          <cell r="G4">
            <v>47209</v>
          </cell>
          <cell r="H4">
            <v>47594</v>
          </cell>
          <cell r="I4">
            <v>47951</v>
          </cell>
          <cell r="J4">
            <v>48301</v>
          </cell>
          <cell r="K4">
            <v>48686</v>
          </cell>
          <cell r="L4">
            <v>49043</v>
          </cell>
        </row>
        <row r="5">
          <cell r="B5">
            <v>45383</v>
          </cell>
          <cell r="C5">
            <v>45768</v>
          </cell>
          <cell r="D5">
            <v>46118</v>
          </cell>
          <cell r="E5">
            <v>46475</v>
          </cell>
          <cell r="F5">
            <v>46860</v>
          </cell>
          <cell r="G5">
            <v>47210</v>
          </cell>
          <cell r="H5">
            <v>47595</v>
          </cell>
          <cell r="I5">
            <v>47952</v>
          </cell>
          <cell r="J5">
            <v>48302</v>
          </cell>
          <cell r="K5">
            <v>48687</v>
          </cell>
          <cell r="L5">
            <v>49044</v>
          </cell>
        </row>
        <row r="6">
          <cell r="B6">
            <v>45413</v>
          </cell>
          <cell r="C6">
            <v>45778</v>
          </cell>
          <cell r="D6">
            <v>46143</v>
          </cell>
          <cell r="E6">
            <v>46508</v>
          </cell>
          <cell r="F6">
            <v>46874</v>
          </cell>
          <cell r="G6">
            <v>47239</v>
          </cell>
          <cell r="H6">
            <v>47604</v>
          </cell>
          <cell r="I6">
            <v>47969</v>
          </cell>
          <cell r="J6">
            <v>48335</v>
          </cell>
          <cell r="K6">
            <v>48700</v>
          </cell>
          <cell r="L6">
            <v>49065</v>
          </cell>
        </row>
        <row r="7">
          <cell r="B7">
            <v>45420</v>
          </cell>
          <cell r="C7">
            <v>45785</v>
          </cell>
          <cell r="D7">
            <v>46150</v>
          </cell>
          <cell r="E7">
            <v>46515</v>
          </cell>
          <cell r="F7">
            <v>46881</v>
          </cell>
          <cell r="G7">
            <v>47246</v>
          </cell>
          <cell r="H7">
            <v>47611</v>
          </cell>
          <cell r="I7">
            <v>47976</v>
          </cell>
          <cell r="J7">
            <v>48342</v>
          </cell>
          <cell r="K7">
            <v>48707</v>
          </cell>
          <cell r="L7">
            <v>49072</v>
          </cell>
        </row>
        <row r="8">
          <cell r="B8">
            <v>45421</v>
          </cell>
          <cell r="C8">
            <v>45806</v>
          </cell>
          <cell r="D8">
            <v>46156</v>
          </cell>
          <cell r="E8">
            <v>46513</v>
          </cell>
          <cell r="F8">
            <v>46898</v>
          </cell>
          <cell r="G8">
            <v>47248</v>
          </cell>
          <cell r="H8">
            <v>47633</v>
          </cell>
          <cell r="I8">
            <v>47990</v>
          </cell>
          <cell r="J8">
            <v>48340</v>
          </cell>
          <cell r="K8">
            <v>48725</v>
          </cell>
          <cell r="L8">
            <v>49082</v>
          </cell>
        </row>
        <row r="9">
          <cell r="B9">
            <v>45431</v>
          </cell>
          <cell r="C9">
            <v>45816</v>
          </cell>
          <cell r="D9">
            <v>46166</v>
          </cell>
          <cell r="E9">
            <v>46523</v>
          </cell>
          <cell r="F9">
            <v>46908</v>
          </cell>
          <cell r="G9">
            <v>47258</v>
          </cell>
          <cell r="H9">
            <v>47643</v>
          </cell>
          <cell r="I9">
            <v>48000</v>
          </cell>
          <cell r="J9">
            <v>48350</v>
          </cell>
          <cell r="K9">
            <v>48735</v>
          </cell>
          <cell r="L9">
            <v>49092</v>
          </cell>
        </row>
        <row r="10">
          <cell r="B10">
            <v>45432</v>
          </cell>
          <cell r="C10">
            <v>45817</v>
          </cell>
          <cell r="D10">
            <v>46167</v>
          </cell>
          <cell r="E10">
            <v>46524</v>
          </cell>
          <cell r="F10">
            <v>46909</v>
          </cell>
          <cell r="G10">
            <v>47259</v>
          </cell>
          <cell r="H10">
            <v>47644</v>
          </cell>
          <cell r="I10">
            <v>48001</v>
          </cell>
          <cell r="J10">
            <v>48351</v>
          </cell>
          <cell r="K10">
            <v>48736</v>
          </cell>
          <cell r="L10">
            <v>49093</v>
          </cell>
        </row>
        <row r="11">
          <cell r="B11">
            <v>45487</v>
          </cell>
          <cell r="C11">
            <v>45852</v>
          </cell>
          <cell r="D11">
            <v>46217</v>
          </cell>
          <cell r="E11">
            <v>46582</v>
          </cell>
          <cell r="F11">
            <v>46948</v>
          </cell>
          <cell r="G11">
            <v>47313</v>
          </cell>
          <cell r="H11">
            <v>47678</v>
          </cell>
          <cell r="I11">
            <v>48043</v>
          </cell>
          <cell r="J11">
            <v>48409</v>
          </cell>
          <cell r="K11">
            <v>48774</v>
          </cell>
          <cell r="L11">
            <v>49139</v>
          </cell>
        </row>
        <row r="12">
          <cell r="B12">
            <v>45519</v>
          </cell>
          <cell r="C12">
            <v>45884</v>
          </cell>
          <cell r="D12">
            <v>46249</v>
          </cell>
          <cell r="E12">
            <v>46614</v>
          </cell>
          <cell r="F12">
            <v>46980</v>
          </cell>
          <cell r="G12">
            <v>47345</v>
          </cell>
          <cell r="H12">
            <v>47710</v>
          </cell>
          <cell r="I12">
            <v>48075</v>
          </cell>
          <cell r="J12">
            <v>48441</v>
          </cell>
          <cell r="K12">
            <v>48806</v>
          </cell>
          <cell r="L12">
            <v>49171</v>
          </cell>
        </row>
        <row r="13">
          <cell r="B13">
            <v>45597</v>
          </cell>
          <cell r="C13">
            <v>45962</v>
          </cell>
          <cell r="D13">
            <v>46327</v>
          </cell>
          <cell r="E13">
            <v>46692</v>
          </cell>
          <cell r="F13">
            <v>47058</v>
          </cell>
          <cell r="G13">
            <v>47423</v>
          </cell>
          <cell r="H13">
            <v>47788</v>
          </cell>
          <cell r="I13">
            <v>48153</v>
          </cell>
          <cell r="J13">
            <v>48519</v>
          </cell>
          <cell r="K13">
            <v>48884</v>
          </cell>
          <cell r="L13">
            <v>49249</v>
          </cell>
        </row>
        <row r="14">
          <cell r="B14">
            <v>45607</v>
          </cell>
          <cell r="C14">
            <v>45972</v>
          </cell>
          <cell r="D14">
            <v>46337</v>
          </cell>
          <cell r="E14">
            <v>46702</v>
          </cell>
          <cell r="F14">
            <v>47068</v>
          </cell>
          <cell r="G14">
            <v>47433</v>
          </cell>
          <cell r="H14">
            <v>47798</v>
          </cell>
          <cell r="I14">
            <v>48163</v>
          </cell>
          <cell r="J14">
            <v>48529</v>
          </cell>
          <cell r="K14">
            <v>48894</v>
          </cell>
          <cell r="L14">
            <v>49259</v>
          </cell>
        </row>
        <row r="15">
          <cell r="B15">
            <v>45651</v>
          </cell>
          <cell r="C15">
            <v>46016</v>
          </cell>
          <cell r="D15">
            <v>46381</v>
          </cell>
          <cell r="E15">
            <v>46746</v>
          </cell>
          <cell r="F15">
            <v>47112</v>
          </cell>
          <cell r="G15">
            <v>47477</v>
          </cell>
          <cell r="H15">
            <v>47842</v>
          </cell>
          <cell r="I15">
            <v>48207</v>
          </cell>
          <cell r="J15">
            <v>48573</v>
          </cell>
          <cell r="K15">
            <v>48938</v>
          </cell>
          <cell r="L15">
            <v>49303</v>
          </cell>
        </row>
        <row r="16">
          <cell r="B16">
            <v>45652</v>
          </cell>
          <cell r="C16">
            <v>46017</v>
          </cell>
          <cell r="D16">
            <v>46382</v>
          </cell>
          <cell r="E16">
            <v>46747</v>
          </cell>
          <cell r="F16">
            <v>47113</v>
          </cell>
          <cell r="G16">
            <v>47478</v>
          </cell>
          <cell r="H16">
            <v>47843</v>
          </cell>
          <cell r="I16">
            <v>48208</v>
          </cell>
          <cell r="J16">
            <v>48574</v>
          </cell>
          <cell r="K16">
            <v>48939</v>
          </cell>
          <cell r="L16">
            <v>49304</v>
          </cell>
        </row>
      </sheetData>
      <sheetData sheetId="1" refreshError="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xDef>
      <a:spPr>
        <a:noFill/>
      </a:spPr>
      <a:bodyPr vertOverflow="clip" horzOverflow="clip" wrap="square" rtlCol="0" anchor="ctr">
        <a:noAutofit/>
      </a:bodyPr>
      <a:lstStyle>
        <a:defPPr algn="ctr">
          <a:defRPr sz="1100" b="0" i="0" u="none" strike="noStrike">
            <a:solidFill>
              <a:srgbClr val="000000"/>
            </a:solidFill>
            <a:latin typeface="Bahnschrift"/>
          </a:defRPr>
        </a:defPPr>
      </a:lstStyle>
      <a:style>
        <a:lnRef idx="0">
          <a:scrgbClr r="0" g="0" b="0"/>
        </a:lnRef>
        <a:fillRef idx="0">
          <a:scrgbClr r="0" g="0" b="0"/>
        </a:fillRef>
        <a:effectRef idx="0">
          <a:scrgbClr r="0" g="0" b="0"/>
        </a:effectRef>
        <a:fontRef idx="minor">
          <a:schemeClr val="tx1"/>
        </a:fontRef>
      </a:style>
    </a:tx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Q20"/>
  <sheetViews>
    <sheetView zoomScale="85" zoomScaleNormal="85" workbookViewId="0">
      <selection activeCell="K2" sqref="K2"/>
    </sheetView>
  </sheetViews>
  <sheetFormatPr baseColWidth="10" defaultColWidth="11.5703125" defaultRowHeight="11.25" x14ac:dyDescent="0.25"/>
  <cols>
    <col min="1" max="2" width="30.7109375" style="3" customWidth="1"/>
    <col min="3" max="3" width="8.7109375" style="3" customWidth="1"/>
    <col min="4" max="5" width="30.7109375" style="3" customWidth="1"/>
    <col min="6" max="6" width="8.7109375" style="3" customWidth="1"/>
    <col min="7" max="8" width="30.7109375" style="3" customWidth="1"/>
    <col min="9" max="9" width="8.7109375" style="3" customWidth="1"/>
    <col min="10" max="17" width="20.7109375" style="3" customWidth="1"/>
    <col min="18" max="16384" width="11.5703125" style="3"/>
  </cols>
  <sheetData>
    <row r="1" spans="1:17" ht="30" customHeight="1" x14ac:dyDescent="0.25">
      <c r="A1" s="27">
        <v>2024</v>
      </c>
      <c r="B1" s="27"/>
      <c r="C1" s="1"/>
      <c r="D1" s="25" t="s">
        <v>29</v>
      </c>
      <c r="E1" s="25"/>
      <c r="F1" s="2"/>
      <c r="G1" s="24" t="s">
        <v>13</v>
      </c>
      <c r="H1" s="24"/>
      <c r="J1" s="20">
        <v>2024</v>
      </c>
      <c r="K1" s="6" t="s">
        <v>46</v>
      </c>
      <c r="L1" s="6" t="s">
        <v>47</v>
      </c>
      <c r="M1" s="6" t="s">
        <v>48</v>
      </c>
      <c r="N1" s="6" t="s">
        <v>49</v>
      </c>
      <c r="O1" s="6" t="s">
        <v>50</v>
      </c>
      <c r="P1" s="6" t="s">
        <v>51</v>
      </c>
      <c r="Q1" s="15" t="s">
        <v>52</v>
      </c>
    </row>
    <row r="2" spans="1:17" ht="30" customHeight="1" x14ac:dyDescent="0.25">
      <c r="A2" s="4" t="s">
        <v>35</v>
      </c>
      <c r="B2" s="4">
        <f>DATE(A1,1,1)</f>
        <v>45292</v>
      </c>
      <c r="C2" s="5"/>
      <c r="D2" s="6" t="s">
        <v>30</v>
      </c>
      <c r="E2" s="7">
        <f>E4/E3</f>
        <v>0.32500000000000001</v>
      </c>
      <c r="F2" s="8"/>
      <c r="G2" s="9" t="s">
        <v>14</v>
      </c>
      <c r="H2" s="4">
        <f>DATE(A1,1,1)</f>
        <v>45292</v>
      </c>
      <c r="J2" s="6" t="s">
        <v>0</v>
      </c>
      <c r="K2" s="11" t="e">
        <f>DAY(EOMONTH(#REF!,0))</f>
        <v>#REF!</v>
      </c>
      <c r="L2" s="11" t="e">
        <f>NETWORKDAYS.INTL(#REF!,EOMONTH(#REF!,0),,MesFeries)</f>
        <v>#REF!</v>
      </c>
      <c r="M2" s="11" t="e">
        <f>NETWORKDAYS.INTL(#REF!,EOMONTH(#REF!,0),"1111101")</f>
        <v>#REF!</v>
      </c>
      <c r="N2" s="11" t="e">
        <f>NETWORKDAYS.INTL(#REF!,EOMONTH(#REF!,0),"1111110")</f>
        <v>#REF!</v>
      </c>
      <c r="O2" s="11" t="e">
        <f>NETWORKDAYS.INTL(#REF!,EOMONTH(#REF!,0),"1111100")</f>
        <v>#REF!</v>
      </c>
      <c r="P2" s="11" t="e">
        <f>DAY(EOMONTH(#REF!,0))-NETWORKDAYS.INTL(#REF!,EOMONTH(#REF!,0),"0000000",MesFeries)</f>
        <v>#REF!</v>
      </c>
      <c r="Q2" s="11" t="e">
        <f>NETWORKDAYS.INTL(#REF!,EOMONTH(#REF!,0),"1111100")-NETWORKDAYS.INTL(#REF!,EOMONTH(#REF!,0),"1111100",MesFeries)</f>
        <v>#REF!</v>
      </c>
    </row>
    <row r="3" spans="1:17" ht="30" customHeight="1" x14ac:dyDescent="0.25">
      <c r="A3" s="4" t="s">
        <v>36</v>
      </c>
      <c r="B3" s="4">
        <f>DATE(A1,12,31)</f>
        <v>45657</v>
      </c>
      <c r="C3" s="5"/>
      <c r="D3" s="6" t="s">
        <v>60</v>
      </c>
      <c r="E3" s="6">
        <v>5</v>
      </c>
      <c r="F3" s="8"/>
      <c r="G3" s="9" t="s">
        <v>15</v>
      </c>
      <c r="H3" s="4">
        <f>H4-2</f>
        <v>45380</v>
      </c>
      <c r="J3" s="6" t="s">
        <v>1</v>
      </c>
      <c r="K3" s="11" t="e">
        <f>DAY(EOMONTH(#REF!,0))</f>
        <v>#REF!</v>
      </c>
      <c r="L3" s="11" t="e">
        <f>NETWORKDAYS.INTL(#REF!,EOMONTH(#REF!,0),,MesFeries)</f>
        <v>#REF!</v>
      </c>
      <c r="M3" s="11" t="e">
        <f>NETWORKDAYS.INTL(#REF!,EOMONTH(#REF!,0),"1111101")</f>
        <v>#REF!</v>
      </c>
      <c r="N3" s="11" t="e">
        <f>NETWORKDAYS.INTL(#REF!,EOMONTH(#REF!,0),"1111110")</f>
        <v>#REF!</v>
      </c>
      <c r="O3" s="11" t="e">
        <f>NETWORKDAYS.INTL(#REF!,EOMONTH(#REF!,0),"1111100")</f>
        <v>#REF!</v>
      </c>
      <c r="P3" s="11" t="e">
        <f>DAY(EOMONTH(#REF!,0))-NETWORKDAYS.INTL(#REF!,EOMONTH(#REF!,0),"0000000",MesFeries)</f>
        <v>#REF!</v>
      </c>
      <c r="Q3" s="11" t="e">
        <f>NETWORKDAYS.INTL(#REF!,EOMONTH(#REF!,0),"1111100")-NETWORKDAYS.INTL(#REF!,EOMONTH(#REF!,0),"1111100",MesFeries)</f>
        <v>#REF!</v>
      </c>
    </row>
    <row r="4" spans="1:17" ht="30" customHeight="1" x14ac:dyDescent="0.25">
      <c r="A4" s="6" t="s">
        <v>37</v>
      </c>
      <c r="B4" s="11">
        <f>+B3-B2+1</f>
        <v>366</v>
      </c>
      <c r="C4" s="12"/>
      <c r="D4" s="6" t="s">
        <v>31</v>
      </c>
      <c r="E4" s="7">
        <v>1.625</v>
      </c>
      <c r="F4" s="13"/>
      <c r="G4" s="9" t="s">
        <v>28</v>
      </c>
      <c r="H4" s="4">
        <f>ROUND(DATE(A1,4,MOD(234-11*MOD($A$1,19),30))/7,)*7-6</f>
        <v>45382</v>
      </c>
      <c r="J4" s="6" t="s">
        <v>2</v>
      </c>
      <c r="K4" s="11" t="e">
        <f>DAY(EOMONTH(#REF!,0))</f>
        <v>#REF!</v>
      </c>
      <c r="L4" s="11" t="e">
        <f>NETWORKDAYS.INTL(#REF!,EOMONTH(#REF!,0),,MesFeries)</f>
        <v>#REF!</v>
      </c>
      <c r="M4" s="11" t="e">
        <f>NETWORKDAYS.INTL(#REF!,EOMONTH(#REF!,0),"1111101")</f>
        <v>#REF!</v>
      </c>
      <c r="N4" s="11" t="e">
        <f>NETWORKDAYS.INTL(#REF!,EOMONTH(#REF!,0),"1111110")</f>
        <v>#REF!</v>
      </c>
      <c r="O4" s="11" t="e">
        <f>NETWORKDAYS.INTL(#REF!,EOMONTH(#REF!,0),"1111100")</f>
        <v>#REF!</v>
      </c>
      <c r="P4" s="11" t="e">
        <f>DAY(EOMONTH(#REF!,0))-NETWORKDAYS.INTL(#REF!,EOMONTH(#REF!,0),"0000000",MesFeries)</f>
        <v>#REF!</v>
      </c>
      <c r="Q4" s="11" t="e">
        <f>NETWORKDAYS.INTL(#REF!,EOMONTH(#REF!,0),"1111100")-NETWORKDAYS.INTL(#REF!,EOMONTH(#REF!,0),"1111100",MesFeries)</f>
        <v>#REF!</v>
      </c>
    </row>
    <row r="5" spans="1:17" ht="30" customHeight="1" x14ac:dyDescent="0.25">
      <c r="A5" s="6" t="s">
        <v>39</v>
      </c>
      <c r="B5" s="6">
        <f>NETWORKDAYS.INTL(B2,B3,,MesFeries)</f>
        <v>250</v>
      </c>
      <c r="D5" s="6" t="s">
        <v>32</v>
      </c>
      <c r="E5" s="7">
        <f>E4*4.33333</f>
        <v>7.0416612500000006</v>
      </c>
      <c r="F5" s="8"/>
      <c r="G5" s="9" t="s">
        <v>16</v>
      </c>
      <c r="H5" s="4">
        <f>H4+1</f>
        <v>45383</v>
      </c>
      <c r="J5" s="6" t="s">
        <v>3</v>
      </c>
      <c r="K5" s="11" t="e">
        <f>DAY(EOMONTH(#REF!,0))</f>
        <v>#REF!</v>
      </c>
      <c r="L5" s="11" t="e">
        <f>NETWORKDAYS.INTL(#REF!,EOMONTH(#REF!,0),,MesFeries)</f>
        <v>#REF!</v>
      </c>
      <c r="M5" s="11" t="e">
        <f>NETWORKDAYS.INTL(#REF!,EOMONTH(#REF!,0),"1111101")</f>
        <v>#REF!</v>
      </c>
      <c r="N5" s="11" t="e">
        <f>NETWORKDAYS.INTL(#REF!,EOMONTH(#REF!,0),"1111110")</f>
        <v>#REF!</v>
      </c>
      <c r="O5" s="11" t="e">
        <f>NETWORKDAYS.INTL(#REF!,EOMONTH(#REF!,0),"1111100")</f>
        <v>#REF!</v>
      </c>
      <c r="P5" s="11" t="e">
        <f>DAY(EOMONTH(#REF!,0))-NETWORKDAYS.INTL(#REF!,EOMONTH(#REF!,0),"0000000",MesFeries)</f>
        <v>#REF!</v>
      </c>
      <c r="Q5" s="11" t="e">
        <f>NETWORKDAYS.INTL(#REF!,EOMONTH(#REF!,0),"1111100")-NETWORKDAYS.INTL(#REF!,EOMONTH(#REF!,0),"1111100",MesFeries)</f>
        <v>#REF!</v>
      </c>
    </row>
    <row r="6" spans="1:17" ht="30" customHeight="1" x14ac:dyDescent="0.25">
      <c r="A6" s="6" t="s">
        <v>38</v>
      </c>
      <c r="B6" s="11">
        <f>NETWORKDAYS.INTL(B2,B3,"1111100")</f>
        <v>104</v>
      </c>
      <c r="D6" s="6" t="s">
        <v>68</v>
      </c>
      <c r="E6" s="6">
        <v>218</v>
      </c>
      <c r="F6" s="8"/>
      <c r="G6" s="9" t="s">
        <v>17</v>
      </c>
      <c r="H6" s="4">
        <f>DATE(A1,5,1)</f>
        <v>45413</v>
      </c>
      <c r="J6" s="6" t="s">
        <v>4</v>
      </c>
      <c r="K6" s="11" t="e">
        <f>DAY(EOMONTH(#REF!,0))</f>
        <v>#REF!</v>
      </c>
      <c r="L6" s="11" t="e">
        <f>NETWORKDAYS.INTL(#REF!,EOMONTH(#REF!,0),,MesFeries)</f>
        <v>#REF!</v>
      </c>
      <c r="M6" s="11" t="e">
        <f>NETWORKDAYS.INTL(#REF!,EOMONTH(#REF!,0),"1111101")</f>
        <v>#REF!</v>
      </c>
      <c r="N6" s="11" t="e">
        <f>NETWORKDAYS.INTL(#REF!,EOMONTH(#REF!,0),"1111110")</f>
        <v>#REF!</v>
      </c>
      <c r="O6" s="11" t="e">
        <f>NETWORKDAYS.INTL(#REF!,EOMONTH(#REF!,0),"1111100")</f>
        <v>#REF!</v>
      </c>
      <c r="P6" s="11" t="e">
        <f>DAY(EOMONTH(#REF!,0))-NETWORKDAYS.INTL(#REF!,EOMONTH(#REF!,0),"0000000",MesFeries)</f>
        <v>#REF!</v>
      </c>
      <c r="Q6" s="11" t="e">
        <f>NETWORKDAYS.INTL(#REF!,EOMONTH(#REF!,0),"1111100")-NETWORKDAYS.INTL(#REF!,EOMONTH(#REF!,0),"1111100",MesFeries)</f>
        <v>#REF!</v>
      </c>
    </row>
    <row r="7" spans="1:17" ht="30" customHeight="1" x14ac:dyDescent="0.25">
      <c r="A7" s="6" t="s">
        <v>40</v>
      </c>
      <c r="B7" s="6">
        <f>NETWORKDAYS.INTL(B2,B3)-NETWORKDAYS.INTL(B2,B3,,MesFeries)</f>
        <v>12</v>
      </c>
      <c r="D7" s="6" t="s">
        <v>44</v>
      </c>
      <c r="E7" s="6">
        <f>E8*12</f>
        <v>24.999999996</v>
      </c>
      <c r="F7" s="8"/>
      <c r="G7" s="9" t="s">
        <v>23</v>
      </c>
      <c r="H7" s="4">
        <f>DATE(A1,5,8)</f>
        <v>45420</v>
      </c>
      <c r="J7" s="6" t="s">
        <v>5</v>
      </c>
      <c r="K7" s="11" t="e">
        <f>DAY(EOMONTH(#REF!,0))</f>
        <v>#REF!</v>
      </c>
      <c r="L7" s="11" t="e">
        <f>NETWORKDAYS.INTL(#REF!,EOMONTH(#REF!,0),,MesFeries)</f>
        <v>#REF!</v>
      </c>
      <c r="M7" s="11" t="e">
        <f>NETWORKDAYS.INTL(#REF!,EOMONTH(#REF!,0),"1111101")</f>
        <v>#REF!</v>
      </c>
      <c r="N7" s="11" t="e">
        <f>NETWORKDAYS.INTL(#REF!,EOMONTH(#REF!,0),"1111110")</f>
        <v>#REF!</v>
      </c>
      <c r="O7" s="11" t="e">
        <f>NETWORKDAYS.INTL(#REF!,EOMONTH(#REF!,0),"1111100")</f>
        <v>#REF!</v>
      </c>
      <c r="P7" s="11" t="e">
        <f>DAY(EOMONTH(#REF!,0))-NETWORKDAYS.INTL(#REF!,EOMONTH(#REF!,0),"0000000",MesFeries)</f>
        <v>#REF!</v>
      </c>
      <c r="Q7" s="11" t="e">
        <f>NETWORKDAYS.INTL(#REF!,EOMONTH(#REF!,0),"1111100")-NETWORKDAYS.INTL(#REF!,EOMONTH(#REF!,0),"1111100",MesFeries)</f>
        <v>#REF!</v>
      </c>
    </row>
    <row r="8" spans="1:17" ht="30" customHeight="1" x14ac:dyDescent="0.25">
      <c r="A8" s="6" t="s">
        <v>41</v>
      </c>
      <c r="B8" s="6">
        <f>NETWORKDAYS.INTL(B2,B3,"1111100")-NETWORKDAYS.INTL(B2,B3,"1111100",MesFeries)</f>
        <v>3</v>
      </c>
      <c r="D8" s="6" t="s">
        <v>67</v>
      </c>
      <c r="E8" s="19">
        <v>2.0833333330000001</v>
      </c>
      <c r="F8" s="8"/>
      <c r="G8" s="9" t="s">
        <v>18</v>
      </c>
      <c r="H8" s="4">
        <f>H4+39</f>
        <v>45421</v>
      </c>
      <c r="J8" s="6" t="s">
        <v>6</v>
      </c>
      <c r="K8" s="11" t="e">
        <f>DAY(EOMONTH(#REF!,0))</f>
        <v>#REF!</v>
      </c>
      <c r="L8" s="11" t="e">
        <f>NETWORKDAYS.INTL(#REF!,EOMONTH(#REF!,0),,MesFeries)</f>
        <v>#REF!</v>
      </c>
      <c r="M8" s="11" t="e">
        <f>NETWORKDAYS.INTL(#REF!,EOMONTH(#REF!,0),"1111101")</f>
        <v>#REF!</v>
      </c>
      <c r="N8" s="11" t="e">
        <f>NETWORKDAYS.INTL(#REF!,EOMONTH(#REF!,0),"1111110")</f>
        <v>#REF!</v>
      </c>
      <c r="O8" s="11" t="e">
        <f>NETWORKDAYS.INTL(#REF!,EOMONTH(#REF!,0),"1111100")</f>
        <v>#REF!</v>
      </c>
      <c r="P8" s="11" t="e">
        <f>DAY(EOMONTH(#REF!,0))-NETWORKDAYS.INTL(#REF!,EOMONTH(#REF!,0),"0000000",MesFeries)</f>
        <v>#REF!</v>
      </c>
      <c r="Q8" s="11" t="e">
        <f>NETWORKDAYS.INTL(#REF!,EOMONTH(#REF!,0),"1111100")-NETWORKDAYS.INTL(#REF!,EOMONTH(#REF!,0),"1111100",MesFeries)</f>
        <v>#REF!</v>
      </c>
    </row>
    <row r="9" spans="1:17" ht="30" customHeight="1" x14ac:dyDescent="0.25">
      <c r="A9" s="26"/>
      <c r="B9" s="26"/>
      <c r="D9" s="14"/>
      <c r="F9" s="8"/>
      <c r="G9" s="9" t="s">
        <v>27</v>
      </c>
      <c r="H9" s="4">
        <f>H4+49</f>
        <v>45431</v>
      </c>
      <c r="J9" s="6" t="s">
        <v>7</v>
      </c>
      <c r="K9" s="11" t="e">
        <f>DAY(EOMONTH(#REF!,0))</f>
        <v>#REF!</v>
      </c>
      <c r="L9" s="11" t="e">
        <f>NETWORKDAYS.INTL(#REF!,EOMONTH(#REF!,0),,MesFeries)</f>
        <v>#REF!</v>
      </c>
      <c r="M9" s="11" t="e">
        <f>NETWORKDAYS.INTL(#REF!,EOMONTH(#REF!,0),"1111101")</f>
        <v>#REF!</v>
      </c>
      <c r="N9" s="11" t="e">
        <f>NETWORKDAYS.INTL(#REF!,EOMONTH(#REF!,0),"1111110")</f>
        <v>#REF!</v>
      </c>
      <c r="O9" s="11" t="e">
        <f>NETWORKDAYS.INTL(#REF!,EOMONTH(#REF!,0),"1111100")</f>
        <v>#REF!</v>
      </c>
      <c r="P9" s="11" t="e">
        <f>DAY(EOMONTH(#REF!,0))-NETWORKDAYS.INTL(#REF!,EOMONTH(#REF!,0),"0000000",MesFeries)</f>
        <v>#REF!</v>
      </c>
      <c r="Q9" s="11" t="e">
        <f>NETWORKDAYS.INTL(#REF!,EOMONTH(#REF!,0),"1111100")-NETWORKDAYS.INTL(#REF!,EOMONTH(#REF!,0),"1111100",MesFeries)</f>
        <v>#REF!</v>
      </c>
    </row>
    <row r="10" spans="1:17" ht="30" customHeight="1" x14ac:dyDescent="0.25">
      <c r="A10" s="23" t="s">
        <v>42</v>
      </c>
      <c r="B10" s="23"/>
      <c r="C10" s="8"/>
      <c r="D10" s="28" t="s">
        <v>12</v>
      </c>
      <c r="E10" s="29"/>
      <c r="F10" s="8"/>
      <c r="G10" s="9" t="s">
        <v>19</v>
      </c>
      <c r="H10" s="4">
        <f>H9+1</f>
        <v>45432</v>
      </c>
      <c r="J10" s="6" t="s">
        <v>8</v>
      </c>
      <c r="K10" s="11" t="e">
        <f>DAY(EOMONTH(#REF!,0))</f>
        <v>#REF!</v>
      </c>
      <c r="L10" s="11" t="e">
        <f>NETWORKDAYS.INTL(#REF!,EOMONTH(#REF!,0),,MesFeries)</f>
        <v>#REF!</v>
      </c>
      <c r="M10" s="11" t="e">
        <f>NETWORKDAYS.INTL(#REF!,EOMONTH(#REF!,0),"1111101")</f>
        <v>#REF!</v>
      </c>
      <c r="N10" s="11" t="e">
        <f>NETWORKDAYS.INTL(#REF!,EOMONTH(#REF!,0),"1111110")</f>
        <v>#REF!</v>
      </c>
      <c r="O10" s="11" t="e">
        <f>NETWORKDAYS.INTL(#REF!,EOMONTH(#REF!,0),"1111100")</f>
        <v>#REF!</v>
      </c>
      <c r="P10" s="11" t="e">
        <f>DAY(EOMONTH(#REF!,0))-NETWORKDAYS.INTL(#REF!,EOMONTH(#REF!,0),"0000000",MesFeries)</f>
        <v>#REF!</v>
      </c>
      <c r="Q10" s="11" t="e">
        <f>NETWORKDAYS.INTL(#REF!,EOMONTH(#REF!,0),"1111100")-NETWORKDAYS.INTL(#REF!,EOMONTH(#REF!,0),"1111100",MesFeries)</f>
        <v>#REF!</v>
      </c>
    </row>
    <row r="11" spans="1:17" ht="30" customHeight="1" x14ac:dyDescent="0.25">
      <c r="A11" s="6" t="s">
        <v>33</v>
      </c>
      <c r="B11" s="4">
        <v>45413</v>
      </c>
      <c r="C11" s="8"/>
      <c r="D11" s="10">
        <v>0.875</v>
      </c>
      <c r="E11" s="10">
        <v>0.25</v>
      </c>
      <c r="F11" s="8"/>
      <c r="G11" s="9" t="s">
        <v>20</v>
      </c>
      <c r="H11" s="4">
        <f>DATE(A1,7,14)</f>
        <v>45487</v>
      </c>
      <c r="J11" s="6" t="s">
        <v>9</v>
      </c>
      <c r="K11" s="11" t="e">
        <f>DAY(EOMONTH(#REF!,0))</f>
        <v>#REF!</v>
      </c>
      <c r="L11" s="11" t="e">
        <f>NETWORKDAYS.INTL(#REF!,EOMONTH(#REF!,0),,MesFeries)</f>
        <v>#REF!</v>
      </c>
      <c r="M11" s="11" t="e">
        <f>NETWORKDAYS.INTL(#REF!,EOMONTH(#REF!,0),"1111101")</f>
        <v>#REF!</v>
      </c>
      <c r="N11" s="11" t="e">
        <f>NETWORKDAYS.INTL(#REF!,EOMONTH(#REF!,0),"1111110")</f>
        <v>#REF!</v>
      </c>
      <c r="O11" s="11" t="e">
        <f>NETWORKDAYS.INTL(#REF!,EOMONTH(#REF!,0),"1111100")</f>
        <v>#REF!</v>
      </c>
      <c r="P11" s="11" t="e">
        <f>DAY(EOMONTH(#REF!,0))-NETWORKDAYS.INTL(#REF!,EOMONTH(#REF!,0),"0000000",MesFeries)</f>
        <v>#REF!</v>
      </c>
      <c r="Q11" s="11" t="e">
        <f>NETWORKDAYS.INTL(#REF!,EOMONTH(#REF!,0),"1111100")-NETWORKDAYS.INTL(#REF!,EOMONTH(#REF!,0),"1111100",MesFeries)</f>
        <v>#REF!</v>
      </c>
    </row>
    <row r="12" spans="1:17" ht="30" customHeight="1" x14ac:dyDescent="0.25">
      <c r="A12" s="6" t="s">
        <v>34</v>
      </c>
      <c r="B12" s="4">
        <v>45432</v>
      </c>
      <c r="C12" s="8"/>
      <c r="F12" s="8"/>
      <c r="G12" s="9" t="s">
        <v>21</v>
      </c>
      <c r="H12" s="4">
        <f>DATE($A$1,8,15)</f>
        <v>45519</v>
      </c>
      <c r="J12" s="6" t="s">
        <v>10</v>
      </c>
      <c r="K12" s="11" t="e">
        <f>DAY(EOMONTH(#REF!,0))</f>
        <v>#REF!</v>
      </c>
      <c r="L12" s="11" t="e">
        <f>NETWORKDAYS.INTL(#REF!,EOMONTH(#REF!,0),,MesFeries)</f>
        <v>#REF!</v>
      </c>
      <c r="M12" s="11" t="e">
        <f>NETWORKDAYS.INTL(#REF!,EOMONTH(#REF!,0),"1111101")</f>
        <v>#REF!</v>
      </c>
      <c r="N12" s="11" t="e">
        <f>NETWORKDAYS.INTL(#REF!,EOMONTH(#REF!,0),"1111110")</f>
        <v>#REF!</v>
      </c>
      <c r="O12" s="11" t="e">
        <f>NETWORKDAYS.INTL(#REF!,EOMONTH(#REF!,0),"1111100")</f>
        <v>#REF!</v>
      </c>
      <c r="P12" s="11" t="e">
        <f>DAY(EOMONTH(#REF!,0))-NETWORKDAYS.INTL(#REF!,EOMONTH(#REF!,0),"0000000",MesFeries)</f>
        <v>#REF!</v>
      </c>
      <c r="Q12" s="11" t="e">
        <f>NETWORKDAYS.INTL(#REF!,EOMONTH(#REF!,0),"1111100")-NETWORKDAYS.INTL(#REF!,EOMONTH(#REF!,0),"1111100",MesFeries)</f>
        <v>#REF!</v>
      </c>
    </row>
    <row r="13" spans="1:17" ht="30" customHeight="1" x14ac:dyDescent="0.25">
      <c r="A13" s="6" t="s">
        <v>43</v>
      </c>
      <c r="B13" s="4">
        <f>+B12-B11+1</f>
        <v>20</v>
      </c>
      <c r="C13" s="12"/>
      <c r="F13" s="8"/>
      <c r="G13" s="9" t="s">
        <v>22</v>
      </c>
      <c r="H13" s="4">
        <f>DATE(A1,11,1)</f>
        <v>45597</v>
      </c>
      <c r="J13" s="6" t="s">
        <v>11</v>
      </c>
      <c r="K13" s="11" t="e">
        <f>DAY(EOMONTH(#REF!,0))</f>
        <v>#REF!</v>
      </c>
      <c r="L13" s="11" t="e">
        <f>NETWORKDAYS.INTL(#REF!,EOMONTH(#REF!,0),,MesFeries)</f>
        <v>#REF!</v>
      </c>
      <c r="M13" s="11" t="e">
        <f>NETWORKDAYS.INTL(#REF!,EOMONTH(#REF!,0),"1111101")</f>
        <v>#REF!</v>
      </c>
      <c r="N13" s="11" t="e">
        <f>NETWORKDAYS.INTL(#REF!,EOMONTH(#REF!,0),"1111110")</f>
        <v>#REF!</v>
      </c>
      <c r="O13" s="11" t="e">
        <f>NETWORKDAYS.INTL(#REF!,EOMONTH(#REF!,0),"1111100")</f>
        <v>#REF!</v>
      </c>
      <c r="P13" s="11" t="e">
        <f>DAY(EOMONTH(#REF!,0))-NETWORKDAYS.INTL(#REF!,EOMONTH(#REF!,0),"0000000",MesFeries)</f>
        <v>#REF!</v>
      </c>
      <c r="Q13" s="11" t="e">
        <f>NETWORKDAYS.INTL(#REF!,EOMONTH(#REF!,0),"1111100")-NETWORKDAYS.INTL(#REF!,EOMONTH(#REF!,0),"1111100",MesFeries)</f>
        <v>#REF!</v>
      </c>
    </row>
    <row r="14" spans="1:17" ht="30" customHeight="1" x14ac:dyDescent="0.25">
      <c r="A14" s="6" t="s">
        <v>39</v>
      </c>
      <c r="B14" s="6">
        <f>NETWORKDAYS.INTL(B11,B12,,MesFeries)</f>
        <v>10</v>
      </c>
      <c r="F14" s="8"/>
      <c r="G14" s="9" t="s">
        <v>24</v>
      </c>
      <c r="H14" s="4">
        <f>DATE(A1,11,11)</f>
        <v>45607</v>
      </c>
    </row>
    <row r="15" spans="1:17" ht="30" customHeight="1" x14ac:dyDescent="0.25">
      <c r="A15" s="6" t="s">
        <v>38</v>
      </c>
      <c r="B15" s="11">
        <f>NETWORKDAYS.INTL(B11,B12,"1111100")</f>
        <v>6</v>
      </c>
      <c r="F15" s="8"/>
      <c r="G15" s="9" t="s">
        <v>25</v>
      </c>
      <c r="H15" s="4">
        <f>DATE(A1,12,25)</f>
        <v>45651</v>
      </c>
    </row>
    <row r="16" spans="1:17" ht="30" customHeight="1" x14ac:dyDescent="0.25">
      <c r="A16" s="6" t="s">
        <v>40</v>
      </c>
      <c r="B16" s="11">
        <f>NETWORKDAYS.INTL(B11,B12)-NETWORKDAYS.INTL(B11,B12,,MesFeries)</f>
        <v>4</v>
      </c>
      <c r="F16" s="8"/>
      <c r="G16" s="9" t="s">
        <v>26</v>
      </c>
      <c r="H16" s="4">
        <f>H15+1</f>
        <v>45652</v>
      </c>
    </row>
    <row r="17" spans="1:6" ht="30" customHeight="1" x14ac:dyDescent="0.25">
      <c r="A17" s="6" t="s">
        <v>41</v>
      </c>
      <c r="B17" s="6">
        <f>NETWORKDAYS.INTL(B11,B12,"1111100")-NETWORKDAYS.INTL(B11,B12,"1111100",MesFeries)</f>
        <v>1</v>
      </c>
      <c r="F17" s="8"/>
    </row>
    <row r="18" spans="1:6" ht="30" customHeight="1" x14ac:dyDescent="0.25">
      <c r="A18" s="8"/>
      <c r="C18" s="8"/>
      <c r="F18" s="8"/>
    </row>
    <row r="19" spans="1:6" ht="19.899999999999999" customHeight="1" x14ac:dyDescent="0.25">
      <c r="A19" s="8" t="e">
        <f>#REF!+1</f>
        <v>#REF!</v>
      </c>
      <c r="B19" s="8"/>
      <c r="C19" s="8"/>
      <c r="D19" s="8"/>
      <c r="E19" s="8"/>
      <c r="F19" s="8"/>
    </row>
    <row r="20" spans="1:6" ht="19.899999999999999" customHeight="1" x14ac:dyDescent="0.25">
      <c r="A20" s="8" t="e">
        <f t="shared" ref="A20" si="0">A19+1</f>
        <v>#REF!</v>
      </c>
      <c r="B20" s="8"/>
      <c r="C20" s="8"/>
      <c r="D20" s="8"/>
      <c r="E20" s="8"/>
      <c r="F20" s="8"/>
    </row>
  </sheetData>
  <mergeCells count="6">
    <mergeCell ref="A10:B10"/>
    <mergeCell ref="G1:H1"/>
    <mergeCell ref="D1:E1"/>
    <mergeCell ref="A9:B9"/>
    <mergeCell ref="A1:B1"/>
    <mergeCell ref="D10:E1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BB86D3-16A6-4290-B3B0-62AA76634AC2}">
  <sheetPr codeName="Feuil1"/>
  <dimension ref="A1:N23"/>
  <sheetViews>
    <sheetView tabSelected="1" zoomScaleNormal="100" workbookViewId="0">
      <selection activeCell="J2" sqref="J2"/>
    </sheetView>
  </sheetViews>
  <sheetFormatPr baseColWidth="10" defaultColWidth="11.5703125" defaultRowHeight="15" x14ac:dyDescent="0.25"/>
  <cols>
    <col min="1" max="2" width="26.7109375" style="3" customWidth="1"/>
    <col min="3" max="3" width="8.7109375" style="3" customWidth="1"/>
    <col min="4" max="4" width="34.5703125" style="3" customWidth="1"/>
    <col min="5" max="5" width="30.7109375" style="3" customWidth="1"/>
    <col min="6" max="6" width="8.7109375" style="3" customWidth="1"/>
    <col min="7" max="8" width="24.42578125" style="3" customWidth="1"/>
    <col min="9" max="9" width="6.5703125" style="21" customWidth="1"/>
    <col min="10" max="16384" width="11.5703125" style="3"/>
  </cols>
  <sheetData>
    <row r="1" spans="1:14" x14ac:dyDescent="0.25">
      <c r="A1" s="30" t="s">
        <v>45</v>
      </c>
      <c r="B1" s="30"/>
      <c r="D1" s="16"/>
      <c r="E1" s="16"/>
      <c r="G1" s="30" t="s">
        <v>54</v>
      </c>
      <c r="H1" s="30"/>
      <c r="J1" s="22">
        <v>45292</v>
      </c>
      <c r="K1" s="22">
        <v>45323</v>
      </c>
      <c r="L1" s="22">
        <v>45352</v>
      </c>
      <c r="M1" s="22">
        <v>45383</v>
      </c>
      <c r="N1" s="22">
        <v>45413</v>
      </c>
    </row>
    <row r="2" spans="1:14" x14ac:dyDescent="0.25">
      <c r="A2" s="4">
        <v>45292</v>
      </c>
      <c r="B2" s="4">
        <v>45379</v>
      </c>
      <c r="C2" s="3">
        <f>NETWORKDAYS.INTL(A2,B2,1,Détails!H$2:H$16)</f>
        <v>63</v>
      </c>
      <c r="D2" s="6" t="s">
        <v>55</v>
      </c>
      <c r="E2" s="6">
        <f>SUM(C2:C11)</f>
        <v>120</v>
      </c>
      <c r="F2" s="3">
        <f>NETWORKDAYS.INTL(G2,H2,1,Détails!H$2:H$16)</f>
        <v>0</v>
      </c>
      <c r="G2" s="4"/>
      <c r="H2" s="4"/>
      <c r="J2" s="3">
        <f>IF(OR($A2&gt;EOMONTH(J$1,0),$B2&lt;J$1),"",NETWORKDAYS.INTL(MAX($A2,J$1),MIN($B2,EOMONTH(J$1,0)),1,Détails!$H$2:$H$16))</f>
        <v>22</v>
      </c>
      <c r="K2" s="3">
        <f>IF(OR($A2&gt;EOMONTH(K$1,0),$B2&lt;K$1),"",NETWORKDAYS.INTL(MAX($A2,K$1),MIN($B2,EOMONTH(K$1,0)),1,Détails!$H$2:$H$16))</f>
        <v>21</v>
      </c>
      <c r="L2" s="3">
        <f>IF(OR($A2&gt;EOMONTH(L$1,0),$B2&lt;L$1),"",NETWORKDAYS.INTL(MAX($A2,L$1),MIN($B2,EOMONTH(L$1,0)),1,Détails!$H$2:$H$16))</f>
        <v>20</v>
      </c>
      <c r="M2" s="3" t="str">
        <f>IF(OR($A2&gt;EOMONTH(M$1,0),$B2&lt;M$1),"",NETWORKDAYS.INTL(MAX($A2,M$1),MIN($B2,EOMONTH(M$1,0)),1,Détails!$H$2:$H$16))</f>
        <v/>
      </c>
      <c r="N2" s="3" t="str">
        <f>IF(OR($A2&gt;EOMONTH(N$1,0),$B2&lt;N$1),"",NETWORKDAYS.INTL(MAX($A2,N$1),MIN($B2,EOMONTH(N$1,0)),1,Détails!$H$2:$H$16))</f>
        <v/>
      </c>
    </row>
    <row r="3" spans="1:14" x14ac:dyDescent="0.25">
      <c r="A3" s="4">
        <v>45306</v>
      </c>
      <c r="B3" s="4">
        <v>45337</v>
      </c>
      <c r="C3" s="3">
        <f>NETWORKDAYS.INTL(A3,B3,1,Détails!H$2:H$16)</f>
        <v>24</v>
      </c>
      <c r="D3" s="15" t="s">
        <v>56</v>
      </c>
      <c r="E3" s="6">
        <f>SUM(F2:F11)</f>
        <v>0</v>
      </c>
      <c r="F3" s="3">
        <f>NETWORKDAYS.INTL(G3,H3,1,Détails!H$2:H$16)</f>
        <v>0</v>
      </c>
      <c r="G3" s="4"/>
      <c r="H3" s="4"/>
      <c r="J3" s="3">
        <f>IF(OR($A3&gt;EOMONTH(J$1,0),$B3&lt;J$1),"",NETWORKDAYS.INTL(MAX($A3,J$1),MIN($B3,EOMONTH(J$1,0)),1,Détails!$H$2:$H$16))</f>
        <v>13</v>
      </c>
      <c r="K3" s="3">
        <f>IF(OR($A3&gt;EOMONTH(K$1,0),$B3&lt;K$1),"",NETWORKDAYS.INTL(MAX($A3,K$1),MIN($B3,EOMONTH(K$1,0)),1,Détails!$H$2:$H$16))</f>
        <v>11</v>
      </c>
      <c r="L3" s="3" t="str">
        <f>IF(OR($A3&gt;EOMONTH(L$1,0),$B3&lt;L$1),"",NETWORKDAYS.INTL(MAX($A3,L$1),MIN($B3,EOMONTH(L$1,0)),1,Détails!$H$2:$H$16))</f>
        <v/>
      </c>
      <c r="M3" s="3" t="str">
        <f>IF(OR($A3&gt;EOMONTH(M$1,0),$B3&lt;M$1),"",NETWORKDAYS.INTL(MAX($A3,M$1),MIN($B3,EOMONTH(M$1,0)),1,Détails!$H$2:$H$16))</f>
        <v/>
      </c>
      <c r="N3" s="3" t="str">
        <f>IF(OR($A3&gt;EOMONTH(N$1,0),$B3&lt;N$1),"",NETWORKDAYS.INTL(MAX($A3,N$1),MIN($B3,EOMONTH(N$1,0)),1,Détails!$H$2:$H$16))</f>
        <v/>
      </c>
    </row>
    <row r="4" spans="1:14" x14ac:dyDescent="0.25">
      <c r="A4" s="4">
        <v>45371</v>
      </c>
      <c r="B4" s="4">
        <v>45424</v>
      </c>
      <c r="C4" s="3">
        <f>NETWORKDAYS.INTL(A4,B4,1,Détails!H$2:H$16)</f>
        <v>33</v>
      </c>
      <c r="F4" s="3">
        <f>NETWORKDAYS.INTL(G4,H4,1,Détails!H$2:H$16)</f>
        <v>0</v>
      </c>
      <c r="G4" s="4"/>
      <c r="H4" s="4"/>
      <c r="J4" s="3" t="str">
        <f>IF(OR($A4&gt;EOMONTH(J$1,0),$B4&lt;J$1),"",NETWORKDAYS.INTL(MAX($A4,J$1),MIN($B4,EOMONTH(J$1,0)),1,Détails!$H$2:$H$16))</f>
        <v/>
      </c>
      <c r="K4" s="3" t="str">
        <f>IF(OR($A4&gt;EOMONTH(K$1,0),$B4&lt;K$1),"",NETWORKDAYS.INTL(MAX($A4,K$1),MIN($B4,EOMONTH(K$1,0)),1,Détails!$H$2:$H$16))</f>
        <v/>
      </c>
      <c r="L4" s="3">
        <f>IF(OR($A4&gt;EOMONTH(L$1,0),$B4&lt;L$1),"",NETWORKDAYS.INTL(MAX($A4,L$1),MIN($B4,EOMONTH(L$1,0)),1,Détails!$H$2:$H$16))</f>
        <v>7</v>
      </c>
      <c r="M4" s="3">
        <f>IF(OR($A4&gt;EOMONTH(M$1,0),$B4&lt;M$1),"",NETWORKDAYS.INTL(MAX($A4,M$1),MIN($B4,EOMONTH(M$1,0)),1,Détails!$H$2:$H$16))</f>
        <v>21</v>
      </c>
      <c r="N4" s="3">
        <f>IF(OR($A4&gt;EOMONTH(N$1,0),$B4&lt;N$1),"",NETWORKDAYS.INTL(MAX($A4,N$1),MIN($B4,EOMONTH(N$1,0)),1,Détails!$H$2:$H$16))</f>
        <v>5</v>
      </c>
    </row>
    <row r="5" spans="1:14" x14ac:dyDescent="0.25">
      <c r="A5" s="4"/>
      <c r="B5" s="4"/>
      <c r="C5" s="3">
        <f>NETWORKDAYS.INTL(A5,B5,1,Détails!H$2:H$16)</f>
        <v>0</v>
      </c>
      <c r="D5" s="6" t="s">
        <v>62</v>
      </c>
      <c r="E5" s="6">
        <v>4</v>
      </c>
      <c r="F5" s="3">
        <f>NETWORKDAYS.INTL(G5,H5,1,Détails!H$2:H$16)</f>
        <v>0</v>
      </c>
      <c r="G5" s="4"/>
      <c r="H5" s="4"/>
    </row>
    <row r="6" spans="1:14" x14ac:dyDescent="0.25">
      <c r="A6" s="4"/>
      <c r="B6" s="4"/>
      <c r="C6" s="3">
        <f>NETWORKDAYS.INTL(A6,B6,1,Détails!H$2:H$16)</f>
        <v>0</v>
      </c>
      <c r="D6" s="15" t="s">
        <v>65</v>
      </c>
      <c r="E6" s="6">
        <f>MAX(0,E5-E2)</f>
        <v>0</v>
      </c>
      <c r="F6" s="3">
        <f>NETWORKDAYS.INTL(G6,H6,1,Détails!H$2:H$16)</f>
        <v>0</v>
      </c>
      <c r="G6" s="4"/>
      <c r="H6" s="4"/>
    </row>
    <row r="7" spans="1:14" x14ac:dyDescent="0.25">
      <c r="A7" s="4"/>
      <c r="B7" s="4"/>
      <c r="C7" s="3">
        <f>NETWORKDAYS.INTL(A7,B7,1,Détails!H$2:H$16)</f>
        <v>0</v>
      </c>
      <c r="D7" s="17" t="s">
        <v>66</v>
      </c>
      <c r="E7" s="18" t="str">
        <f ca="1">IFERROR(DATEDIF(TODAY(),DATE(Détails!$A$1,5,31),"d"),"Définitivement perdus")</f>
        <v>Définitivement perdus</v>
      </c>
      <c r="F7" s="3">
        <f>NETWORKDAYS.INTL(G7,H7,1,Détails!H$2:H$16)</f>
        <v>0</v>
      </c>
      <c r="G7" s="4"/>
      <c r="H7" s="4"/>
    </row>
    <row r="8" spans="1:14" x14ac:dyDescent="0.25">
      <c r="A8" s="4"/>
      <c r="B8" s="4"/>
      <c r="C8" s="3">
        <f>NETWORKDAYS.INTL(A8,B8,1,Détails!H$2:H$16)</f>
        <v>0</v>
      </c>
      <c r="F8" s="3">
        <f>NETWORKDAYS.INTL(G8,H8,1,Détails!H$2:H$16)</f>
        <v>0</v>
      </c>
      <c r="G8" s="4"/>
      <c r="H8" s="4"/>
    </row>
    <row r="9" spans="1:14" x14ac:dyDescent="0.25">
      <c r="A9" s="4"/>
      <c r="B9" s="4"/>
      <c r="C9" s="3">
        <f>NETWORKDAYS.INTL(A9,B9,1,Détails!H$2:H$16)</f>
        <v>0</v>
      </c>
      <c r="D9" s="6" t="s">
        <v>63</v>
      </c>
      <c r="E9" s="6">
        <v>16.12</v>
      </c>
      <c r="F9" s="3">
        <f>NETWORKDAYS.INTL(G9,H9,1,Détails!H$2:H$16)</f>
        <v>0</v>
      </c>
      <c r="G9" s="4"/>
      <c r="H9" s="4"/>
    </row>
    <row r="10" spans="1:14" x14ac:dyDescent="0.25">
      <c r="A10" s="4"/>
      <c r="B10" s="4"/>
      <c r="C10" s="3">
        <f>NETWORKDAYS.INTL(A10,B10,1,Détails!H$2:H$16)</f>
        <v>0</v>
      </c>
      <c r="D10" s="6" t="s">
        <v>61</v>
      </c>
      <c r="E10" s="19">
        <f ca="1">(MONTH(TODAY())-1)*Détails!E8</f>
        <v>10.416666665000001</v>
      </c>
      <c r="F10" s="3">
        <f>NETWORKDAYS.INTL(G10,H10,1,Détails!H$2:H$16)</f>
        <v>0</v>
      </c>
      <c r="G10" s="4"/>
      <c r="H10" s="4"/>
    </row>
    <row r="11" spans="1:14" x14ac:dyDescent="0.25">
      <c r="A11" s="4"/>
      <c r="B11" s="4"/>
      <c r="C11" s="3">
        <f>NETWORKDAYS.INTL(A11,B11,1,Détails!H$2:H$16)</f>
        <v>0</v>
      </c>
      <c r="D11" s="15" t="s">
        <v>64</v>
      </c>
      <c r="E11" s="19">
        <f ca="1">E9+E10-IF(E2&lt;=E6,0,E2-E5)</f>
        <v>-89.463333335000002</v>
      </c>
      <c r="F11" s="3">
        <f>NETWORKDAYS.INTL(G11,H11,1,Détails!H$2:H$16)</f>
        <v>0</v>
      </c>
      <c r="G11" s="4"/>
      <c r="H11" s="4"/>
    </row>
    <row r="12" spans="1:14" x14ac:dyDescent="0.25">
      <c r="A12" s="5"/>
      <c r="B12" s="5"/>
    </row>
    <row r="13" spans="1:14" x14ac:dyDescent="0.25">
      <c r="A13" s="33" t="s">
        <v>53</v>
      </c>
      <c r="B13" s="34"/>
      <c r="D13" s="31"/>
      <c r="E13" s="31"/>
      <c r="G13" s="32" t="s">
        <v>59</v>
      </c>
      <c r="H13" s="32"/>
    </row>
    <row r="14" spans="1:14" x14ac:dyDescent="0.25">
      <c r="A14" s="4">
        <v>45383</v>
      </c>
      <c r="B14" s="4">
        <v>45471</v>
      </c>
      <c r="C14" s="12">
        <f>IF(B14&lt;&gt;"",B14-A14+1,0)</f>
        <v>89</v>
      </c>
      <c r="D14" s="15" t="s">
        <v>57</v>
      </c>
      <c r="E14" s="6">
        <f>SUM(C14:C23)</f>
        <v>89</v>
      </c>
      <c r="F14" s="12">
        <f>IF(H14&lt;&gt;"",H14-G14+1,0)</f>
        <v>0</v>
      </c>
      <c r="G14" s="4"/>
      <c r="H14" s="4"/>
    </row>
    <row r="15" spans="1:14" x14ac:dyDescent="0.25">
      <c r="A15" s="4"/>
      <c r="B15" s="4"/>
      <c r="C15" s="12">
        <f t="shared" ref="C15:C23" si="0">IF(B15&lt;&gt;"",B15-A15+1,0)</f>
        <v>0</v>
      </c>
      <c r="D15" s="15" t="s">
        <v>58</v>
      </c>
      <c r="E15" s="6">
        <f>SUM(F14:F23)</f>
        <v>0</v>
      </c>
      <c r="F15" s="12">
        <f t="shared" ref="F15:F23" si="1">IF(H15&lt;&gt;"",H15-G15+1,0)</f>
        <v>0</v>
      </c>
      <c r="G15" s="4"/>
      <c r="H15" s="4"/>
    </row>
    <row r="16" spans="1:14" x14ac:dyDescent="0.25">
      <c r="A16" s="4"/>
      <c r="B16" s="4"/>
      <c r="C16" s="12">
        <f t="shared" si="0"/>
        <v>0</v>
      </c>
      <c r="F16" s="12">
        <f t="shared" si="1"/>
        <v>0</v>
      </c>
      <c r="G16" s="4"/>
      <c r="H16" s="4"/>
    </row>
    <row r="17" spans="1:8" x14ac:dyDescent="0.25">
      <c r="A17" s="4"/>
      <c r="B17" s="4"/>
      <c r="C17" s="12">
        <f t="shared" si="0"/>
        <v>0</v>
      </c>
      <c r="F17" s="12">
        <f t="shared" si="1"/>
        <v>0</v>
      </c>
      <c r="G17" s="4"/>
      <c r="H17" s="4"/>
    </row>
    <row r="18" spans="1:8" x14ac:dyDescent="0.25">
      <c r="A18" s="4"/>
      <c r="B18" s="4"/>
      <c r="C18" s="12">
        <f t="shared" si="0"/>
        <v>0</v>
      </c>
      <c r="F18" s="12">
        <f t="shared" si="1"/>
        <v>0</v>
      </c>
      <c r="G18" s="4"/>
      <c r="H18" s="4"/>
    </row>
    <row r="19" spans="1:8" x14ac:dyDescent="0.25">
      <c r="A19" s="4"/>
      <c r="B19" s="4"/>
      <c r="C19" s="12">
        <f t="shared" si="0"/>
        <v>0</v>
      </c>
      <c r="F19" s="12">
        <f t="shared" si="1"/>
        <v>0</v>
      </c>
      <c r="G19" s="4"/>
      <c r="H19" s="4"/>
    </row>
    <row r="20" spans="1:8" x14ac:dyDescent="0.25">
      <c r="A20" s="4"/>
      <c r="B20" s="4"/>
      <c r="C20" s="12">
        <f t="shared" si="0"/>
        <v>0</v>
      </c>
      <c r="F20" s="12">
        <f t="shared" si="1"/>
        <v>0</v>
      </c>
      <c r="G20" s="4"/>
      <c r="H20" s="4"/>
    </row>
    <row r="21" spans="1:8" x14ac:dyDescent="0.25">
      <c r="A21" s="4"/>
      <c r="B21" s="4"/>
      <c r="C21" s="12">
        <f t="shared" si="0"/>
        <v>0</v>
      </c>
      <c r="F21" s="12">
        <f t="shared" si="1"/>
        <v>0</v>
      </c>
      <c r="G21" s="4"/>
      <c r="H21" s="4"/>
    </row>
    <row r="22" spans="1:8" x14ac:dyDescent="0.25">
      <c r="A22" s="4"/>
      <c r="B22" s="4"/>
      <c r="C22" s="12">
        <f t="shared" si="0"/>
        <v>0</v>
      </c>
      <c r="F22" s="12">
        <f t="shared" si="1"/>
        <v>0</v>
      </c>
      <c r="G22" s="4"/>
      <c r="H22" s="4"/>
    </row>
    <row r="23" spans="1:8" x14ac:dyDescent="0.25">
      <c r="A23" s="4"/>
      <c r="B23" s="4"/>
      <c r="C23" s="12">
        <f t="shared" si="0"/>
        <v>0</v>
      </c>
      <c r="F23" s="12">
        <f t="shared" si="1"/>
        <v>0</v>
      </c>
      <c r="G23" s="4"/>
      <c r="H23" s="4"/>
    </row>
  </sheetData>
  <mergeCells count="5">
    <mergeCell ref="G1:H1"/>
    <mergeCell ref="D13:E13"/>
    <mergeCell ref="G13:H13"/>
    <mergeCell ref="A13:B13"/>
    <mergeCell ref="A1:B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Détails</vt:lpstr>
      <vt:lpstr>Absences</vt:lpstr>
      <vt:lpstr>MesFeries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Stessy Haxaire</dc:creator>
  <dcterms:created xsi:type="dcterms:W3CDTF">2015-06-05T18:19:34Z</dcterms:created>
  <dcterms:modified xsi:type="dcterms:W3CDTF">2024-06-12T14:30:08Z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401b303-ecb1-4a9d-936a-70858c2d9a3e_Enabled">
    <vt:lpwstr>true</vt:lpwstr>
  </property>
  <property fmtid="{D5CDD505-2E9C-101B-9397-08002B2CF9AE}" pid="3" name="MSIP_Label_a401b303-ecb1-4a9d-936a-70858c2d9a3e_SetDate">
    <vt:lpwstr>2024-06-10T13:37:44Z</vt:lpwstr>
  </property>
  <property fmtid="{D5CDD505-2E9C-101B-9397-08002B2CF9AE}" pid="4" name="MSIP_Label_a401b303-ecb1-4a9d-936a-70858c2d9a3e_Method">
    <vt:lpwstr>Privileged</vt:lpwstr>
  </property>
  <property fmtid="{D5CDD505-2E9C-101B-9397-08002B2CF9AE}" pid="5" name="MSIP_Label_a401b303-ecb1-4a9d-936a-70858c2d9a3e_Name">
    <vt:lpwstr>a401b303-ecb1-4a9d-936a-70858c2d9a3e</vt:lpwstr>
  </property>
  <property fmtid="{D5CDD505-2E9C-101B-9397-08002B2CF9AE}" pid="6" name="MSIP_Label_a401b303-ecb1-4a9d-936a-70858c2d9a3e_SiteId">
    <vt:lpwstr>c9a7d621-4bc4-4407-b730-f428e656aa9e</vt:lpwstr>
  </property>
  <property fmtid="{D5CDD505-2E9C-101B-9397-08002B2CF9AE}" pid="7" name="MSIP_Label_a401b303-ecb1-4a9d-936a-70858c2d9a3e_ActionId">
    <vt:lpwstr>9c01a3cc-3eb6-43a3-aa16-4ff6870854b5</vt:lpwstr>
  </property>
  <property fmtid="{D5CDD505-2E9C-101B-9397-08002B2CF9AE}" pid="8" name="MSIP_Label_a401b303-ecb1-4a9d-936a-70858c2d9a3e_ContentBits">
    <vt:lpwstr>0</vt:lpwstr>
  </property>
</Properties>
</file>